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89AE68F5-CE0B-4FA9-A4BD-312E17974C67}" xr6:coauthVersionLast="47" xr6:coauthVersionMax="47" xr10:uidLastSave="{00000000-0000-0000-0000-000000000000}"/>
  <bookViews>
    <workbookView xWindow="-120" yWindow="-120" windowWidth="29040" windowHeight="15840" tabRatio="809" firstSheet="15" activeTab="15" xr2:uid="{00000000-000D-0000-FFFF-FFFF00000000}"/>
  </bookViews>
  <sheets>
    <sheet name="节奏总纲" sheetId="18" r:id="rId1"/>
    <sheet name="其他调用" sheetId="91" r:id="rId2"/>
    <sheet name="设计思路" sheetId="95" r:id="rId3"/>
    <sheet name="基础状态预期" sheetId="97" r:id="rId4"/>
    <sheet name="宝物升星" sheetId="99" r:id="rId5"/>
    <sheet name="宝物共鸣" sheetId="110" r:id="rId6"/>
    <sheet name="宝物升星货币产销情况" sheetId="103" r:id="rId7"/>
    <sheet name="盗宝贼掉落" sheetId="98" r:id="rId8"/>
    <sheet name="匈奴铁骑掉落" sheetId="105" r:id="rId9"/>
    <sheet name="宝物鉴赏" sheetId="100" r:id="rId10"/>
    <sheet name="宝物温养" sheetId="101" r:id="rId11"/>
    <sheet name="宝石镶嵌" sheetId="108" r:id="rId12"/>
    <sheet name="万里长城" sheetId="109" r:id="rId13"/>
    <sheet name="宝物效用情况" sheetId="107" r:id="rId14"/>
    <sheet name="投放验证" sheetId="96" r:id="rId15"/>
    <sheet name="宝物实力" sheetId="102" r:id="rId16"/>
    <sheet name="宝物图鉴" sheetId="106" r:id="rId17"/>
    <sheet name="武将升星（废弃）" sheetId="50" state="hidden" r:id="rId18"/>
    <sheet name="Sheet2" sheetId="48" state="hidden" r:id="rId19"/>
    <sheet name="武将觉醒(废弃）" sheetId="51" state="hidden" r:id="rId20"/>
    <sheet name="属性分配（废弃）" sheetId="47" state="hidden" r:id="rId21"/>
  </sheets>
  <functionGroups builtInGroupCount="19"/>
  <externalReferences>
    <externalReference r:id="rId22"/>
    <externalReference r:id="rId23"/>
    <externalReference r:id="rId24"/>
  </externalReferenc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</workbook>
</file>

<file path=xl/calcChain.xml><?xml version="1.0" encoding="utf-8"?>
<calcChain xmlns="http://schemas.openxmlformats.org/spreadsheetml/2006/main">
  <c r="K29" i="102" l="1"/>
  <c r="J29" i="102"/>
  <c r="I29" i="102"/>
  <c r="H29" i="102"/>
  <c r="G29" i="102"/>
  <c r="K28" i="102"/>
  <c r="J28" i="102"/>
  <c r="I28" i="102"/>
  <c r="H28" i="102"/>
  <c r="G28" i="102"/>
  <c r="K27" i="102"/>
  <c r="J27" i="102"/>
  <c r="I27" i="102"/>
  <c r="H27" i="102"/>
  <c r="G27" i="102"/>
  <c r="K26" i="102"/>
  <c r="J26" i="102"/>
  <c r="I26" i="102"/>
  <c r="H26" i="102"/>
  <c r="G26" i="102"/>
  <c r="K25" i="102"/>
  <c r="J25" i="102"/>
  <c r="I25" i="102"/>
  <c r="H25" i="102"/>
  <c r="G25" i="102"/>
  <c r="K24" i="102"/>
  <c r="J24" i="102"/>
  <c r="I24" i="102"/>
  <c r="H24" i="102"/>
  <c r="G24" i="102"/>
  <c r="K23" i="102"/>
  <c r="J23" i="102"/>
  <c r="I23" i="102"/>
  <c r="H23" i="102"/>
  <c r="G23" i="102"/>
  <c r="K22" i="102"/>
  <c r="J22" i="102"/>
  <c r="I22" i="102"/>
  <c r="H22" i="102"/>
  <c r="G22" i="102"/>
  <c r="F29" i="102"/>
  <c r="F28" i="102"/>
  <c r="F27" i="102"/>
  <c r="F26" i="102"/>
  <c r="F25" i="102"/>
  <c r="F24" i="102"/>
  <c r="F23" i="102"/>
  <c r="F22" i="102"/>
  <c r="G31" i="110" l="1"/>
  <c r="H31" i="110"/>
  <c r="G32" i="110"/>
  <c r="H32" i="110"/>
  <c r="G33" i="110"/>
  <c r="H33" i="110"/>
  <c r="G34" i="110"/>
  <c r="H34" i="110"/>
  <c r="G35" i="110"/>
  <c r="H35" i="110"/>
  <c r="H30" i="110"/>
  <c r="G30" i="110"/>
  <c r="M130" i="110"/>
  <c r="M129" i="110"/>
  <c r="M128" i="110"/>
  <c r="M127" i="110"/>
  <c r="M126" i="110"/>
  <c r="M125" i="110"/>
  <c r="M124" i="110"/>
  <c r="M123" i="110"/>
  <c r="M122" i="110"/>
  <c r="M121" i="110"/>
  <c r="M120" i="110"/>
  <c r="M119" i="110"/>
  <c r="M118" i="110"/>
  <c r="M117" i="110"/>
  <c r="M116" i="110"/>
  <c r="M115" i="110"/>
  <c r="M114" i="110"/>
  <c r="M113" i="110"/>
  <c r="M112" i="110"/>
  <c r="M111" i="110"/>
  <c r="M110" i="110"/>
  <c r="M104" i="110"/>
  <c r="M103" i="110"/>
  <c r="M102" i="110"/>
  <c r="M101" i="110"/>
  <c r="M100" i="110"/>
  <c r="M99" i="110"/>
  <c r="M98" i="110"/>
  <c r="M97" i="110"/>
  <c r="M96" i="110"/>
  <c r="M95" i="110"/>
  <c r="M94" i="110"/>
  <c r="M93" i="110"/>
  <c r="M92" i="110"/>
  <c r="M91" i="110"/>
  <c r="M90" i="110"/>
  <c r="M89" i="110"/>
  <c r="M88" i="110"/>
  <c r="M87" i="110"/>
  <c r="M86" i="110"/>
  <c r="M85" i="110"/>
  <c r="M84" i="110"/>
  <c r="M78" i="110"/>
  <c r="M77" i="110"/>
  <c r="M76" i="110"/>
  <c r="M75" i="110"/>
  <c r="M74" i="110"/>
  <c r="M73" i="110"/>
  <c r="M72" i="110"/>
  <c r="M71" i="110"/>
  <c r="M70" i="110"/>
  <c r="M69" i="110"/>
  <c r="M68" i="110"/>
  <c r="M67" i="110"/>
  <c r="M66" i="110"/>
  <c r="M65" i="110"/>
  <c r="M64" i="110"/>
  <c r="M63" i="110"/>
  <c r="M62" i="110"/>
  <c r="M61" i="110"/>
  <c r="M60" i="110"/>
  <c r="M59" i="110"/>
  <c r="M58" i="110"/>
  <c r="M52" i="110"/>
  <c r="M51" i="110"/>
  <c r="M50" i="110"/>
  <c r="M49" i="110"/>
  <c r="M48" i="110"/>
  <c r="M47" i="110"/>
  <c r="M46" i="110"/>
  <c r="M45" i="110"/>
  <c r="M44" i="110"/>
  <c r="M43" i="110"/>
  <c r="M42" i="110"/>
  <c r="M41" i="110"/>
  <c r="M40" i="110"/>
  <c r="M39" i="110"/>
  <c r="M38" i="110"/>
  <c r="M37" i="110"/>
  <c r="M36" i="110"/>
  <c r="M35" i="110"/>
  <c r="M34" i="110"/>
  <c r="M33" i="110"/>
  <c r="M32" i="110"/>
  <c r="M26" i="110"/>
  <c r="M25" i="110"/>
  <c r="M24" i="110"/>
  <c r="M23" i="110"/>
  <c r="M22" i="110"/>
  <c r="M21" i="110"/>
  <c r="M20" i="110"/>
  <c r="M19" i="110"/>
  <c r="M18" i="110"/>
  <c r="M17" i="110"/>
  <c r="M16" i="110"/>
  <c r="M15" i="110"/>
  <c r="M14" i="110"/>
  <c r="M13" i="110"/>
  <c r="M12" i="110"/>
  <c r="M11" i="110"/>
  <c r="M10" i="110"/>
  <c r="M9" i="110"/>
  <c r="M8" i="110"/>
  <c r="M7" i="110"/>
  <c r="M6" i="110"/>
  <c r="G18" i="110"/>
  <c r="H18" i="110"/>
  <c r="G19" i="110"/>
  <c r="H19" i="110"/>
  <c r="G20" i="110"/>
  <c r="H20" i="110"/>
  <c r="G21" i="110"/>
  <c r="H21" i="110"/>
  <c r="G22" i="110"/>
  <c r="H22" i="110"/>
  <c r="G17" i="110"/>
  <c r="H17" i="110"/>
  <c r="D21" i="105"/>
  <c r="D22" i="105"/>
  <c r="AS19" i="108"/>
  <c r="AS20" i="108"/>
  <c r="AS18" i="108"/>
  <c r="AQ14" i="108"/>
  <c r="AR14" i="108"/>
  <c r="AS14" i="108"/>
  <c r="AP14" i="108"/>
  <c r="AP11" i="108" l="1"/>
  <c r="AM3" i="108"/>
  <c r="I47" i="108"/>
  <c r="I46" i="108"/>
  <c r="I45" i="108"/>
  <c r="I44" i="108"/>
  <c r="I43" i="108"/>
  <c r="I42" i="108"/>
  <c r="I41" i="108"/>
  <c r="I40" i="108"/>
  <c r="G50" i="108"/>
  <c r="E42" i="108"/>
  <c r="E43" i="108" s="1"/>
  <c r="E41" i="108"/>
  <c r="F50" i="108"/>
  <c r="J50" i="108" s="1"/>
  <c r="H41" i="108"/>
  <c r="H42" i="108"/>
  <c r="H43" i="108"/>
  <c r="H46" i="108"/>
  <c r="H47" i="108"/>
  <c r="H48" i="108"/>
  <c r="I48" i="108" s="1"/>
  <c r="H49" i="108"/>
  <c r="I49" i="108" s="1"/>
  <c r="H40" i="108"/>
  <c r="F41" i="108"/>
  <c r="F42" i="108"/>
  <c r="J42" i="108" s="1"/>
  <c r="F49" i="108"/>
  <c r="F40" i="108"/>
  <c r="J41" i="108" s="1"/>
  <c r="D42" i="108"/>
  <c r="D43" i="108"/>
  <c r="D44" i="108"/>
  <c r="D45" i="108"/>
  <c r="D46" i="108"/>
  <c r="D47" i="108" s="1"/>
  <c r="D48" i="108" s="1"/>
  <c r="D49" i="108" s="1"/>
  <c r="D50" i="108" s="1"/>
  <c r="D51" i="108" s="1"/>
  <c r="D52" i="108" s="1"/>
  <c r="D53" i="108" s="1"/>
  <c r="D54" i="108" s="1"/>
  <c r="D41" i="108"/>
  <c r="I108" i="109"/>
  <c r="I109" i="109"/>
  <c r="I110" i="109"/>
  <c r="I111" i="109"/>
  <c r="I112" i="109"/>
  <c r="I113" i="109"/>
  <c r="I114" i="109"/>
  <c r="I115" i="109"/>
  <c r="I116" i="109"/>
  <c r="I117" i="109"/>
  <c r="I118" i="109"/>
  <c r="I119" i="109"/>
  <c r="I107" i="109"/>
  <c r="G51" i="108" l="1"/>
  <c r="E44" i="108"/>
  <c r="F43" i="108"/>
  <c r="J40" i="108"/>
  <c r="J43" i="108"/>
  <c r="F54" i="108"/>
  <c r="F53" i="108"/>
  <c r="H50" i="108"/>
  <c r="I50" i="108" s="1"/>
  <c r="F51" i="108"/>
  <c r="C36" i="109"/>
  <c r="D107" i="109"/>
  <c r="D108" i="109"/>
  <c r="D109" i="109"/>
  <c r="D110" i="109"/>
  <c r="D111" i="109"/>
  <c r="D112" i="109"/>
  <c r="D113" i="109" s="1"/>
  <c r="D114" i="109" s="1"/>
  <c r="D115" i="109" s="1"/>
  <c r="D116" i="109" s="1"/>
  <c r="D117" i="109" s="1"/>
  <c r="D118" i="109" s="1"/>
  <c r="D106" i="109"/>
  <c r="C119" i="109"/>
  <c r="C107" i="109"/>
  <c r="C108" i="109" s="1"/>
  <c r="C109" i="109" s="1"/>
  <c r="C110" i="109" s="1"/>
  <c r="C111" i="109" s="1"/>
  <c r="C112" i="109" s="1"/>
  <c r="C113" i="109" s="1"/>
  <c r="C114" i="109" s="1"/>
  <c r="C115" i="109" s="1"/>
  <c r="C116" i="109" s="1"/>
  <c r="C117" i="109" s="1"/>
  <c r="C118" i="109" s="1"/>
  <c r="C106" i="109"/>
  <c r="J25" i="108"/>
  <c r="J26" i="108" s="1"/>
  <c r="J27" i="108" s="1"/>
  <c r="J28" i="108" s="1"/>
  <c r="J29" i="108" s="1"/>
  <c r="J30" i="108" s="1"/>
  <c r="J31" i="108" s="1"/>
  <c r="J32" i="108" s="1"/>
  <c r="J33" i="108" s="1"/>
  <c r="J34" i="108" s="1"/>
  <c r="J35" i="108" s="1"/>
  <c r="J36" i="108" s="1"/>
  <c r="J24" i="108"/>
  <c r="J23" i="108"/>
  <c r="U120" i="97"/>
  <c r="U94" i="97"/>
  <c r="U68" i="97"/>
  <c r="U42" i="97"/>
  <c r="U16" i="97"/>
  <c r="G52" i="108" l="1"/>
  <c r="I51" i="108"/>
  <c r="F44" i="108"/>
  <c r="E45" i="108"/>
  <c r="J54" i="108"/>
  <c r="F52" i="108"/>
  <c r="J52" i="108" s="1"/>
  <c r="H51" i="108"/>
  <c r="J51" i="108"/>
  <c r="F23" i="108"/>
  <c r="G23" i="108" s="1"/>
  <c r="H22" i="108"/>
  <c r="G22" i="108"/>
  <c r="C24" i="108"/>
  <c r="C25" i="108"/>
  <c r="C26" i="108" s="1"/>
  <c r="C27" i="108" s="1"/>
  <c r="C28" i="108" s="1"/>
  <c r="C29" i="108" s="1"/>
  <c r="C30" i="108" s="1"/>
  <c r="C31" i="108" s="1"/>
  <c r="C32" i="108" s="1"/>
  <c r="C33" i="108" s="1"/>
  <c r="C34" i="108" s="1"/>
  <c r="C35" i="108" s="1"/>
  <c r="C23" i="108"/>
  <c r="G53" i="108" l="1"/>
  <c r="F45" i="108"/>
  <c r="E46" i="108"/>
  <c r="G44" i="108"/>
  <c r="H44" i="108" s="1"/>
  <c r="J44" i="108"/>
  <c r="H52" i="108"/>
  <c r="I52" i="108" s="1"/>
  <c r="J53" i="108"/>
  <c r="F24" i="108"/>
  <c r="H23" i="108"/>
  <c r="G54" i="108" l="1"/>
  <c r="H53" i="108"/>
  <c r="I53" i="108" s="1"/>
  <c r="F46" i="108"/>
  <c r="E47" i="108"/>
  <c r="J46" i="108"/>
  <c r="G45" i="108"/>
  <c r="H45" i="108" s="1"/>
  <c r="J45" i="108"/>
  <c r="F25" i="108"/>
  <c r="G24" i="108"/>
  <c r="H24" i="108"/>
  <c r="H54" i="108" l="1"/>
  <c r="I54" i="108" s="1"/>
  <c r="E48" i="108"/>
  <c r="F48" i="108" s="1"/>
  <c r="F47" i="108"/>
  <c r="J47" i="108" s="1"/>
  <c r="G25" i="108"/>
  <c r="F26" i="108"/>
  <c r="H25" i="108"/>
  <c r="J49" i="108" l="1"/>
  <c r="J48" i="108"/>
  <c r="G26" i="108"/>
  <c r="H26" i="108"/>
  <c r="F27" i="108"/>
  <c r="G27" i="108" l="1"/>
  <c r="H27" i="108"/>
  <c r="F28" i="108"/>
  <c r="G28" i="108" l="1"/>
  <c r="F29" i="108"/>
  <c r="H28" i="108"/>
  <c r="G29" i="108" l="1"/>
  <c r="F30" i="108"/>
  <c r="H29" i="108"/>
  <c r="G30" i="108" l="1"/>
  <c r="H30" i="108"/>
  <c r="F31" i="108"/>
  <c r="G31" i="108" l="1"/>
  <c r="H31" i="108"/>
  <c r="F32" i="108"/>
  <c r="G32" i="108" l="1"/>
  <c r="F33" i="108"/>
  <c r="H32" i="108"/>
  <c r="G33" i="108" l="1"/>
  <c r="F34" i="108"/>
  <c r="H33" i="108"/>
  <c r="G34" i="108" l="1"/>
  <c r="H34" i="108"/>
  <c r="F35" i="108"/>
  <c r="G35" i="108" l="1"/>
  <c r="F36" i="108"/>
  <c r="H35" i="108"/>
  <c r="C37" i="109"/>
  <c r="G36" i="108" l="1"/>
  <c r="H36" i="108"/>
  <c r="E107" i="109"/>
  <c r="E108" i="109" s="1"/>
  <c r="E109" i="109" s="1"/>
  <c r="E110" i="109" s="1"/>
  <c r="E111" i="109" s="1"/>
  <c r="E112" i="109" s="1"/>
  <c r="E113" i="109" s="1"/>
  <c r="E114" i="109" s="1"/>
  <c r="E115" i="109" s="1"/>
  <c r="E116" i="109" s="1"/>
  <c r="E117" i="109" s="1"/>
  <c r="E118" i="109" s="1"/>
  <c r="E119" i="109" s="1"/>
  <c r="K106" i="109"/>
  <c r="K107" i="109" s="1"/>
  <c r="K108" i="109" s="1"/>
  <c r="K109" i="109" s="1"/>
  <c r="K110" i="109" s="1"/>
  <c r="E129" i="109"/>
  <c r="E130" i="109"/>
  <c r="E131" i="109"/>
  <c r="E132" i="109"/>
  <c r="E133" i="109"/>
  <c r="E128" i="109"/>
  <c r="C42" i="108"/>
  <c r="C43" i="108" s="1"/>
  <c r="C44" i="108" s="1"/>
  <c r="C45" i="108" s="1"/>
  <c r="C46" i="108" s="1"/>
  <c r="C47" i="108" s="1"/>
  <c r="C48" i="108" s="1"/>
  <c r="C49" i="108" s="1"/>
  <c r="C50" i="108" s="1"/>
  <c r="C51" i="108" s="1"/>
  <c r="C52" i="108" s="1"/>
  <c r="C53" i="108" s="1"/>
  <c r="C54" i="108" s="1"/>
  <c r="C41" i="108"/>
  <c r="K111" i="109" l="1"/>
  <c r="E134" i="109"/>
  <c r="K112" i="109" l="1"/>
  <c r="K113" i="109" l="1"/>
  <c r="K114" i="109" l="1"/>
  <c r="K115" i="109" s="1"/>
  <c r="K116" i="109" l="1"/>
  <c r="K117" i="109" l="1"/>
  <c r="K118" i="109" l="1"/>
  <c r="K119" i="109" l="1"/>
  <c r="C9" i="109" l="1"/>
  <c r="D9" i="109"/>
  <c r="E9" i="109"/>
  <c r="F9" i="109"/>
  <c r="G9" i="109"/>
  <c r="O87" i="108"/>
  <c r="P87" i="108"/>
  <c r="O88" i="108"/>
  <c r="P88" i="108"/>
  <c r="O89" i="108"/>
  <c r="P89" i="108"/>
  <c r="O90" i="108"/>
  <c r="P90" i="108"/>
  <c r="O91" i="108"/>
  <c r="P91" i="108"/>
  <c r="O92" i="108"/>
  <c r="P92" i="108"/>
  <c r="O93" i="108"/>
  <c r="P93" i="108"/>
  <c r="O94" i="108"/>
  <c r="P94" i="108"/>
  <c r="O95" i="108"/>
  <c r="P95" i="108"/>
  <c r="O96" i="108"/>
  <c r="P96" i="108"/>
  <c r="O97" i="108"/>
  <c r="P97" i="108"/>
  <c r="O98" i="108"/>
  <c r="P98" i="108"/>
  <c r="O99" i="108"/>
  <c r="P99" i="108"/>
  <c r="O100" i="108"/>
  <c r="P100" i="108"/>
  <c r="O101" i="108"/>
  <c r="P101" i="108"/>
  <c r="O102" i="108"/>
  <c r="P102" i="108"/>
  <c r="O103" i="108"/>
  <c r="P103" i="108"/>
  <c r="O104" i="108"/>
  <c r="P104" i="108"/>
  <c r="O105" i="108"/>
  <c r="O106" i="108"/>
  <c r="O107" i="108"/>
  <c r="O108" i="108"/>
  <c r="P108" i="108"/>
  <c r="Q108" i="108"/>
  <c r="R108" i="108"/>
  <c r="S108" i="108"/>
  <c r="T108" i="108"/>
  <c r="U108" i="108"/>
  <c r="V108" i="108"/>
  <c r="W108" i="108"/>
  <c r="X108" i="108"/>
  <c r="Y108" i="108"/>
  <c r="Z108" i="108"/>
  <c r="AA108" i="108"/>
  <c r="AB108" i="108"/>
  <c r="AC108" i="108"/>
  <c r="AD108" i="108"/>
  <c r="AE108" i="108"/>
  <c r="AF108" i="108"/>
  <c r="AG108" i="108"/>
  <c r="O109" i="108"/>
  <c r="P109" i="108"/>
  <c r="Q109" i="108"/>
  <c r="R109" i="108"/>
  <c r="S109" i="108"/>
  <c r="T109" i="108"/>
  <c r="U109" i="108"/>
  <c r="V109" i="108"/>
  <c r="W109" i="108"/>
  <c r="X109" i="108"/>
  <c r="Y109" i="108"/>
  <c r="Z109" i="108"/>
  <c r="AA109" i="108"/>
  <c r="AB109" i="108"/>
  <c r="AC109" i="108"/>
  <c r="AD109" i="108"/>
  <c r="AE109" i="108"/>
  <c r="AF109" i="108"/>
  <c r="AG109" i="108"/>
  <c r="O110" i="108"/>
  <c r="P110" i="108"/>
  <c r="O111" i="108"/>
  <c r="P111" i="108"/>
  <c r="O112" i="108"/>
  <c r="P112" i="108"/>
  <c r="O113" i="108"/>
  <c r="P113" i="108"/>
  <c r="O114" i="108"/>
  <c r="P114" i="108"/>
  <c r="O115" i="108"/>
  <c r="P115" i="108"/>
  <c r="O116" i="108"/>
  <c r="P116" i="108"/>
  <c r="O117" i="108"/>
  <c r="P117" i="108"/>
  <c r="O118" i="108"/>
  <c r="P118" i="108"/>
  <c r="O119" i="108"/>
  <c r="P119" i="108"/>
  <c r="O120" i="108"/>
  <c r="P120" i="108"/>
  <c r="O121" i="108"/>
  <c r="P121" i="108"/>
  <c r="O122" i="108"/>
  <c r="P122" i="108"/>
  <c r="O123" i="108"/>
  <c r="P123" i="108"/>
  <c r="O124" i="108"/>
  <c r="P124" i="108"/>
  <c r="O125" i="108"/>
  <c r="P125" i="108"/>
  <c r="O126" i="108"/>
  <c r="P126" i="108"/>
  <c r="O127" i="108"/>
  <c r="P127" i="108"/>
  <c r="O128" i="108"/>
  <c r="P128" i="108"/>
  <c r="O129" i="108"/>
  <c r="P129" i="108"/>
  <c r="O130" i="108"/>
  <c r="P130" i="108"/>
  <c r="O131" i="108"/>
  <c r="O132" i="108"/>
  <c r="O133" i="108"/>
  <c r="O44" i="108"/>
  <c r="P44" i="108"/>
  <c r="O45" i="108"/>
  <c r="P45" i="108"/>
  <c r="O46" i="108"/>
  <c r="P46" i="108"/>
  <c r="O47" i="108"/>
  <c r="P47" i="108"/>
  <c r="O48" i="108"/>
  <c r="P48" i="108"/>
  <c r="O49" i="108"/>
  <c r="P49" i="108"/>
  <c r="O50" i="108"/>
  <c r="P50" i="108"/>
  <c r="O51" i="108"/>
  <c r="P51" i="108"/>
  <c r="O52" i="108"/>
  <c r="P52" i="108"/>
  <c r="O53" i="108"/>
  <c r="O54" i="108"/>
  <c r="O55" i="108"/>
  <c r="O56" i="108"/>
  <c r="P56" i="108"/>
  <c r="Q56" i="108"/>
  <c r="R56" i="108"/>
  <c r="S56" i="108"/>
  <c r="T56" i="108"/>
  <c r="U56" i="108"/>
  <c r="V56" i="108"/>
  <c r="W56" i="108"/>
  <c r="X56" i="108"/>
  <c r="Y56" i="108"/>
  <c r="Z56" i="108"/>
  <c r="AA56" i="108"/>
  <c r="AB56" i="108"/>
  <c r="AC56" i="108"/>
  <c r="AD56" i="108"/>
  <c r="AE56" i="108"/>
  <c r="AF56" i="108"/>
  <c r="AG56" i="108"/>
  <c r="O57" i="108"/>
  <c r="P57" i="108"/>
  <c r="Q57" i="108"/>
  <c r="R57" i="108"/>
  <c r="S57" i="108"/>
  <c r="T57" i="108"/>
  <c r="U57" i="108"/>
  <c r="V57" i="108"/>
  <c r="W57" i="108"/>
  <c r="X57" i="108"/>
  <c r="Y57" i="108"/>
  <c r="Z57" i="108"/>
  <c r="AA57" i="108"/>
  <c r="AB57" i="108"/>
  <c r="AC57" i="108"/>
  <c r="AD57" i="108"/>
  <c r="AE57" i="108"/>
  <c r="AF57" i="108"/>
  <c r="AG57" i="108"/>
  <c r="O58" i="108"/>
  <c r="P58" i="108"/>
  <c r="O59" i="108"/>
  <c r="P59" i="108"/>
  <c r="O60" i="108"/>
  <c r="P60" i="108"/>
  <c r="O61" i="108"/>
  <c r="P61" i="108"/>
  <c r="O62" i="108"/>
  <c r="P62" i="108"/>
  <c r="O63" i="108"/>
  <c r="P63" i="108"/>
  <c r="O64" i="108"/>
  <c r="P64" i="108"/>
  <c r="O65" i="108"/>
  <c r="P65" i="108"/>
  <c r="O66" i="108"/>
  <c r="P66" i="108"/>
  <c r="O67" i="108"/>
  <c r="P67" i="108"/>
  <c r="O68" i="108"/>
  <c r="P68" i="108"/>
  <c r="O69" i="108"/>
  <c r="P69" i="108"/>
  <c r="O70" i="108"/>
  <c r="P70" i="108"/>
  <c r="O71" i="108"/>
  <c r="P71" i="108"/>
  <c r="O72" i="108"/>
  <c r="P72" i="108"/>
  <c r="O73" i="108"/>
  <c r="P73" i="108"/>
  <c r="O74" i="108"/>
  <c r="P74" i="108"/>
  <c r="O75" i="108"/>
  <c r="P75" i="108"/>
  <c r="O76" i="108"/>
  <c r="P76" i="108"/>
  <c r="O77" i="108"/>
  <c r="P77" i="108"/>
  <c r="O78" i="108"/>
  <c r="P78" i="108"/>
  <c r="O79" i="108"/>
  <c r="O80" i="108"/>
  <c r="O81" i="108"/>
  <c r="O82" i="108"/>
  <c r="P82" i="108"/>
  <c r="Q82" i="108"/>
  <c r="R82" i="108"/>
  <c r="S82" i="108"/>
  <c r="T82" i="108"/>
  <c r="U82" i="108"/>
  <c r="V82" i="108"/>
  <c r="W82" i="108"/>
  <c r="X82" i="108"/>
  <c r="Y82" i="108"/>
  <c r="Z82" i="108"/>
  <c r="AA82" i="108"/>
  <c r="AB82" i="108"/>
  <c r="AC82" i="108"/>
  <c r="AD82" i="108"/>
  <c r="AE82" i="108"/>
  <c r="AF82" i="108"/>
  <c r="AG82" i="108"/>
  <c r="O83" i="108"/>
  <c r="P83" i="108"/>
  <c r="Q83" i="108"/>
  <c r="R83" i="108"/>
  <c r="S83" i="108"/>
  <c r="T83" i="108"/>
  <c r="U83" i="108"/>
  <c r="V83" i="108"/>
  <c r="W83" i="108"/>
  <c r="X83" i="108"/>
  <c r="Y83" i="108"/>
  <c r="Z83" i="108"/>
  <c r="AA83" i="108"/>
  <c r="AB83" i="108"/>
  <c r="AC83" i="108"/>
  <c r="AD83" i="108"/>
  <c r="AE83" i="108"/>
  <c r="AF83" i="108"/>
  <c r="AG83" i="108"/>
  <c r="O84" i="108"/>
  <c r="P84" i="108"/>
  <c r="O85" i="108"/>
  <c r="P85" i="108"/>
  <c r="O86" i="108"/>
  <c r="P86" i="108"/>
  <c r="AD4" i="108"/>
  <c r="AD5" i="108"/>
  <c r="AE5" i="108"/>
  <c r="AF5" i="108"/>
  <c r="AG5" i="108"/>
  <c r="AD30" i="108"/>
  <c r="AE30" i="108"/>
  <c r="AF30" i="108"/>
  <c r="AG30" i="108"/>
  <c r="AD31" i="108"/>
  <c r="AE31" i="108"/>
  <c r="AF31" i="108"/>
  <c r="AG31" i="108"/>
  <c r="O5" i="108"/>
  <c r="P5" i="108"/>
  <c r="Q5" i="108"/>
  <c r="R5" i="108"/>
  <c r="S5" i="108"/>
  <c r="T5" i="108"/>
  <c r="U5" i="108"/>
  <c r="V5" i="108"/>
  <c r="W5" i="108"/>
  <c r="X5" i="108"/>
  <c r="Y5" i="108"/>
  <c r="Z5" i="108"/>
  <c r="AA5" i="108"/>
  <c r="AB5" i="108"/>
  <c r="AC5" i="108"/>
  <c r="O6" i="108"/>
  <c r="P6" i="108"/>
  <c r="O7" i="108"/>
  <c r="P7" i="108"/>
  <c r="O8" i="108"/>
  <c r="P8" i="108"/>
  <c r="O9" i="108"/>
  <c r="P9" i="108"/>
  <c r="O10" i="108"/>
  <c r="P10" i="108"/>
  <c r="O11" i="108"/>
  <c r="P11" i="108"/>
  <c r="O12" i="108"/>
  <c r="P12" i="108"/>
  <c r="O13" i="108"/>
  <c r="P13" i="108"/>
  <c r="O14" i="108"/>
  <c r="P14" i="108"/>
  <c r="O15" i="108"/>
  <c r="P15" i="108"/>
  <c r="O16" i="108"/>
  <c r="P16" i="108"/>
  <c r="O17" i="108"/>
  <c r="P17" i="108"/>
  <c r="O18" i="108"/>
  <c r="P18" i="108"/>
  <c r="O19" i="108"/>
  <c r="P19" i="108"/>
  <c r="O20" i="108"/>
  <c r="P20" i="108"/>
  <c r="O21" i="108"/>
  <c r="P21" i="108"/>
  <c r="O22" i="108"/>
  <c r="P22" i="108"/>
  <c r="O23" i="108"/>
  <c r="P23" i="108"/>
  <c r="O24" i="108"/>
  <c r="P24" i="108"/>
  <c r="O25" i="108"/>
  <c r="P25" i="108"/>
  <c r="O26" i="108"/>
  <c r="P26" i="108"/>
  <c r="O27" i="108"/>
  <c r="O28" i="108"/>
  <c r="O29" i="108"/>
  <c r="O30" i="108"/>
  <c r="P30" i="108"/>
  <c r="Q30" i="108"/>
  <c r="R30" i="108"/>
  <c r="S30" i="108"/>
  <c r="T30" i="108"/>
  <c r="U30" i="108"/>
  <c r="V30" i="108"/>
  <c r="W30" i="108"/>
  <c r="X30" i="108"/>
  <c r="Y30" i="108"/>
  <c r="Z30" i="108"/>
  <c r="AA30" i="108"/>
  <c r="AB30" i="108"/>
  <c r="AC30" i="108"/>
  <c r="O31" i="108"/>
  <c r="P31" i="108"/>
  <c r="Q31" i="108"/>
  <c r="R31" i="108"/>
  <c r="S31" i="108"/>
  <c r="T31" i="108"/>
  <c r="U31" i="108"/>
  <c r="V31" i="108"/>
  <c r="W31" i="108"/>
  <c r="X31" i="108"/>
  <c r="Y31" i="108"/>
  <c r="Z31" i="108"/>
  <c r="AA31" i="108"/>
  <c r="AB31" i="108"/>
  <c r="AC31" i="108"/>
  <c r="O32" i="108"/>
  <c r="P32" i="108"/>
  <c r="O33" i="108"/>
  <c r="P33" i="108"/>
  <c r="O34" i="108"/>
  <c r="P34" i="108"/>
  <c r="O35" i="108"/>
  <c r="P35" i="108"/>
  <c r="O36" i="108"/>
  <c r="P36" i="108"/>
  <c r="O37" i="108"/>
  <c r="P37" i="108"/>
  <c r="O38" i="108"/>
  <c r="P38" i="108"/>
  <c r="O39" i="108"/>
  <c r="P39" i="108"/>
  <c r="O40" i="108"/>
  <c r="P40" i="108"/>
  <c r="O41" i="108"/>
  <c r="P41" i="108"/>
  <c r="O42" i="108"/>
  <c r="P42" i="108"/>
  <c r="O43" i="108"/>
  <c r="P43" i="108"/>
  <c r="P4" i="108"/>
  <c r="R4" i="108"/>
  <c r="V4" i="108"/>
  <c r="Z4" i="108"/>
  <c r="O4" i="108"/>
  <c r="G92" i="109" l="1"/>
  <c r="G91" i="109"/>
  <c r="G90" i="109"/>
  <c r="G89" i="109"/>
  <c r="G88" i="109"/>
  <c r="G87" i="109"/>
  <c r="G86" i="109"/>
  <c r="G85" i="109"/>
  <c r="G84" i="109"/>
  <c r="G83" i="109"/>
  <c r="G82" i="109"/>
  <c r="I66" i="109"/>
  <c r="I65" i="109"/>
  <c r="I64" i="109"/>
  <c r="I63" i="109"/>
  <c r="I62" i="109"/>
  <c r="I61" i="109"/>
  <c r="I59" i="109"/>
  <c r="I58" i="109"/>
  <c r="I57" i="109"/>
  <c r="I56" i="109"/>
  <c r="I55" i="109"/>
  <c r="I54" i="109"/>
  <c r="I53" i="109"/>
  <c r="B17" i="109"/>
  <c r="C17" i="109"/>
  <c r="D17" i="109"/>
  <c r="E17" i="109"/>
  <c r="F17" i="109"/>
  <c r="G17" i="109"/>
  <c r="H17" i="109"/>
  <c r="I17" i="109"/>
  <c r="B18" i="109"/>
  <c r="C18" i="109"/>
  <c r="D18" i="109"/>
  <c r="E18" i="109"/>
  <c r="F18" i="109"/>
  <c r="G18" i="109"/>
  <c r="H18" i="109"/>
  <c r="I18" i="109"/>
  <c r="B19" i="109"/>
  <c r="C19" i="109"/>
  <c r="D19" i="109"/>
  <c r="E19" i="109"/>
  <c r="F19" i="109"/>
  <c r="G19" i="109"/>
  <c r="H19" i="109"/>
  <c r="I19" i="109"/>
  <c r="B20" i="109"/>
  <c r="C20" i="109"/>
  <c r="D20" i="109"/>
  <c r="E20" i="109"/>
  <c r="F20" i="109"/>
  <c r="G20" i="109"/>
  <c r="H20" i="109"/>
  <c r="I20" i="109"/>
  <c r="B21" i="109"/>
  <c r="C21" i="109"/>
  <c r="D21" i="109"/>
  <c r="E21" i="109"/>
  <c r="F21" i="109"/>
  <c r="G21" i="109"/>
  <c r="H21" i="109"/>
  <c r="I21" i="109"/>
  <c r="B22" i="109"/>
  <c r="C22" i="109"/>
  <c r="D22" i="109"/>
  <c r="E22" i="109"/>
  <c r="F22" i="109"/>
  <c r="G22" i="109"/>
  <c r="H22" i="109"/>
  <c r="I22" i="109"/>
  <c r="B23" i="109"/>
  <c r="C23" i="109"/>
  <c r="D23" i="109"/>
  <c r="E23" i="109"/>
  <c r="F23" i="109"/>
  <c r="G23" i="109"/>
  <c r="H23" i="109"/>
  <c r="I23" i="109"/>
  <c r="D47" i="109" l="1"/>
  <c r="H91" i="109" s="1"/>
  <c r="J20" i="109"/>
  <c r="J22" i="109"/>
  <c r="D44" i="109"/>
  <c r="D46" i="109" s="1"/>
  <c r="J19" i="109"/>
  <c r="J21" i="109"/>
  <c r="J18" i="109"/>
  <c r="J23" i="109"/>
  <c r="I91" i="109" l="1"/>
  <c r="C26" i="109"/>
  <c r="C10" i="109"/>
  <c r="G10" i="109"/>
  <c r="F10" i="109"/>
  <c r="E10" i="109"/>
  <c r="D10" i="109"/>
  <c r="H88" i="109"/>
  <c r="H86" i="109"/>
  <c r="H87" i="109"/>
  <c r="H84" i="109"/>
  <c r="H85" i="109"/>
  <c r="H83" i="109"/>
  <c r="H82" i="109"/>
  <c r="H90" i="109"/>
  <c r="D48" i="109"/>
  <c r="H92" i="109"/>
  <c r="H89" i="109"/>
  <c r="E49" i="109"/>
  <c r="D49" i="109"/>
  <c r="H44" i="99"/>
  <c r="H45" i="99" s="1"/>
  <c r="H46" i="99" s="1"/>
  <c r="H47" i="99" s="1"/>
  <c r="G44" i="99"/>
  <c r="G45" i="99" s="1"/>
  <c r="G46" i="99" s="1"/>
  <c r="F45" i="99"/>
  <c r="F46" i="99" s="1"/>
  <c r="F47" i="99" s="1"/>
  <c r="F48" i="99" s="1"/>
  <c r="F44" i="99"/>
  <c r="K91" i="109" l="1"/>
  <c r="L91" i="109"/>
  <c r="I87" i="109"/>
  <c r="K87" i="109" s="1"/>
  <c r="I90" i="109"/>
  <c r="K90" i="109" s="1"/>
  <c r="I83" i="109"/>
  <c r="K83" i="109" s="1"/>
  <c r="I88" i="109"/>
  <c r="K88" i="109" s="1"/>
  <c r="I89" i="109"/>
  <c r="I85" i="109"/>
  <c r="I86" i="109"/>
  <c r="L86" i="109" s="1"/>
  <c r="I82" i="109"/>
  <c r="L82" i="109" s="1"/>
  <c r="I92" i="109"/>
  <c r="K92" i="109" s="1"/>
  <c r="I84" i="109"/>
  <c r="L84" i="109" s="1"/>
  <c r="H20" i="105"/>
  <c r="H19" i="105"/>
  <c r="H18" i="105"/>
  <c r="L88" i="109" l="1"/>
  <c r="L89" i="109"/>
  <c r="D12" i="109"/>
  <c r="E12" i="109"/>
  <c r="K89" i="109"/>
  <c r="K82" i="109"/>
  <c r="F12" i="109"/>
  <c r="G12" i="109"/>
  <c r="L92" i="109"/>
  <c r="L85" i="109"/>
  <c r="L83" i="109"/>
  <c r="K85" i="109"/>
  <c r="L90" i="109"/>
  <c r="J93" i="109"/>
  <c r="C12" i="109"/>
  <c r="K84" i="109"/>
  <c r="K86" i="109"/>
  <c r="L87" i="109"/>
  <c r="G14" i="102"/>
  <c r="H14" i="102"/>
  <c r="I14" i="102"/>
  <c r="J14" i="102"/>
  <c r="K14" i="102"/>
  <c r="F14" i="102"/>
  <c r="E11" i="109" a="1"/>
  <c r="G11" i="109" a="1"/>
  <c r="D11" i="109" a="1"/>
  <c r="C11" i="109" a="1"/>
  <c r="F11" i="109" a="1"/>
  <c r="L93" i="109" l="1"/>
  <c r="G11" i="109"/>
  <c r="D11" i="109"/>
  <c r="D13" i="109" s="1"/>
  <c r="F11" i="109"/>
  <c r="E11" i="109"/>
  <c r="E13" i="109" s="1"/>
  <c r="K93" i="109"/>
  <c r="C11" i="109"/>
  <c r="D26" i="109"/>
  <c r="J6" i="101"/>
  <c r="J7" i="101" s="1"/>
  <c r="J8" i="101" s="1"/>
  <c r="J9" i="101" s="1"/>
  <c r="J10" i="101" s="1"/>
  <c r="J14" i="101" s="1"/>
  <c r="T7" i="101"/>
  <c r="T8" i="101"/>
  <c r="I10" i="96"/>
  <c r="I12" i="96" s="1"/>
  <c r="I8" i="96"/>
  <c r="I9" i="96"/>
  <c r="H14" i="99"/>
  <c r="H27" i="99"/>
  <c r="H32" i="99"/>
  <c r="H33" i="99" s="1"/>
  <c r="H55" i="99"/>
  <c r="H67" i="99"/>
  <c r="H68" i="99"/>
  <c r="H69" i="99"/>
  <c r="H70" i="99"/>
  <c r="H71" i="99"/>
  <c r="H72" i="99"/>
  <c r="H79" i="99"/>
  <c r="H80" i="99"/>
  <c r="H81" i="99"/>
  <c r="H82" i="99"/>
  <c r="H83" i="99"/>
  <c r="H84" i="99"/>
  <c r="E8" i="105"/>
  <c r="D8" i="105"/>
  <c r="G13" i="109" l="1"/>
  <c r="F13" i="109"/>
  <c r="C13" i="109"/>
  <c r="G7" i="103"/>
  <c r="H57" i="99"/>
  <c r="H34" i="99"/>
  <c r="J45" i="101"/>
  <c r="J46" i="101"/>
  <c r="J44" i="101"/>
  <c r="H56" i="99"/>
  <c r="H88" i="99"/>
  <c r="BX38" i="96"/>
  <c r="BX39" i="96"/>
  <c r="BX40" i="96"/>
  <c r="BX41" i="96"/>
  <c r="BX42" i="96"/>
  <c r="BX64" i="96"/>
  <c r="BX65" i="96"/>
  <c r="BX66" i="96"/>
  <c r="BX67" i="96"/>
  <c r="BX68" i="96"/>
  <c r="BX90" i="96"/>
  <c r="BX91" i="96"/>
  <c r="BX92" i="96"/>
  <c r="BX93" i="96"/>
  <c r="BX94" i="96"/>
  <c r="BX116" i="96"/>
  <c r="BX117" i="96"/>
  <c r="BX118" i="96"/>
  <c r="BX119" i="96"/>
  <c r="BX120" i="96"/>
  <c r="G8" i="96"/>
  <c r="H35" i="99" l="1"/>
  <c r="H58" i="99"/>
  <c r="D131" i="107"/>
  <c r="D130" i="107"/>
  <c r="D129" i="107"/>
  <c r="D128" i="107"/>
  <c r="D127" i="107"/>
  <c r="D126" i="107"/>
  <c r="D125" i="107"/>
  <c r="D124" i="107"/>
  <c r="D123" i="107"/>
  <c r="D122" i="107"/>
  <c r="D121" i="107"/>
  <c r="D120" i="107"/>
  <c r="D119" i="107"/>
  <c r="D118" i="107"/>
  <c r="D117" i="107"/>
  <c r="D116" i="107"/>
  <c r="D115" i="107"/>
  <c r="D114" i="107"/>
  <c r="D113" i="107"/>
  <c r="D112" i="107"/>
  <c r="D111" i="107"/>
  <c r="D105" i="107"/>
  <c r="D104" i="107"/>
  <c r="D103" i="107"/>
  <c r="D102" i="107"/>
  <c r="D101" i="107"/>
  <c r="D100" i="107"/>
  <c r="D99" i="107"/>
  <c r="D98" i="107"/>
  <c r="D97" i="107"/>
  <c r="D96" i="107"/>
  <c r="D95" i="107"/>
  <c r="D94" i="107"/>
  <c r="D93" i="107"/>
  <c r="D92" i="107"/>
  <c r="D91" i="107"/>
  <c r="D90" i="107"/>
  <c r="D89" i="107"/>
  <c r="D88" i="107"/>
  <c r="D87" i="107"/>
  <c r="D86" i="107"/>
  <c r="D85" i="107"/>
  <c r="D79" i="107"/>
  <c r="D78" i="107"/>
  <c r="D77" i="107"/>
  <c r="D76" i="107"/>
  <c r="D75" i="107"/>
  <c r="D74" i="107"/>
  <c r="D73" i="107"/>
  <c r="D72" i="107"/>
  <c r="D71" i="107"/>
  <c r="D70" i="107"/>
  <c r="D69" i="107"/>
  <c r="D68" i="107"/>
  <c r="D67" i="107"/>
  <c r="D66" i="107"/>
  <c r="D65" i="107"/>
  <c r="D64" i="107"/>
  <c r="D63" i="107"/>
  <c r="D62" i="107"/>
  <c r="D61" i="107"/>
  <c r="D60" i="107"/>
  <c r="D59" i="107"/>
  <c r="D53" i="107"/>
  <c r="D52" i="107"/>
  <c r="D51" i="107"/>
  <c r="D50" i="107"/>
  <c r="D49" i="107"/>
  <c r="D48" i="107"/>
  <c r="D47" i="107"/>
  <c r="D46" i="107"/>
  <c r="D45" i="107"/>
  <c r="D44" i="107"/>
  <c r="D43" i="107"/>
  <c r="D42" i="107"/>
  <c r="D41" i="107"/>
  <c r="D40" i="107"/>
  <c r="D39" i="107"/>
  <c r="D38" i="107"/>
  <c r="D37" i="107"/>
  <c r="D36" i="107"/>
  <c r="D35" i="107"/>
  <c r="D34" i="107"/>
  <c r="D33" i="107"/>
  <c r="D8" i="107"/>
  <c r="D9" i="107"/>
  <c r="D10" i="107"/>
  <c r="D11" i="107"/>
  <c r="D12" i="107"/>
  <c r="D13" i="107"/>
  <c r="D14" i="107"/>
  <c r="D15" i="107"/>
  <c r="D16" i="107"/>
  <c r="D17" i="107"/>
  <c r="D18" i="107"/>
  <c r="D19" i="107"/>
  <c r="D20" i="107"/>
  <c r="D21" i="107"/>
  <c r="D22" i="107"/>
  <c r="D23" i="107"/>
  <c r="D24" i="107"/>
  <c r="D25" i="107"/>
  <c r="D26" i="107"/>
  <c r="D27" i="107"/>
  <c r="D7" i="107"/>
  <c r="H36" i="99" l="1"/>
  <c r="H60" i="99" s="1"/>
  <c r="H59" i="99"/>
  <c r="H21" i="105"/>
  <c r="H22" i="105" s="1"/>
  <c r="H23" i="105" s="1"/>
  <c r="AJ7" i="106" l="1"/>
  <c r="AK7" i="106"/>
  <c r="AL7" i="106"/>
  <c r="AM7" i="106"/>
  <c r="AN7" i="106"/>
  <c r="AJ8" i="106"/>
  <c r="AK8" i="106"/>
  <c r="AL8" i="106"/>
  <c r="AM8" i="106"/>
  <c r="AN8" i="106"/>
  <c r="AJ9" i="106"/>
  <c r="AK9" i="106"/>
  <c r="AL9" i="106"/>
  <c r="AM9" i="106"/>
  <c r="AN9" i="106"/>
  <c r="AJ10" i="106"/>
  <c r="AK10" i="106"/>
  <c r="AL10" i="106"/>
  <c r="AM10" i="106"/>
  <c r="AN10" i="106"/>
  <c r="AJ11" i="106"/>
  <c r="AK11" i="106"/>
  <c r="AL11" i="106"/>
  <c r="AM11" i="106"/>
  <c r="AN11" i="106"/>
  <c r="AJ12" i="106"/>
  <c r="AK12" i="106"/>
  <c r="AL12" i="106"/>
  <c r="AM12" i="106"/>
  <c r="AN12" i="106"/>
  <c r="AJ13" i="106"/>
  <c r="AK13" i="106"/>
  <c r="AL13" i="106"/>
  <c r="AM13" i="106"/>
  <c r="AN13" i="106"/>
  <c r="AJ14" i="106"/>
  <c r="AK14" i="106"/>
  <c r="AL14" i="106"/>
  <c r="AM14" i="106"/>
  <c r="AN14" i="106"/>
  <c r="AJ15" i="106"/>
  <c r="AK15" i="106"/>
  <c r="AL15" i="106"/>
  <c r="AM15" i="106"/>
  <c r="AN15" i="106"/>
  <c r="AJ16" i="106"/>
  <c r="AK16" i="106"/>
  <c r="AL16" i="106"/>
  <c r="AM16" i="106"/>
  <c r="AN16" i="106"/>
  <c r="AJ17" i="106"/>
  <c r="AK17" i="106"/>
  <c r="AL17" i="106"/>
  <c r="AM17" i="106"/>
  <c r="AN17" i="106"/>
  <c r="AJ18" i="106"/>
  <c r="AK18" i="106"/>
  <c r="AL18" i="106"/>
  <c r="AM18" i="106"/>
  <c r="AN18" i="106"/>
  <c r="AJ19" i="106"/>
  <c r="AK19" i="106"/>
  <c r="AL19" i="106"/>
  <c r="AM19" i="106"/>
  <c r="AN19" i="106"/>
  <c r="AJ20" i="106"/>
  <c r="AK20" i="106"/>
  <c r="AL20" i="106"/>
  <c r="AM20" i="106"/>
  <c r="AN20" i="106"/>
  <c r="AJ21" i="106"/>
  <c r="AK21" i="106"/>
  <c r="AL21" i="106"/>
  <c r="AM21" i="106"/>
  <c r="AN21" i="106"/>
  <c r="AJ22" i="106"/>
  <c r="AK22" i="106"/>
  <c r="AL22" i="106"/>
  <c r="AM22" i="106"/>
  <c r="AN22" i="106"/>
  <c r="AJ23" i="106"/>
  <c r="AK23" i="106"/>
  <c r="AL23" i="106"/>
  <c r="AM23" i="106"/>
  <c r="AN23" i="106"/>
  <c r="AJ24" i="106"/>
  <c r="AK24" i="106"/>
  <c r="AL24" i="106"/>
  <c r="AM24" i="106"/>
  <c r="AN24" i="106"/>
  <c r="AJ25" i="106"/>
  <c r="AK25" i="106"/>
  <c r="AL25" i="106"/>
  <c r="AM25" i="106"/>
  <c r="AN25" i="106"/>
  <c r="AJ26" i="106"/>
  <c r="AK26" i="106"/>
  <c r="AL26" i="106"/>
  <c r="AM26" i="106"/>
  <c r="AN26" i="106"/>
  <c r="AJ27" i="106"/>
  <c r="AK27" i="106"/>
  <c r="AL27" i="106"/>
  <c r="AM27" i="106"/>
  <c r="AN27" i="106"/>
  <c r="AJ28" i="106"/>
  <c r="AK28" i="106"/>
  <c r="AL28" i="106"/>
  <c r="AM28" i="106"/>
  <c r="AN28" i="106"/>
  <c r="AJ29" i="106"/>
  <c r="AK29" i="106"/>
  <c r="AL29" i="106"/>
  <c r="AM29" i="106"/>
  <c r="AN29" i="106"/>
  <c r="AJ30" i="106"/>
  <c r="AK30" i="106"/>
  <c r="AL30" i="106"/>
  <c r="AM30" i="106"/>
  <c r="AN30" i="106"/>
  <c r="AJ31" i="106"/>
  <c r="AK31" i="106"/>
  <c r="AL31" i="106"/>
  <c r="AM31" i="106"/>
  <c r="AN31" i="106"/>
  <c r="AJ32" i="106"/>
  <c r="AK32" i="106"/>
  <c r="AL32" i="106"/>
  <c r="AM32" i="106"/>
  <c r="AN32" i="106"/>
  <c r="AJ33" i="106"/>
  <c r="AK33" i="106"/>
  <c r="AL33" i="106"/>
  <c r="AM33" i="106"/>
  <c r="AN33" i="106"/>
  <c r="AJ34" i="106"/>
  <c r="AK34" i="106"/>
  <c r="AL34" i="106"/>
  <c r="AM34" i="106"/>
  <c r="AN34" i="106"/>
  <c r="AJ35" i="106"/>
  <c r="AK35" i="106"/>
  <c r="AL35" i="106"/>
  <c r="AM35" i="106"/>
  <c r="AN35" i="106"/>
  <c r="AJ36" i="106"/>
  <c r="AK36" i="106"/>
  <c r="AL36" i="106"/>
  <c r="AM36" i="106"/>
  <c r="AN36" i="106"/>
  <c r="AJ37" i="106"/>
  <c r="AK37" i="106"/>
  <c r="AL37" i="106"/>
  <c r="AM37" i="106"/>
  <c r="AN37" i="106"/>
  <c r="AJ38" i="106"/>
  <c r="AK38" i="106"/>
  <c r="AL38" i="106"/>
  <c r="AM38" i="106"/>
  <c r="AN38" i="106"/>
  <c r="AJ39" i="106"/>
  <c r="AK39" i="106"/>
  <c r="AL39" i="106"/>
  <c r="AM39" i="106"/>
  <c r="AN39" i="106"/>
  <c r="AK6" i="106"/>
  <c r="AL6" i="106"/>
  <c r="AM6" i="106"/>
  <c r="AN6" i="106"/>
  <c r="AJ6" i="106"/>
  <c r="N58" i="106"/>
  <c r="N59" i="106" s="1"/>
  <c r="N60" i="106" s="1"/>
  <c r="N61" i="106" s="1"/>
  <c r="N62" i="106" s="1"/>
  <c r="N63" i="106" s="1"/>
  <c r="N64" i="106" s="1"/>
  <c r="N65" i="106" s="1"/>
  <c r="N66" i="106" s="1"/>
  <c r="N67" i="106" s="1"/>
  <c r="N45" i="106"/>
  <c r="N46" i="106" s="1"/>
  <c r="N47" i="106" s="1"/>
  <c r="N48" i="106" s="1"/>
  <c r="N49" i="106" s="1"/>
  <c r="N50" i="106" s="1"/>
  <c r="N51" i="106" s="1"/>
  <c r="N52" i="106" s="1"/>
  <c r="N53" i="106" s="1"/>
  <c r="N54" i="106" s="1"/>
  <c r="N32" i="106"/>
  <c r="N33" i="106" s="1"/>
  <c r="N34" i="106" s="1"/>
  <c r="N19" i="106"/>
  <c r="N20" i="106" s="1"/>
  <c r="B8" i="106"/>
  <c r="B7" i="106"/>
  <c r="W110" i="106"/>
  <c r="V110" i="106"/>
  <c r="U110" i="106"/>
  <c r="W84" i="106"/>
  <c r="V84" i="106"/>
  <c r="U84" i="106"/>
  <c r="W58" i="106"/>
  <c r="V58" i="106"/>
  <c r="U58" i="106"/>
  <c r="W32" i="106"/>
  <c r="V32" i="106"/>
  <c r="U32" i="106"/>
  <c r="V6" i="106"/>
  <c r="W6" i="106"/>
  <c r="U6" i="106"/>
  <c r="Y6" i="106" s="1"/>
  <c r="N6" i="106" l="1"/>
  <c r="N7" i="106" s="1"/>
  <c r="N8" i="106" s="1"/>
  <c r="N9" i="106" s="1"/>
  <c r="N10" i="106" s="1"/>
  <c r="N71" i="106"/>
  <c r="N72" i="106" s="1"/>
  <c r="N73" i="106" s="1"/>
  <c r="N74" i="106" s="1"/>
  <c r="N75" i="106" s="1"/>
  <c r="N76" i="106" s="1"/>
  <c r="N77" i="106" s="1"/>
  <c r="N78" i="106" s="1"/>
  <c r="N79" i="106" s="1"/>
  <c r="N80" i="106" s="1"/>
  <c r="Y32" i="106"/>
  <c r="Y58" i="106"/>
  <c r="Y110" i="106"/>
  <c r="Y84" i="106"/>
  <c r="C23" i="105"/>
  <c r="E23" i="105"/>
  <c r="G23" i="105"/>
  <c r="D19" i="105" l="1"/>
  <c r="D20" i="105"/>
  <c r="D23" i="105" s="1"/>
  <c r="D18" i="105"/>
  <c r="C64" i="98" l="1"/>
  <c r="F8" i="105" l="1"/>
  <c r="BF165" i="91" l="1"/>
  <c r="BG165" i="91"/>
  <c r="BF166" i="91"/>
  <c r="BG166" i="91"/>
  <c r="BF144" i="91"/>
  <c r="BG144" i="91"/>
  <c r="BF145" i="91"/>
  <c r="BG145" i="91"/>
  <c r="BF146" i="91"/>
  <c r="BG146" i="91"/>
  <c r="BF147" i="91"/>
  <c r="BG147" i="91"/>
  <c r="BF148" i="91"/>
  <c r="BG148" i="91"/>
  <c r="BF149" i="91"/>
  <c r="BG149" i="91"/>
  <c r="BF150" i="91"/>
  <c r="BG150" i="91"/>
  <c r="BF151" i="91"/>
  <c r="BG151" i="91"/>
  <c r="BF152" i="91"/>
  <c r="BG152" i="91"/>
  <c r="BF153" i="91"/>
  <c r="BG153" i="91"/>
  <c r="BF154" i="91"/>
  <c r="BG154" i="91"/>
  <c r="BF155" i="91"/>
  <c r="BG155" i="91"/>
  <c r="BF156" i="91"/>
  <c r="BG156" i="91"/>
  <c r="BF157" i="91"/>
  <c r="BG157" i="91"/>
  <c r="BF158" i="91"/>
  <c r="BG158" i="91"/>
  <c r="BF159" i="91"/>
  <c r="BG159" i="91"/>
  <c r="BF160" i="91"/>
  <c r="BG160" i="91"/>
  <c r="BF161" i="91"/>
  <c r="BG161" i="91"/>
  <c r="BF162" i="91"/>
  <c r="BG162" i="91"/>
  <c r="BF163" i="91"/>
  <c r="BG163" i="91"/>
  <c r="BF164" i="91"/>
  <c r="BG164" i="91"/>
  <c r="BF132" i="91"/>
  <c r="BG132" i="91"/>
  <c r="BF133" i="91"/>
  <c r="BG133" i="91"/>
  <c r="BF134" i="91"/>
  <c r="BG134" i="91"/>
  <c r="BF135" i="91"/>
  <c r="BG135" i="91"/>
  <c r="BF136" i="91"/>
  <c r="BG136" i="91"/>
  <c r="BF137" i="91"/>
  <c r="BG137" i="91"/>
  <c r="BF138" i="91"/>
  <c r="BG138" i="91"/>
  <c r="BF139" i="91"/>
  <c r="BG139" i="91"/>
  <c r="BF140" i="91"/>
  <c r="BG140" i="91"/>
  <c r="BF141" i="91"/>
  <c r="BG141" i="91"/>
  <c r="BF142" i="91"/>
  <c r="BG142" i="91"/>
  <c r="BF143" i="91"/>
  <c r="BG143" i="91"/>
  <c r="BF79" i="91"/>
  <c r="BG79" i="91"/>
  <c r="BF80" i="91"/>
  <c r="BG80" i="91"/>
  <c r="BF81" i="91"/>
  <c r="BG81" i="91"/>
  <c r="BF82" i="91"/>
  <c r="BG82" i="91"/>
  <c r="BF83" i="91"/>
  <c r="BG83" i="91"/>
  <c r="BF84" i="91"/>
  <c r="BG84" i="91"/>
  <c r="BF85" i="91"/>
  <c r="BG85" i="91"/>
  <c r="BF86" i="91"/>
  <c r="BG86" i="91"/>
  <c r="BF87" i="91"/>
  <c r="BG87" i="91"/>
  <c r="BF88" i="91"/>
  <c r="BG88" i="91"/>
  <c r="BF89" i="91"/>
  <c r="BG89" i="91"/>
  <c r="BF90" i="91"/>
  <c r="BG90" i="91"/>
  <c r="BF91" i="91"/>
  <c r="BG91" i="91"/>
  <c r="BF92" i="91"/>
  <c r="BG92" i="91"/>
  <c r="BF93" i="91"/>
  <c r="BG93" i="91"/>
  <c r="BF94" i="91"/>
  <c r="BG94" i="91"/>
  <c r="BF95" i="91"/>
  <c r="BG95" i="91"/>
  <c r="BF96" i="91"/>
  <c r="BG96" i="91"/>
  <c r="BF97" i="91"/>
  <c r="BG97" i="91"/>
  <c r="BF98" i="91"/>
  <c r="BG98" i="91"/>
  <c r="BF99" i="91"/>
  <c r="BG99" i="91"/>
  <c r="BF100" i="91"/>
  <c r="BG100" i="91"/>
  <c r="BF101" i="91"/>
  <c r="BG101" i="91"/>
  <c r="BF102" i="91"/>
  <c r="BG102" i="91"/>
  <c r="BF103" i="91"/>
  <c r="BG103" i="91"/>
  <c r="BF104" i="91"/>
  <c r="BG104" i="91"/>
  <c r="BF105" i="91"/>
  <c r="BG105" i="91"/>
  <c r="BF106" i="91"/>
  <c r="BG106" i="91"/>
  <c r="BF107" i="91"/>
  <c r="BG107" i="91"/>
  <c r="BF108" i="91"/>
  <c r="BG108" i="91"/>
  <c r="BF109" i="91"/>
  <c r="BG109" i="91"/>
  <c r="BF110" i="91"/>
  <c r="BG110" i="91"/>
  <c r="BF111" i="91"/>
  <c r="BG111" i="91"/>
  <c r="BF112" i="91"/>
  <c r="BG112" i="91"/>
  <c r="BF113" i="91"/>
  <c r="BG113" i="91"/>
  <c r="BF114" i="91"/>
  <c r="BG114" i="91"/>
  <c r="BF115" i="91"/>
  <c r="BG115" i="91"/>
  <c r="BF116" i="91"/>
  <c r="BG116" i="91"/>
  <c r="BF117" i="91"/>
  <c r="BG117" i="91"/>
  <c r="BF118" i="91"/>
  <c r="BG118" i="91"/>
  <c r="BF119" i="91"/>
  <c r="BG119" i="91"/>
  <c r="BF120" i="91"/>
  <c r="BG120" i="91"/>
  <c r="BF121" i="91"/>
  <c r="BG121" i="91"/>
  <c r="BF122" i="91"/>
  <c r="BG122" i="91"/>
  <c r="BF123" i="91"/>
  <c r="BG123" i="91"/>
  <c r="BF124" i="91"/>
  <c r="BG124" i="91"/>
  <c r="BF125" i="91"/>
  <c r="BG125" i="91"/>
  <c r="BF126" i="91"/>
  <c r="BG126" i="91"/>
  <c r="BF127" i="91"/>
  <c r="BG127" i="91"/>
  <c r="BF128" i="91"/>
  <c r="BG128" i="91"/>
  <c r="BF129" i="91"/>
  <c r="BG129" i="91"/>
  <c r="BF130" i="91"/>
  <c r="BG130" i="91"/>
  <c r="BF131" i="91"/>
  <c r="BG131" i="91"/>
  <c r="BF24" i="91"/>
  <c r="BG24" i="91"/>
  <c r="BF25" i="91"/>
  <c r="BG25" i="91"/>
  <c r="BF26" i="91"/>
  <c r="BG26" i="91"/>
  <c r="BF27" i="91"/>
  <c r="BG27" i="91"/>
  <c r="BF28" i="91"/>
  <c r="BG28" i="91"/>
  <c r="BF29" i="91"/>
  <c r="BG29" i="91"/>
  <c r="BF30" i="91"/>
  <c r="BG30" i="91"/>
  <c r="BF31" i="91"/>
  <c r="BG31" i="91"/>
  <c r="BF32" i="91"/>
  <c r="BG32" i="91"/>
  <c r="BF33" i="91"/>
  <c r="BG33" i="91"/>
  <c r="BF34" i="91"/>
  <c r="BG34" i="91"/>
  <c r="BF35" i="91"/>
  <c r="BG35" i="91"/>
  <c r="BF36" i="91"/>
  <c r="BG36" i="91"/>
  <c r="BF37" i="91"/>
  <c r="BG37" i="91"/>
  <c r="BF38" i="91"/>
  <c r="BG38" i="91"/>
  <c r="BF39" i="91"/>
  <c r="BG39" i="91"/>
  <c r="BF40" i="91"/>
  <c r="BG40" i="91"/>
  <c r="BF41" i="91"/>
  <c r="BG41" i="91"/>
  <c r="BF42" i="91"/>
  <c r="BG42" i="91"/>
  <c r="BF43" i="91"/>
  <c r="BG43" i="91"/>
  <c r="BF44" i="91"/>
  <c r="BG44" i="91"/>
  <c r="BF45" i="91"/>
  <c r="BG45" i="91"/>
  <c r="BF46" i="91"/>
  <c r="BG46" i="91"/>
  <c r="BF47" i="91"/>
  <c r="BG47" i="91"/>
  <c r="BF48" i="91"/>
  <c r="BG48" i="91"/>
  <c r="BF49" i="91"/>
  <c r="BG49" i="91"/>
  <c r="BF50" i="91"/>
  <c r="BG50" i="91"/>
  <c r="BF51" i="91"/>
  <c r="BG51" i="91"/>
  <c r="BF52" i="91"/>
  <c r="BG52" i="91"/>
  <c r="BF53" i="91"/>
  <c r="BG53" i="91"/>
  <c r="BF54" i="91"/>
  <c r="BG54" i="91"/>
  <c r="BF55" i="91"/>
  <c r="BG55" i="91"/>
  <c r="BF56" i="91"/>
  <c r="BG56" i="91"/>
  <c r="BF57" i="91"/>
  <c r="BG57" i="91"/>
  <c r="BF58" i="91"/>
  <c r="BG58" i="91"/>
  <c r="BF59" i="91"/>
  <c r="BG59" i="91"/>
  <c r="BF60" i="91"/>
  <c r="BG60" i="91"/>
  <c r="BF61" i="91"/>
  <c r="BG61" i="91"/>
  <c r="BF62" i="91"/>
  <c r="BG62" i="91"/>
  <c r="BF63" i="91"/>
  <c r="BG63" i="91"/>
  <c r="BF64" i="91"/>
  <c r="BG64" i="91"/>
  <c r="BF65" i="91"/>
  <c r="BG65" i="91"/>
  <c r="BF66" i="91"/>
  <c r="BG66" i="91"/>
  <c r="BF67" i="91"/>
  <c r="BG67" i="91"/>
  <c r="BF68" i="91"/>
  <c r="BG68" i="91"/>
  <c r="BF69" i="91"/>
  <c r="BG69" i="91"/>
  <c r="BF70" i="91"/>
  <c r="BG70" i="91"/>
  <c r="BF71" i="91"/>
  <c r="BG71" i="91"/>
  <c r="BF72" i="91"/>
  <c r="BG72" i="91"/>
  <c r="BF73" i="91"/>
  <c r="BG73" i="91"/>
  <c r="BF74" i="91"/>
  <c r="BG74" i="91"/>
  <c r="BF75" i="91"/>
  <c r="BG75" i="91"/>
  <c r="BF76" i="91"/>
  <c r="BG76" i="91"/>
  <c r="BF77" i="91"/>
  <c r="BG77" i="91"/>
  <c r="BF78" i="91"/>
  <c r="BG78" i="91"/>
  <c r="BF8" i="91"/>
  <c r="BG8" i="91"/>
  <c r="BF9" i="91"/>
  <c r="BG9" i="91"/>
  <c r="BF10" i="91"/>
  <c r="BG10" i="91"/>
  <c r="BF11" i="91"/>
  <c r="BG11" i="91"/>
  <c r="BF12" i="91"/>
  <c r="BG12" i="91"/>
  <c r="BF13" i="91"/>
  <c r="BG13" i="91"/>
  <c r="BF14" i="91"/>
  <c r="BG14" i="91"/>
  <c r="BF15" i="91"/>
  <c r="BG15" i="91"/>
  <c r="BF16" i="91"/>
  <c r="BG16" i="91"/>
  <c r="BF17" i="91"/>
  <c r="BG17" i="91"/>
  <c r="BF18" i="91"/>
  <c r="BG18" i="91"/>
  <c r="BF19" i="91"/>
  <c r="BG19" i="91"/>
  <c r="BF20" i="91"/>
  <c r="BG20" i="91"/>
  <c r="BF21" i="91"/>
  <c r="BG21" i="91"/>
  <c r="BF22" i="91"/>
  <c r="BG22" i="91"/>
  <c r="BF23" i="91"/>
  <c r="BG23" i="91"/>
  <c r="BG7" i="91"/>
  <c r="BF7" i="91"/>
  <c r="F21" i="105"/>
  <c r="F22" i="105"/>
  <c r="F19" i="105"/>
  <c r="F18" i="105"/>
  <c r="F20" i="105"/>
  <c r="G65" i="98" l="1"/>
  <c r="C7" i="105" l="1"/>
  <c r="C9" i="105" s="1"/>
  <c r="G69" i="98" s="1"/>
  <c r="D67" i="98"/>
  <c r="D66" i="98"/>
  <c r="D65" i="98"/>
  <c r="D64" i="98"/>
  <c r="G66" i="98"/>
  <c r="G67" i="98"/>
  <c r="F65" i="98"/>
  <c r="F64" i="98" s="1"/>
  <c r="G64" i="98" l="1"/>
  <c r="F23" i="105"/>
  <c r="D46" i="101"/>
  <c r="D45" i="101"/>
  <c r="D44" i="101"/>
  <c r="D43" i="101"/>
  <c r="D42" i="101"/>
  <c r="D41" i="101"/>
  <c r="D40" i="101"/>
  <c r="D39" i="101"/>
  <c r="D38" i="101"/>
  <c r="D37" i="101"/>
  <c r="D36" i="101"/>
  <c r="D35" i="101"/>
  <c r="D34" i="101"/>
  <c r="D33" i="101"/>
  <c r="D32" i="101"/>
  <c r="D31" i="101"/>
  <c r="D30" i="101"/>
  <c r="D29" i="101"/>
  <c r="I41" i="101" l="1"/>
  <c r="H41" i="101"/>
  <c r="G41" i="101"/>
  <c r="F41" i="101"/>
  <c r="G39" i="101"/>
  <c r="H39" i="101"/>
  <c r="I39" i="101"/>
  <c r="F39" i="101"/>
  <c r="G32" i="101"/>
  <c r="H32" i="101"/>
  <c r="I32" i="101"/>
  <c r="F32" i="101"/>
  <c r="E36" i="101"/>
  <c r="E35" i="101"/>
  <c r="G51" i="101" l="1"/>
  <c r="H51" i="101"/>
  <c r="I51" i="101"/>
  <c r="F51" i="101"/>
  <c r="F14" i="101" l="1"/>
  <c r="F44" i="101" l="1"/>
  <c r="F45" i="101"/>
  <c r="F46" i="101"/>
  <c r="Q7" i="101"/>
  <c r="R7" i="101"/>
  <c r="S7" i="101"/>
  <c r="Q8" i="101"/>
  <c r="R8" i="101"/>
  <c r="S8" i="101"/>
  <c r="P8" i="101"/>
  <c r="P7" i="101"/>
  <c r="AF27" i="103" l="1"/>
  <c r="AF28" i="103"/>
  <c r="AF29" i="103"/>
  <c r="AF30" i="103"/>
  <c r="AF31" i="103"/>
  <c r="AF53" i="103"/>
  <c r="AF54" i="103"/>
  <c r="AF55" i="103"/>
  <c r="AF56" i="103"/>
  <c r="AF57" i="103"/>
  <c r="AF79" i="103"/>
  <c r="AF80" i="103"/>
  <c r="AF81" i="103"/>
  <c r="AF82" i="103"/>
  <c r="AF83" i="103"/>
  <c r="AF105" i="103"/>
  <c r="AF106" i="103"/>
  <c r="AF107" i="103"/>
  <c r="AF108" i="103"/>
  <c r="AF109" i="103"/>
  <c r="H26" i="96" l="1"/>
  <c r="F16" i="96"/>
  <c r="G16" i="96"/>
  <c r="C66" i="98" l="1"/>
  <c r="C65" i="98"/>
  <c r="I6" i="101"/>
  <c r="I7" i="101" s="1"/>
  <c r="I8" i="101" s="1"/>
  <c r="I9" i="101" s="1"/>
  <c r="I10" i="101" s="1"/>
  <c r="I14" i="101" s="1"/>
  <c r="I46" i="101" l="1"/>
  <c r="I44" i="101"/>
  <c r="I45" i="101"/>
  <c r="G6" i="101"/>
  <c r="G7" i="101" s="1"/>
  <c r="G8" i="101" s="1"/>
  <c r="F6" i="101"/>
  <c r="F7" i="101" s="1"/>
  <c r="F8" i="101" s="1"/>
  <c r="F9" i="101" s="1"/>
  <c r="F10" i="101" s="1"/>
  <c r="G9" i="101" l="1"/>
  <c r="G10" i="101" s="1"/>
  <c r="G14" i="101"/>
  <c r="H6" i="101"/>
  <c r="H7" i="101" s="1"/>
  <c r="H8" i="101" s="1"/>
  <c r="H9" i="101" s="1"/>
  <c r="H10" i="101" s="1"/>
  <c r="H14" i="101" s="1"/>
  <c r="D32" i="99"/>
  <c r="D33" i="99" s="1"/>
  <c r="D34" i="99" s="1"/>
  <c r="D35" i="99" s="1"/>
  <c r="D36" i="99" s="1"/>
  <c r="E32" i="99"/>
  <c r="E33" i="99" s="1"/>
  <c r="E34" i="99" s="1"/>
  <c r="E35" i="99" s="1"/>
  <c r="E36" i="99" s="1"/>
  <c r="F32" i="99"/>
  <c r="F33" i="99" s="1"/>
  <c r="F34" i="99" s="1"/>
  <c r="F35" i="99" s="1"/>
  <c r="F36" i="99" s="1"/>
  <c r="G32" i="99"/>
  <c r="G33" i="99" s="1"/>
  <c r="G34" i="99" s="1"/>
  <c r="G35" i="99" s="1"/>
  <c r="G36" i="99" s="1"/>
  <c r="H46" i="101" l="1"/>
  <c r="H44" i="101"/>
  <c r="H45" i="101"/>
  <c r="G46" i="101"/>
  <c r="G44" i="101"/>
  <c r="G45" i="101"/>
  <c r="L121" i="97"/>
  <c r="K121" i="97"/>
  <c r="I121" i="97"/>
  <c r="L95" i="97"/>
  <c r="K95" i="97"/>
  <c r="I95" i="97"/>
  <c r="L69" i="97"/>
  <c r="K69" i="97"/>
  <c r="I69" i="97"/>
  <c r="L43" i="97"/>
  <c r="K43" i="97"/>
  <c r="I43" i="97"/>
  <c r="I17" i="97"/>
  <c r="K17" i="97"/>
  <c r="X6" i="108" s="1"/>
  <c r="L17" i="97"/>
  <c r="Y6" i="108" s="1"/>
  <c r="F12" i="96"/>
  <c r="E12" i="96"/>
  <c r="H12" i="96"/>
  <c r="V58" i="108" l="1"/>
  <c r="V84" i="108"/>
  <c r="V32" i="108"/>
  <c r="V110" i="108"/>
  <c r="S43" i="97"/>
  <c r="AF32" i="108" s="1"/>
  <c r="X32" i="108"/>
  <c r="T43" i="97"/>
  <c r="AG32" i="108" s="1"/>
  <c r="Y32" i="108"/>
  <c r="T95" i="97"/>
  <c r="AG84" i="108" s="1"/>
  <c r="Y84" i="108"/>
  <c r="S69" i="97"/>
  <c r="AF58" i="108" s="1"/>
  <c r="X58" i="108"/>
  <c r="S121" i="97"/>
  <c r="AF110" i="108" s="1"/>
  <c r="X110" i="108"/>
  <c r="S95" i="97"/>
  <c r="AF84" i="108" s="1"/>
  <c r="X84" i="108"/>
  <c r="AP17" i="96"/>
  <c r="V6" i="108"/>
  <c r="T69" i="97"/>
  <c r="AG58" i="108" s="1"/>
  <c r="Y58" i="108"/>
  <c r="T121" i="97"/>
  <c r="AG110" i="108" s="1"/>
  <c r="Y110" i="108"/>
  <c r="Q69" i="97"/>
  <c r="AD58" i="108" s="1"/>
  <c r="AP69" i="96"/>
  <c r="Q121" i="97"/>
  <c r="AD110" i="108" s="1"/>
  <c r="AP121" i="96"/>
  <c r="Q43" i="97"/>
  <c r="AD32" i="108" s="1"/>
  <c r="AP43" i="96"/>
  <c r="Q95" i="97"/>
  <c r="AD84" i="108" s="1"/>
  <c r="AP95" i="96"/>
  <c r="E67" i="99"/>
  <c r="F67" i="99"/>
  <c r="G67" i="99"/>
  <c r="D68" i="99"/>
  <c r="E68" i="99"/>
  <c r="F68" i="99"/>
  <c r="G68" i="99"/>
  <c r="D69" i="99"/>
  <c r="E69" i="99"/>
  <c r="F69" i="99"/>
  <c r="G69" i="99"/>
  <c r="D70" i="99"/>
  <c r="E70" i="99"/>
  <c r="F70" i="99"/>
  <c r="G70" i="99"/>
  <c r="D71" i="99"/>
  <c r="E71" i="99"/>
  <c r="F71" i="99"/>
  <c r="G71" i="99"/>
  <c r="D72" i="99"/>
  <c r="E72" i="99"/>
  <c r="F72" i="99"/>
  <c r="G72" i="99"/>
  <c r="D67" i="99"/>
  <c r="J111" i="107"/>
  <c r="J85" i="107"/>
  <c r="J7" i="107"/>
  <c r="F59" i="107"/>
  <c r="J59" i="107"/>
  <c r="F33" i="107"/>
  <c r="F85" i="107"/>
  <c r="F111" i="107"/>
  <c r="J33" i="107"/>
  <c r="F7" i="107"/>
  <c r="F14" i="96" l="1"/>
  <c r="G14" i="96"/>
  <c r="D7" i="103"/>
  <c r="C7" i="103"/>
  <c r="Q28" i="101"/>
  <c r="Q42" i="101"/>
  <c r="Q14" i="101"/>
  <c r="R42" i="101" l="1"/>
  <c r="R14" i="101"/>
  <c r="R28" i="101"/>
  <c r="BS130" i="101"/>
  <c r="BS129" i="101"/>
  <c r="BS128" i="101"/>
  <c r="BS127" i="101"/>
  <c r="BS126" i="101"/>
  <c r="BS125" i="101"/>
  <c r="BS124" i="101"/>
  <c r="BS123" i="101"/>
  <c r="BS122" i="101"/>
  <c r="BS121" i="101"/>
  <c r="BS120" i="101"/>
  <c r="BS119" i="101"/>
  <c r="BS118" i="101"/>
  <c r="BS117" i="101"/>
  <c r="BS116" i="101"/>
  <c r="BS115" i="101"/>
  <c r="BS114" i="101"/>
  <c r="BS113" i="101"/>
  <c r="BS112" i="101"/>
  <c r="BS111" i="101"/>
  <c r="BS110" i="101"/>
  <c r="BS104" i="101"/>
  <c r="BS103" i="101"/>
  <c r="BS102" i="101"/>
  <c r="BS101" i="101"/>
  <c r="BS100" i="101"/>
  <c r="BS99" i="101"/>
  <c r="BS98" i="101"/>
  <c r="BS97" i="101"/>
  <c r="BS96" i="101"/>
  <c r="BS95" i="101"/>
  <c r="BS94" i="101"/>
  <c r="BS93" i="101"/>
  <c r="BS92" i="101"/>
  <c r="BS91" i="101"/>
  <c r="BS90" i="101"/>
  <c r="BS89" i="101"/>
  <c r="BS88" i="101"/>
  <c r="BS87" i="101"/>
  <c r="BS86" i="101"/>
  <c r="BS85" i="101"/>
  <c r="BS84" i="101"/>
  <c r="BS78" i="101"/>
  <c r="BS77" i="101"/>
  <c r="BS76" i="101"/>
  <c r="BS75" i="101"/>
  <c r="BS74" i="101"/>
  <c r="BS73" i="101"/>
  <c r="BS72" i="101"/>
  <c r="BS71" i="101"/>
  <c r="BS70" i="101"/>
  <c r="BS69" i="101"/>
  <c r="BS68" i="101"/>
  <c r="BS67" i="101"/>
  <c r="BS66" i="101"/>
  <c r="BS65" i="101"/>
  <c r="BS64" i="101"/>
  <c r="BS63" i="101"/>
  <c r="BS62" i="101"/>
  <c r="BS61" i="101"/>
  <c r="BS60" i="101"/>
  <c r="BS59" i="101"/>
  <c r="BS58" i="101"/>
  <c r="BS52" i="101"/>
  <c r="BS51" i="101"/>
  <c r="BS50" i="101"/>
  <c r="BS49" i="101"/>
  <c r="BS48" i="101"/>
  <c r="BS47" i="101"/>
  <c r="BS46" i="101"/>
  <c r="BS45" i="101"/>
  <c r="BS44" i="101"/>
  <c r="BS43" i="101"/>
  <c r="BS42" i="101"/>
  <c r="BS41" i="101"/>
  <c r="BS40" i="101"/>
  <c r="BS39" i="101"/>
  <c r="BS38" i="101"/>
  <c r="BS37" i="101"/>
  <c r="BS36" i="101"/>
  <c r="BS35" i="101"/>
  <c r="BS34" i="101"/>
  <c r="BS33" i="101"/>
  <c r="BS32" i="101"/>
  <c r="BS7" i="101"/>
  <c r="BS8" i="101"/>
  <c r="BS9" i="101"/>
  <c r="BS10" i="101"/>
  <c r="BS11" i="101"/>
  <c r="BS12" i="101"/>
  <c r="BS13" i="101"/>
  <c r="BS14" i="101"/>
  <c r="BS15" i="101"/>
  <c r="BS16" i="101"/>
  <c r="BS17" i="101"/>
  <c r="BS18" i="101"/>
  <c r="BS19" i="101"/>
  <c r="BS20" i="101"/>
  <c r="BS21" i="101"/>
  <c r="BS22" i="101"/>
  <c r="BS23" i="101"/>
  <c r="BS24" i="101"/>
  <c r="BS25" i="101"/>
  <c r="BS26" i="101"/>
  <c r="BS6" i="101"/>
  <c r="E55" i="99"/>
  <c r="F55" i="99"/>
  <c r="G55" i="99"/>
  <c r="D55" i="99"/>
  <c r="H16" i="96"/>
  <c r="C67" i="98" s="1"/>
  <c r="CU197" i="101"/>
  <c r="CU144" i="101"/>
  <c r="CU196" i="101"/>
  <c r="CU154" i="101"/>
  <c r="CU15" i="101"/>
  <c r="CU139" i="101"/>
  <c r="CU4" i="101"/>
  <c r="CU102" i="101"/>
  <c r="CU108" i="101"/>
  <c r="CU198" i="101"/>
  <c r="CU148" i="101"/>
  <c r="CU101" i="101"/>
  <c r="CU98" i="101"/>
  <c r="CU58" i="101"/>
  <c r="CU17" i="101"/>
  <c r="CU64" i="101"/>
  <c r="CU145" i="101"/>
  <c r="CU142" i="101"/>
  <c r="CU62" i="101"/>
  <c r="CU185" i="101"/>
  <c r="CU104" i="101"/>
  <c r="CU52" i="101"/>
  <c r="CU153" i="101"/>
  <c r="CU16" i="101"/>
  <c r="CU53" i="101"/>
  <c r="CU49" i="101"/>
  <c r="CU13" i="101"/>
  <c r="CU59" i="101"/>
  <c r="CU150" i="101"/>
  <c r="CU151" i="101"/>
  <c r="CU193" i="101"/>
  <c r="CU191" i="101"/>
  <c r="CU140" i="101"/>
  <c r="CU149" i="101"/>
  <c r="CU190" i="101"/>
  <c r="CU10" i="101"/>
  <c r="CU152" i="101"/>
  <c r="CU189" i="101"/>
  <c r="CU61" i="101"/>
  <c r="CU63" i="101"/>
  <c r="CU141" i="101"/>
  <c r="CU19" i="101"/>
  <c r="CU11" i="101"/>
  <c r="CU192" i="101"/>
  <c r="CU55" i="101"/>
  <c r="CU143" i="101"/>
  <c r="CU109" i="101"/>
  <c r="CU184" i="101"/>
  <c r="CU51" i="101"/>
  <c r="CU187" i="101"/>
  <c r="CU188" i="101"/>
  <c r="CU9" i="101"/>
  <c r="CU95" i="101"/>
  <c r="CU12" i="101"/>
  <c r="CU107" i="101"/>
  <c r="CU8" i="101"/>
  <c r="CU50" i="101"/>
  <c r="CU96" i="101"/>
  <c r="CU105" i="101"/>
  <c r="CU146" i="101"/>
  <c r="CU56" i="101"/>
  <c r="CU57" i="101"/>
  <c r="CU6" i="101"/>
  <c r="CU5" i="101"/>
  <c r="CU186" i="101"/>
  <c r="CU199" i="101"/>
  <c r="CU106" i="101"/>
  <c r="CU7" i="101"/>
  <c r="CU54" i="101"/>
  <c r="CU97" i="101"/>
  <c r="CU99" i="101"/>
  <c r="CU60" i="101"/>
  <c r="CU195" i="101"/>
  <c r="CU147" i="101"/>
  <c r="CU194" i="101"/>
  <c r="CU103" i="101"/>
  <c r="CU14" i="101"/>
  <c r="CU18" i="101"/>
  <c r="CU100" i="101"/>
  <c r="CU94" i="101"/>
  <c r="H14" i="96" l="1"/>
  <c r="S28" i="101"/>
  <c r="T28" i="101" s="1"/>
  <c r="T34" i="101" s="1"/>
  <c r="T36" i="101" s="1"/>
  <c r="T37" i="101" s="1"/>
  <c r="S14" i="101"/>
  <c r="T14" i="101" s="1"/>
  <c r="T20" i="101" s="1"/>
  <c r="T22" i="101" s="1"/>
  <c r="T23" i="101" s="1"/>
  <c r="S42" i="101"/>
  <c r="T42" i="101" s="1"/>
  <c r="T48" i="101" s="1"/>
  <c r="T50" i="101" s="1"/>
  <c r="T51" i="101" s="1"/>
  <c r="F7" i="103"/>
  <c r="E7" i="103"/>
  <c r="CV5" i="101"/>
  <c r="D56" i="99" l="1"/>
  <c r="K130" i="103"/>
  <c r="AG130" i="103" s="1"/>
  <c r="K129" i="103"/>
  <c r="AG129" i="103" s="1"/>
  <c r="K128" i="103"/>
  <c r="AG128" i="103" s="1"/>
  <c r="K127" i="103"/>
  <c r="AG127" i="103" s="1"/>
  <c r="K126" i="103"/>
  <c r="AG126" i="103" s="1"/>
  <c r="K125" i="103"/>
  <c r="AG125" i="103" s="1"/>
  <c r="K124" i="103"/>
  <c r="AG124" i="103" s="1"/>
  <c r="K123" i="103"/>
  <c r="AG123" i="103" s="1"/>
  <c r="K122" i="103"/>
  <c r="AG122" i="103" s="1"/>
  <c r="K121" i="103"/>
  <c r="AG121" i="103" s="1"/>
  <c r="K120" i="103"/>
  <c r="AG120" i="103" s="1"/>
  <c r="K119" i="103"/>
  <c r="AG119" i="103" s="1"/>
  <c r="K118" i="103"/>
  <c r="AG118" i="103" s="1"/>
  <c r="K117" i="103"/>
  <c r="AG117" i="103" s="1"/>
  <c r="K116" i="103"/>
  <c r="AG116" i="103" s="1"/>
  <c r="K115" i="103"/>
  <c r="AG115" i="103" s="1"/>
  <c r="K114" i="103"/>
  <c r="AG114" i="103" s="1"/>
  <c r="K113" i="103"/>
  <c r="AG113" i="103" s="1"/>
  <c r="K112" i="103"/>
  <c r="AG112" i="103" s="1"/>
  <c r="K111" i="103"/>
  <c r="AG111" i="103" s="1"/>
  <c r="K110" i="103"/>
  <c r="AG110" i="103" s="1"/>
  <c r="K104" i="103"/>
  <c r="AG104" i="103" s="1"/>
  <c r="K103" i="103"/>
  <c r="AG103" i="103" s="1"/>
  <c r="K102" i="103"/>
  <c r="AG102" i="103" s="1"/>
  <c r="K101" i="103"/>
  <c r="AG101" i="103" s="1"/>
  <c r="K100" i="103"/>
  <c r="AG100" i="103" s="1"/>
  <c r="K99" i="103"/>
  <c r="AG99" i="103" s="1"/>
  <c r="K98" i="103"/>
  <c r="AG98" i="103" s="1"/>
  <c r="K97" i="103"/>
  <c r="AG97" i="103" s="1"/>
  <c r="K96" i="103"/>
  <c r="AG96" i="103" s="1"/>
  <c r="K95" i="103"/>
  <c r="AG95" i="103" s="1"/>
  <c r="K94" i="103"/>
  <c r="AG94" i="103" s="1"/>
  <c r="K93" i="103"/>
  <c r="AG93" i="103" s="1"/>
  <c r="K92" i="103"/>
  <c r="AG92" i="103" s="1"/>
  <c r="K91" i="103"/>
  <c r="AG91" i="103" s="1"/>
  <c r="K90" i="103"/>
  <c r="AG90" i="103" s="1"/>
  <c r="K89" i="103"/>
  <c r="AG89" i="103" s="1"/>
  <c r="K88" i="103"/>
  <c r="AG88" i="103" s="1"/>
  <c r="K87" i="103"/>
  <c r="AG87" i="103" s="1"/>
  <c r="K86" i="103"/>
  <c r="AG86" i="103" s="1"/>
  <c r="K85" i="103"/>
  <c r="AG85" i="103" s="1"/>
  <c r="K84" i="103"/>
  <c r="AG84" i="103" s="1"/>
  <c r="K78" i="103"/>
  <c r="AG78" i="103" s="1"/>
  <c r="K77" i="103"/>
  <c r="AG77" i="103" s="1"/>
  <c r="K76" i="103"/>
  <c r="AG76" i="103" s="1"/>
  <c r="K75" i="103"/>
  <c r="AG75" i="103" s="1"/>
  <c r="K74" i="103"/>
  <c r="AG74" i="103" s="1"/>
  <c r="K73" i="103"/>
  <c r="AG73" i="103" s="1"/>
  <c r="K72" i="103"/>
  <c r="AG72" i="103" s="1"/>
  <c r="K71" i="103"/>
  <c r="AG71" i="103" s="1"/>
  <c r="K70" i="103"/>
  <c r="AG70" i="103" s="1"/>
  <c r="K69" i="103"/>
  <c r="AG69" i="103" s="1"/>
  <c r="K68" i="103"/>
  <c r="AG68" i="103" s="1"/>
  <c r="K67" i="103"/>
  <c r="AG67" i="103" s="1"/>
  <c r="K66" i="103"/>
  <c r="AG66" i="103" s="1"/>
  <c r="K65" i="103"/>
  <c r="AG65" i="103" s="1"/>
  <c r="K64" i="103"/>
  <c r="AG64" i="103" s="1"/>
  <c r="K63" i="103"/>
  <c r="AG63" i="103" s="1"/>
  <c r="K62" i="103"/>
  <c r="AG62" i="103" s="1"/>
  <c r="K61" i="103"/>
  <c r="AG61" i="103" s="1"/>
  <c r="K60" i="103"/>
  <c r="AG60" i="103" s="1"/>
  <c r="K59" i="103"/>
  <c r="AG59" i="103" s="1"/>
  <c r="K58" i="103"/>
  <c r="AG58" i="103" s="1"/>
  <c r="K52" i="103"/>
  <c r="AG52" i="103" s="1"/>
  <c r="K51" i="103"/>
  <c r="AG51" i="103" s="1"/>
  <c r="K50" i="103"/>
  <c r="AG50" i="103" s="1"/>
  <c r="K49" i="103"/>
  <c r="AG49" i="103" s="1"/>
  <c r="K48" i="103"/>
  <c r="AG48" i="103" s="1"/>
  <c r="K47" i="103"/>
  <c r="AG47" i="103" s="1"/>
  <c r="K46" i="103"/>
  <c r="AG46" i="103" s="1"/>
  <c r="K45" i="103"/>
  <c r="AG45" i="103" s="1"/>
  <c r="K44" i="103"/>
  <c r="AG44" i="103" s="1"/>
  <c r="K43" i="103"/>
  <c r="AG43" i="103" s="1"/>
  <c r="K42" i="103"/>
  <c r="AG42" i="103" s="1"/>
  <c r="K41" i="103"/>
  <c r="AG41" i="103" s="1"/>
  <c r="K40" i="103"/>
  <c r="AG40" i="103" s="1"/>
  <c r="K39" i="103"/>
  <c r="AG39" i="103" s="1"/>
  <c r="K38" i="103"/>
  <c r="AG38" i="103" s="1"/>
  <c r="K37" i="103"/>
  <c r="AG37" i="103" s="1"/>
  <c r="K36" i="103"/>
  <c r="AG36" i="103" s="1"/>
  <c r="K35" i="103"/>
  <c r="AG35" i="103" s="1"/>
  <c r="K34" i="103"/>
  <c r="AG34" i="103" s="1"/>
  <c r="K33" i="103"/>
  <c r="AG33" i="103" s="1"/>
  <c r="K32" i="103"/>
  <c r="AG32" i="103" s="1"/>
  <c r="K26" i="103"/>
  <c r="AG26" i="103" s="1"/>
  <c r="K25" i="103"/>
  <c r="AG25" i="103" s="1"/>
  <c r="K24" i="103"/>
  <c r="AG24" i="103" s="1"/>
  <c r="K23" i="103"/>
  <c r="AG23" i="103" s="1"/>
  <c r="K22" i="103"/>
  <c r="AG22" i="103" s="1"/>
  <c r="K21" i="103"/>
  <c r="AG21" i="103" s="1"/>
  <c r="K20" i="103"/>
  <c r="AG20" i="103" s="1"/>
  <c r="K19" i="103"/>
  <c r="AG19" i="103" s="1"/>
  <c r="K18" i="103"/>
  <c r="AG18" i="103" s="1"/>
  <c r="K17" i="103"/>
  <c r="AG17" i="103" s="1"/>
  <c r="K16" i="103"/>
  <c r="AG16" i="103" s="1"/>
  <c r="K15" i="103"/>
  <c r="AG15" i="103" s="1"/>
  <c r="K14" i="103"/>
  <c r="AG14" i="103" s="1"/>
  <c r="K13" i="103"/>
  <c r="AG13" i="103" s="1"/>
  <c r="K12" i="103"/>
  <c r="AG12" i="103" s="1"/>
  <c r="K11" i="103"/>
  <c r="AG11" i="103" s="1"/>
  <c r="K10" i="103"/>
  <c r="AG10" i="103" s="1"/>
  <c r="K9" i="103"/>
  <c r="AG9" i="103" s="1"/>
  <c r="K8" i="103"/>
  <c r="AG8" i="103" s="1"/>
  <c r="K7" i="103"/>
  <c r="AG7" i="103" s="1"/>
  <c r="K6" i="103"/>
  <c r="AG6" i="103" s="1"/>
  <c r="D57" i="99" l="1"/>
  <c r="D58" i="99" l="1"/>
  <c r="D60" i="99" l="1"/>
  <c r="D59" i="99"/>
  <c r="D80" i="99" l="1"/>
  <c r="E80" i="99"/>
  <c r="F80" i="99"/>
  <c r="G80" i="99"/>
  <c r="D81" i="99"/>
  <c r="D82" i="99"/>
  <c r="D83" i="99"/>
  <c r="D84" i="99"/>
  <c r="E79" i="99"/>
  <c r="F79" i="99"/>
  <c r="G79" i="99"/>
  <c r="D79" i="99"/>
  <c r="D88" i="99" l="1"/>
  <c r="D27" i="99"/>
  <c r="E28" i="98" l="1"/>
  <c r="Y14" i="98" s="1"/>
  <c r="D15" i="98"/>
  <c r="E15" i="98" s="1"/>
  <c r="Y74" i="98"/>
  <c r="Y104" i="98"/>
  <c r="Y107" i="98"/>
  <c r="Y159" i="98"/>
  <c r="Y66" i="98"/>
  <c r="Y132" i="98"/>
  <c r="Y133" i="98"/>
  <c r="Y53" i="98" l="1"/>
  <c r="Y61" i="98"/>
  <c r="Y45" i="98"/>
  <c r="Y37" i="98"/>
  <c r="Y29" i="98"/>
  <c r="Y21" i="98"/>
  <c r="Y13" i="98"/>
  <c r="Y60" i="98"/>
  <c r="Y52" i="98"/>
  <c r="Y44" i="98"/>
  <c r="Y36" i="98"/>
  <c r="Y28" i="98"/>
  <c r="Y20" i="98"/>
  <c r="Y12" i="98"/>
  <c r="Y59" i="98"/>
  <c r="Y51" i="98"/>
  <c r="Y43" i="98"/>
  <c r="Y35" i="98"/>
  <c r="Y27" i="98"/>
  <c r="Y19" i="98"/>
  <c r="Y11" i="98"/>
  <c r="Y58" i="98"/>
  <c r="Y50" i="98"/>
  <c r="Y42" i="98"/>
  <c r="Y34" i="98"/>
  <c r="Y26" i="98"/>
  <c r="Y18" i="98"/>
  <c r="Y10" i="98"/>
  <c r="Y57" i="98"/>
  <c r="Y49" i="98"/>
  <c r="Y41" i="98"/>
  <c r="Y33" i="98"/>
  <c r="Y25" i="98"/>
  <c r="Y17" i="98"/>
  <c r="Y9" i="98"/>
  <c r="Y6" i="98"/>
  <c r="Y56" i="98"/>
  <c r="Y48" i="98"/>
  <c r="Y40" i="98"/>
  <c r="Y32" i="98"/>
  <c r="Y24" i="98"/>
  <c r="Y16" i="98"/>
  <c r="Y8" i="98"/>
  <c r="Y63" i="98"/>
  <c r="Y55" i="98"/>
  <c r="Y47" i="98"/>
  <c r="Y39" i="98"/>
  <c r="Y31" i="98"/>
  <c r="Y23" i="98"/>
  <c r="Y15" i="98"/>
  <c r="Y7" i="98"/>
  <c r="Y62" i="98"/>
  <c r="Y54" i="98"/>
  <c r="Y46" i="98"/>
  <c r="Y38" i="98"/>
  <c r="Y30" i="98"/>
  <c r="Y22" i="98"/>
  <c r="E50" i="98"/>
  <c r="G9" i="96"/>
  <c r="Y79" i="98"/>
  <c r="Y112" i="98"/>
  <c r="Y89" i="98"/>
  <c r="Y95" i="98"/>
  <c r="Y96" i="98"/>
  <c r="Y102" i="98"/>
  <c r="Y69" i="98"/>
  <c r="Y65" i="98"/>
  <c r="Y106" i="98"/>
  <c r="Y80" i="98"/>
  <c r="Y98" i="98"/>
  <c r="Y83" i="98"/>
  <c r="Y88" i="98"/>
  <c r="Y164" i="98"/>
  <c r="Y113" i="98"/>
  <c r="Y163" i="98"/>
  <c r="Y76" i="98"/>
  <c r="Y109" i="98"/>
  <c r="Y99" i="98"/>
  <c r="Y135" i="98"/>
  <c r="Y108" i="98"/>
  <c r="Y116" i="98"/>
  <c r="Y67" i="98"/>
  <c r="Y78" i="98"/>
  <c r="Y137" i="98"/>
  <c r="Y97" i="98"/>
  <c r="Y145" i="98"/>
  <c r="Y138" i="98"/>
  <c r="Y81" i="98"/>
  <c r="Y101" i="98"/>
  <c r="Y93" i="98"/>
  <c r="Y87" i="98"/>
  <c r="Y142" i="98"/>
  <c r="Y152" i="98"/>
  <c r="Y155" i="98"/>
  <c r="Y100" i="98"/>
  <c r="Y143" i="98"/>
  <c r="Y124" i="98"/>
  <c r="Y114" i="98"/>
  <c r="Y127" i="98"/>
  <c r="Y122" i="98"/>
  <c r="Y84" i="98"/>
  <c r="Y91" i="98"/>
  <c r="Y75" i="98"/>
  <c r="Y153" i="98"/>
  <c r="Y71" i="98"/>
  <c r="Y156" i="98"/>
  <c r="Y150" i="98"/>
  <c r="Y110" i="98"/>
  <c r="Y151" i="98"/>
  <c r="Y162" i="98"/>
  <c r="Y141" i="98"/>
  <c r="Y118" i="98"/>
  <c r="Y149" i="98"/>
  <c r="Y147" i="98"/>
  <c r="Y70" i="98"/>
  <c r="Y139" i="98"/>
  <c r="Y92" i="98"/>
  <c r="Y144" i="98"/>
  <c r="Y82" i="98"/>
  <c r="Y136" i="98"/>
  <c r="Y68" i="98"/>
  <c r="Y117" i="98"/>
  <c r="Y160" i="98"/>
  <c r="Y86" i="98"/>
  <c r="Y120" i="98"/>
  <c r="Y121" i="98"/>
  <c r="Y119" i="98"/>
  <c r="Y154" i="98"/>
  <c r="Y146" i="98"/>
  <c r="Y72" i="98"/>
  <c r="Y103" i="98"/>
  <c r="Y94" i="98"/>
  <c r="Y105" i="98"/>
  <c r="Y111" i="98"/>
  <c r="Y123" i="98"/>
  <c r="Y73" i="98"/>
  <c r="Y128" i="98"/>
  <c r="Y157" i="98"/>
  <c r="Y85" i="98"/>
  <c r="Y115" i="98"/>
  <c r="Y131" i="98"/>
  <c r="Y134" i="98"/>
  <c r="Y77" i="98"/>
  <c r="Y64" i="98"/>
  <c r="Y125" i="98"/>
  <c r="Y158" i="98"/>
  <c r="Y129" i="98"/>
  <c r="Y140" i="98"/>
  <c r="Y130" i="98"/>
  <c r="Y90" i="98"/>
  <c r="Y161" i="98"/>
  <c r="Y148" i="98"/>
  <c r="Y126" i="98"/>
  <c r="F50" i="98" l="1"/>
  <c r="G50" i="98" s="1"/>
  <c r="Z8" i="98"/>
  <c r="Z20" i="98"/>
  <c r="Z32" i="98"/>
  <c r="Z44" i="98"/>
  <c r="Z56" i="98"/>
  <c r="Z68" i="98"/>
  <c r="Z80" i="98"/>
  <c r="Z92" i="98"/>
  <c r="Z104" i="98"/>
  <c r="Z116" i="98"/>
  <c r="Z128" i="98"/>
  <c r="Z140" i="98"/>
  <c r="Z152" i="98"/>
  <c r="Z164" i="98"/>
  <c r="Z55" i="98"/>
  <c r="Z91" i="98"/>
  <c r="Z163" i="98"/>
  <c r="Z9" i="98"/>
  <c r="Z21" i="98"/>
  <c r="Z33" i="98"/>
  <c r="Z45" i="98"/>
  <c r="Z57" i="98"/>
  <c r="Z69" i="98"/>
  <c r="Z81" i="98"/>
  <c r="Z93" i="98"/>
  <c r="Z105" i="98"/>
  <c r="Z117" i="98"/>
  <c r="Z129" i="98"/>
  <c r="Z141" i="98"/>
  <c r="Z153" i="98"/>
  <c r="Z5" i="98"/>
  <c r="Z10" i="98"/>
  <c r="Z22" i="98"/>
  <c r="Z34" i="98"/>
  <c r="Z46" i="98"/>
  <c r="Z58" i="98"/>
  <c r="Z70" i="98"/>
  <c r="Z82" i="98"/>
  <c r="Z94" i="98"/>
  <c r="Z106" i="98"/>
  <c r="Z130" i="98"/>
  <c r="Z142" i="98"/>
  <c r="Z154" i="98"/>
  <c r="Z13" i="98"/>
  <c r="Z37" i="98"/>
  <c r="Z49" i="98"/>
  <c r="Z73" i="98"/>
  <c r="Z85" i="98"/>
  <c r="Z109" i="98"/>
  <c r="Z133" i="98"/>
  <c r="Z157" i="98"/>
  <c r="Z54" i="98"/>
  <c r="Z138" i="98"/>
  <c r="Z31" i="98"/>
  <c r="Z103" i="98"/>
  <c r="Z118" i="98"/>
  <c r="Z42" i="98"/>
  <c r="Z126" i="98"/>
  <c r="Z43" i="98"/>
  <c r="Z79" i="98"/>
  <c r="Z151" i="98"/>
  <c r="Z11" i="98"/>
  <c r="Z23" i="98"/>
  <c r="Z35" i="98"/>
  <c r="Z47" i="98"/>
  <c r="Z59" i="98"/>
  <c r="Z71" i="98"/>
  <c r="Z83" i="98"/>
  <c r="Z95" i="98"/>
  <c r="Z107" i="98"/>
  <c r="Z119" i="98"/>
  <c r="Z131" i="98"/>
  <c r="Z143" i="98"/>
  <c r="Z155" i="98"/>
  <c r="Z12" i="98"/>
  <c r="Z24" i="98"/>
  <c r="Z36" i="98"/>
  <c r="Z48" i="98"/>
  <c r="Z60" i="98"/>
  <c r="Z72" i="98"/>
  <c r="Z84" i="98"/>
  <c r="Z96" i="98"/>
  <c r="Z108" i="98"/>
  <c r="Z120" i="98"/>
  <c r="Z132" i="98"/>
  <c r="Z144" i="98"/>
  <c r="Z156" i="98"/>
  <c r="Z25" i="98"/>
  <c r="Z61" i="98"/>
  <c r="Z97" i="98"/>
  <c r="Z121" i="98"/>
  <c r="Z145" i="98"/>
  <c r="Z90" i="98"/>
  <c r="Z150" i="98"/>
  <c r="Z67" i="98"/>
  <c r="Z139" i="98"/>
  <c r="Z14" i="98"/>
  <c r="Z26" i="98"/>
  <c r="Z38" i="98"/>
  <c r="Z50" i="98"/>
  <c r="Z62" i="98"/>
  <c r="Z74" i="98"/>
  <c r="Z86" i="98"/>
  <c r="Z98" i="98"/>
  <c r="Z110" i="98"/>
  <c r="Z122" i="98"/>
  <c r="Z134" i="98"/>
  <c r="Z146" i="98"/>
  <c r="Z158" i="98"/>
  <c r="Z28" i="98"/>
  <c r="Z40" i="98"/>
  <c r="Z64" i="98"/>
  <c r="Z88" i="98"/>
  <c r="Z112" i="98"/>
  <c r="Z124" i="98"/>
  <c r="Z148" i="98"/>
  <c r="Z17" i="98"/>
  <c r="Z65" i="98"/>
  <c r="Z89" i="98"/>
  <c r="Z113" i="98"/>
  <c r="Z137" i="98"/>
  <c r="Z161" i="98"/>
  <c r="Z18" i="98"/>
  <c r="Z66" i="98"/>
  <c r="Z102" i="98"/>
  <c r="Z19" i="98"/>
  <c r="Z115" i="98"/>
  <c r="Z15" i="98"/>
  <c r="Z27" i="98"/>
  <c r="Z39" i="98"/>
  <c r="Z51" i="98"/>
  <c r="Z63" i="98"/>
  <c r="Z75" i="98"/>
  <c r="Z87" i="98"/>
  <c r="Z99" i="98"/>
  <c r="Z111" i="98"/>
  <c r="Z123" i="98"/>
  <c r="Z135" i="98"/>
  <c r="Z147" i="98"/>
  <c r="Z159" i="98"/>
  <c r="Z16" i="98"/>
  <c r="Z52" i="98"/>
  <c r="Z76" i="98"/>
  <c r="Z100" i="98"/>
  <c r="Z136" i="98"/>
  <c r="Z160" i="98"/>
  <c r="Z29" i="98"/>
  <c r="Z41" i="98"/>
  <c r="Z53" i="98"/>
  <c r="Z77" i="98"/>
  <c r="Z101" i="98"/>
  <c r="Z125" i="98"/>
  <c r="Z149" i="98"/>
  <c r="Z6" i="98"/>
  <c r="Z30" i="98"/>
  <c r="Z78" i="98"/>
  <c r="Z114" i="98"/>
  <c r="Z162" i="98"/>
  <c r="Z7" i="98"/>
  <c r="Z127" i="98"/>
  <c r="S48" i="101"/>
  <c r="R48" i="101"/>
  <c r="Q48" i="101"/>
  <c r="P48" i="101"/>
  <c r="S34" i="101"/>
  <c r="R34" i="101"/>
  <c r="Q34" i="101"/>
  <c r="P34" i="101"/>
  <c r="Q20" i="101"/>
  <c r="R20" i="101"/>
  <c r="S20" i="101"/>
  <c r="P20" i="101"/>
  <c r="AX8" i="91"/>
  <c r="AY8" i="91"/>
  <c r="AZ8" i="91"/>
  <c r="BA8" i="91"/>
  <c r="BB8" i="91"/>
  <c r="AX9" i="91"/>
  <c r="AY9" i="91"/>
  <c r="AZ9" i="91"/>
  <c r="BA9" i="91"/>
  <c r="BB9" i="91"/>
  <c r="AX10" i="91"/>
  <c r="AY10" i="91"/>
  <c r="AZ10" i="91"/>
  <c r="BA10" i="91"/>
  <c r="BB10" i="91"/>
  <c r="AX11" i="91"/>
  <c r="AY11" i="91"/>
  <c r="AZ11" i="91"/>
  <c r="BA11" i="91"/>
  <c r="BB11" i="91"/>
  <c r="AX12" i="91"/>
  <c r="AY12" i="91"/>
  <c r="AZ12" i="91"/>
  <c r="BA12" i="91"/>
  <c r="BB12" i="91"/>
  <c r="AX13" i="91"/>
  <c r="AY13" i="91"/>
  <c r="AZ13" i="91"/>
  <c r="BA13" i="91"/>
  <c r="BB13" i="91"/>
  <c r="AX14" i="91"/>
  <c r="AY14" i="91"/>
  <c r="AZ14" i="91"/>
  <c r="BA14" i="91"/>
  <c r="BB14" i="91"/>
  <c r="AX15" i="91"/>
  <c r="AY15" i="91"/>
  <c r="AZ15" i="91"/>
  <c r="BA15" i="91"/>
  <c r="BB15" i="91"/>
  <c r="AX16" i="91"/>
  <c r="AY16" i="91"/>
  <c r="AZ16" i="91"/>
  <c r="BA16" i="91"/>
  <c r="BB16" i="91"/>
  <c r="AX17" i="91"/>
  <c r="AY17" i="91"/>
  <c r="AZ17" i="91"/>
  <c r="BA17" i="91"/>
  <c r="BB17" i="91"/>
  <c r="AX18" i="91"/>
  <c r="AY18" i="91"/>
  <c r="AZ18" i="91"/>
  <c r="BA18" i="91"/>
  <c r="BB18" i="91"/>
  <c r="AX19" i="91"/>
  <c r="AY19" i="91"/>
  <c r="AZ19" i="91"/>
  <c r="BA19" i="91"/>
  <c r="BB19" i="91"/>
  <c r="AX20" i="91"/>
  <c r="AY20" i="91"/>
  <c r="AZ20" i="91"/>
  <c r="BA20" i="91"/>
  <c r="BB20" i="91"/>
  <c r="AX21" i="91"/>
  <c r="AY21" i="91"/>
  <c r="AZ21" i="91"/>
  <c r="BA21" i="91"/>
  <c r="BB21" i="91"/>
  <c r="AX22" i="91"/>
  <c r="AY22" i="91"/>
  <c r="AZ22" i="91"/>
  <c r="BA22" i="91"/>
  <c r="BB22" i="91"/>
  <c r="AX23" i="91"/>
  <c r="AY23" i="91"/>
  <c r="AZ23" i="91"/>
  <c r="BA23" i="91"/>
  <c r="BB23" i="91"/>
  <c r="AX24" i="91"/>
  <c r="AY24" i="91"/>
  <c r="AZ24" i="91"/>
  <c r="BA24" i="91"/>
  <c r="BB24" i="91"/>
  <c r="AX25" i="91"/>
  <c r="AY25" i="91"/>
  <c r="AZ25" i="91"/>
  <c r="BA25" i="91"/>
  <c r="BB25" i="91"/>
  <c r="AX26" i="91"/>
  <c r="AY26" i="91"/>
  <c r="AZ26" i="91"/>
  <c r="BA26" i="91"/>
  <c r="BB26" i="91"/>
  <c r="AX27" i="91"/>
  <c r="AY27" i="91"/>
  <c r="AZ27" i="91"/>
  <c r="BA27" i="91"/>
  <c r="BB27" i="91"/>
  <c r="AX28" i="91"/>
  <c r="AY28" i="91"/>
  <c r="AZ28" i="91"/>
  <c r="BA28" i="91"/>
  <c r="BB28" i="91"/>
  <c r="AX29" i="91"/>
  <c r="AY29" i="91"/>
  <c r="AZ29" i="91"/>
  <c r="BA29" i="91"/>
  <c r="BB29" i="91"/>
  <c r="AX30" i="91"/>
  <c r="AY30" i="91"/>
  <c r="AZ30" i="91"/>
  <c r="BA30" i="91"/>
  <c r="BB30" i="91"/>
  <c r="AX31" i="91"/>
  <c r="AY31" i="91"/>
  <c r="AZ31" i="91"/>
  <c r="BA31" i="91"/>
  <c r="BB31" i="91"/>
  <c r="AX32" i="91"/>
  <c r="AY32" i="91"/>
  <c r="AZ32" i="91"/>
  <c r="BA32" i="91"/>
  <c r="BB32" i="91"/>
  <c r="AX33" i="91"/>
  <c r="AY33" i="91"/>
  <c r="AZ33" i="91"/>
  <c r="BA33" i="91"/>
  <c r="BB33" i="91"/>
  <c r="AX34" i="91"/>
  <c r="AY34" i="91"/>
  <c r="AZ34" i="91"/>
  <c r="BA34" i="91"/>
  <c r="BB34" i="91"/>
  <c r="AX35" i="91"/>
  <c r="AY35" i="91"/>
  <c r="AZ35" i="91"/>
  <c r="BA35" i="91"/>
  <c r="BB35" i="91"/>
  <c r="AX36" i="91"/>
  <c r="AY36" i="91"/>
  <c r="AZ36" i="91"/>
  <c r="BA36" i="91"/>
  <c r="BB36" i="91"/>
  <c r="AX37" i="91"/>
  <c r="AY37" i="91"/>
  <c r="AZ37" i="91"/>
  <c r="BA37" i="91"/>
  <c r="BB37" i="91"/>
  <c r="AX38" i="91"/>
  <c r="AY38" i="91"/>
  <c r="AZ38" i="91"/>
  <c r="BA38" i="91"/>
  <c r="BB38" i="91"/>
  <c r="AX39" i="91"/>
  <c r="AY39" i="91"/>
  <c r="AZ39" i="91"/>
  <c r="BA39" i="91"/>
  <c r="BB39" i="91"/>
  <c r="AX40" i="91"/>
  <c r="AY40" i="91"/>
  <c r="AZ40" i="91"/>
  <c r="BA40" i="91"/>
  <c r="BB40" i="91"/>
  <c r="AX41" i="91"/>
  <c r="AY41" i="91"/>
  <c r="AZ41" i="91"/>
  <c r="BA41" i="91"/>
  <c r="BB41" i="91"/>
  <c r="AX42" i="91"/>
  <c r="AY42" i="91"/>
  <c r="AZ42" i="91"/>
  <c r="BA42" i="91"/>
  <c r="BB42" i="91"/>
  <c r="AX43" i="91"/>
  <c r="AY43" i="91"/>
  <c r="AZ43" i="91"/>
  <c r="BA43" i="91"/>
  <c r="BB43" i="91"/>
  <c r="AX44" i="91"/>
  <c r="AY44" i="91"/>
  <c r="AZ44" i="91"/>
  <c r="BA44" i="91"/>
  <c r="BB44" i="91"/>
  <c r="AX45" i="91"/>
  <c r="AY45" i="91"/>
  <c r="AZ45" i="91"/>
  <c r="BA45" i="91"/>
  <c r="BB45" i="91"/>
  <c r="AX46" i="91"/>
  <c r="AY46" i="91"/>
  <c r="AZ46" i="91"/>
  <c r="BA46" i="91"/>
  <c r="BB46" i="91"/>
  <c r="AX47" i="91"/>
  <c r="AY47" i="91"/>
  <c r="AZ47" i="91"/>
  <c r="BA47" i="91"/>
  <c r="BB47" i="91"/>
  <c r="AX48" i="91"/>
  <c r="AY48" i="91"/>
  <c r="AZ48" i="91"/>
  <c r="BA48" i="91"/>
  <c r="BB48" i="91"/>
  <c r="AX49" i="91"/>
  <c r="AY49" i="91"/>
  <c r="AZ49" i="91"/>
  <c r="BA49" i="91"/>
  <c r="BB49" i="91"/>
  <c r="AX50" i="91"/>
  <c r="AY50" i="91"/>
  <c r="AZ50" i="91"/>
  <c r="BA50" i="91"/>
  <c r="BB50" i="91"/>
  <c r="AX51" i="91"/>
  <c r="AY51" i="91"/>
  <c r="AZ51" i="91"/>
  <c r="BA51" i="91"/>
  <c r="BB51" i="91"/>
  <c r="AX52" i="91"/>
  <c r="AY52" i="91"/>
  <c r="AZ52" i="91"/>
  <c r="BA52" i="91"/>
  <c r="BB52" i="91"/>
  <c r="AX53" i="91"/>
  <c r="AY53" i="91"/>
  <c r="AZ53" i="91"/>
  <c r="BA53" i="91"/>
  <c r="BB53" i="91"/>
  <c r="AX54" i="91"/>
  <c r="AY54" i="91"/>
  <c r="AZ54" i="91"/>
  <c r="BA54" i="91"/>
  <c r="BB54" i="91"/>
  <c r="AX55" i="91"/>
  <c r="AY55" i="91"/>
  <c r="AZ55" i="91"/>
  <c r="BA55" i="91"/>
  <c r="BB55" i="91"/>
  <c r="AX56" i="91"/>
  <c r="AY56" i="91"/>
  <c r="AZ56" i="91"/>
  <c r="BA56" i="91"/>
  <c r="BB56" i="91"/>
  <c r="AX57" i="91"/>
  <c r="AY57" i="91"/>
  <c r="AZ57" i="91"/>
  <c r="BA57" i="91"/>
  <c r="BB57" i="91"/>
  <c r="AX58" i="91"/>
  <c r="AY58" i="91"/>
  <c r="AZ58" i="91"/>
  <c r="BA58" i="91"/>
  <c r="BB58" i="91"/>
  <c r="AX59" i="91"/>
  <c r="AY59" i="91"/>
  <c r="AZ59" i="91"/>
  <c r="BA59" i="91"/>
  <c r="BB59" i="91"/>
  <c r="AX60" i="91"/>
  <c r="AY60" i="91"/>
  <c r="AZ60" i="91"/>
  <c r="BA60" i="91"/>
  <c r="BB60" i="91"/>
  <c r="AX61" i="91"/>
  <c r="AY61" i="91"/>
  <c r="AZ61" i="91"/>
  <c r="BA61" i="91"/>
  <c r="BB61" i="91"/>
  <c r="AX62" i="91"/>
  <c r="AY62" i="91"/>
  <c r="AZ62" i="91"/>
  <c r="BA62" i="91"/>
  <c r="BB62" i="91"/>
  <c r="AX63" i="91"/>
  <c r="AY63" i="91"/>
  <c r="AZ63" i="91"/>
  <c r="BA63" i="91"/>
  <c r="BB63" i="91"/>
  <c r="AX64" i="91"/>
  <c r="AY64" i="91"/>
  <c r="AZ64" i="91"/>
  <c r="BA64" i="91"/>
  <c r="BB64" i="91"/>
  <c r="AX65" i="91"/>
  <c r="AY65" i="91"/>
  <c r="AZ65" i="91"/>
  <c r="BA65" i="91"/>
  <c r="BB65" i="91"/>
  <c r="AX66" i="91"/>
  <c r="AY66" i="91"/>
  <c r="AZ66" i="91"/>
  <c r="BA66" i="91"/>
  <c r="BB66" i="91"/>
  <c r="AX67" i="91"/>
  <c r="AY67" i="91"/>
  <c r="AZ67" i="91"/>
  <c r="BA67" i="91"/>
  <c r="BB67" i="91"/>
  <c r="AX68" i="91"/>
  <c r="AY68" i="91"/>
  <c r="AZ68" i="91"/>
  <c r="BA68" i="91"/>
  <c r="BB68" i="91"/>
  <c r="AX69" i="91"/>
  <c r="AY69" i="91"/>
  <c r="AZ69" i="91"/>
  <c r="BA69" i="91"/>
  <c r="BB69" i="91"/>
  <c r="AX70" i="91"/>
  <c r="AY70" i="91"/>
  <c r="AZ70" i="91"/>
  <c r="BA70" i="91"/>
  <c r="BB70" i="91"/>
  <c r="AX71" i="91"/>
  <c r="AY71" i="91"/>
  <c r="AZ71" i="91"/>
  <c r="BA71" i="91"/>
  <c r="BB71" i="91"/>
  <c r="AX72" i="91"/>
  <c r="AY72" i="91"/>
  <c r="AZ72" i="91"/>
  <c r="BA72" i="91"/>
  <c r="BB72" i="91"/>
  <c r="AX73" i="91"/>
  <c r="AY73" i="91"/>
  <c r="AZ73" i="91"/>
  <c r="BA73" i="91"/>
  <c r="BB73" i="91"/>
  <c r="AX74" i="91"/>
  <c r="AY74" i="91"/>
  <c r="AZ74" i="91"/>
  <c r="BA74" i="91"/>
  <c r="BB74" i="91"/>
  <c r="AX75" i="91"/>
  <c r="AY75" i="91"/>
  <c r="AZ75" i="91"/>
  <c r="BA75" i="91"/>
  <c r="BB75" i="91"/>
  <c r="AX76" i="91"/>
  <c r="AY76" i="91"/>
  <c r="AZ76" i="91"/>
  <c r="BA76" i="91"/>
  <c r="BB76" i="91"/>
  <c r="AX77" i="91"/>
  <c r="AY77" i="91"/>
  <c r="AZ77" i="91"/>
  <c r="BA77" i="91"/>
  <c r="BB77" i="91"/>
  <c r="AX78" i="91"/>
  <c r="AY78" i="91"/>
  <c r="AZ78" i="91"/>
  <c r="BA78" i="91"/>
  <c r="BB78" i="91"/>
  <c r="AX79" i="91"/>
  <c r="AY79" i="91"/>
  <c r="AZ79" i="91"/>
  <c r="BA79" i="91"/>
  <c r="BB79" i="91"/>
  <c r="AX80" i="91"/>
  <c r="AY80" i="91"/>
  <c r="AZ80" i="91"/>
  <c r="BA80" i="91"/>
  <c r="BB80" i="91"/>
  <c r="AX81" i="91"/>
  <c r="AY81" i="91"/>
  <c r="AZ81" i="91"/>
  <c r="BA81" i="91"/>
  <c r="BB81" i="91"/>
  <c r="AX82" i="91"/>
  <c r="AY82" i="91"/>
  <c r="AZ82" i="91"/>
  <c r="BA82" i="91"/>
  <c r="BB82" i="91"/>
  <c r="AX83" i="91"/>
  <c r="AY83" i="91"/>
  <c r="AZ83" i="91"/>
  <c r="BA83" i="91"/>
  <c r="BB83" i="91"/>
  <c r="AX84" i="91"/>
  <c r="AY84" i="91"/>
  <c r="AZ84" i="91"/>
  <c r="BA84" i="91"/>
  <c r="BB84" i="91"/>
  <c r="AX85" i="91"/>
  <c r="AY85" i="91"/>
  <c r="AZ85" i="91"/>
  <c r="BA85" i="91"/>
  <c r="BB85" i="91"/>
  <c r="AX86" i="91"/>
  <c r="AY86" i="91"/>
  <c r="AZ86" i="91"/>
  <c r="BA86" i="91"/>
  <c r="BB86" i="91"/>
  <c r="AX87" i="91"/>
  <c r="AY87" i="91"/>
  <c r="AZ87" i="91"/>
  <c r="BA87" i="91"/>
  <c r="BB87" i="91"/>
  <c r="AX88" i="91"/>
  <c r="AY88" i="91"/>
  <c r="AZ88" i="91"/>
  <c r="BA88" i="91"/>
  <c r="BB88" i="91"/>
  <c r="AX89" i="91"/>
  <c r="AY89" i="91"/>
  <c r="AZ89" i="91"/>
  <c r="BA89" i="91"/>
  <c r="BB89" i="91"/>
  <c r="AX90" i="91"/>
  <c r="AY90" i="91"/>
  <c r="AZ90" i="91"/>
  <c r="BA90" i="91"/>
  <c r="BB90" i="91"/>
  <c r="AX91" i="91"/>
  <c r="AY91" i="91"/>
  <c r="AZ91" i="91"/>
  <c r="BA91" i="91"/>
  <c r="BB91" i="91"/>
  <c r="AX92" i="91"/>
  <c r="AY92" i="91"/>
  <c r="AZ92" i="91"/>
  <c r="BA92" i="91"/>
  <c r="BB92" i="91"/>
  <c r="AX93" i="91"/>
  <c r="AY93" i="91"/>
  <c r="AZ93" i="91"/>
  <c r="BA93" i="91"/>
  <c r="BB93" i="91"/>
  <c r="AX94" i="91"/>
  <c r="AY94" i="91"/>
  <c r="AZ94" i="91"/>
  <c r="BA94" i="91"/>
  <c r="BB94" i="91"/>
  <c r="AX95" i="91"/>
  <c r="AY95" i="91"/>
  <c r="AZ95" i="91"/>
  <c r="BA95" i="91"/>
  <c r="BB95" i="91"/>
  <c r="AX96" i="91"/>
  <c r="AY96" i="91"/>
  <c r="AZ96" i="91"/>
  <c r="BA96" i="91"/>
  <c r="BB96" i="91"/>
  <c r="AX97" i="91"/>
  <c r="AY97" i="91"/>
  <c r="AZ97" i="91"/>
  <c r="BA97" i="91"/>
  <c r="BB97" i="91"/>
  <c r="AX98" i="91"/>
  <c r="AY98" i="91"/>
  <c r="AZ98" i="91"/>
  <c r="BA98" i="91"/>
  <c r="BB98" i="91"/>
  <c r="AX99" i="91"/>
  <c r="AY99" i="91"/>
  <c r="AZ99" i="91"/>
  <c r="BA99" i="91"/>
  <c r="BB99" i="91"/>
  <c r="AX100" i="91"/>
  <c r="AY100" i="91"/>
  <c r="AZ100" i="91"/>
  <c r="BA100" i="91"/>
  <c r="BB100" i="91"/>
  <c r="AX101" i="91"/>
  <c r="AY101" i="91"/>
  <c r="AZ101" i="91"/>
  <c r="BA101" i="91"/>
  <c r="BB101" i="91"/>
  <c r="AX102" i="91"/>
  <c r="AY102" i="91"/>
  <c r="AZ102" i="91"/>
  <c r="BA102" i="91"/>
  <c r="BB102" i="91"/>
  <c r="AX103" i="91"/>
  <c r="AY103" i="91"/>
  <c r="AZ103" i="91"/>
  <c r="BA103" i="91"/>
  <c r="BB103" i="91"/>
  <c r="AX104" i="91"/>
  <c r="AY104" i="91"/>
  <c r="AZ104" i="91"/>
  <c r="BA104" i="91"/>
  <c r="BB104" i="91"/>
  <c r="AX105" i="91"/>
  <c r="AY105" i="91"/>
  <c r="AZ105" i="91"/>
  <c r="BA105" i="91"/>
  <c r="BB105" i="91"/>
  <c r="AX106" i="91"/>
  <c r="AY106" i="91"/>
  <c r="AZ106" i="91"/>
  <c r="BA106" i="91"/>
  <c r="BB106" i="91"/>
  <c r="AX107" i="91"/>
  <c r="AY107" i="91"/>
  <c r="AZ107" i="91"/>
  <c r="BA107" i="91"/>
  <c r="BB107" i="91"/>
  <c r="AX108" i="91"/>
  <c r="AY108" i="91"/>
  <c r="AZ108" i="91"/>
  <c r="BA108" i="91"/>
  <c r="BB108" i="91"/>
  <c r="AX109" i="91"/>
  <c r="AY109" i="91"/>
  <c r="AZ109" i="91"/>
  <c r="BA109" i="91"/>
  <c r="BB109" i="91"/>
  <c r="AX110" i="91"/>
  <c r="AY110" i="91"/>
  <c r="AZ110" i="91"/>
  <c r="BA110" i="91"/>
  <c r="BB110" i="91"/>
  <c r="AX111" i="91"/>
  <c r="AY111" i="91"/>
  <c r="AZ111" i="91"/>
  <c r="BA111" i="91"/>
  <c r="BB111" i="91"/>
  <c r="AX112" i="91"/>
  <c r="AY112" i="91"/>
  <c r="AZ112" i="91"/>
  <c r="BA112" i="91"/>
  <c r="BB112" i="91"/>
  <c r="AX113" i="91"/>
  <c r="AY113" i="91"/>
  <c r="AZ113" i="91"/>
  <c r="BA113" i="91"/>
  <c r="BB113" i="91"/>
  <c r="AX114" i="91"/>
  <c r="AY114" i="91"/>
  <c r="AZ114" i="91"/>
  <c r="BA114" i="91"/>
  <c r="BB114" i="91"/>
  <c r="AX115" i="91"/>
  <c r="AY115" i="91"/>
  <c r="AZ115" i="91"/>
  <c r="BA115" i="91"/>
  <c r="BB115" i="91"/>
  <c r="AX116" i="91"/>
  <c r="AY116" i="91"/>
  <c r="AZ116" i="91"/>
  <c r="BA116" i="91"/>
  <c r="BB116" i="91"/>
  <c r="AX117" i="91"/>
  <c r="AY117" i="91"/>
  <c r="AZ117" i="91"/>
  <c r="BA117" i="91"/>
  <c r="BB117" i="91"/>
  <c r="AX118" i="91"/>
  <c r="AY118" i="91"/>
  <c r="AZ118" i="91"/>
  <c r="BA118" i="91"/>
  <c r="BB118" i="91"/>
  <c r="AX119" i="91"/>
  <c r="AY119" i="91"/>
  <c r="AZ119" i="91"/>
  <c r="BA119" i="91"/>
  <c r="BB119" i="91"/>
  <c r="AX120" i="91"/>
  <c r="AY120" i="91"/>
  <c r="AZ120" i="91"/>
  <c r="BA120" i="91"/>
  <c r="BB120" i="91"/>
  <c r="AX121" i="91"/>
  <c r="AY121" i="91"/>
  <c r="AZ121" i="91"/>
  <c r="BA121" i="91"/>
  <c r="BB121" i="91"/>
  <c r="AX122" i="91"/>
  <c r="AY122" i="91"/>
  <c r="AZ122" i="91"/>
  <c r="BA122" i="91"/>
  <c r="BB122" i="91"/>
  <c r="AX123" i="91"/>
  <c r="AY123" i="91"/>
  <c r="AZ123" i="91"/>
  <c r="BA123" i="91"/>
  <c r="BB123" i="91"/>
  <c r="AX124" i="91"/>
  <c r="AY124" i="91"/>
  <c r="AZ124" i="91"/>
  <c r="BA124" i="91"/>
  <c r="BB124" i="91"/>
  <c r="AX125" i="91"/>
  <c r="AY125" i="91"/>
  <c r="AZ125" i="91"/>
  <c r="BA125" i="91"/>
  <c r="BB125" i="91"/>
  <c r="AX126" i="91"/>
  <c r="AY126" i="91"/>
  <c r="AZ126" i="91"/>
  <c r="BA126" i="91"/>
  <c r="BB126" i="91"/>
  <c r="AX127" i="91"/>
  <c r="AY127" i="91"/>
  <c r="AZ127" i="91"/>
  <c r="BA127" i="91"/>
  <c r="BB127" i="91"/>
  <c r="AX128" i="91"/>
  <c r="AY128" i="91"/>
  <c r="AZ128" i="91"/>
  <c r="BA128" i="91"/>
  <c r="BB128" i="91"/>
  <c r="AX129" i="91"/>
  <c r="AY129" i="91"/>
  <c r="AZ129" i="91"/>
  <c r="BA129" i="91"/>
  <c r="BB129" i="91"/>
  <c r="AX130" i="91"/>
  <c r="AY130" i="91"/>
  <c r="AZ130" i="91"/>
  <c r="BA130" i="91"/>
  <c r="BB130" i="91"/>
  <c r="AX131" i="91"/>
  <c r="AY131" i="91"/>
  <c r="AZ131" i="91"/>
  <c r="BA131" i="91"/>
  <c r="BB131" i="91"/>
  <c r="AX132" i="91"/>
  <c r="AY132" i="91"/>
  <c r="AZ132" i="91"/>
  <c r="BA132" i="91"/>
  <c r="BB132" i="91"/>
  <c r="AX133" i="91"/>
  <c r="AY133" i="91"/>
  <c r="AZ133" i="91"/>
  <c r="BA133" i="91"/>
  <c r="BB133" i="91"/>
  <c r="AX134" i="91"/>
  <c r="AY134" i="91"/>
  <c r="AZ134" i="91"/>
  <c r="BA134" i="91"/>
  <c r="BB134" i="91"/>
  <c r="AX135" i="91"/>
  <c r="AY135" i="91"/>
  <c r="AZ135" i="91"/>
  <c r="BA135" i="91"/>
  <c r="BB135" i="91"/>
  <c r="AX136" i="91"/>
  <c r="AY136" i="91"/>
  <c r="AZ136" i="91"/>
  <c r="BA136" i="91"/>
  <c r="BB136" i="91"/>
  <c r="AX137" i="91"/>
  <c r="AY137" i="91"/>
  <c r="AZ137" i="91"/>
  <c r="BA137" i="91"/>
  <c r="BB137" i="91"/>
  <c r="AX138" i="91"/>
  <c r="AY138" i="91"/>
  <c r="AZ138" i="91"/>
  <c r="BA138" i="91"/>
  <c r="BB138" i="91"/>
  <c r="AX139" i="91"/>
  <c r="AY139" i="91"/>
  <c r="AZ139" i="91"/>
  <c r="BA139" i="91"/>
  <c r="BB139" i="91"/>
  <c r="AX140" i="91"/>
  <c r="AY140" i="91"/>
  <c r="AZ140" i="91"/>
  <c r="BA140" i="91"/>
  <c r="BB140" i="91"/>
  <c r="AX141" i="91"/>
  <c r="AY141" i="91"/>
  <c r="AZ141" i="91"/>
  <c r="BA141" i="91"/>
  <c r="BB141" i="91"/>
  <c r="AX142" i="91"/>
  <c r="AY142" i="91"/>
  <c r="AZ142" i="91"/>
  <c r="BA142" i="91"/>
  <c r="BB142" i="91"/>
  <c r="AX143" i="91"/>
  <c r="AY143" i="91"/>
  <c r="AZ143" i="91"/>
  <c r="BA143" i="91"/>
  <c r="BB143" i="91"/>
  <c r="AX144" i="91"/>
  <c r="AY144" i="91"/>
  <c r="AZ144" i="91"/>
  <c r="BA144" i="91"/>
  <c r="BB144" i="91"/>
  <c r="AX145" i="91"/>
  <c r="AY145" i="91"/>
  <c r="AZ145" i="91"/>
  <c r="BA145" i="91"/>
  <c r="BB145" i="91"/>
  <c r="AX146" i="91"/>
  <c r="AY146" i="91"/>
  <c r="AZ146" i="91"/>
  <c r="BA146" i="91"/>
  <c r="BB146" i="91"/>
  <c r="AX147" i="91"/>
  <c r="AY147" i="91"/>
  <c r="AZ147" i="91"/>
  <c r="BA147" i="91"/>
  <c r="BB147" i="91"/>
  <c r="AX148" i="91"/>
  <c r="AY148" i="91"/>
  <c r="AZ148" i="91"/>
  <c r="BA148" i="91"/>
  <c r="BB148" i="91"/>
  <c r="AX149" i="91"/>
  <c r="AY149" i="91"/>
  <c r="AZ149" i="91"/>
  <c r="BA149" i="91"/>
  <c r="BB149" i="91"/>
  <c r="AX150" i="91"/>
  <c r="AY150" i="91"/>
  <c r="AZ150" i="91"/>
  <c r="BA150" i="91"/>
  <c r="BB150" i="91"/>
  <c r="AX151" i="91"/>
  <c r="AY151" i="91"/>
  <c r="AZ151" i="91"/>
  <c r="BA151" i="91"/>
  <c r="BB151" i="91"/>
  <c r="AX152" i="91"/>
  <c r="AY152" i="91"/>
  <c r="AZ152" i="91"/>
  <c r="BA152" i="91"/>
  <c r="BB152" i="91"/>
  <c r="AX153" i="91"/>
  <c r="AY153" i="91"/>
  <c r="AZ153" i="91"/>
  <c r="BA153" i="91"/>
  <c r="BB153" i="91"/>
  <c r="AX154" i="91"/>
  <c r="AY154" i="91"/>
  <c r="AZ154" i="91"/>
  <c r="BA154" i="91"/>
  <c r="BB154" i="91"/>
  <c r="AX155" i="91"/>
  <c r="AY155" i="91"/>
  <c r="AZ155" i="91"/>
  <c r="BA155" i="91"/>
  <c r="BB155" i="91"/>
  <c r="AX156" i="91"/>
  <c r="AY156" i="91"/>
  <c r="AZ156" i="91"/>
  <c r="BA156" i="91"/>
  <c r="BB156" i="91"/>
  <c r="AX157" i="91"/>
  <c r="AY157" i="91"/>
  <c r="AZ157" i="91"/>
  <c r="BA157" i="91"/>
  <c r="BB157" i="91"/>
  <c r="AX158" i="91"/>
  <c r="AY158" i="91"/>
  <c r="AZ158" i="91"/>
  <c r="BA158" i="91"/>
  <c r="BB158" i="91"/>
  <c r="AX159" i="91"/>
  <c r="AY159" i="91"/>
  <c r="AZ159" i="91"/>
  <c r="BA159" i="91"/>
  <c r="BB159" i="91"/>
  <c r="AX160" i="91"/>
  <c r="AY160" i="91"/>
  <c r="AZ160" i="91"/>
  <c r="BA160" i="91"/>
  <c r="BB160" i="91"/>
  <c r="AX161" i="91"/>
  <c r="AY161" i="91"/>
  <c r="AZ161" i="91"/>
  <c r="BA161" i="91"/>
  <c r="BB161" i="91"/>
  <c r="AX162" i="91"/>
  <c r="AY162" i="91"/>
  <c r="AZ162" i="91"/>
  <c r="BA162" i="91"/>
  <c r="BB162" i="91"/>
  <c r="AX163" i="91"/>
  <c r="AY163" i="91"/>
  <c r="AZ163" i="91"/>
  <c r="BA163" i="91"/>
  <c r="BB163" i="91"/>
  <c r="AX164" i="91"/>
  <c r="AY164" i="91"/>
  <c r="AZ164" i="91"/>
  <c r="BA164" i="91"/>
  <c r="BB164" i="91"/>
  <c r="AX165" i="91"/>
  <c r="AY165" i="91"/>
  <c r="AZ165" i="91"/>
  <c r="BA165" i="91"/>
  <c r="BB165" i="91"/>
  <c r="AX166" i="91"/>
  <c r="AY166" i="91"/>
  <c r="AZ166" i="91"/>
  <c r="BA166" i="91"/>
  <c r="BB166" i="91"/>
  <c r="AY7" i="91"/>
  <c r="AZ7" i="91"/>
  <c r="BA7" i="91"/>
  <c r="BB7" i="91"/>
  <c r="AX7" i="91"/>
  <c r="R26" i="91"/>
  <c r="S22" i="101" l="1"/>
  <c r="S36" i="101"/>
  <c r="S50" i="101"/>
  <c r="D14" i="99"/>
  <c r="AE130" i="101" l="1"/>
  <c r="AE129" i="101"/>
  <c r="AE128" i="101"/>
  <c r="AE127" i="101"/>
  <c r="AE126" i="101"/>
  <c r="AE125" i="101"/>
  <c r="AE124" i="101"/>
  <c r="AE123" i="101"/>
  <c r="AE122" i="101"/>
  <c r="AE121" i="101"/>
  <c r="AE120" i="101"/>
  <c r="AE119" i="101"/>
  <c r="AE118" i="101"/>
  <c r="AE117" i="101"/>
  <c r="AE116" i="101"/>
  <c r="AE115" i="101"/>
  <c r="AE114" i="101"/>
  <c r="AE113" i="101"/>
  <c r="AE112" i="101"/>
  <c r="AE111" i="101"/>
  <c r="AE110" i="101"/>
  <c r="AE104" i="101"/>
  <c r="AE103" i="101"/>
  <c r="AE102" i="101"/>
  <c r="AE101" i="101"/>
  <c r="AE100" i="101"/>
  <c r="AE99" i="101"/>
  <c r="AE98" i="101"/>
  <c r="AE97" i="101"/>
  <c r="AE96" i="101"/>
  <c r="AE95" i="101"/>
  <c r="AE94" i="101"/>
  <c r="AE93" i="101"/>
  <c r="AE92" i="101"/>
  <c r="AE91" i="101"/>
  <c r="AE90" i="101"/>
  <c r="AE89" i="101"/>
  <c r="AE88" i="101"/>
  <c r="AE87" i="101"/>
  <c r="AE86" i="101"/>
  <c r="AE85" i="101"/>
  <c r="AE84" i="101"/>
  <c r="AE78" i="101"/>
  <c r="AE77" i="101"/>
  <c r="AE76" i="101"/>
  <c r="AE75" i="101"/>
  <c r="AE74" i="101"/>
  <c r="AE73" i="101"/>
  <c r="AE72" i="101"/>
  <c r="AE71" i="101"/>
  <c r="AE70" i="101"/>
  <c r="AE69" i="101"/>
  <c r="AE68" i="101"/>
  <c r="AE67" i="101"/>
  <c r="AE66" i="101"/>
  <c r="AE65" i="101"/>
  <c r="AE64" i="101"/>
  <c r="AE63" i="101"/>
  <c r="AE62" i="101"/>
  <c r="AE61" i="101"/>
  <c r="AE60" i="101"/>
  <c r="AE59" i="101"/>
  <c r="AE58" i="101"/>
  <c r="AE52" i="101"/>
  <c r="AE51" i="101"/>
  <c r="AE50" i="101"/>
  <c r="AE49" i="101"/>
  <c r="AE48" i="101"/>
  <c r="AE47" i="101"/>
  <c r="AE46" i="101"/>
  <c r="AE45" i="101"/>
  <c r="AE44" i="101"/>
  <c r="AE43" i="101"/>
  <c r="AE42" i="101"/>
  <c r="AE41" i="101"/>
  <c r="AE40" i="101"/>
  <c r="AE39" i="101"/>
  <c r="AE38" i="101"/>
  <c r="AE37" i="101"/>
  <c r="AE36" i="101"/>
  <c r="AE35" i="101"/>
  <c r="AE34" i="101"/>
  <c r="AE33" i="101"/>
  <c r="AE32" i="101"/>
  <c r="AE7" i="101"/>
  <c r="AE8" i="101"/>
  <c r="AE9" i="101"/>
  <c r="AE10" i="101"/>
  <c r="AE11" i="101"/>
  <c r="AE12" i="101"/>
  <c r="AE13" i="101"/>
  <c r="AE14" i="101"/>
  <c r="AE15" i="101"/>
  <c r="AE16" i="101"/>
  <c r="AE17" i="101"/>
  <c r="AE18" i="101"/>
  <c r="AE19" i="101"/>
  <c r="AE20" i="101"/>
  <c r="AE21" i="101"/>
  <c r="AE22" i="101"/>
  <c r="AE23" i="101"/>
  <c r="AE24" i="101"/>
  <c r="AE25" i="101"/>
  <c r="AE26" i="101"/>
  <c r="AE6" i="101"/>
  <c r="M130" i="99"/>
  <c r="M129" i="99"/>
  <c r="M128" i="99"/>
  <c r="M127" i="99"/>
  <c r="M126" i="99"/>
  <c r="M125" i="99"/>
  <c r="M124" i="99"/>
  <c r="M123" i="99"/>
  <c r="M122" i="99"/>
  <c r="M121" i="99"/>
  <c r="M120" i="99"/>
  <c r="M119" i="99"/>
  <c r="M118" i="99"/>
  <c r="M117" i="99"/>
  <c r="M116" i="99"/>
  <c r="M115" i="99"/>
  <c r="M114" i="99"/>
  <c r="M113" i="99"/>
  <c r="M112" i="99"/>
  <c r="M111" i="99"/>
  <c r="M110" i="99"/>
  <c r="M104" i="99"/>
  <c r="M103" i="99"/>
  <c r="M102" i="99"/>
  <c r="M101" i="99"/>
  <c r="M100" i="99"/>
  <c r="M99" i="99"/>
  <c r="M98" i="99"/>
  <c r="M97" i="99"/>
  <c r="M96" i="99"/>
  <c r="M95" i="99"/>
  <c r="M94" i="99"/>
  <c r="M93" i="99"/>
  <c r="M92" i="99"/>
  <c r="M91" i="99"/>
  <c r="M90" i="99"/>
  <c r="M89" i="99"/>
  <c r="M88" i="99"/>
  <c r="M87" i="99"/>
  <c r="M86" i="99"/>
  <c r="M85" i="99"/>
  <c r="M84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7" i="99"/>
  <c r="M8" i="99"/>
  <c r="M9" i="99"/>
  <c r="M10" i="99"/>
  <c r="M11" i="99"/>
  <c r="M12" i="99"/>
  <c r="M13" i="99"/>
  <c r="M14" i="99"/>
  <c r="M15" i="99"/>
  <c r="M16" i="99"/>
  <c r="M17" i="99"/>
  <c r="M18" i="99"/>
  <c r="M19" i="99"/>
  <c r="M20" i="99"/>
  <c r="M21" i="99"/>
  <c r="M22" i="99"/>
  <c r="M23" i="99"/>
  <c r="M24" i="99"/>
  <c r="M25" i="99"/>
  <c r="M26" i="99"/>
  <c r="M6" i="99"/>
  <c r="D93" i="99" l="1"/>
  <c r="E93" i="99" s="1"/>
  <c r="F93" i="99" s="1"/>
  <c r="G93" i="99" s="1"/>
  <c r="H93" i="99" s="1"/>
  <c r="D94" i="99"/>
  <c r="E94" i="99" s="1"/>
  <c r="F94" i="99" s="1"/>
  <c r="G94" i="99" s="1"/>
  <c r="H94" i="99" s="1"/>
  <c r="D95" i="99"/>
  <c r="E95" i="99" s="1"/>
  <c r="F95" i="99" s="1"/>
  <c r="G95" i="99" s="1"/>
  <c r="H95" i="99" s="1"/>
  <c r="D96" i="99"/>
  <c r="E96" i="99" s="1"/>
  <c r="F96" i="99" s="1"/>
  <c r="G96" i="99" s="1"/>
  <c r="H96" i="99" s="1"/>
  <c r="D97" i="99"/>
  <c r="E97" i="99" s="1"/>
  <c r="F97" i="99" s="1"/>
  <c r="G97" i="99" s="1"/>
  <c r="H97" i="99" s="1"/>
  <c r="D92" i="99"/>
  <c r="E92" i="99" s="1"/>
  <c r="F92" i="99" s="1"/>
  <c r="G92" i="99" s="1"/>
  <c r="H92" i="99" s="1"/>
  <c r="U122" i="96"/>
  <c r="U123" i="96"/>
  <c r="U124" i="96"/>
  <c r="U125" i="96"/>
  <c r="U126" i="96"/>
  <c r="U127" i="96"/>
  <c r="U128" i="96"/>
  <c r="U129" i="96"/>
  <c r="U130" i="96"/>
  <c r="U131" i="96"/>
  <c r="U132" i="96"/>
  <c r="U133" i="96"/>
  <c r="U134" i="96"/>
  <c r="U135" i="96"/>
  <c r="U136" i="96"/>
  <c r="U137" i="96"/>
  <c r="U138" i="96"/>
  <c r="U139" i="96"/>
  <c r="U140" i="96"/>
  <c r="U141" i="96"/>
  <c r="U121" i="96"/>
  <c r="U96" i="96"/>
  <c r="U97" i="96"/>
  <c r="U98" i="96"/>
  <c r="U99" i="96"/>
  <c r="U100" i="96"/>
  <c r="U101" i="96"/>
  <c r="U102" i="96"/>
  <c r="U103" i="96"/>
  <c r="U104" i="96"/>
  <c r="U105" i="96"/>
  <c r="U106" i="96"/>
  <c r="U107" i="96"/>
  <c r="U108" i="96"/>
  <c r="U109" i="96"/>
  <c r="U110" i="96"/>
  <c r="U111" i="96"/>
  <c r="U112" i="96"/>
  <c r="U113" i="96"/>
  <c r="U114" i="96"/>
  <c r="U115" i="96"/>
  <c r="U95" i="96"/>
  <c r="U70" i="96"/>
  <c r="U71" i="96"/>
  <c r="U72" i="96"/>
  <c r="U73" i="96"/>
  <c r="U74" i="96"/>
  <c r="U75" i="96"/>
  <c r="U76" i="96"/>
  <c r="U77" i="96"/>
  <c r="U78" i="96"/>
  <c r="U79" i="96"/>
  <c r="U80" i="96"/>
  <c r="U81" i="96"/>
  <c r="U82" i="96"/>
  <c r="U83" i="96"/>
  <c r="U84" i="96"/>
  <c r="U85" i="96"/>
  <c r="U86" i="96"/>
  <c r="U87" i="96"/>
  <c r="U88" i="96"/>
  <c r="U89" i="96"/>
  <c r="U69" i="96"/>
  <c r="U44" i="96"/>
  <c r="U45" i="96"/>
  <c r="U46" i="96"/>
  <c r="U47" i="96"/>
  <c r="U48" i="96"/>
  <c r="U49" i="96"/>
  <c r="U50" i="96"/>
  <c r="U51" i="96"/>
  <c r="U52" i="96"/>
  <c r="U53" i="96"/>
  <c r="U54" i="96"/>
  <c r="U55" i="96"/>
  <c r="U56" i="96"/>
  <c r="U57" i="96"/>
  <c r="U58" i="96"/>
  <c r="U59" i="96"/>
  <c r="U60" i="96"/>
  <c r="U61" i="96"/>
  <c r="U62" i="96"/>
  <c r="U63" i="96"/>
  <c r="U43" i="96"/>
  <c r="U18" i="96"/>
  <c r="U19" i="96"/>
  <c r="U20" i="96"/>
  <c r="U21" i="96"/>
  <c r="U22" i="96"/>
  <c r="U23" i="96"/>
  <c r="U24" i="96"/>
  <c r="U25" i="96"/>
  <c r="U26" i="96"/>
  <c r="U27" i="96"/>
  <c r="U28" i="96"/>
  <c r="U29" i="96"/>
  <c r="U30" i="96"/>
  <c r="U31" i="96"/>
  <c r="U32" i="96"/>
  <c r="U33" i="96"/>
  <c r="U34" i="96"/>
  <c r="U35" i="96"/>
  <c r="U36" i="96"/>
  <c r="U37" i="96"/>
  <c r="U17" i="96"/>
  <c r="AS225" i="91"/>
  <c r="AR225" i="91"/>
  <c r="AQ225" i="91"/>
  <c r="AP225" i="91"/>
  <c r="AO225" i="91"/>
  <c r="AL225" i="91"/>
  <c r="AS224" i="91"/>
  <c r="AR224" i="91"/>
  <c r="AQ224" i="91"/>
  <c r="AP224" i="91"/>
  <c r="AO224" i="91"/>
  <c r="AL224" i="91"/>
  <c r="AS223" i="91"/>
  <c r="AR223" i="91"/>
  <c r="AQ223" i="91"/>
  <c r="AP223" i="91"/>
  <c r="AO223" i="91"/>
  <c r="AL223" i="91"/>
  <c r="AS222" i="91"/>
  <c r="AR222" i="91"/>
  <c r="AQ222" i="91"/>
  <c r="AP222" i="91"/>
  <c r="AO222" i="91"/>
  <c r="AL222" i="91"/>
  <c r="AS221" i="91"/>
  <c r="AR221" i="91"/>
  <c r="AQ221" i="91"/>
  <c r="AP221" i="91"/>
  <c r="AO221" i="91"/>
  <c r="AL221" i="91"/>
  <c r="AS220" i="91"/>
  <c r="AR220" i="91"/>
  <c r="AQ220" i="91"/>
  <c r="AP220" i="91"/>
  <c r="AO220" i="91"/>
  <c r="AL220" i="91"/>
  <c r="AS219" i="91"/>
  <c r="AR219" i="91"/>
  <c r="AQ219" i="91"/>
  <c r="AP219" i="91"/>
  <c r="AO219" i="91"/>
  <c r="AL219" i="91"/>
  <c r="AS218" i="91"/>
  <c r="AR218" i="91"/>
  <c r="AQ218" i="91"/>
  <c r="AP218" i="91"/>
  <c r="AO218" i="91"/>
  <c r="AL218" i="91"/>
  <c r="AS217" i="91"/>
  <c r="AR217" i="91"/>
  <c r="AQ217" i="91"/>
  <c r="AP217" i="91"/>
  <c r="AO217" i="91"/>
  <c r="AL217" i="91"/>
  <c r="AS216" i="91"/>
  <c r="AR216" i="91"/>
  <c r="AQ216" i="91"/>
  <c r="AP216" i="91"/>
  <c r="AO216" i="91"/>
  <c r="AL216" i="91"/>
  <c r="AS215" i="91"/>
  <c r="AR215" i="91"/>
  <c r="AQ215" i="91"/>
  <c r="AP215" i="91"/>
  <c r="AO215" i="91"/>
  <c r="AL215" i="91"/>
  <c r="AS214" i="91"/>
  <c r="AR214" i="91"/>
  <c r="AQ214" i="91"/>
  <c r="AP214" i="91"/>
  <c r="AO214" i="91"/>
  <c r="AL214" i="91"/>
  <c r="AS213" i="91"/>
  <c r="AR213" i="91"/>
  <c r="AQ213" i="91"/>
  <c r="AP213" i="91"/>
  <c r="AO213" i="91"/>
  <c r="AL213" i="91"/>
  <c r="AS212" i="91"/>
  <c r="AR212" i="91"/>
  <c r="AQ212" i="91"/>
  <c r="AP212" i="91"/>
  <c r="AO212" i="91"/>
  <c r="AL212" i="91"/>
  <c r="AS211" i="91"/>
  <c r="AR211" i="91"/>
  <c r="AQ211" i="91"/>
  <c r="AP211" i="91"/>
  <c r="AO211" i="91"/>
  <c r="AL211" i="91"/>
  <c r="AS210" i="91"/>
  <c r="AR210" i="91"/>
  <c r="AQ210" i="91"/>
  <c r="AP210" i="91"/>
  <c r="AO210" i="91"/>
  <c r="AL210" i="91"/>
  <c r="AS209" i="91"/>
  <c r="AR209" i="91"/>
  <c r="AQ209" i="91"/>
  <c r="AP209" i="91"/>
  <c r="AO209" i="91"/>
  <c r="AL209" i="91"/>
  <c r="AS208" i="91"/>
  <c r="AR208" i="91"/>
  <c r="AQ208" i="91"/>
  <c r="AP208" i="91"/>
  <c r="AO208" i="91"/>
  <c r="AL208" i="91"/>
  <c r="AS207" i="91"/>
  <c r="AR207" i="91"/>
  <c r="AQ207" i="91"/>
  <c r="AP207" i="91"/>
  <c r="AO207" i="91"/>
  <c r="AL207" i="91"/>
  <c r="AS206" i="91"/>
  <c r="AR206" i="91"/>
  <c r="AQ206" i="91"/>
  <c r="AP206" i="91"/>
  <c r="AO206" i="91"/>
  <c r="AL206" i="91"/>
  <c r="AS205" i="91"/>
  <c r="AR205" i="91"/>
  <c r="AQ205" i="91"/>
  <c r="AP205" i="91"/>
  <c r="AO205" i="91"/>
  <c r="AL205" i="91"/>
  <c r="AS204" i="91"/>
  <c r="AR204" i="91"/>
  <c r="AQ204" i="91"/>
  <c r="AP204" i="91"/>
  <c r="AO204" i="91"/>
  <c r="AL204" i="91"/>
  <c r="AS203" i="91"/>
  <c r="AR203" i="91"/>
  <c r="AQ203" i="91"/>
  <c r="AP203" i="91"/>
  <c r="AO203" i="91"/>
  <c r="AL203" i="91"/>
  <c r="AS202" i="91"/>
  <c r="AR202" i="91"/>
  <c r="AQ202" i="91"/>
  <c r="AP202" i="91"/>
  <c r="AO202" i="91"/>
  <c r="AL202" i="91"/>
  <c r="AS201" i="91"/>
  <c r="AR201" i="91"/>
  <c r="AQ201" i="91"/>
  <c r="AP201" i="91"/>
  <c r="AO201" i="91"/>
  <c r="AL201" i="91"/>
  <c r="AS200" i="91"/>
  <c r="AR200" i="91"/>
  <c r="AQ200" i="91"/>
  <c r="AP200" i="91"/>
  <c r="AO200" i="91"/>
  <c r="AL200" i="91"/>
  <c r="AS199" i="91"/>
  <c r="AR199" i="91"/>
  <c r="AQ199" i="91"/>
  <c r="AP199" i="91"/>
  <c r="AO199" i="91"/>
  <c r="AL199" i="91"/>
  <c r="AS198" i="91"/>
  <c r="AR198" i="91"/>
  <c r="AQ198" i="91"/>
  <c r="AP198" i="91"/>
  <c r="AO198" i="91"/>
  <c r="AL198" i="91"/>
  <c r="AS197" i="91"/>
  <c r="AR197" i="91"/>
  <c r="AQ197" i="91"/>
  <c r="AP197" i="91"/>
  <c r="AO197" i="91"/>
  <c r="AL197" i="91"/>
  <c r="AS196" i="91"/>
  <c r="AR196" i="91"/>
  <c r="AQ196" i="91"/>
  <c r="AP196" i="91"/>
  <c r="AO196" i="91"/>
  <c r="AL196" i="91"/>
  <c r="AS195" i="91"/>
  <c r="AR195" i="91"/>
  <c r="AQ195" i="91"/>
  <c r="AP195" i="91"/>
  <c r="AO195" i="91"/>
  <c r="AL195" i="91"/>
  <c r="AS194" i="91"/>
  <c r="AR194" i="91"/>
  <c r="AQ194" i="91"/>
  <c r="AP194" i="91"/>
  <c r="AO194" i="91"/>
  <c r="AL194" i="91"/>
  <c r="AS193" i="91"/>
  <c r="AR193" i="91"/>
  <c r="AQ193" i="91"/>
  <c r="AP193" i="91"/>
  <c r="AO193" i="91"/>
  <c r="AL193" i="91"/>
  <c r="AS192" i="91"/>
  <c r="AR192" i="91"/>
  <c r="AQ192" i="91"/>
  <c r="AP192" i="91"/>
  <c r="AO192" i="91"/>
  <c r="AL192" i="91"/>
  <c r="AS191" i="91"/>
  <c r="AR191" i="91"/>
  <c r="AQ191" i="91"/>
  <c r="AP191" i="91"/>
  <c r="AO191" i="91"/>
  <c r="AL191" i="91"/>
  <c r="AS190" i="91"/>
  <c r="AR190" i="91"/>
  <c r="AQ190" i="91"/>
  <c r="AP190" i="91"/>
  <c r="AO190" i="91"/>
  <c r="AL190" i="91"/>
  <c r="AS189" i="91"/>
  <c r="AR189" i="91"/>
  <c r="AQ189" i="91"/>
  <c r="AP189" i="91"/>
  <c r="AO189" i="91"/>
  <c r="AL189" i="91"/>
  <c r="AS188" i="91"/>
  <c r="AR188" i="91"/>
  <c r="AQ188" i="91"/>
  <c r="AP188" i="91"/>
  <c r="AO188" i="91"/>
  <c r="AL188" i="91"/>
  <c r="AS187" i="91"/>
  <c r="AR187" i="91"/>
  <c r="AQ187" i="91"/>
  <c r="AP187" i="91"/>
  <c r="AO187" i="91"/>
  <c r="AL187" i="91"/>
  <c r="AS180" i="91"/>
  <c r="AR180" i="91"/>
  <c r="AQ180" i="91"/>
  <c r="AP180" i="91"/>
  <c r="AO180" i="91"/>
  <c r="AL180" i="91"/>
  <c r="AS179" i="91"/>
  <c r="AR179" i="91"/>
  <c r="AQ179" i="91"/>
  <c r="AP179" i="91"/>
  <c r="AO179" i="91"/>
  <c r="AL179" i="91"/>
  <c r="AS178" i="91"/>
  <c r="AR178" i="91"/>
  <c r="AQ178" i="91"/>
  <c r="AP178" i="91"/>
  <c r="AO178" i="91"/>
  <c r="AL178" i="91"/>
  <c r="AS177" i="91"/>
  <c r="AR177" i="91"/>
  <c r="AQ177" i="91"/>
  <c r="AP177" i="91"/>
  <c r="AO177" i="91"/>
  <c r="AL177" i="91"/>
  <c r="AS176" i="91"/>
  <c r="AR176" i="91"/>
  <c r="AQ176" i="91"/>
  <c r="AP176" i="91"/>
  <c r="AO176" i="91"/>
  <c r="AL176" i="91"/>
  <c r="AS175" i="91"/>
  <c r="AR175" i="91"/>
  <c r="AQ175" i="91"/>
  <c r="AP175" i="91"/>
  <c r="AO175" i="91"/>
  <c r="AL175" i="91"/>
  <c r="AS174" i="91"/>
  <c r="AR174" i="91"/>
  <c r="AQ174" i="91"/>
  <c r="AP174" i="91"/>
  <c r="AO174" i="91"/>
  <c r="AL174" i="91"/>
  <c r="AS173" i="91"/>
  <c r="AR173" i="91"/>
  <c r="AQ173" i="91"/>
  <c r="AP173" i="91"/>
  <c r="AO173" i="91"/>
  <c r="AL173" i="91"/>
  <c r="AS172" i="91"/>
  <c r="AR172" i="91"/>
  <c r="AQ172" i="91"/>
  <c r="AP172" i="91"/>
  <c r="AO172" i="91"/>
  <c r="AL172" i="91"/>
  <c r="AS171" i="91"/>
  <c r="AR171" i="91"/>
  <c r="AQ171" i="91"/>
  <c r="AP171" i="91"/>
  <c r="AO171" i="91"/>
  <c r="AL171" i="91"/>
  <c r="AS170" i="91"/>
  <c r="AR170" i="91"/>
  <c r="AQ170" i="91"/>
  <c r="AP170" i="91"/>
  <c r="AO170" i="91"/>
  <c r="AL170" i="91"/>
  <c r="AS169" i="91"/>
  <c r="AR169" i="91"/>
  <c r="AQ169" i="91"/>
  <c r="AP169" i="91"/>
  <c r="AO169" i="91"/>
  <c r="AL169" i="91"/>
  <c r="AS168" i="91"/>
  <c r="AR168" i="91"/>
  <c r="AQ168" i="91"/>
  <c r="AP168" i="91"/>
  <c r="AO168" i="91"/>
  <c r="AL168" i="91"/>
  <c r="AS167" i="91"/>
  <c r="AR167" i="91"/>
  <c r="AQ167" i="91"/>
  <c r="AP167" i="91"/>
  <c r="AO167" i="91"/>
  <c r="AL167" i="91"/>
  <c r="AS166" i="91"/>
  <c r="AR166" i="91"/>
  <c r="AQ166" i="91"/>
  <c r="AP166" i="91"/>
  <c r="AO166" i="91"/>
  <c r="AL166" i="91"/>
  <c r="AS165" i="91"/>
  <c r="AR165" i="91"/>
  <c r="AQ165" i="91"/>
  <c r="AP165" i="91"/>
  <c r="AO165" i="91"/>
  <c r="AL165" i="91"/>
  <c r="AS164" i="91"/>
  <c r="AR164" i="91"/>
  <c r="AQ164" i="91"/>
  <c r="AP164" i="91"/>
  <c r="AO164" i="91"/>
  <c r="AL164" i="91"/>
  <c r="AS163" i="91"/>
  <c r="AR163" i="91"/>
  <c r="AQ163" i="91"/>
  <c r="AP163" i="91"/>
  <c r="AO163" i="91"/>
  <c r="AL163" i="91"/>
  <c r="AS162" i="91"/>
  <c r="AR162" i="91"/>
  <c r="AQ162" i="91"/>
  <c r="AP162" i="91"/>
  <c r="AO162" i="91"/>
  <c r="AL162" i="91"/>
  <c r="AS161" i="91"/>
  <c r="AR161" i="91"/>
  <c r="AQ161" i="91"/>
  <c r="AP161" i="91"/>
  <c r="AO161" i="91"/>
  <c r="AL161" i="91"/>
  <c r="AS160" i="91"/>
  <c r="AR160" i="91"/>
  <c r="AQ160" i="91"/>
  <c r="AP160" i="91"/>
  <c r="AO160" i="91"/>
  <c r="AL160" i="91"/>
  <c r="AS159" i="91"/>
  <c r="AR159" i="91"/>
  <c r="AQ159" i="91"/>
  <c r="AP159" i="91"/>
  <c r="AO159" i="91"/>
  <c r="AL159" i="91"/>
  <c r="AS158" i="91"/>
  <c r="AR158" i="91"/>
  <c r="AQ158" i="91"/>
  <c r="AP158" i="91"/>
  <c r="AO158" i="91"/>
  <c r="AL158" i="91"/>
  <c r="AS157" i="91"/>
  <c r="AR157" i="91"/>
  <c r="AQ157" i="91"/>
  <c r="AP157" i="91"/>
  <c r="AO157" i="91"/>
  <c r="AL157" i="91"/>
  <c r="AS156" i="91"/>
  <c r="AR156" i="91"/>
  <c r="AQ156" i="91"/>
  <c r="AP156" i="91"/>
  <c r="AO156" i="91"/>
  <c r="AL156" i="91"/>
  <c r="AS155" i="91"/>
  <c r="AR155" i="91"/>
  <c r="AQ155" i="91"/>
  <c r="AP155" i="91"/>
  <c r="AO155" i="91"/>
  <c r="AL155" i="91"/>
  <c r="AS154" i="91"/>
  <c r="AR154" i="91"/>
  <c r="AQ154" i="91"/>
  <c r="AP154" i="91"/>
  <c r="AO154" i="91"/>
  <c r="AL154" i="91"/>
  <c r="AS153" i="91"/>
  <c r="AR153" i="91"/>
  <c r="AQ153" i="91"/>
  <c r="AP153" i="91"/>
  <c r="AO153" i="91"/>
  <c r="AL153" i="91"/>
  <c r="AS152" i="91"/>
  <c r="AR152" i="91"/>
  <c r="AQ152" i="91"/>
  <c r="AP152" i="91"/>
  <c r="AO152" i="91"/>
  <c r="AL152" i="91"/>
  <c r="AS151" i="91"/>
  <c r="AR151" i="91"/>
  <c r="AQ151" i="91"/>
  <c r="AP151" i="91"/>
  <c r="AO151" i="91"/>
  <c r="AL151" i="91"/>
  <c r="AS150" i="91"/>
  <c r="AR150" i="91"/>
  <c r="AQ150" i="91"/>
  <c r="AP150" i="91"/>
  <c r="AO150" i="91"/>
  <c r="AL150" i="91"/>
  <c r="AS149" i="91"/>
  <c r="AR149" i="91"/>
  <c r="AQ149" i="91"/>
  <c r="AP149" i="91"/>
  <c r="AO149" i="91"/>
  <c r="AL149" i="91"/>
  <c r="AS148" i="91"/>
  <c r="AR148" i="91"/>
  <c r="AQ148" i="91"/>
  <c r="AP148" i="91"/>
  <c r="AO148" i="91"/>
  <c r="AL148" i="91"/>
  <c r="AS147" i="91"/>
  <c r="AR147" i="91"/>
  <c r="AQ147" i="91"/>
  <c r="AP147" i="91"/>
  <c r="AO147" i="91"/>
  <c r="AL147" i="91"/>
  <c r="AS146" i="91"/>
  <c r="AR146" i="91"/>
  <c r="AQ146" i="91"/>
  <c r="AP146" i="91"/>
  <c r="AO146" i="91"/>
  <c r="AL146" i="91"/>
  <c r="AS145" i="91"/>
  <c r="AR145" i="91"/>
  <c r="AQ145" i="91"/>
  <c r="AP145" i="91"/>
  <c r="AO145" i="91"/>
  <c r="AL145" i="91"/>
  <c r="AS144" i="91"/>
  <c r="AR144" i="91"/>
  <c r="AQ144" i="91"/>
  <c r="AP144" i="91"/>
  <c r="AO144" i="91"/>
  <c r="AL144" i="91"/>
  <c r="AS143" i="91"/>
  <c r="AR143" i="91"/>
  <c r="AQ143" i="91"/>
  <c r="AP143" i="91"/>
  <c r="AO143" i="91"/>
  <c r="AL143" i="91"/>
  <c r="AS142" i="91"/>
  <c r="AR142" i="91"/>
  <c r="AQ142" i="91"/>
  <c r="AP142" i="91"/>
  <c r="AO142" i="91"/>
  <c r="AL142" i="91"/>
  <c r="AS135" i="91"/>
  <c r="AR135" i="91"/>
  <c r="AQ135" i="91"/>
  <c r="AP135" i="91"/>
  <c r="AO135" i="91"/>
  <c r="AL135" i="91"/>
  <c r="AS134" i="91"/>
  <c r="AR134" i="91"/>
  <c r="AQ134" i="91"/>
  <c r="AP134" i="91"/>
  <c r="AO134" i="91"/>
  <c r="AL134" i="91"/>
  <c r="AS133" i="91"/>
  <c r="AR133" i="91"/>
  <c r="AQ133" i="91"/>
  <c r="AP133" i="91"/>
  <c r="AO133" i="91"/>
  <c r="AL133" i="91"/>
  <c r="AS132" i="91"/>
  <c r="AR132" i="91"/>
  <c r="AQ132" i="91"/>
  <c r="AP132" i="91"/>
  <c r="AO132" i="91"/>
  <c r="AL132" i="91"/>
  <c r="AS131" i="91"/>
  <c r="AR131" i="91"/>
  <c r="AQ131" i="91"/>
  <c r="AP131" i="91"/>
  <c r="AO131" i="91"/>
  <c r="AL131" i="91"/>
  <c r="AS130" i="91"/>
  <c r="AR130" i="91"/>
  <c r="AQ130" i="91"/>
  <c r="AP130" i="91"/>
  <c r="AO130" i="91"/>
  <c r="AL130" i="91"/>
  <c r="AS129" i="91"/>
  <c r="AR129" i="91"/>
  <c r="AQ129" i="91"/>
  <c r="AP129" i="91"/>
  <c r="AO129" i="91"/>
  <c r="AL129" i="91"/>
  <c r="AS128" i="91"/>
  <c r="AR128" i="91"/>
  <c r="AQ128" i="91"/>
  <c r="AP128" i="91"/>
  <c r="AO128" i="91"/>
  <c r="AL128" i="91"/>
  <c r="AS127" i="91"/>
  <c r="AR127" i="91"/>
  <c r="AQ127" i="91"/>
  <c r="AP127" i="91"/>
  <c r="AO127" i="91"/>
  <c r="AL127" i="91"/>
  <c r="AS126" i="91"/>
  <c r="AR126" i="91"/>
  <c r="AQ126" i="91"/>
  <c r="AP126" i="91"/>
  <c r="AO126" i="91"/>
  <c r="AL126" i="91"/>
  <c r="AS125" i="91"/>
  <c r="AR125" i="91"/>
  <c r="AQ125" i="91"/>
  <c r="AP125" i="91"/>
  <c r="AO125" i="91"/>
  <c r="AL125" i="91"/>
  <c r="AS124" i="91"/>
  <c r="AR124" i="91"/>
  <c r="AQ124" i="91"/>
  <c r="AP124" i="91"/>
  <c r="AO124" i="91"/>
  <c r="AL124" i="91"/>
  <c r="AS123" i="91"/>
  <c r="AR123" i="91"/>
  <c r="AQ123" i="91"/>
  <c r="AP123" i="91"/>
  <c r="AO123" i="91"/>
  <c r="AL123" i="91"/>
  <c r="AS122" i="91"/>
  <c r="AR122" i="91"/>
  <c r="AQ122" i="91"/>
  <c r="AP122" i="91"/>
  <c r="AO122" i="91"/>
  <c r="AL122" i="91"/>
  <c r="AS121" i="91"/>
  <c r="AR121" i="91"/>
  <c r="AQ121" i="91"/>
  <c r="AP121" i="91"/>
  <c r="AO121" i="91"/>
  <c r="AL121" i="91"/>
  <c r="AS120" i="91"/>
  <c r="AR120" i="91"/>
  <c r="AQ120" i="91"/>
  <c r="AP120" i="91"/>
  <c r="AO120" i="91"/>
  <c r="AL120" i="91"/>
  <c r="AS119" i="91"/>
  <c r="AR119" i="91"/>
  <c r="AQ119" i="91"/>
  <c r="AP119" i="91"/>
  <c r="AO119" i="91"/>
  <c r="AL119" i="91"/>
  <c r="AS118" i="91"/>
  <c r="AR118" i="91"/>
  <c r="AQ118" i="91"/>
  <c r="AP118" i="91"/>
  <c r="AO118" i="91"/>
  <c r="AL118" i="91"/>
  <c r="AS117" i="91"/>
  <c r="AR117" i="91"/>
  <c r="AQ117" i="91"/>
  <c r="AP117" i="91"/>
  <c r="AO117" i="91"/>
  <c r="AL117" i="91"/>
  <c r="AS116" i="91"/>
  <c r="AR116" i="91"/>
  <c r="AQ116" i="91"/>
  <c r="AP116" i="91"/>
  <c r="AO116" i="91"/>
  <c r="AL116" i="91"/>
  <c r="AS115" i="91"/>
  <c r="AR115" i="91"/>
  <c r="AQ115" i="91"/>
  <c r="AP115" i="91"/>
  <c r="AO115" i="91"/>
  <c r="AL115" i="91"/>
  <c r="AS114" i="91"/>
  <c r="AR114" i="91"/>
  <c r="AQ114" i="91"/>
  <c r="AP114" i="91"/>
  <c r="AO114" i="91"/>
  <c r="AL114" i="91"/>
  <c r="AS113" i="91"/>
  <c r="AR113" i="91"/>
  <c r="AQ113" i="91"/>
  <c r="AP113" i="91"/>
  <c r="AO113" i="91"/>
  <c r="AL113" i="91"/>
  <c r="AS112" i="91"/>
  <c r="AR112" i="91"/>
  <c r="AQ112" i="91"/>
  <c r="AP112" i="91"/>
  <c r="AO112" i="91"/>
  <c r="AL112" i="91"/>
  <c r="AS111" i="91"/>
  <c r="AR111" i="91"/>
  <c r="AQ111" i="91"/>
  <c r="AP111" i="91"/>
  <c r="AO111" i="91"/>
  <c r="AL111" i="91"/>
  <c r="AS110" i="91"/>
  <c r="AR110" i="91"/>
  <c r="AQ110" i="91"/>
  <c r="AP110" i="91"/>
  <c r="AO110" i="91"/>
  <c r="AL110" i="91"/>
  <c r="AS109" i="91"/>
  <c r="AR109" i="91"/>
  <c r="AQ109" i="91"/>
  <c r="AP109" i="91"/>
  <c r="AO109" i="91"/>
  <c r="AL109" i="91"/>
  <c r="AS108" i="91"/>
  <c r="AR108" i="91"/>
  <c r="AQ108" i="91"/>
  <c r="AP108" i="91"/>
  <c r="AO108" i="91"/>
  <c r="AL108" i="91"/>
  <c r="AS107" i="91"/>
  <c r="AR107" i="91"/>
  <c r="AQ107" i="91"/>
  <c r="AP107" i="91"/>
  <c r="AO107" i="91"/>
  <c r="AL107" i="91"/>
  <c r="AS106" i="91"/>
  <c r="AR106" i="91"/>
  <c r="AQ106" i="91"/>
  <c r="AP106" i="91"/>
  <c r="AO106" i="91"/>
  <c r="AL106" i="91"/>
  <c r="AS105" i="91"/>
  <c r="AR105" i="91"/>
  <c r="AQ105" i="91"/>
  <c r="AP105" i="91"/>
  <c r="AO105" i="91"/>
  <c r="AL105" i="91"/>
  <c r="AS104" i="91"/>
  <c r="AR104" i="91"/>
  <c r="AQ104" i="91"/>
  <c r="AP104" i="91"/>
  <c r="AO104" i="91"/>
  <c r="AL104" i="91"/>
  <c r="AS103" i="91"/>
  <c r="AR103" i="91"/>
  <c r="AQ103" i="91"/>
  <c r="AP103" i="91"/>
  <c r="AO103" i="91"/>
  <c r="AL103" i="91"/>
  <c r="AS102" i="91"/>
  <c r="AR102" i="91"/>
  <c r="AQ102" i="91"/>
  <c r="AP102" i="91"/>
  <c r="AO102" i="91"/>
  <c r="AL102" i="91"/>
  <c r="AS101" i="91"/>
  <c r="AR101" i="91"/>
  <c r="AQ101" i="91"/>
  <c r="AP101" i="91"/>
  <c r="AO101" i="91"/>
  <c r="AL101" i="91"/>
  <c r="AS100" i="91"/>
  <c r="AR100" i="91"/>
  <c r="AQ100" i="91"/>
  <c r="AP100" i="91"/>
  <c r="AO100" i="91"/>
  <c r="AL100" i="91"/>
  <c r="AS99" i="91"/>
  <c r="AR99" i="91"/>
  <c r="AQ99" i="91"/>
  <c r="AP99" i="91"/>
  <c r="AO99" i="91"/>
  <c r="AL99" i="91"/>
  <c r="AS98" i="91"/>
  <c r="AR98" i="91"/>
  <c r="AQ98" i="91"/>
  <c r="AP98" i="91"/>
  <c r="AO98" i="91"/>
  <c r="AL98" i="91"/>
  <c r="AS97" i="91"/>
  <c r="AR97" i="91"/>
  <c r="AQ97" i="91"/>
  <c r="AP97" i="91"/>
  <c r="AO97" i="91"/>
  <c r="AL97" i="91"/>
  <c r="AS90" i="91"/>
  <c r="AR90" i="91"/>
  <c r="AQ90" i="91"/>
  <c r="AP90" i="91"/>
  <c r="AO90" i="91"/>
  <c r="AL90" i="91"/>
  <c r="AS89" i="91"/>
  <c r="AR89" i="91"/>
  <c r="AQ89" i="91"/>
  <c r="AP89" i="91"/>
  <c r="AO89" i="91"/>
  <c r="AL89" i="91"/>
  <c r="AS88" i="91"/>
  <c r="AR88" i="91"/>
  <c r="AQ88" i="91"/>
  <c r="AP88" i="91"/>
  <c r="AO88" i="91"/>
  <c r="AL88" i="91"/>
  <c r="AS87" i="91"/>
  <c r="AR87" i="91"/>
  <c r="AQ87" i="91"/>
  <c r="AP87" i="91"/>
  <c r="AO87" i="91"/>
  <c r="AL87" i="91"/>
  <c r="AS86" i="91"/>
  <c r="AR86" i="91"/>
  <c r="AQ86" i="91"/>
  <c r="AP86" i="91"/>
  <c r="AO86" i="91"/>
  <c r="AL86" i="91"/>
  <c r="AS85" i="91"/>
  <c r="AR85" i="91"/>
  <c r="AQ85" i="91"/>
  <c r="AP85" i="91"/>
  <c r="AO85" i="91"/>
  <c r="AL85" i="91"/>
  <c r="AS84" i="91"/>
  <c r="AR84" i="91"/>
  <c r="AQ84" i="91"/>
  <c r="AP84" i="91"/>
  <c r="AO84" i="91"/>
  <c r="AL84" i="91"/>
  <c r="AS83" i="91"/>
  <c r="AR83" i="91"/>
  <c r="AQ83" i="91"/>
  <c r="AP83" i="91"/>
  <c r="AO83" i="91"/>
  <c r="AL83" i="91"/>
  <c r="AS82" i="91"/>
  <c r="AR82" i="91"/>
  <c r="AQ82" i="91"/>
  <c r="AP82" i="91"/>
  <c r="AO82" i="91"/>
  <c r="AL82" i="91"/>
  <c r="AS81" i="91"/>
  <c r="AR81" i="91"/>
  <c r="AQ81" i="91"/>
  <c r="AP81" i="91"/>
  <c r="AO81" i="91"/>
  <c r="AL81" i="91"/>
  <c r="AS80" i="91"/>
  <c r="AR80" i="91"/>
  <c r="AQ80" i="91"/>
  <c r="AP80" i="91"/>
  <c r="AO80" i="91"/>
  <c r="AL80" i="91"/>
  <c r="AS79" i="91"/>
  <c r="AR79" i="91"/>
  <c r="AQ79" i="91"/>
  <c r="AP79" i="91"/>
  <c r="AO79" i="91"/>
  <c r="AL79" i="91"/>
  <c r="AS78" i="91"/>
  <c r="AR78" i="91"/>
  <c r="AQ78" i="91"/>
  <c r="AP78" i="91"/>
  <c r="AO78" i="91"/>
  <c r="AL78" i="91"/>
  <c r="AS77" i="91"/>
  <c r="AR77" i="91"/>
  <c r="AQ77" i="91"/>
  <c r="AP77" i="91"/>
  <c r="AO77" i="91"/>
  <c r="AL77" i="91"/>
  <c r="AS76" i="91"/>
  <c r="AR76" i="91"/>
  <c r="AQ76" i="91"/>
  <c r="AP76" i="91"/>
  <c r="AO76" i="91"/>
  <c r="AL76" i="91"/>
  <c r="AS75" i="91"/>
  <c r="AR75" i="91"/>
  <c r="AQ75" i="91"/>
  <c r="AP75" i="91"/>
  <c r="AO75" i="91"/>
  <c r="AL75" i="91"/>
  <c r="AS74" i="91"/>
  <c r="AR74" i="91"/>
  <c r="AQ74" i="91"/>
  <c r="AP74" i="91"/>
  <c r="AO74" i="91"/>
  <c r="AL74" i="91"/>
  <c r="AS73" i="91"/>
  <c r="AR73" i="91"/>
  <c r="AQ73" i="91"/>
  <c r="AP73" i="91"/>
  <c r="AO73" i="91"/>
  <c r="AL73" i="91"/>
  <c r="AS72" i="91"/>
  <c r="AR72" i="91"/>
  <c r="AQ72" i="91"/>
  <c r="AP72" i="91"/>
  <c r="AO72" i="91"/>
  <c r="AL72" i="91"/>
  <c r="AS71" i="91"/>
  <c r="AR71" i="91"/>
  <c r="AQ71" i="91"/>
  <c r="AP71" i="91"/>
  <c r="AO71" i="91"/>
  <c r="AL71" i="91"/>
  <c r="AS70" i="91"/>
  <c r="AR70" i="91"/>
  <c r="AQ70" i="91"/>
  <c r="AP70" i="91"/>
  <c r="AO70" i="91"/>
  <c r="AL70" i="91"/>
  <c r="AS69" i="91"/>
  <c r="AR69" i="91"/>
  <c r="AQ69" i="91"/>
  <c r="AP69" i="91"/>
  <c r="AO69" i="91"/>
  <c r="AL69" i="91"/>
  <c r="AS68" i="91"/>
  <c r="AR68" i="91"/>
  <c r="AQ68" i="91"/>
  <c r="AP68" i="91"/>
  <c r="AO68" i="91"/>
  <c r="AL68" i="91"/>
  <c r="AS67" i="91"/>
  <c r="AR67" i="91"/>
  <c r="AQ67" i="91"/>
  <c r="AP67" i="91"/>
  <c r="AO67" i="91"/>
  <c r="AL67" i="91"/>
  <c r="AS66" i="91"/>
  <c r="AR66" i="91"/>
  <c r="AQ66" i="91"/>
  <c r="AP66" i="91"/>
  <c r="AO66" i="91"/>
  <c r="AL66" i="91"/>
  <c r="AS65" i="91"/>
  <c r="AR65" i="91"/>
  <c r="AQ65" i="91"/>
  <c r="AP65" i="91"/>
  <c r="AO65" i="91"/>
  <c r="AL65" i="91"/>
  <c r="AS64" i="91"/>
  <c r="AR64" i="91"/>
  <c r="AQ64" i="91"/>
  <c r="AP64" i="91"/>
  <c r="AO64" i="91"/>
  <c r="AL64" i="91"/>
  <c r="AS63" i="91"/>
  <c r="AR63" i="91"/>
  <c r="AQ63" i="91"/>
  <c r="AP63" i="91"/>
  <c r="AO63" i="91"/>
  <c r="AL63" i="91"/>
  <c r="AS62" i="91"/>
  <c r="AR62" i="91"/>
  <c r="AQ62" i="91"/>
  <c r="AP62" i="91"/>
  <c r="AO62" i="91"/>
  <c r="AL62" i="91"/>
  <c r="AS61" i="91"/>
  <c r="AR61" i="91"/>
  <c r="AQ61" i="91"/>
  <c r="AP61" i="91"/>
  <c r="AO61" i="91"/>
  <c r="AL61" i="91"/>
  <c r="AS60" i="91"/>
  <c r="AR60" i="91"/>
  <c r="AQ60" i="91"/>
  <c r="AP60" i="91"/>
  <c r="AO60" i="91"/>
  <c r="AL60" i="91"/>
  <c r="AS59" i="91"/>
  <c r="AR59" i="91"/>
  <c r="AQ59" i="91"/>
  <c r="AP59" i="91"/>
  <c r="AO59" i="91"/>
  <c r="AL59" i="91"/>
  <c r="AS58" i="91"/>
  <c r="AR58" i="91"/>
  <c r="AQ58" i="91"/>
  <c r="AP58" i="91"/>
  <c r="AO58" i="91"/>
  <c r="AL58" i="91"/>
  <c r="AS57" i="91"/>
  <c r="AR57" i="91"/>
  <c r="AQ57" i="91"/>
  <c r="AP57" i="91"/>
  <c r="AO57" i="91"/>
  <c r="AL57" i="91"/>
  <c r="AS56" i="91"/>
  <c r="AR56" i="91"/>
  <c r="AQ56" i="91"/>
  <c r="AP56" i="91"/>
  <c r="AO56" i="91"/>
  <c r="AL56" i="91"/>
  <c r="AS55" i="91"/>
  <c r="AR55" i="91"/>
  <c r="AQ55" i="91"/>
  <c r="AP55" i="91"/>
  <c r="AO55" i="91"/>
  <c r="AL55" i="91"/>
  <c r="AS54" i="91"/>
  <c r="AR54" i="91"/>
  <c r="AQ54" i="91"/>
  <c r="AP54" i="91"/>
  <c r="AO54" i="91"/>
  <c r="AL54" i="91"/>
  <c r="AS53" i="91"/>
  <c r="AR53" i="91"/>
  <c r="AQ53" i="91"/>
  <c r="AP53" i="91"/>
  <c r="AO53" i="91"/>
  <c r="AL53" i="91"/>
  <c r="AS52" i="91"/>
  <c r="AR52" i="91"/>
  <c r="AQ52" i="91"/>
  <c r="AP52" i="91"/>
  <c r="AO52" i="91"/>
  <c r="AL52" i="91"/>
  <c r="AO8" i="91"/>
  <c r="AP8" i="91"/>
  <c r="AQ8" i="91"/>
  <c r="AR8" i="91"/>
  <c r="AS8" i="91"/>
  <c r="AO9" i="91"/>
  <c r="AP9" i="91"/>
  <c r="AQ9" i="91"/>
  <c r="AR9" i="91"/>
  <c r="AS9" i="91"/>
  <c r="AO10" i="91"/>
  <c r="AP10" i="91"/>
  <c r="AQ10" i="91"/>
  <c r="AR10" i="91"/>
  <c r="AS10" i="91"/>
  <c r="AO11" i="91"/>
  <c r="AP11" i="91"/>
  <c r="AQ11" i="91"/>
  <c r="AR11" i="91"/>
  <c r="AS11" i="91"/>
  <c r="AO12" i="91"/>
  <c r="AP12" i="91"/>
  <c r="AQ12" i="91"/>
  <c r="AR12" i="91"/>
  <c r="AS12" i="91"/>
  <c r="AO13" i="91"/>
  <c r="AP13" i="91"/>
  <c r="AQ13" i="91"/>
  <c r="AR13" i="91"/>
  <c r="AS13" i="91"/>
  <c r="AO14" i="91"/>
  <c r="AP14" i="91"/>
  <c r="AQ14" i="91"/>
  <c r="AR14" i="91"/>
  <c r="AS14" i="91"/>
  <c r="AO15" i="91"/>
  <c r="AP15" i="91"/>
  <c r="AQ15" i="91"/>
  <c r="AR15" i="91"/>
  <c r="AS15" i="91"/>
  <c r="AO16" i="91"/>
  <c r="AP16" i="91"/>
  <c r="AQ16" i="91"/>
  <c r="AR16" i="91"/>
  <c r="AS16" i="91"/>
  <c r="AO17" i="91"/>
  <c r="AP17" i="91"/>
  <c r="AQ17" i="91"/>
  <c r="AR17" i="91"/>
  <c r="AS17" i="91"/>
  <c r="AO18" i="91"/>
  <c r="AP18" i="91"/>
  <c r="AQ18" i="91"/>
  <c r="AR18" i="91"/>
  <c r="AS18" i="91"/>
  <c r="AO19" i="91"/>
  <c r="AP19" i="91"/>
  <c r="AQ19" i="91"/>
  <c r="AR19" i="91"/>
  <c r="AS19" i="91"/>
  <c r="AO20" i="91"/>
  <c r="AP20" i="91"/>
  <c r="AQ20" i="91"/>
  <c r="AR20" i="91"/>
  <c r="AS20" i="91"/>
  <c r="AO21" i="91"/>
  <c r="AP21" i="91"/>
  <c r="AQ21" i="91"/>
  <c r="AR21" i="91"/>
  <c r="AS21" i="91"/>
  <c r="AO22" i="91"/>
  <c r="AP22" i="91"/>
  <c r="AQ22" i="91"/>
  <c r="AR22" i="91"/>
  <c r="AS22" i="91"/>
  <c r="AO23" i="91"/>
  <c r="AP23" i="91"/>
  <c r="AQ23" i="91"/>
  <c r="AR23" i="91"/>
  <c r="AS23" i="91"/>
  <c r="AO24" i="91"/>
  <c r="AP24" i="91"/>
  <c r="AQ24" i="91"/>
  <c r="AR24" i="91"/>
  <c r="AS24" i="91"/>
  <c r="AO25" i="91"/>
  <c r="AP25" i="91"/>
  <c r="AQ25" i="91"/>
  <c r="AR25" i="91"/>
  <c r="AS25" i="91"/>
  <c r="AO26" i="91"/>
  <c r="AP26" i="91"/>
  <c r="AQ26" i="91"/>
  <c r="AR26" i="91"/>
  <c r="AS26" i="91"/>
  <c r="AO27" i="91"/>
  <c r="AP27" i="91"/>
  <c r="AQ27" i="91"/>
  <c r="AR27" i="91"/>
  <c r="AS27" i="91"/>
  <c r="AO28" i="91"/>
  <c r="AP28" i="91"/>
  <c r="AQ28" i="91"/>
  <c r="AR28" i="91"/>
  <c r="AS28" i="91"/>
  <c r="AO29" i="91"/>
  <c r="AP29" i="91"/>
  <c r="AQ29" i="91"/>
  <c r="AR29" i="91"/>
  <c r="AS29" i="91"/>
  <c r="AO30" i="91"/>
  <c r="AP30" i="91"/>
  <c r="AQ30" i="91"/>
  <c r="AR30" i="91"/>
  <c r="AS30" i="91"/>
  <c r="AO31" i="91"/>
  <c r="AP31" i="91"/>
  <c r="AQ31" i="91"/>
  <c r="AR31" i="91"/>
  <c r="AS31" i="91"/>
  <c r="AO32" i="91"/>
  <c r="AP32" i="91"/>
  <c r="AQ32" i="91"/>
  <c r="AR32" i="91"/>
  <c r="AS32" i="91"/>
  <c r="AO33" i="91"/>
  <c r="AP33" i="91"/>
  <c r="AQ33" i="91"/>
  <c r="AR33" i="91"/>
  <c r="AS33" i="91"/>
  <c r="AO34" i="91"/>
  <c r="AP34" i="91"/>
  <c r="AQ34" i="91"/>
  <c r="AR34" i="91"/>
  <c r="AS34" i="91"/>
  <c r="AO35" i="91"/>
  <c r="AP35" i="91"/>
  <c r="AQ35" i="91"/>
  <c r="AR35" i="91"/>
  <c r="AS35" i="91"/>
  <c r="AO36" i="91"/>
  <c r="AP36" i="91"/>
  <c r="AQ36" i="91"/>
  <c r="AR36" i="91"/>
  <c r="AS36" i="91"/>
  <c r="AO37" i="91"/>
  <c r="AP37" i="91"/>
  <c r="AQ37" i="91"/>
  <c r="AR37" i="91"/>
  <c r="AS37" i="91"/>
  <c r="AO38" i="91"/>
  <c r="AP38" i="91"/>
  <c r="AQ38" i="91"/>
  <c r="AR38" i="91"/>
  <c r="AS38" i="91"/>
  <c r="AO39" i="91"/>
  <c r="AP39" i="91"/>
  <c r="AQ39" i="91"/>
  <c r="AR39" i="91"/>
  <c r="AS39" i="91"/>
  <c r="AO40" i="91"/>
  <c r="AP40" i="91"/>
  <c r="AQ40" i="91"/>
  <c r="AR40" i="91"/>
  <c r="AS40" i="91"/>
  <c r="AO41" i="91"/>
  <c r="AP41" i="91"/>
  <c r="AQ41" i="91"/>
  <c r="AR41" i="91"/>
  <c r="AS41" i="91"/>
  <c r="AO42" i="91"/>
  <c r="AP42" i="91"/>
  <c r="AQ42" i="91"/>
  <c r="AR42" i="91"/>
  <c r="AS42" i="91"/>
  <c r="AO43" i="91"/>
  <c r="AP43" i="91"/>
  <c r="AQ43" i="91"/>
  <c r="AR43" i="91"/>
  <c r="AS43" i="91"/>
  <c r="AO44" i="91"/>
  <c r="AP44" i="91"/>
  <c r="AQ44" i="91"/>
  <c r="AR44" i="91"/>
  <c r="AS44" i="91"/>
  <c r="AO45" i="91"/>
  <c r="AP45" i="91"/>
  <c r="AQ45" i="91"/>
  <c r="AR45" i="91"/>
  <c r="AS45" i="91"/>
  <c r="AS7" i="91"/>
  <c r="AR7" i="91"/>
  <c r="AQ7" i="91"/>
  <c r="AP7" i="91"/>
  <c r="AO7" i="91"/>
  <c r="AL8" i="91"/>
  <c r="AL9" i="91"/>
  <c r="AL10" i="91"/>
  <c r="AL11" i="91"/>
  <c r="AL12" i="91"/>
  <c r="AL13" i="91"/>
  <c r="AL14" i="91"/>
  <c r="AL15" i="91"/>
  <c r="AL16" i="91"/>
  <c r="AL17" i="91"/>
  <c r="AL18" i="91"/>
  <c r="AL19" i="91"/>
  <c r="AL20" i="91"/>
  <c r="AL21" i="91"/>
  <c r="AL22" i="91"/>
  <c r="AL23" i="91"/>
  <c r="AL24" i="91"/>
  <c r="AL25" i="91"/>
  <c r="AL26" i="91"/>
  <c r="AL27" i="91"/>
  <c r="AL28" i="91"/>
  <c r="AL29" i="91"/>
  <c r="AL30" i="91"/>
  <c r="AL31" i="91"/>
  <c r="AL32" i="91"/>
  <c r="AL33" i="91"/>
  <c r="AL34" i="91"/>
  <c r="AL35" i="91"/>
  <c r="AL36" i="91"/>
  <c r="AL37" i="91"/>
  <c r="AL38" i="91"/>
  <c r="AL39" i="91"/>
  <c r="AL40" i="91"/>
  <c r="AL41" i="91"/>
  <c r="AL42" i="91"/>
  <c r="AL43" i="91"/>
  <c r="AL44" i="91"/>
  <c r="AL45" i="91"/>
  <c r="AL7" i="91"/>
  <c r="V122" i="96" l="1"/>
  <c r="V125" i="96"/>
  <c r="V128" i="96"/>
  <c r="V131" i="96"/>
  <c r="V134" i="96"/>
  <c r="V137" i="96"/>
  <c r="V140" i="96"/>
  <c r="V96" i="96"/>
  <c r="V99" i="96"/>
  <c r="V102" i="96"/>
  <c r="V105" i="96"/>
  <c r="V108" i="96"/>
  <c r="V111" i="96"/>
  <c r="V114" i="96"/>
  <c r="V70" i="96"/>
  <c r="V73" i="96"/>
  <c r="V76" i="96"/>
  <c r="V79" i="96"/>
  <c r="V82" i="96"/>
  <c r="V85" i="96"/>
  <c r="V88" i="96"/>
  <c r="V44" i="96"/>
  <c r="V47" i="96"/>
  <c r="V50" i="96"/>
  <c r="V53" i="96"/>
  <c r="V56" i="96"/>
  <c r="V59" i="96"/>
  <c r="V62" i="96"/>
  <c r="V18" i="96"/>
  <c r="V21" i="96"/>
  <c r="V24" i="96"/>
  <c r="V27" i="96"/>
  <c r="V30" i="96"/>
  <c r="V124" i="96"/>
  <c r="V130" i="96"/>
  <c r="V136" i="96"/>
  <c r="V121" i="96"/>
  <c r="V71" i="96"/>
  <c r="V77" i="96"/>
  <c r="V83" i="96"/>
  <c r="V89" i="96"/>
  <c r="V46" i="96"/>
  <c r="V52" i="96"/>
  <c r="V58" i="96"/>
  <c r="V43" i="96"/>
  <c r="V32" i="96"/>
  <c r="V35" i="96"/>
  <c r="V126" i="96"/>
  <c r="V48" i="96"/>
  <c r="V23" i="96"/>
  <c r="V29" i="96"/>
  <c r="V100" i="96"/>
  <c r="V106" i="96"/>
  <c r="V112" i="96"/>
  <c r="V75" i="96"/>
  <c r="V81" i="96"/>
  <c r="V87" i="96"/>
  <c r="V22" i="96"/>
  <c r="V28" i="96"/>
  <c r="V17" i="96"/>
  <c r="V132" i="96"/>
  <c r="V138" i="96"/>
  <c r="V101" i="96"/>
  <c r="V107" i="96"/>
  <c r="V113" i="96"/>
  <c r="V54" i="96"/>
  <c r="V60" i="96"/>
  <c r="V123" i="96"/>
  <c r="V129" i="96"/>
  <c r="V135" i="96"/>
  <c r="V141" i="96"/>
  <c r="V97" i="96"/>
  <c r="V103" i="96"/>
  <c r="V109" i="96"/>
  <c r="V115" i="96"/>
  <c r="V37" i="96"/>
  <c r="V61" i="96"/>
  <c r="V26" i="96"/>
  <c r="V36" i="96"/>
  <c r="V127" i="96"/>
  <c r="V133" i="96"/>
  <c r="V139" i="96"/>
  <c r="V74" i="96"/>
  <c r="V80" i="96"/>
  <c r="V86" i="96"/>
  <c r="V55" i="96"/>
  <c r="V98" i="96"/>
  <c r="V104" i="96"/>
  <c r="V110" i="96"/>
  <c r="V95" i="96"/>
  <c r="V72" i="96"/>
  <c r="V78" i="96"/>
  <c r="V84" i="96"/>
  <c r="V69" i="96"/>
  <c r="V45" i="96"/>
  <c r="V51" i="96"/>
  <c r="V57" i="96"/>
  <c r="V63" i="96"/>
  <c r="V19" i="96"/>
  <c r="V25" i="96"/>
  <c r="V31" i="96"/>
  <c r="V33" i="96"/>
  <c r="V49" i="96"/>
  <c r="V34" i="96"/>
  <c r="V20" i="96"/>
  <c r="H9" i="96" l="1"/>
  <c r="F56" i="99" l="1"/>
  <c r="G56" i="99"/>
  <c r="E56" i="99"/>
  <c r="F8" i="96"/>
  <c r="H8" i="96"/>
  <c r="F9" i="96"/>
  <c r="E9" i="96"/>
  <c r="E8" i="96"/>
  <c r="T100" i="18"/>
  <c r="V109" i="109" l="1"/>
  <c r="E57" i="99"/>
  <c r="G57" i="99"/>
  <c r="F57" i="99"/>
  <c r="G58" i="99" l="1"/>
  <c r="F58" i="99"/>
  <c r="E58" i="99"/>
  <c r="F8" i="97"/>
  <c r="F6" i="103" s="1"/>
  <c r="D8" i="97"/>
  <c r="D6" i="103" s="1"/>
  <c r="E8" i="97"/>
  <c r="E6" i="103" s="1"/>
  <c r="C8" i="97"/>
  <c r="C6" i="103" s="1"/>
  <c r="E60" i="99" l="1"/>
  <c r="E59" i="99"/>
  <c r="F60" i="99"/>
  <c r="F59" i="99"/>
  <c r="G60" i="99"/>
  <c r="G59" i="99"/>
  <c r="T29" i="96" l="1"/>
  <c r="T121" i="96" l="1"/>
  <c r="T95" i="96"/>
  <c r="T69" i="96"/>
  <c r="T43" i="96"/>
  <c r="T124" i="96"/>
  <c r="T127" i="96"/>
  <c r="T130" i="96"/>
  <c r="T133" i="96"/>
  <c r="T136" i="96"/>
  <c r="T139" i="96"/>
  <c r="T98" i="96"/>
  <c r="T101" i="96"/>
  <c r="T104" i="96"/>
  <c r="T107" i="96"/>
  <c r="T110" i="96"/>
  <c r="T113" i="96"/>
  <c r="T72" i="96"/>
  <c r="T75" i="96"/>
  <c r="T78" i="96"/>
  <c r="T81" i="96"/>
  <c r="T84" i="96"/>
  <c r="T87" i="96"/>
  <c r="T46" i="96"/>
  <c r="T49" i="96"/>
  <c r="T52" i="96"/>
  <c r="T55" i="96"/>
  <c r="T58" i="96"/>
  <c r="T61" i="96"/>
  <c r="T20" i="96"/>
  <c r="T23" i="96"/>
  <c r="T26" i="96"/>
  <c r="T97" i="96"/>
  <c r="T99" i="96"/>
  <c r="T103" i="96"/>
  <c r="T105" i="96"/>
  <c r="T109" i="96"/>
  <c r="T111" i="96"/>
  <c r="T115" i="96"/>
  <c r="T19" i="96"/>
  <c r="T21" i="96"/>
  <c r="T25" i="96"/>
  <c r="T27" i="96"/>
  <c r="T31" i="96"/>
  <c r="T34" i="96"/>
  <c r="T37" i="96"/>
  <c r="T74" i="96"/>
  <c r="T80" i="96"/>
  <c r="T86" i="96"/>
  <c r="T122" i="96"/>
  <c r="T126" i="96"/>
  <c r="T128" i="96"/>
  <c r="T132" i="96"/>
  <c r="T134" i="96"/>
  <c r="T138" i="96"/>
  <c r="T140" i="96"/>
  <c r="T44" i="96"/>
  <c r="T48" i="96"/>
  <c r="T50" i="96"/>
  <c r="T54" i="96"/>
  <c r="T56" i="96"/>
  <c r="T60" i="96"/>
  <c r="T62" i="96"/>
  <c r="T70" i="96"/>
  <c r="T76" i="96"/>
  <c r="T82" i="96"/>
  <c r="T88" i="96"/>
  <c r="T45" i="96"/>
  <c r="T51" i="96"/>
  <c r="T57" i="96"/>
  <c r="T63" i="96"/>
  <c r="T33" i="96"/>
  <c r="T35" i="96"/>
  <c r="T123" i="96"/>
  <c r="T141" i="96"/>
  <c r="T73" i="96"/>
  <c r="T53" i="96"/>
  <c r="T22" i="96"/>
  <c r="T28" i="96"/>
  <c r="T17" i="96"/>
  <c r="T135" i="96"/>
  <c r="T79" i="96"/>
  <c r="T32" i="96"/>
  <c r="T125" i="96"/>
  <c r="T131" i="96"/>
  <c r="T137" i="96"/>
  <c r="T36" i="96"/>
  <c r="T96" i="96"/>
  <c r="T102" i="96"/>
  <c r="T108" i="96"/>
  <c r="T114" i="96"/>
  <c r="T85" i="96"/>
  <c r="T47" i="96"/>
  <c r="T59" i="96"/>
  <c r="T100" i="96"/>
  <c r="T106" i="96"/>
  <c r="T112" i="96"/>
  <c r="T71" i="96"/>
  <c r="T77" i="96"/>
  <c r="T83" i="96"/>
  <c r="T89" i="96"/>
  <c r="T18" i="96"/>
  <c r="T24" i="96"/>
  <c r="T30" i="96"/>
  <c r="T129" i="96"/>
  <c r="E15" i="96"/>
  <c r="E14" i="96" l="1"/>
  <c r="E23" i="96"/>
  <c r="I26" i="96" s="1"/>
  <c r="S124" i="96"/>
  <c r="S127" i="96"/>
  <c r="S130" i="96"/>
  <c r="S133" i="96"/>
  <c r="S136" i="96"/>
  <c r="S139" i="96"/>
  <c r="S98" i="96"/>
  <c r="S101" i="96"/>
  <c r="S104" i="96"/>
  <c r="S107" i="96"/>
  <c r="S110" i="96"/>
  <c r="S113" i="96"/>
  <c r="S72" i="96"/>
  <c r="S75" i="96"/>
  <c r="S78" i="96"/>
  <c r="S81" i="96"/>
  <c r="S84" i="96"/>
  <c r="S87" i="96"/>
  <c r="S46" i="96"/>
  <c r="S49" i="96"/>
  <c r="S52" i="96"/>
  <c r="S55" i="96"/>
  <c r="S58" i="96"/>
  <c r="S61" i="96"/>
  <c r="S20" i="96"/>
  <c r="S23" i="96"/>
  <c r="S26" i="96"/>
  <c r="S29" i="96"/>
  <c r="S70" i="96"/>
  <c r="S74" i="96"/>
  <c r="S76" i="96"/>
  <c r="S80" i="96"/>
  <c r="S82" i="96"/>
  <c r="S86" i="96"/>
  <c r="S88" i="96"/>
  <c r="S17" i="96"/>
  <c r="S123" i="96"/>
  <c r="S135" i="96"/>
  <c r="S141" i="96"/>
  <c r="S45" i="96"/>
  <c r="S53" i="96"/>
  <c r="S57" i="96"/>
  <c r="S59" i="96"/>
  <c r="S63" i="96"/>
  <c r="S43" i="96"/>
  <c r="S97" i="96"/>
  <c r="S99" i="96"/>
  <c r="S103" i="96"/>
  <c r="S105" i="96"/>
  <c r="S109" i="96"/>
  <c r="S111" i="96"/>
  <c r="S115" i="96"/>
  <c r="S95" i="96"/>
  <c r="S19" i="96"/>
  <c r="S21" i="96"/>
  <c r="S25" i="96"/>
  <c r="S27" i="96"/>
  <c r="S31" i="96"/>
  <c r="S34" i="96"/>
  <c r="S37" i="96"/>
  <c r="S125" i="96"/>
  <c r="S129" i="96"/>
  <c r="S131" i="96"/>
  <c r="S137" i="96"/>
  <c r="S121" i="96"/>
  <c r="S47" i="96"/>
  <c r="S51" i="96"/>
  <c r="S33" i="96"/>
  <c r="S36" i="96"/>
  <c r="S48" i="96"/>
  <c r="S54" i="96"/>
  <c r="S60" i="96"/>
  <c r="S22" i="96"/>
  <c r="S28" i="96"/>
  <c r="S79" i="96"/>
  <c r="S32" i="96"/>
  <c r="S132" i="96"/>
  <c r="S106" i="96"/>
  <c r="S89" i="96"/>
  <c r="S62" i="96"/>
  <c r="S112" i="96"/>
  <c r="S44" i="96"/>
  <c r="S56" i="96"/>
  <c r="S18" i="96"/>
  <c r="S30" i="96"/>
  <c r="S122" i="96"/>
  <c r="S128" i="96"/>
  <c r="S134" i="96"/>
  <c r="S140" i="96"/>
  <c r="S96" i="96"/>
  <c r="S102" i="96"/>
  <c r="S108" i="96"/>
  <c r="S114" i="96"/>
  <c r="S73" i="96"/>
  <c r="S85" i="96"/>
  <c r="S126" i="96"/>
  <c r="S138" i="96"/>
  <c r="S100" i="96"/>
  <c r="S77" i="96"/>
  <c r="S24" i="96"/>
  <c r="S35" i="96"/>
  <c r="S69" i="96"/>
  <c r="S71" i="96"/>
  <c r="S83" i="96"/>
  <c r="S50" i="96"/>
  <c r="AS6" i="98" l="1"/>
  <c r="E49" i="98"/>
  <c r="L19" i="98"/>
  <c r="M19" i="98" s="1"/>
  <c r="D18" i="98"/>
  <c r="F18" i="98"/>
  <c r="G18" i="98"/>
  <c r="H18" i="98"/>
  <c r="I18" i="98"/>
  <c r="J18" i="98"/>
  <c r="K18" i="98"/>
  <c r="L18" i="98"/>
  <c r="M18" i="98"/>
  <c r="C18" i="98"/>
  <c r="CW10" i="98" l="1"/>
  <c r="CW16" i="98"/>
  <c r="CW22" i="98"/>
  <c r="CW28" i="98"/>
  <c r="CW34" i="98"/>
  <c r="CW40" i="98"/>
  <c r="CW46" i="98"/>
  <c r="CW52" i="98"/>
  <c r="CW58" i="98"/>
  <c r="CW64" i="98"/>
  <c r="CW70" i="98"/>
  <c r="CW76" i="98"/>
  <c r="CW82" i="98"/>
  <c r="CW88" i="98"/>
  <c r="CW94" i="98"/>
  <c r="CW100" i="98"/>
  <c r="CW106" i="98"/>
  <c r="CW112" i="98"/>
  <c r="CW118" i="98"/>
  <c r="CW124" i="98"/>
  <c r="CW130" i="98"/>
  <c r="CW136" i="98"/>
  <c r="CW142" i="98"/>
  <c r="CW148" i="98"/>
  <c r="CW154" i="98"/>
  <c r="CW160" i="98"/>
  <c r="CW11" i="98"/>
  <c r="CW17" i="98"/>
  <c r="CW23" i="98"/>
  <c r="CW29" i="98"/>
  <c r="CW35" i="98"/>
  <c r="CW41" i="98"/>
  <c r="CW47" i="98"/>
  <c r="CW53" i="98"/>
  <c r="CW59" i="98"/>
  <c r="CW65" i="98"/>
  <c r="CW71" i="98"/>
  <c r="CW83" i="98"/>
  <c r="CW95" i="98"/>
  <c r="CW101" i="98"/>
  <c r="CW107" i="98"/>
  <c r="CW119" i="98"/>
  <c r="CW137" i="98"/>
  <c r="CW155" i="98"/>
  <c r="CW157" i="98"/>
  <c r="CW6" i="98"/>
  <c r="CW12" i="98"/>
  <c r="CW18" i="98"/>
  <c r="CW24" i="98"/>
  <c r="CW30" i="98"/>
  <c r="CW36" i="98"/>
  <c r="CW42" i="98"/>
  <c r="CW48" i="98"/>
  <c r="CW54" i="98"/>
  <c r="CW60" i="98"/>
  <c r="CW66" i="98"/>
  <c r="CW72" i="98"/>
  <c r="CW78" i="98"/>
  <c r="CW84" i="98"/>
  <c r="CW90" i="98"/>
  <c r="CW96" i="98"/>
  <c r="CW102" i="98"/>
  <c r="CW108" i="98"/>
  <c r="CW114" i="98"/>
  <c r="CW120" i="98"/>
  <c r="CW126" i="98"/>
  <c r="CW132" i="98"/>
  <c r="CW138" i="98"/>
  <c r="CW144" i="98"/>
  <c r="CW150" i="98"/>
  <c r="CW156" i="98"/>
  <c r="CW162" i="98"/>
  <c r="CW7" i="98"/>
  <c r="CW13" i="98"/>
  <c r="CW19" i="98"/>
  <c r="CW25" i="98"/>
  <c r="CW31" i="98"/>
  <c r="CW37" i="98"/>
  <c r="CW43" i="98"/>
  <c r="CW49" i="98"/>
  <c r="CW55" i="98"/>
  <c r="CW61" i="98"/>
  <c r="CW67" i="98"/>
  <c r="CW73" i="98"/>
  <c r="CW79" i="98"/>
  <c r="CW85" i="98"/>
  <c r="CW91" i="98"/>
  <c r="CW97" i="98"/>
  <c r="CW103" i="98"/>
  <c r="CW109" i="98"/>
  <c r="CW115" i="98"/>
  <c r="CW121" i="98"/>
  <c r="CW127" i="98"/>
  <c r="CW133" i="98"/>
  <c r="CW139" i="98"/>
  <c r="CW145" i="98"/>
  <c r="CW151" i="98"/>
  <c r="CW8" i="98"/>
  <c r="CW14" i="98"/>
  <c r="CW20" i="98"/>
  <c r="CW26" i="98"/>
  <c r="CW32" i="98"/>
  <c r="CW38" i="98"/>
  <c r="CW44" i="98"/>
  <c r="CW50" i="98"/>
  <c r="CW56" i="98"/>
  <c r="CW62" i="98"/>
  <c r="CW68" i="98"/>
  <c r="CW74" i="98"/>
  <c r="CW80" i="98"/>
  <c r="CW86" i="98"/>
  <c r="CW92" i="98"/>
  <c r="CW98" i="98"/>
  <c r="CW104" i="98"/>
  <c r="CW110" i="98"/>
  <c r="CW116" i="98"/>
  <c r="CW122" i="98"/>
  <c r="CW128" i="98"/>
  <c r="CW134" i="98"/>
  <c r="CW140" i="98"/>
  <c r="CW146" i="98"/>
  <c r="CW152" i="98"/>
  <c r="CW158" i="98"/>
  <c r="CW164" i="98"/>
  <c r="CW93" i="98"/>
  <c r="CW123" i="98"/>
  <c r="CW135" i="98"/>
  <c r="CW147" i="98"/>
  <c r="CW153" i="98"/>
  <c r="CW5" i="98"/>
  <c r="CW89" i="98"/>
  <c r="CW125" i="98"/>
  <c r="CW149" i="98"/>
  <c r="CW163" i="98"/>
  <c r="CW9" i="98"/>
  <c r="CW15" i="98"/>
  <c r="CW21" i="98"/>
  <c r="CW27" i="98"/>
  <c r="CW33" i="98"/>
  <c r="CW39" i="98"/>
  <c r="CW45" i="98"/>
  <c r="CW51" i="98"/>
  <c r="CW57" i="98"/>
  <c r="CW63" i="98"/>
  <c r="CW69" i="98"/>
  <c r="CW75" i="98"/>
  <c r="CW81" i="98"/>
  <c r="CW87" i="98"/>
  <c r="CW99" i="98"/>
  <c r="CW105" i="98"/>
  <c r="CW111" i="98"/>
  <c r="CW117" i="98"/>
  <c r="CW129" i="98"/>
  <c r="CW141" i="98"/>
  <c r="CW159" i="98"/>
  <c r="CW77" i="98"/>
  <c r="CW113" i="98"/>
  <c r="CW131" i="98"/>
  <c r="CW143" i="98"/>
  <c r="CW161" i="98"/>
  <c r="AS149" i="98"/>
  <c r="AS113" i="98"/>
  <c r="AS77" i="98"/>
  <c r="AS41" i="98"/>
  <c r="AS143" i="98"/>
  <c r="AS107" i="98"/>
  <c r="AS71" i="98"/>
  <c r="AS35" i="98"/>
  <c r="AS137" i="98"/>
  <c r="AS101" i="98"/>
  <c r="AS65" i="98"/>
  <c r="AS29" i="98"/>
  <c r="AS131" i="98"/>
  <c r="AS95" i="98"/>
  <c r="AS59" i="98"/>
  <c r="AS23" i="98"/>
  <c r="AS161" i="98"/>
  <c r="AS125" i="98"/>
  <c r="AS89" i="98"/>
  <c r="AS53" i="98"/>
  <c r="AS17" i="98"/>
  <c r="F49" i="98"/>
  <c r="G49" i="98" s="1"/>
  <c r="AS155" i="98"/>
  <c r="AS119" i="98"/>
  <c r="AS83" i="98"/>
  <c r="AS47" i="98"/>
  <c r="AS11" i="98"/>
  <c r="AS160" i="98"/>
  <c r="AS154" i="98"/>
  <c r="AS148" i="98"/>
  <c r="AS142" i="98"/>
  <c r="AS136" i="98"/>
  <c r="AS130" i="98"/>
  <c r="AS124" i="98"/>
  <c r="AS118" i="98"/>
  <c r="AS112" i="98"/>
  <c r="AS106" i="98"/>
  <c r="AS100" i="98"/>
  <c r="AS94" i="98"/>
  <c r="AS88" i="98"/>
  <c r="AS82" i="98"/>
  <c r="AS76" i="98"/>
  <c r="AS70" i="98"/>
  <c r="AS64" i="98"/>
  <c r="AS58" i="98"/>
  <c r="AS52" i="98"/>
  <c r="AS46" i="98"/>
  <c r="AS40" i="98"/>
  <c r="AS34" i="98"/>
  <c r="AS28" i="98"/>
  <c r="AS22" i="98"/>
  <c r="AS16" i="98"/>
  <c r="AS10" i="98"/>
  <c r="AS5" i="98"/>
  <c r="AS159" i="98"/>
  <c r="AS153" i="98"/>
  <c r="AS147" i="98"/>
  <c r="AS141" i="98"/>
  <c r="AS135" i="98"/>
  <c r="AS129" i="98"/>
  <c r="AS123" i="98"/>
  <c r="AS117" i="98"/>
  <c r="AS111" i="98"/>
  <c r="AS105" i="98"/>
  <c r="AS99" i="98"/>
  <c r="AS93" i="98"/>
  <c r="AS87" i="98"/>
  <c r="AS81" i="98"/>
  <c r="AS75" i="98"/>
  <c r="AS69" i="98"/>
  <c r="AS63" i="98"/>
  <c r="AS57" i="98"/>
  <c r="AS51" i="98"/>
  <c r="AS45" i="98"/>
  <c r="AS39" i="98"/>
  <c r="AS33" i="98"/>
  <c r="AS27" i="98"/>
  <c r="AS21" i="98"/>
  <c r="AS15" i="98"/>
  <c r="AS9" i="98"/>
  <c r="AS164" i="98"/>
  <c r="AS158" i="98"/>
  <c r="AS152" i="98"/>
  <c r="AS146" i="98"/>
  <c r="AS140" i="98"/>
  <c r="AS134" i="98"/>
  <c r="AS128" i="98"/>
  <c r="AS122" i="98"/>
  <c r="AS116" i="98"/>
  <c r="AS110" i="98"/>
  <c r="AS104" i="98"/>
  <c r="AS98" i="98"/>
  <c r="AS92" i="98"/>
  <c r="AS86" i="98"/>
  <c r="AS80" i="98"/>
  <c r="AS74" i="98"/>
  <c r="AS68" i="98"/>
  <c r="AS62" i="98"/>
  <c r="AS56" i="98"/>
  <c r="AS50" i="98"/>
  <c r="AS44" i="98"/>
  <c r="AS38" i="98"/>
  <c r="AS32" i="98"/>
  <c r="AS26" i="98"/>
  <c r="AS20" i="98"/>
  <c r="AS14" i="98"/>
  <c r="AS8" i="98"/>
  <c r="AS163" i="98"/>
  <c r="AS157" i="98"/>
  <c r="AS151" i="98"/>
  <c r="AS145" i="98"/>
  <c r="AS139" i="98"/>
  <c r="AS133" i="98"/>
  <c r="AS127" i="98"/>
  <c r="AS121" i="98"/>
  <c r="AS115" i="98"/>
  <c r="AS109" i="98"/>
  <c r="AS103" i="98"/>
  <c r="AS97" i="98"/>
  <c r="AS91" i="98"/>
  <c r="AS85" i="98"/>
  <c r="AS79" i="98"/>
  <c r="AS73" i="98"/>
  <c r="AS67" i="98"/>
  <c r="AS61" i="98"/>
  <c r="AS55" i="98"/>
  <c r="AS49" i="98"/>
  <c r="AS43" i="98"/>
  <c r="AS37" i="98"/>
  <c r="AS31" i="98"/>
  <c r="AS25" i="98"/>
  <c r="AS19" i="98"/>
  <c r="AS13" i="98"/>
  <c r="AS7" i="98"/>
  <c r="AS162" i="98"/>
  <c r="AS156" i="98"/>
  <c r="AS150" i="98"/>
  <c r="AS144" i="98"/>
  <c r="AS138" i="98"/>
  <c r="AS132" i="98"/>
  <c r="AS126" i="98"/>
  <c r="AS120" i="98"/>
  <c r="AS114" i="98"/>
  <c r="AS108" i="98"/>
  <c r="AS102" i="98"/>
  <c r="AS96" i="98"/>
  <c r="AS90" i="98"/>
  <c r="AS84" i="98"/>
  <c r="AS78" i="98"/>
  <c r="AS72" i="98"/>
  <c r="AS66" i="98"/>
  <c r="AS60" i="98"/>
  <c r="AS54" i="98"/>
  <c r="AS48" i="98"/>
  <c r="AS42" i="98"/>
  <c r="AS36" i="98"/>
  <c r="AS30" i="98"/>
  <c r="AS24" i="98"/>
  <c r="AS18" i="98"/>
  <c r="AS12" i="98"/>
  <c r="J64" i="98"/>
  <c r="J65" i="98"/>
  <c r="J66" i="98"/>
  <c r="N135" i="18" l="1"/>
  <c r="P135" i="18"/>
  <c r="Q135" i="18"/>
  <c r="R135" i="18"/>
  <c r="S135" i="18"/>
  <c r="T135" i="18"/>
  <c r="W135" i="18"/>
  <c r="X135" i="18"/>
  <c r="Y135" i="18"/>
  <c r="Z135" i="18"/>
  <c r="AA135" i="18"/>
  <c r="N136" i="18"/>
  <c r="P136" i="18"/>
  <c r="Q136" i="18"/>
  <c r="R136" i="18"/>
  <c r="S136" i="18"/>
  <c r="T136" i="18"/>
  <c r="W136" i="18"/>
  <c r="X136" i="18"/>
  <c r="Y136" i="18"/>
  <c r="Z136" i="18"/>
  <c r="AA136" i="18"/>
  <c r="N137" i="18"/>
  <c r="P137" i="18"/>
  <c r="Q137" i="18"/>
  <c r="R137" i="18"/>
  <c r="S137" i="18"/>
  <c r="T137" i="18"/>
  <c r="W137" i="18"/>
  <c r="X137" i="18"/>
  <c r="Y137" i="18"/>
  <c r="Z137" i="18"/>
  <c r="AA137" i="18"/>
  <c r="N138" i="18"/>
  <c r="P138" i="18"/>
  <c r="Q138" i="18"/>
  <c r="R138" i="18"/>
  <c r="S138" i="18"/>
  <c r="T138" i="18"/>
  <c r="W138" i="18"/>
  <c r="X138" i="18"/>
  <c r="Y138" i="18"/>
  <c r="Z138" i="18"/>
  <c r="AA138" i="18"/>
  <c r="N139" i="18"/>
  <c r="P139" i="18"/>
  <c r="Q139" i="18"/>
  <c r="R139" i="18"/>
  <c r="S139" i="18"/>
  <c r="T139" i="18"/>
  <c r="W139" i="18"/>
  <c r="X139" i="18"/>
  <c r="Y139" i="18"/>
  <c r="Z139" i="18"/>
  <c r="AA139" i="18"/>
  <c r="N140" i="18"/>
  <c r="P140" i="18"/>
  <c r="Q140" i="18"/>
  <c r="R140" i="18"/>
  <c r="S140" i="18"/>
  <c r="T140" i="18"/>
  <c r="W140" i="18"/>
  <c r="X140" i="18"/>
  <c r="Y140" i="18"/>
  <c r="Z140" i="18"/>
  <c r="AA140" i="18"/>
  <c r="N141" i="18"/>
  <c r="P141" i="18"/>
  <c r="Q141" i="18"/>
  <c r="R141" i="18"/>
  <c r="S141" i="18"/>
  <c r="T141" i="18"/>
  <c r="W141" i="18"/>
  <c r="X141" i="18"/>
  <c r="Y141" i="18"/>
  <c r="Z141" i="18"/>
  <c r="AA141" i="18"/>
  <c r="N142" i="18"/>
  <c r="P142" i="18"/>
  <c r="Q142" i="18"/>
  <c r="R142" i="18"/>
  <c r="S142" i="18"/>
  <c r="T142" i="18"/>
  <c r="W142" i="18"/>
  <c r="X142" i="18"/>
  <c r="Y142" i="18"/>
  <c r="Z142" i="18"/>
  <c r="AA142" i="18"/>
  <c r="N143" i="18"/>
  <c r="P143" i="18"/>
  <c r="Q143" i="18"/>
  <c r="R143" i="18"/>
  <c r="S143" i="18"/>
  <c r="T143" i="18"/>
  <c r="W143" i="18"/>
  <c r="X143" i="18"/>
  <c r="Y143" i="18"/>
  <c r="Z143" i="18"/>
  <c r="AA143" i="18"/>
  <c r="N144" i="18"/>
  <c r="P144" i="18"/>
  <c r="Q144" i="18"/>
  <c r="R144" i="18"/>
  <c r="S144" i="18"/>
  <c r="T144" i="18"/>
  <c r="W144" i="18"/>
  <c r="X144" i="18"/>
  <c r="Y144" i="18"/>
  <c r="Z144" i="18"/>
  <c r="AA144" i="18"/>
  <c r="N145" i="18"/>
  <c r="P145" i="18"/>
  <c r="Q145" i="18"/>
  <c r="R145" i="18"/>
  <c r="S145" i="18"/>
  <c r="T145" i="18"/>
  <c r="W145" i="18"/>
  <c r="X145" i="18"/>
  <c r="Y145" i="18"/>
  <c r="Z145" i="18"/>
  <c r="AA145" i="18"/>
  <c r="N146" i="18"/>
  <c r="P146" i="18"/>
  <c r="Q146" i="18"/>
  <c r="R146" i="18"/>
  <c r="S146" i="18"/>
  <c r="T146" i="18"/>
  <c r="W146" i="18"/>
  <c r="X146" i="18"/>
  <c r="Y146" i="18"/>
  <c r="Z146" i="18"/>
  <c r="AA146" i="18"/>
  <c r="N147" i="18"/>
  <c r="P147" i="18"/>
  <c r="Q147" i="18"/>
  <c r="R147" i="18"/>
  <c r="S147" i="18"/>
  <c r="T147" i="18"/>
  <c r="W147" i="18"/>
  <c r="X147" i="18"/>
  <c r="Y147" i="18"/>
  <c r="Z147" i="18"/>
  <c r="AA147" i="18"/>
  <c r="N148" i="18"/>
  <c r="P148" i="18"/>
  <c r="Q148" i="18"/>
  <c r="R148" i="18"/>
  <c r="S148" i="18"/>
  <c r="T148" i="18"/>
  <c r="W148" i="18"/>
  <c r="X148" i="18"/>
  <c r="Y148" i="18"/>
  <c r="Z148" i="18"/>
  <c r="AA148" i="18"/>
  <c r="N149" i="18"/>
  <c r="P149" i="18"/>
  <c r="Q149" i="18"/>
  <c r="R149" i="18"/>
  <c r="S149" i="18"/>
  <c r="T149" i="18"/>
  <c r="W149" i="18"/>
  <c r="X149" i="18"/>
  <c r="Y149" i="18"/>
  <c r="Z149" i="18"/>
  <c r="AA149" i="18"/>
  <c r="N150" i="18"/>
  <c r="P150" i="18"/>
  <c r="Q150" i="18"/>
  <c r="R150" i="18"/>
  <c r="S150" i="18"/>
  <c r="T150" i="18"/>
  <c r="W150" i="18"/>
  <c r="X150" i="18"/>
  <c r="Y150" i="18"/>
  <c r="Z150" i="18"/>
  <c r="AA150" i="18"/>
  <c r="N151" i="18"/>
  <c r="P151" i="18"/>
  <c r="Q151" i="18"/>
  <c r="R151" i="18"/>
  <c r="S151" i="18"/>
  <c r="T151" i="18"/>
  <c r="W151" i="18"/>
  <c r="X151" i="18"/>
  <c r="Y151" i="18"/>
  <c r="Z151" i="18"/>
  <c r="AA151" i="18"/>
  <c r="N152" i="18"/>
  <c r="P152" i="18"/>
  <c r="Q152" i="18"/>
  <c r="R152" i="18"/>
  <c r="S152" i="18"/>
  <c r="T152" i="18"/>
  <c r="W152" i="18"/>
  <c r="X152" i="18"/>
  <c r="Y152" i="18"/>
  <c r="Z152" i="18"/>
  <c r="AA152" i="18"/>
  <c r="N153" i="18"/>
  <c r="P153" i="18"/>
  <c r="Q153" i="18"/>
  <c r="R153" i="18"/>
  <c r="S153" i="18"/>
  <c r="T153" i="18"/>
  <c r="W153" i="18"/>
  <c r="X153" i="18"/>
  <c r="Y153" i="18"/>
  <c r="Z153" i="18"/>
  <c r="AA153" i="18"/>
  <c r="N154" i="18"/>
  <c r="P154" i="18"/>
  <c r="Q154" i="18"/>
  <c r="R154" i="18"/>
  <c r="S154" i="18"/>
  <c r="T154" i="18"/>
  <c r="W154" i="18"/>
  <c r="X154" i="18"/>
  <c r="Y154" i="18"/>
  <c r="Z154" i="18"/>
  <c r="AA154" i="18"/>
  <c r="N155" i="18"/>
  <c r="P155" i="18"/>
  <c r="Q155" i="18"/>
  <c r="R155" i="18"/>
  <c r="S155" i="18"/>
  <c r="T155" i="18"/>
  <c r="W155" i="18"/>
  <c r="X155" i="18"/>
  <c r="Y155" i="18"/>
  <c r="Z155" i="18"/>
  <c r="AA155" i="18"/>
  <c r="N156" i="18"/>
  <c r="P156" i="18"/>
  <c r="Q156" i="18"/>
  <c r="R156" i="18"/>
  <c r="S156" i="18"/>
  <c r="T156" i="18"/>
  <c r="W156" i="18"/>
  <c r="X156" i="18"/>
  <c r="Y156" i="18"/>
  <c r="Z156" i="18"/>
  <c r="AA156" i="18"/>
  <c r="N157" i="18"/>
  <c r="P157" i="18"/>
  <c r="Q157" i="18"/>
  <c r="R157" i="18"/>
  <c r="S157" i="18"/>
  <c r="T157" i="18"/>
  <c r="W157" i="18"/>
  <c r="X157" i="18"/>
  <c r="Y157" i="18"/>
  <c r="Z157" i="18"/>
  <c r="AA157" i="18"/>
  <c r="N158" i="18"/>
  <c r="P158" i="18"/>
  <c r="Q158" i="18"/>
  <c r="R158" i="18"/>
  <c r="S158" i="18"/>
  <c r="T158" i="18"/>
  <c r="W158" i="18"/>
  <c r="X158" i="18"/>
  <c r="Y158" i="18"/>
  <c r="Z158" i="18"/>
  <c r="AA158" i="18"/>
  <c r="N159" i="18"/>
  <c r="P159" i="18"/>
  <c r="Q159" i="18"/>
  <c r="R159" i="18"/>
  <c r="S159" i="18"/>
  <c r="T159" i="18"/>
  <c r="W159" i="18"/>
  <c r="X159" i="18"/>
  <c r="Y159" i="18"/>
  <c r="Z159" i="18"/>
  <c r="AA159" i="18"/>
  <c r="N160" i="18"/>
  <c r="P160" i="18"/>
  <c r="Q160" i="18"/>
  <c r="R160" i="18"/>
  <c r="S160" i="18"/>
  <c r="T160" i="18"/>
  <c r="W160" i="18"/>
  <c r="X160" i="18"/>
  <c r="Y160" i="18"/>
  <c r="Z160" i="18"/>
  <c r="AA160" i="18"/>
  <c r="N161" i="18"/>
  <c r="P161" i="18"/>
  <c r="Q161" i="18"/>
  <c r="R161" i="18"/>
  <c r="S161" i="18"/>
  <c r="T161" i="18"/>
  <c r="W161" i="18"/>
  <c r="X161" i="18"/>
  <c r="Y161" i="18"/>
  <c r="Z161" i="18"/>
  <c r="AA161" i="18"/>
  <c r="N162" i="18"/>
  <c r="P162" i="18"/>
  <c r="Q162" i="18"/>
  <c r="R162" i="18"/>
  <c r="S162" i="18"/>
  <c r="T162" i="18"/>
  <c r="W162" i="18"/>
  <c r="X162" i="18"/>
  <c r="Y162" i="18"/>
  <c r="Z162" i="18"/>
  <c r="AA162" i="18"/>
  <c r="N163" i="18"/>
  <c r="P163" i="18"/>
  <c r="Q163" i="18"/>
  <c r="R163" i="18"/>
  <c r="S163" i="18"/>
  <c r="T163" i="18"/>
  <c r="W163" i="18"/>
  <c r="X163" i="18"/>
  <c r="Y163" i="18"/>
  <c r="Z163" i="18"/>
  <c r="AA163" i="18"/>
  <c r="N114" i="18"/>
  <c r="P114" i="18"/>
  <c r="Q114" i="18"/>
  <c r="R114" i="18"/>
  <c r="S114" i="18"/>
  <c r="T114" i="18"/>
  <c r="W114" i="18"/>
  <c r="X114" i="18"/>
  <c r="Y114" i="18"/>
  <c r="Z114" i="18"/>
  <c r="AA114" i="18"/>
  <c r="N115" i="18"/>
  <c r="P115" i="18"/>
  <c r="Q115" i="18"/>
  <c r="R115" i="18"/>
  <c r="S115" i="18"/>
  <c r="T115" i="18"/>
  <c r="W115" i="18"/>
  <c r="X115" i="18"/>
  <c r="Y115" i="18"/>
  <c r="Z115" i="18"/>
  <c r="AA115" i="18"/>
  <c r="N116" i="18"/>
  <c r="P116" i="18"/>
  <c r="Q116" i="18"/>
  <c r="R116" i="18"/>
  <c r="S116" i="18"/>
  <c r="T116" i="18"/>
  <c r="W116" i="18"/>
  <c r="X116" i="18"/>
  <c r="Y116" i="18"/>
  <c r="Z116" i="18"/>
  <c r="AA116" i="18"/>
  <c r="N117" i="18"/>
  <c r="P117" i="18"/>
  <c r="Q117" i="18"/>
  <c r="R117" i="18"/>
  <c r="S117" i="18"/>
  <c r="T117" i="18"/>
  <c r="W117" i="18"/>
  <c r="X117" i="18"/>
  <c r="Y117" i="18"/>
  <c r="Z117" i="18"/>
  <c r="AA117" i="18"/>
  <c r="N118" i="18"/>
  <c r="P118" i="18"/>
  <c r="Q118" i="18"/>
  <c r="R118" i="18"/>
  <c r="S118" i="18"/>
  <c r="T118" i="18"/>
  <c r="W118" i="18"/>
  <c r="X118" i="18"/>
  <c r="Y118" i="18"/>
  <c r="Z118" i="18"/>
  <c r="AA118" i="18"/>
  <c r="N119" i="18"/>
  <c r="P119" i="18"/>
  <c r="Q119" i="18"/>
  <c r="R119" i="18"/>
  <c r="S119" i="18"/>
  <c r="T119" i="18"/>
  <c r="W119" i="18"/>
  <c r="X119" i="18"/>
  <c r="Y119" i="18"/>
  <c r="Z119" i="18"/>
  <c r="AA119" i="18"/>
  <c r="N120" i="18"/>
  <c r="P120" i="18"/>
  <c r="Q120" i="18"/>
  <c r="R120" i="18"/>
  <c r="S120" i="18"/>
  <c r="T120" i="18"/>
  <c r="W120" i="18"/>
  <c r="X120" i="18"/>
  <c r="Y120" i="18"/>
  <c r="Z120" i="18"/>
  <c r="AA120" i="18"/>
  <c r="N121" i="18"/>
  <c r="P121" i="18"/>
  <c r="Q121" i="18"/>
  <c r="R121" i="18"/>
  <c r="S121" i="18"/>
  <c r="T121" i="18"/>
  <c r="W121" i="18"/>
  <c r="X121" i="18"/>
  <c r="Y121" i="18"/>
  <c r="Z121" i="18"/>
  <c r="AA121" i="18"/>
  <c r="N122" i="18"/>
  <c r="P122" i="18"/>
  <c r="Q122" i="18"/>
  <c r="R122" i="18"/>
  <c r="S122" i="18"/>
  <c r="T122" i="18"/>
  <c r="W122" i="18"/>
  <c r="X122" i="18"/>
  <c r="Y122" i="18"/>
  <c r="Z122" i="18"/>
  <c r="AA122" i="18"/>
  <c r="N123" i="18"/>
  <c r="P123" i="18"/>
  <c r="Q123" i="18"/>
  <c r="R123" i="18"/>
  <c r="S123" i="18"/>
  <c r="T123" i="18"/>
  <c r="W123" i="18"/>
  <c r="X123" i="18"/>
  <c r="Y123" i="18"/>
  <c r="Z123" i="18"/>
  <c r="AA123" i="18"/>
  <c r="N124" i="18"/>
  <c r="P124" i="18"/>
  <c r="Q124" i="18"/>
  <c r="R124" i="18"/>
  <c r="S124" i="18"/>
  <c r="T124" i="18"/>
  <c r="W124" i="18"/>
  <c r="X124" i="18"/>
  <c r="Y124" i="18"/>
  <c r="Z124" i="18"/>
  <c r="AA124" i="18"/>
  <c r="N125" i="18"/>
  <c r="P125" i="18"/>
  <c r="Q125" i="18"/>
  <c r="R125" i="18"/>
  <c r="S125" i="18"/>
  <c r="T125" i="18"/>
  <c r="W125" i="18"/>
  <c r="X125" i="18"/>
  <c r="Y125" i="18"/>
  <c r="Z125" i="18"/>
  <c r="AA125" i="18"/>
  <c r="N126" i="18"/>
  <c r="P126" i="18"/>
  <c r="Q126" i="18"/>
  <c r="R126" i="18"/>
  <c r="S126" i="18"/>
  <c r="T126" i="18"/>
  <c r="W126" i="18"/>
  <c r="X126" i="18"/>
  <c r="Y126" i="18"/>
  <c r="Z126" i="18"/>
  <c r="AA126" i="18"/>
  <c r="N127" i="18"/>
  <c r="P127" i="18"/>
  <c r="Q127" i="18"/>
  <c r="R127" i="18"/>
  <c r="S127" i="18"/>
  <c r="T127" i="18"/>
  <c r="W127" i="18"/>
  <c r="X127" i="18"/>
  <c r="Y127" i="18"/>
  <c r="Z127" i="18"/>
  <c r="AA127" i="18"/>
  <c r="N128" i="18"/>
  <c r="P128" i="18"/>
  <c r="Q128" i="18"/>
  <c r="R128" i="18"/>
  <c r="S128" i="18"/>
  <c r="T128" i="18"/>
  <c r="W128" i="18"/>
  <c r="X128" i="18"/>
  <c r="Y128" i="18"/>
  <c r="Z128" i="18"/>
  <c r="AA128" i="18"/>
  <c r="N129" i="18"/>
  <c r="P129" i="18"/>
  <c r="Q129" i="18"/>
  <c r="R129" i="18"/>
  <c r="S129" i="18"/>
  <c r="T129" i="18"/>
  <c r="W129" i="18"/>
  <c r="X129" i="18"/>
  <c r="Y129" i="18"/>
  <c r="Z129" i="18"/>
  <c r="AA129" i="18"/>
  <c r="N130" i="18"/>
  <c r="P130" i="18"/>
  <c r="Q130" i="18"/>
  <c r="R130" i="18"/>
  <c r="S130" i="18"/>
  <c r="T130" i="18"/>
  <c r="W130" i="18"/>
  <c r="X130" i="18"/>
  <c r="Y130" i="18"/>
  <c r="Z130" i="18"/>
  <c r="AA130" i="18"/>
  <c r="N131" i="18"/>
  <c r="P131" i="18"/>
  <c r="Q131" i="18"/>
  <c r="R131" i="18"/>
  <c r="S131" i="18"/>
  <c r="T131" i="18"/>
  <c r="W131" i="18"/>
  <c r="X131" i="18"/>
  <c r="Y131" i="18"/>
  <c r="Z131" i="18"/>
  <c r="AA131" i="18"/>
  <c r="N132" i="18"/>
  <c r="P132" i="18"/>
  <c r="Q132" i="18"/>
  <c r="R132" i="18"/>
  <c r="S132" i="18"/>
  <c r="T132" i="18"/>
  <c r="W132" i="18"/>
  <c r="X132" i="18"/>
  <c r="Y132" i="18"/>
  <c r="Z132" i="18"/>
  <c r="AA132" i="18"/>
  <c r="N133" i="18"/>
  <c r="P133" i="18"/>
  <c r="Q133" i="18"/>
  <c r="R133" i="18"/>
  <c r="S133" i="18"/>
  <c r="T133" i="18"/>
  <c r="W133" i="18"/>
  <c r="X133" i="18"/>
  <c r="Y133" i="18"/>
  <c r="Z133" i="18"/>
  <c r="AA133" i="18"/>
  <c r="N134" i="18"/>
  <c r="P134" i="18"/>
  <c r="Q134" i="18"/>
  <c r="R134" i="18"/>
  <c r="S134" i="18"/>
  <c r="T134" i="18"/>
  <c r="W134" i="18"/>
  <c r="X134" i="18"/>
  <c r="Y134" i="18"/>
  <c r="Z134" i="18"/>
  <c r="AA134" i="18"/>
  <c r="P33" i="96"/>
  <c r="D89" i="97"/>
  <c r="P61" i="96"/>
  <c r="D62" i="97"/>
  <c r="D60" i="97"/>
  <c r="D85" i="97"/>
  <c r="P88" i="96"/>
  <c r="P62" i="96"/>
  <c r="D114" i="97"/>
  <c r="P114" i="96"/>
  <c r="P85" i="96"/>
  <c r="D112" i="97"/>
  <c r="D59" i="97"/>
  <c r="D61" i="97"/>
  <c r="P35" i="96"/>
  <c r="P112" i="96"/>
  <c r="P89" i="96"/>
  <c r="D113" i="97"/>
  <c r="D139" i="97"/>
  <c r="D37" i="97"/>
  <c r="P138" i="96"/>
  <c r="D36" i="97"/>
  <c r="P113" i="96"/>
  <c r="P86" i="96"/>
  <c r="P115" i="96"/>
  <c r="P87" i="96"/>
  <c r="D140" i="97"/>
  <c r="P140" i="96"/>
  <c r="D63" i="97"/>
  <c r="D87" i="97"/>
  <c r="P141" i="96"/>
  <c r="D35" i="97"/>
  <c r="D34" i="97"/>
  <c r="D137" i="97"/>
  <c r="D111" i="97"/>
  <c r="P63" i="96"/>
  <c r="D138" i="97"/>
  <c r="P139" i="96"/>
  <c r="D88" i="97"/>
  <c r="P36" i="96"/>
  <c r="P37" i="96"/>
  <c r="D33" i="97"/>
  <c r="P137" i="96"/>
  <c r="P60" i="96"/>
  <c r="P59" i="96"/>
  <c r="D141" i="97"/>
  <c r="D115" i="97"/>
  <c r="P111" i="96"/>
  <c r="P34" i="96"/>
  <c r="D86" i="97"/>
  <c r="R139" i="109" l="1"/>
  <c r="S128" i="109"/>
  <c r="T123" i="109"/>
  <c r="R165" i="109"/>
  <c r="S160" i="109"/>
  <c r="U156" i="109"/>
  <c r="V151" i="109"/>
  <c r="V145" i="109"/>
  <c r="T142" i="109"/>
  <c r="R140" i="109"/>
  <c r="V138" i="109"/>
  <c r="S135" i="109"/>
  <c r="S129" i="109"/>
  <c r="R128" i="109"/>
  <c r="V126" i="109"/>
  <c r="S142" i="109"/>
  <c r="U138" i="109"/>
  <c r="U132" i="109"/>
  <c r="V142" i="109"/>
  <c r="U141" i="109"/>
  <c r="T140" i="109"/>
  <c r="S139" i="109"/>
  <c r="R138" i="109"/>
  <c r="V136" i="109"/>
  <c r="U135" i="109"/>
  <c r="T134" i="109"/>
  <c r="S133" i="109"/>
  <c r="R132" i="109"/>
  <c r="V130" i="109"/>
  <c r="U129" i="109"/>
  <c r="T128" i="109"/>
  <c r="S127" i="109"/>
  <c r="R126" i="109"/>
  <c r="V124" i="109"/>
  <c r="U123" i="109"/>
  <c r="T172" i="109"/>
  <c r="S171" i="109"/>
  <c r="R170" i="109"/>
  <c r="V168" i="109"/>
  <c r="U167" i="109"/>
  <c r="T166" i="109"/>
  <c r="S165" i="109"/>
  <c r="R164" i="109"/>
  <c r="V162" i="109"/>
  <c r="U161" i="109"/>
  <c r="T160" i="109"/>
  <c r="S159" i="109"/>
  <c r="R158" i="109"/>
  <c r="V156" i="109"/>
  <c r="U155" i="109"/>
  <c r="T154" i="109"/>
  <c r="S153" i="109"/>
  <c r="R152" i="109"/>
  <c r="V150" i="109"/>
  <c r="U149" i="109"/>
  <c r="T148" i="109"/>
  <c r="S147" i="109"/>
  <c r="R146" i="109"/>
  <c r="V144" i="109"/>
  <c r="U142" i="109"/>
  <c r="S140" i="109"/>
  <c r="R133" i="109"/>
  <c r="V125" i="109"/>
  <c r="R171" i="109"/>
  <c r="S166" i="109"/>
  <c r="V157" i="109"/>
  <c r="T155" i="109"/>
  <c r="R153" i="109"/>
  <c r="T149" i="109"/>
  <c r="R147" i="109"/>
  <c r="U144" i="109"/>
  <c r="U137" i="109"/>
  <c r="R134" i="109"/>
  <c r="U131" i="109"/>
  <c r="T124" i="109"/>
  <c r="S123" i="109"/>
  <c r="R172" i="109"/>
  <c r="T168" i="109"/>
  <c r="S167" i="109"/>
  <c r="R166" i="109"/>
  <c r="V164" i="109"/>
  <c r="U163" i="109"/>
  <c r="T162" i="109"/>
  <c r="S161" i="109"/>
  <c r="R160" i="109"/>
  <c r="V158" i="109"/>
  <c r="U157" i="109"/>
  <c r="T156" i="109"/>
  <c r="S155" i="109"/>
  <c r="R154" i="109"/>
  <c r="V152" i="109"/>
  <c r="U151" i="109"/>
  <c r="T150" i="109"/>
  <c r="S149" i="109"/>
  <c r="R148" i="109"/>
  <c r="V146" i="109"/>
  <c r="U145" i="109"/>
  <c r="T144" i="109"/>
  <c r="T125" i="109"/>
  <c r="S124" i="109"/>
  <c r="R123" i="109"/>
  <c r="V171" i="109"/>
  <c r="U170" i="109"/>
  <c r="T169" i="109"/>
  <c r="S168" i="109"/>
  <c r="R167" i="109"/>
  <c r="V165" i="109"/>
  <c r="U164" i="109"/>
  <c r="T163" i="109"/>
  <c r="S162" i="109"/>
  <c r="R161" i="109"/>
  <c r="V159" i="109"/>
  <c r="U158" i="109"/>
  <c r="T157" i="109"/>
  <c r="S156" i="109"/>
  <c r="R155" i="109"/>
  <c r="V153" i="109"/>
  <c r="U152" i="109"/>
  <c r="T151" i="109"/>
  <c r="S150" i="109"/>
  <c r="R149" i="109"/>
  <c r="V147" i="109"/>
  <c r="U146" i="109"/>
  <c r="T145" i="109"/>
  <c r="S144" i="109"/>
  <c r="V143" i="109"/>
  <c r="T141" i="109"/>
  <c r="V137" i="109"/>
  <c r="T135" i="109"/>
  <c r="V131" i="109"/>
  <c r="T129" i="109"/>
  <c r="R127" i="109"/>
  <c r="U124" i="109"/>
  <c r="V169" i="109"/>
  <c r="V163" i="109"/>
  <c r="T161" i="109"/>
  <c r="R159" i="109"/>
  <c r="S154" i="109"/>
  <c r="U150" i="109"/>
  <c r="S148" i="109"/>
  <c r="U143" i="109"/>
  <c r="S141" i="109"/>
  <c r="V132" i="109"/>
  <c r="T130" i="109"/>
  <c r="V170" i="109"/>
  <c r="R141" i="109"/>
  <c r="V139" i="109"/>
  <c r="S136" i="109"/>
  <c r="R135" i="109"/>
  <c r="T131" i="109"/>
  <c r="S130" i="109"/>
  <c r="R129" i="109"/>
  <c r="V127" i="109"/>
  <c r="U126" i="109"/>
  <c r="S143" i="109"/>
  <c r="R142" i="109"/>
  <c r="V140" i="109"/>
  <c r="U139" i="109"/>
  <c r="T138" i="109"/>
  <c r="S137" i="109"/>
  <c r="R136" i="109"/>
  <c r="V134" i="109"/>
  <c r="U133" i="109"/>
  <c r="T132" i="109"/>
  <c r="S131" i="109"/>
  <c r="R130" i="109"/>
  <c r="V128" i="109"/>
  <c r="U127" i="109"/>
  <c r="T126" i="109"/>
  <c r="S125" i="109"/>
  <c r="R124" i="109"/>
  <c r="V172" i="109"/>
  <c r="U171" i="109"/>
  <c r="T170" i="109"/>
  <c r="S169" i="109"/>
  <c r="R168" i="109"/>
  <c r="V166" i="109"/>
  <c r="U165" i="109"/>
  <c r="T164" i="109"/>
  <c r="S163" i="109"/>
  <c r="R162" i="109"/>
  <c r="V160" i="109"/>
  <c r="U159" i="109"/>
  <c r="T158" i="109"/>
  <c r="S157" i="109"/>
  <c r="R156" i="109"/>
  <c r="V154" i="109"/>
  <c r="U153" i="109"/>
  <c r="T152" i="109"/>
  <c r="S151" i="109"/>
  <c r="R150" i="109"/>
  <c r="V148" i="109"/>
  <c r="U147" i="109"/>
  <c r="T146" i="109"/>
  <c r="S145" i="109"/>
  <c r="R144" i="109"/>
  <c r="U136" i="109"/>
  <c r="S134" i="109"/>
  <c r="U130" i="109"/>
  <c r="S172" i="109"/>
  <c r="U168" i="109"/>
  <c r="T167" i="109"/>
  <c r="U162" i="109"/>
  <c r="T136" i="109"/>
  <c r="U125" i="109"/>
  <c r="U169" i="109"/>
  <c r="T143" i="109"/>
  <c r="T137" i="109"/>
  <c r="V133" i="109"/>
  <c r="R143" i="109"/>
  <c r="V141" i="109"/>
  <c r="U140" i="109"/>
  <c r="T139" i="109"/>
  <c r="S138" i="109"/>
  <c r="R137" i="109"/>
  <c r="V135" i="109"/>
  <c r="U134" i="109"/>
  <c r="T133" i="109"/>
  <c r="S132" i="109"/>
  <c r="R131" i="109"/>
  <c r="V129" i="109"/>
  <c r="U128" i="109"/>
  <c r="T127" i="109"/>
  <c r="S126" i="109"/>
  <c r="R125" i="109"/>
  <c r="V123" i="109"/>
  <c r="U172" i="109"/>
  <c r="T171" i="109"/>
  <c r="S170" i="109"/>
  <c r="R169" i="109"/>
  <c r="V167" i="109"/>
  <c r="U166" i="109"/>
  <c r="T165" i="109"/>
  <c r="S164" i="109"/>
  <c r="R163" i="109"/>
  <c r="V161" i="109"/>
  <c r="U160" i="109"/>
  <c r="T159" i="109"/>
  <c r="S158" i="109"/>
  <c r="R157" i="109"/>
  <c r="V155" i="109"/>
  <c r="U154" i="109"/>
  <c r="T153" i="109"/>
  <c r="S152" i="109"/>
  <c r="R151" i="109"/>
  <c r="V149" i="109"/>
  <c r="U148" i="109"/>
  <c r="T147" i="109"/>
  <c r="S146" i="109"/>
  <c r="R145" i="109"/>
  <c r="Q24" i="108"/>
  <c r="Q101" i="108"/>
  <c r="Q103" i="108"/>
  <c r="Q22" i="108"/>
  <c r="Q127" i="108"/>
  <c r="Q50" i="108"/>
  <c r="Q52" i="108"/>
  <c r="Q76" i="108"/>
  <c r="Q49" i="108"/>
  <c r="Q77" i="108"/>
  <c r="Q23" i="108"/>
  <c r="Q51" i="108"/>
  <c r="Q104" i="108"/>
  <c r="Q100" i="108"/>
  <c r="Q128" i="108"/>
  <c r="Q75" i="108"/>
  <c r="Q26" i="108"/>
  <c r="Q74" i="108"/>
  <c r="Q102" i="108"/>
  <c r="Q78" i="108"/>
  <c r="Q130" i="108"/>
  <c r="Q25" i="108"/>
  <c r="Q126" i="108"/>
  <c r="Q48" i="108"/>
  <c r="Q129" i="108"/>
  <c r="E51" i="107"/>
  <c r="E129" i="107"/>
  <c r="E23" i="107"/>
  <c r="E26" i="107"/>
  <c r="E103" i="107"/>
  <c r="E131" i="107"/>
  <c r="E25" i="107"/>
  <c r="E24" i="107"/>
  <c r="E130" i="107"/>
  <c r="E52" i="107"/>
  <c r="E105" i="107"/>
  <c r="E77" i="107"/>
  <c r="E49" i="107"/>
  <c r="E79" i="107"/>
  <c r="E78" i="107"/>
  <c r="E128" i="107"/>
  <c r="E75" i="107"/>
  <c r="E104" i="107"/>
  <c r="E102" i="107"/>
  <c r="E76" i="107"/>
  <c r="E101" i="107"/>
  <c r="E53" i="107"/>
  <c r="E50" i="107"/>
  <c r="E27" i="107"/>
  <c r="E127" i="107"/>
  <c r="P50" i="101"/>
  <c r="P22" i="101"/>
  <c r="P36" i="101"/>
  <c r="R36" i="101"/>
  <c r="R50" i="101"/>
  <c r="R22" i="101"/>
  <c r="Q50" i="101"/>
  <c r="Q36" i="101"/>
  <c r="Q22" i="101"/>
  <c r="S23" i="101"/>
  <c r="S51" i="101"/>
  <c r="S37" i="101"/>
  <c r="R23" i="101" l="1"/>
  <c r="R37" i="101"/>
  <c r="X7" i="101" s="1"/>
  <c r="P37" i="101"/>
  <c r="V7" i="101" s="1"/>
  <c r="P23" i="101"/>
  <c r="V6" i="101" s="1"/>
  <c r="P51" i="101"/>
  <c r="V8" i="101" s="1"/>
  <c r="Q51" i="101"/>
  <c r="W8" i="101" s="1"/>
  <c r="R51" i="101"/>
  <c r="Q23" i="101"/>
  <c r="W6" i="101" s="1"/>
  <c r="Q37" i="101"/>
  <c r="Y8" i="101"/>
  <c r="X6" i="101"/>
  <c r="Y7" i="101"/>
  <c r="Y6" i="101"/>
  <c r="AE30" i="100"/>
  <c r="AE29" i="100"/>
  <c r="AE28" i="100"/>
  <c r="AE27" i="100"/>
  <c r="AE26" i="100"/>
  <c r="AE25" i="100"/>
  <c r="AE24" i="100"/>
  <c r="AE23" i="100"/>
  <c r="AE16" i="100"/>
  <c r="AE17" i="100"/>
  <c r="AE18" i="100"/>
  <c r="AE19" i="100"/>
  <c r="AE20" i="100"/>
  <c r="AE10" i="100"/>
  <c r="AE11" i="100"/>
  <c r="AE12" i="100"/>
  <c r="AE13" i="100"/>
  <c r="AE14" i="100"/>
  <c r="AE15" i="100"/>
  <c r="AE21" i="100"/>
  <c r="AE22" i="100"/>
  <c r="AE9" i="100"/>
  <c r="W7" i="101" l="1"/>
  <c r="X8" i="101"/>
  <c r="AB8" i="101" s="1"/>
  <c r="AB7" i="101"/>
  <c r="AC6" i="101"/>
  <c r="AC8" i="101"/>
  <c r="AC7" i="101"/>
  <c r="Z7" i="101"/>
  <c r="Z6" i="101"/>
  <c r="Z8" i="101"/>
  <c r="AB6" i="101"/>
  <c r="AA7" i="101"/>
  <c r="AA6" i="101"/>
  <c r="AA8" i="101"/>
  <c r="G14" i="99" l="1"/>
  <c r="F14" i="99"/>
  <c r="E14" i="99"/>
  <c r="F62" i="98" l="1"/>
  <c r="G62" i="98"/>
  <c r="H62" i="98"/>
  <c r="E62" i="98"/>
  <c r="Q5" i="91" l="1"/>
  <c r="R5" i="91"/>
  <c r="S5" i="91"/>
  <c r="T5" i="91"/>
  <c r="U5" i="91"/>
  <c r="V5" i="91"/>
  <c r="W5" i="91"/>
  <c r="X5" i="91"/>
  <c r="Y5" i="91"/>
  <c r="Z5" i="91"/>
  <c r="Q6" i="91"/>
  <c r="R6" i="91"/>
  <c r="S6" i="91"/>
  <c r="T6" i="91"/>
  <c r="U6" i="91"/>
  <c r="V6" i="91"/>
  <c r="W6" i="91"/>
  <c r="X6" i="91"/>
  <c r="Y6" i="91"/>
  <c r="Z6" i="91"/>
  <c r="Q7" i="91"/>
  <c r="R7" i="91"/>
  <c r="S7" i="91"/>
  <c r="T7" i="91"/>
  <c r="U7" i="91"/>
  <c r="V7" i="91"/>
  <c r="W7" i="91"/>
  <c r="X7" i="91"/>
  <c r="Y7" i="91"/>
  <c r="Z7" i="91"/>
  <c r="Q8" i="91"/>
  <c r="R8" i="91"/>
  <c r="S8" i="91"/>
  <c r="T8" i="91"/>
  <c r="U8" i="91"/>
  <c r="V8" i="91"/>
  <c r="W8" i="91"/>
  <c r="X8" i="91"/>
  <c r="Y8" i="91"/>
  <c r="Z8" i="91"/>
  <c r="Q9" i="91"/>
  <c r="R9" i="91"/>
  <c r="S9" i="91"/>
  <c r="T9" i="91"/>
  <c r="U9" i="91"/>
  <c r="V9" i="91"/>
  <c r="W9" i="91"/>
  <c r="X9" i="91"/>
  <c r="Y9" i="91"/>
  <c r="Z9" i="91"/>
  <c r="Q10" i="91"/>
  <c r="R10" i="91"/>
  <c r="S10" i="91"/>
  <c r="T10" i="91"/>
  <c r="U10" i="91"/>
  <c r="V10" i="91"/>
  <c r="W10" i="91"/>
  <c r="X10" i="91"/>
  <c r="Y10" i="91"/>
  <c r="Z10" i="91"/>
  <c r="Q11" i="91"/>
  <c r="R11" i="91"/>
  <c r="S11" i="91"/>
  <c r="T11" i="91"/>
  <c r="U11" i="91"/>
  <c r="V11" i="91"/>
  <c r="W11" i="91"/>
  <c r="X11" i="91"/>
  <c r="Y11" i="91"/>
  <c r="Z11" i="91"/>
  <c r="Q12" i="91"/>
  <c r="R12" i="91"/>
  <c r="S12" i="91"/>
  <c r="T12" i="91"/>
  <c r="U12" i="91"/>
  <c r="V12" i="91"/>
  <c r="W12" i="91"/>
  <c r="X12" i="91"/>
  <c r="Y12" i="91"/>
  <c r="Z12" i="91"/>
  <c r="Q13" i="91"/>
  <c r="R13" i="91"/>
  <c r="S13" i="91"/>
  <c r="T13" i="91"/>
  <c r="U13" i="91"/>
  <c r="V13" i="91"/>
  <c r="W13" i="91"/>
  <c r="X13" i="91"/>
  <c r="Y13" i="91"/>
  <c r="Z13" i="91"/>
  <c r="Q14" i="91"/>
  <c r="R14" i="91"/>
  <c r="S14" i="91"/>
  <c r="T14" i="91"/>
  <c r="U14" i="91"/>
  <c r="V14" i="91"/>
  <c r="W14" i="91"/>
  <c r="X14" i="91"/>
  <c r="Y14" i="91"/>
  <c r="Z14" i="91"/>
  <c r="Q15" i="91"/>
  <c r="R15" i="91"/>
  <c r="S15" i="91"/>
  <c r="T15" i="91"/>
  <c r="U15" i="91"/>
  <c r="V15" i="91"/>
  <c r="W15" i="91"/>
  <c r="X15" i="91"/>
  <c r="Y15" i="91"/>
  <c r="Z15" i="91"/>
  <c r="Q16" i="91"/>
  <c r="R16" i="91"/>
  <c r="S16" i="91"/>
  <c r="T16" i="91"/>
  <c r="U16" i="91"/>
  <c r="V16" i="91"/>
  <c r="W16" i="91"/>
  <c r="X16" i="91"/>
  <c r="Y16" i="91"/>
  <c r="Z16" i="91"/>
  <c r="Q17" i="91"/>
  <c r="R17" i="91"/>
  <c r="S17" i="91"/>
  <c r="T17" i="91"/>
  <c r="U17" i="91"/>
  <c r="V17" i="91"/>
  <c r="W17" i="91"/>
  <c r="X17" i="91"/>
  <c r="Y17" i="91"/>
  <c r="Z17" i="91"/>
  <c r="Q18" i="91"/>
  <c r="R18" i="91"/>
  <c r="S18" i="91"/>
  <c r="T18" i="91"/>
  <c r="U18" i="91"/>
  <c r="V18" i="91"/>
  <c r="W18" i="91"/>
  <c r="X18" i="91"/>
  <c r="Y18" i="91"/>
  <c r="Z18" i="91"/>
  <c r="Q19" i="91"/>
  <c r="R19" i="91"/>
  <c r="S19" i="91"/>
  <c r="T19" i="91"/>
  <c r="U19" i="91"/>
  <c r="V19" i="91"/>
  <c r="W19" i="91"/>
  <c r="X19" i="91"/>
  <c r="Y19" i="91"/>
  <c r="Z19" i="91"/>
  <c r="Q20" i="91"/>
  <c r="R20" i="91"/>
  <c r="S20" i="91"/>
  <c r="T20" i="91"/>
  <c r="U20" i="91"/>
  <c r="V20" i="91"/>
  <c r="W20" i="91"/>
  <c r="X20" i="91"/>
  <c r="Y20" i="91"/>
  <c r="Z20" i="91"/>
  <c r="Q21" i="91"/>
  <c r="R21" i="91"/>
  <c r="S21" i="91"/>
  <c r="T21" i="91"/>
  <c r="U21" i="91"/>
  <c r="V21" i="91"/>
  <c r="W21" i="91"/>
  <c r="X21" i="91"/>
  <c r="Y21" i="91"/>
  <c r="Z21" i="91"/>
  <c r="Q22" i="91"/>
  <c r="R22" i="91"/>
  <c r="S22" i="91"/>
  <c r="T22" i="91"/>
  <c r="U22" i="91"/>
  <c r="V22" i="91"/>
  <c r="W22" i="91"/>
  <c r="X22" i="91"/>
  <c r="Y22" i="91"/>
  <c r="Z22" i="91"/>
  <c r="Q23" i="91"/>
  <c r="R23" i="91"/>
  <c r="S23" i="91"/>
  <c r="T23" i="91"/>
  <c r="U23" i="91"/>
  <c r="V23" i="91"/>
  <c r="W23" i="91"/>
  <c r="X23" i="91"/>
  <c r="Y23" i="91"/>
  <c r="Z23" i="91"/>
  <c r="Q24" i="91"/>
  <c r="R24" i="91"/>
  <c r="S24" i="91"/>
  <c r="T24" i="91"/>
  <c r="U24" i="91"/>
  <c r="V24" i="91"/>
  <c r="W24" i="91"/>
  <c r="X24" i="91"/>
  <c r="Y24" i="91"/>
  <c r="Z24" i="91"/>
  <c r="Q25" i="91"/>
  <c r="R25" i="91"/>
  <c r="S25" i="91"/>
  <c r="T25" i="91"/>
  <c r="U25" i="91"/>
  <c r="V25" i="91"/>
  <c r="W25" i="91"/>
  <c r="X25" i="91"/>
  <c r="Y25" i="91"/>
  <c r="Z25" i="91"/>
  <c r="Q26" i="91"/>
  <c r="S26" i="91"/>
  <c r="T26" i="91"/>
  <c r="U26" i="91"/>
  <c r="V26" i="91"/>
  <c r="W26" i="91"/>
  <c r="X26" i="91"/>
  <c r="Y26" i="91"/>
  <c r="Z26" i="91"/>
  <c r="Q27" i="91"/>
  <c r="R27" i="91"/>
  <c r="S27" i="91"/>
  <c r="T27" i="91"/>
  <c r="U27" i="91"/>
  <c r="V27" i="91"/>
  <c r="W27" i="91"/>
  <c r="X27" i="91"/>
  <c r="Y27" i="91"/>
  <c r="Z27" i="91"/>
  <c r="Q28" i="91"/>
  <c r="R28" i="91"/>
  <c r="S28" i="91"/>
  <c r="T28" i="91"/>
  <c r="U28" i="91"/>
  <c r="V28" i="91"/>
  <c r="W28" i="91"/>
  <c r="X28" i="91"/>
  <c r="Y28" i="91"/>
  <c r="Z28" i="91"/>
  <c r="Q29" i="91"/>
  <c r="R29" i="91"/>
  <c r="S29" i="91"/>
  <c r="T29" i="91"/>
  <c r="U29" i="91"/>
  <c r="V29" i="91"/>
  <c r="W29" i="91"/>
  <c r="X29" i="91"/>
  <c r="Y29" i="91"/>
  <c r="Z29" i="91"/>
  <c r="Q30" i="91"/>
  <c r="R30" i="91"/>
  <c r="S30" i="91"/>
  <c r="T30" i="91"/>
  <c r="U30" i="91"/>
  <c r="V30" i="91"/>
  <c r="W30" i="91"/>
  <c r="X30" i="91"/>
  <c r="Y30" i="91"/>
  <c r="Z30" i="91"/>
  <c r="Q31" i="91"/>
  <c r="R31" i="91"/>
  <c r="S31" i="91"/>
  <c r="T31" i="91"/>
  <c r="U31" i="91"/>
  <c r="V31" i="91"/>
  <c r="W31" i="91"/>
  <c r="X31" i="91"/>
  <c r="Y31" i="91"/>
  <c r="Z31" i="91"/>
  <c r="Q32" i="91"/>
  <c r="R32" i="91"/>
  <c r="S32" i="91"/>
  <c r="T32" i="91"/>
  <c r="U32" i="91"/>
  <c r="V32" i="91"/>
  <c r="W32" i="91"/>
  <c r="X32" i="91"/>
  <c r="Y32" i="91"/>
  <c r="Z32" i="91"/>
  <c r="Q33" i="91"/>
  <c r="R33" i="91"/>
  <c r="S33" i="91"/>
  <c r="T33" i="91"/>
  <c r="U33" i="91"/>
  <c r="V33" i="91"/>
  <c r="W33" i="91"/>
  <c r="X33" i="91"/>
  <c r="Y33" i="91"/>
  <c r="Z33" i="91"/>
  <c r="Q34" i="91"/>
  <c r="R34" i="91"/>
  <c r="S34" i="91"/>
  <c r="T34" i="91"/>
  <c r="U34" i="91"/>
  <c r="V34" i="91"/>
  <c r="W34" i="91"/>
  <c r="X34" i="91"/>
  <c r="Y34" i="91"/>
  <c r="Z34" i="91"/>
  <c r="Q35" i="91"/>
  <c r="R35" i="91"/>
  <c r="S35" i="91"/>
  <c r="T35" i="91"/>
  <c r="U35" i="91"/>
  <c r="V35" i="91"/>
  <c r="W35" i="91"/>
  <c r="X35" i="91"/>
  <c r="Y35" i="91"/>
  <c r="Z35" i="91"/>
  <c r="Q36" i="91"/>
  <c r="R36" i="91"/>
  <c r="S36" i="91"/>
  <c r="T36" i="91"/>
  <c r="U36" i="91"/>
  <c r="V36" i="91"/>
  <c r="W36" i="91"/>
  <c r="X36" i="91"/>
  <c r="Y36" i="91"/>
  <c r="Z36" i="91"/>
  <c r="Q37" i="91"/>
  <c r="R37" i="91"/>
  <c r="S37" i="91"/>
  <c r="T37" i="91"/>
  <c r="U37" i="91"/>
  <c r="V37" i="91"/>
  <c r="W37" i="91"/>
  <c r="X37" i="91"/>
  <c r="Y37" i="91"/>
  <c r="Z37" i="91"/>
  <c r="Q38" i="91"/>
  <c r="R38" i="91"/>
  <c r="S38" i="91"/>
  <c r="T38" i="91"/>
  <c r="U38" i="91"/>
  <c r="V38" i="91"/>
  <c r="W38" i="91"/>
  <c r="X38" i="91"/>
  <c r="Y38" i="91"/>
  <c r="Z38" i="91"/>
  <c r="Q39" i="91"/>
  <c r="R39" i="91"/>
  <c r="S39" i="91"/>
  <c r="T39" i="91"/>
  <c r="U39" i="91"/>
  <c r="V39" i="91"/>
  <c r="W39" i="91"/>
  <c r="X39" i="91"/>
  <c r="Y39" i="91"/>
  <c r="Z39" i="91"/>
  <c r="Q40" i="91"/>
  <c r="R40" i="91"/>
  <c r="S40" i="91"/>
  <c r="T40" i="91"/>
  <c r="U40" i="91"/>
  <c r="V40" i="91"/>
  <c r="W40" i="91"/>
  <c r="X40" i="91"/>
  <c r="Y40" i="91"/>
  <c r="Z40" i="91"/>
  <c r="Q41" i="91"/>
  <c r="R41" i="91"/>
  <c r="S41" i="91"/>
  <c r="T41" i="91"/>
  <c r="U41" i="91"/>
  <c r="V41" i="91"/>
  <c r="W41" i="91"/>
  <c r="X41" i="91"/>
  <c r="Y41" i="91"/>
  <c r="Z41" i="91"/>
  <c r="Q42" i="91"/>
  <c r="R42" i="91"/>
  <c r="S42" i="91"/>
  <c r="T42" i="91"/>
  <c r="U42" i="91"/>
  <c r="V42" i="91"/>
  <c r="W42" i="91"/>
  <c r="X42" i="91"/>
  <c r="Y42" i="91"/>
  <c r="Z42" i="91"/>
  <c r="Q43" i="91"/>
  <c r="R43" i="91"/>
  <c r="S43" i="91"/>
  <c r="T43" i="91"/>
  <c r="U43" i="91"/>
  <c r="V43" i="91"/>
  <c r="W43" i="91"/>
  <c r="X43" i="91"/>
  <c r="Y43" i="91"/>
  <c r="Z43" i="91"/>
  <c r="Q44" i="91"/>
  <c r="R44" i="91"/>
  <c r="S44" i="91"/>
  <c r="T44" i="91"/>
  <c r="U44" i="91"/>
  <c r="V44" i="91"/>
  <c r="W44" i="91"/>
  <c r="X44" i="91"/>
  <c r="Y44" i="91"/>
  <c r="Z44" i="91"/>
  <c r="Q45" i="91"/>
  <c r="R45" i="91"/>
  <c r="S45" i="91"/>
  <c r="T45" i="91"/>
  <c r="U45" i="91"/>
  <c r="V45" i="91"/>
  <c r="W45" i="91"/>
  <c r="X45" i="91"/>
  <c r="Y45" i="91"/>
  <c r="Z45" i="91"/>
  <c r="Q46" i="91"/>
  <c r="R46" i="91"/>
  <c r="S46" i="91"/>
  <c r="T46" i="91"/>
  <c r="U46" i="91"/>
  <c r="V46" i="91"/>
  <c r="W46" i="91"/>
  <c r="X46" i="91"/>
  <c r="Y46" i="91"/>
  <c r="Z46" i="91"/>
  <c r="Q47" i="91"/>
  <c r="R47" i="91"/>
  <c r="S47" i="91"/>
  <c r="T47" i="91"/>
  <c r="U47" i="91"/>
  <c r="V47" i="91"/>
  <c r="W47" i="91"/>
  <c r="X47" i="91"/>
  <c r="Y47" i="91"/>
  <c r="Z47" i="91"/>
  <c r="Q48" i="91"/>
  <c r="R48" i="91"/>
  <c r="S48" i="91"/>
  <c r="T48" i="91"/>
  <c r="U48" i="91"/>
  <c r="V48" i="91"/>
  <c r="W48" i="91"/>
  <c r="X48" i="91"/>
  <c r="Y48" i="91"/>
  <c r="Z48" i="91"/>
  <c r="Q49" i="91"/>
  <c r="R49" i="91"/>
  <c r="S49" i="91"/>
  <c r="T49" i="91"/>
  <c r="U49" i="91"/>
  <c r="V49" i="91"/>
  <c r="W49" i="91"/>
  <c r="X49" i="91"/>
  <c r="Y49" i="91"/>
  <c r="Z49" i="91"/>
  <c r="Q50" i="91"/>
  <c r="R50" i="91"/>
  <c r="S50" i="91"/>
  <c r="T50" i="91"/>
  <c r="U50" i="91"/>
  <c r="V50" i="91"/>
  <c r="W50" i="91"/>
  <c r="X50" i="91"/>
  <c r="Y50" i="91"/>
  <c r="Z50" i="91"/>
  <c r="Q51" i="91"/>
  <c r="R51" i="91"/>
  <c r="S51" i="91"/>
  <c r="T51" i="91"/>
  <c r="U51" i="91"/>
  <c r="V51" i="91"/>
  <c r="W51" i="91"/>
  <c r="X51" i="91"/>
  <c r="Y51" i="91"/>
  <c r="Z51" i="91"/>
  <c r="Q52" i="91"/>
  <c r="R52" i="91"/>
  <c r="S52" i="91"/>
  <c r="T52" i="91"/>
  <c r="U52" i="91"/>
  <c r="V52" i="91"/>
  <c r="W52" i="91"/>
  <c r="X52" i="91"/>
  <c r="Y52" i="91"/>
  <c r="Z52" i="91"/>
  <c r="Q53" i="91"/>
  <c r="R53" i="91"/>
  <c r="S53" i="91"/>
  <c r="T53" i="91"/>
  <c r="U53" i="91"/>
  <c r="V53" i="91"/>
  <c r="W53" i="91"/>
  <c r="X53" i="91"/>
  <c r="Y53" i="91"/>
  <c r="Z53" i="91"/>
  <c r="Q54" i="91"/>
  <c r="R54" i="91"/>
  <c r="S54" i="91"/>
  <c r="T54" i="91"/>
  <c r="U54" i="91"/>
  <c r="V54" i="91"/>
  <c r="W54" i="91"/>
  <c r="X54" i="91"/>
  <c r="Y54" i="91"/>
  <c r="Z54" i="91"/>
  <c r="Q55" i="91"/>
  <c r="R55" i="91"/>
  <c r="S55" i="91"/>
  <c r="T55" i="91"/>
  <c r="U55" i="91"/>
  <c r="V55" i="91"/>
  <c r="W55" i="91"/>
  <c r="X55" i="91"/>
  <c r="Y55" i="91"/>
  <c r="Z55" i="91"/>
  <c r="Q56" i="91"/>
  <c r="R56" i="91"/>
  <c r="S56" i="91"/>
  <c r="T56" i="91"/>
  <c r="U56" i="91"/>
  <c r="V56" i="91"/>
  <c r="W56" i="91"/>
  <c r="X56" i="91"/>
  <c r="Y56" i="91"/>
  <c r="Z56" i="91"/>
  <c r="Q57" i="91"/>
  <c r="R57" i="91"/>
  <c r="S57" i="91"/>
  <c r="T57" i="91"/>
  <c r="U57" i="91"/>
  <c r="V57" i="91"/>
  <c r="W57" i="91"/>
  <c r="X57" i="91"/>
  <c r="Y57" i="91"/>
  <c r="Z57" i="91"/>
  <c r="Q58" i="91"/>
  <c r="R58" i="91"/>
  <c r="S58" i="91"/>
  <c r="T58" i="91"/>
  <c r="U58" i="91"/>
  <c r="V58" i="91"/>
  <c r="W58" i="91"/>
  <c r="X58" i="91"/>
  <c r="Y58" i="91"/>
  <c r="Z58" i="91"/>
  <c r="Q59" i="91"/>
  <c r="R59" i="91"/>
  <c r="S59" i="91"/>
  <c r="T59" i="91"/>
  <c r="U59" i="91"/>
  <c r="V59" i="91"/>
  <c r="W59" i="91"/>
  <c r="X59" i="91"/>
  <c r="Y59" i="91"/>
  <c r="Z59" i="91"/>
  <c r="Q60" i="91"/>
  <c r="R60" i="91"/>
  <c r="S60" i="91"/>
  <c r="T60" i="91"/>
  <c r="U60" i="91"/>
  <c r="V60" i="91"/>
  <c r="W60" i="91"/>
  <c r="X60" i="91"/>
  <c r="Y60" i="91"/>
  <c r="Z60" i="91"/>
  <c r="Q61" i="91"/>
  <c r="R61" i="91"/>
  <c r="S61" i="91"/>
  <c r="T61" i="91"/>
  <c r="U61" i="91"/>
  <c r="V61" i="91"/>
  <c r="W61" i="91"/>
  <c r="X61" i="91"/>
  <c r="Y61" i="91"/>
  <c r="Z61" i="91"/>
  <c r="Q62" i="91"/>
  <c r="R62" i="91"/>
  <c r="S62" i="91"/>
  <c r="T62" i="91"/>
  <c r="U62" i="91"/>
  <c r="V62" i="91"/>
  <c r="W62" i="91"/>
  <c r="X62" i="91"/>
  <c r="Y62" i="91"/>
  <c r="Z62" i="91"/>
  <c r="Q63" i="91"/>
  <c r="R63" i="91"/>
  <c r="S63" i="91"/>
  <c r="T63" i="91"/>
  <c r="U63" i="91"/>
  <c r="V63" i="91"/>
  <c r="W63" i="91"/>
  <c r="X63" i="91"/>
  <c r="Y63" i="91"/>
  <c r="Z63" i="91"/>
  <c r="Q64" i="91"/>
  <c r="R64" i="91"/>
  <c r="S64" i="91"/>
  <c r="T64" i="91"/>
  <c r="U64" i="91"/>
  <c r="V64" i="91"/>
  <c r="W64" i="91"/>
  <c r="X64" i="91"/>
  <c r="Y64" i="91"/>
  <c r="Z64" i="91"/>
  <c r="Q65" i="91"/>
  <c r="R65" i="91"/>
  <c r="S65" i="91"/>
  <c r="T65" i="91"/>
  <c r="U65" i="91"/>
  <c r="V65" i="91"/>
  <c r="W65" i="91"/>
  <c r="X65" i="91"/>
  <c r="Y65" i="91"/>
  <c r="Z65" i="91"/>
  <c r="Q66" i="91"/>
  <c r="R66" i="91"/>
  <c r="S66" i="91"/>
  <c r="T66" i="91"/>
  <c r="U66" i="91"/>
  <c r="V66" i="91"/>
  <c r="W66" i="91"/>
  <c r="X66" i="91"/>
  <c r="Y66" i="91"/>
  <c r="Z66" i="91"/>
  <c r="Q67" i="91"/>
  <c r="R67" i="91"/>
  <c r="S67" i="91"/>
  <c r="T67" i="91"/>
  <c r="U67" i="91"/>
  <c r="V67" i="91"/>
  <c r="W67" i="91"/>
  <c r="X67" i="91"/>
  <c r="Y67" i="91"/>
  <c r="Z67" i="91"/>
  <c r="Q68" i="91"/>
  <c r="R68" i="91"/>
  <c r="S68" i="91"/>
  <c r="T68" i="91"/>
  <c r="U68" i="91"/>
  <c r="V68" i="91"/>
  <c r="W68" i="91"/>
  <c r="X68" i="91"/>
  <c r="Y68" i="91"/>
  <c r="Z68" i="91"/>
  <c r="Q69" i="91"/>
  <c r="R69" i="91"/>
  <c r="S69" i="91"/>
  <c r="T69" i="91"/>
  <c r="U69" i="91"/>
  <c r="V69" i="91"/>
  <c r="W69" i="91"/>
  <c r="X69" i="91"/>
  <c r="Y69" i="91"/>
  <c r="Z69" i="91"/>
  <c r="Q70" i="91"/>
  <c r="R70" i="91"/>
  <c r="S70" i="91"/>
  <c r="T70" i="91"/>
  <c r="U70" i="91"/>
  <c r="V70" i="91"/>
  <c r="W70" i="91"/>
  <c r="X70" i="91"/>
  <c r="Y70" i="91"/>
  <c r="Z70" i="91"/>
  <c r="Q71" i="91"/>
  <c r="R71" i="91"/>
  <c r="S71" i="91"/>
  <c r="T71" i="91"/>
  <c r="U71" i="91"/>
  <c r="V71" i="91"/>
  <c r="W71" i="91"/>
  <c r="X71" i="91"/>
  <c r="Y71" i="91"/>
  <c r="Z71" i="91"/>
  <c r="Q72" i="91"/>
  <c r="R72" i="91"/>
  <c r="S72" i="91"/>
  <c r="T72" i="91"/>
  <c r="U72" i="91"/>
  <c r="V72" i="91"/>
  <c r="W72" i="91"/>
  <c r="X72" i="91"/>
  <c r="Y72" i="91"/>
  <c r="Z72" i="91"/>
  <c r="Q73" i="91"/>
  <c r="R73" i="91"/>
  <c r="S73" i="91"/>
  <c r="T73" i="91"/>
  <c r="U73" i="91"/>
  <c r="V73" i="91"/>
  <c r="W73" i="91"/>
  <c r="X73" i="91"/>
  <c r="Y73" i="91"/>
  <c r="Z73" i="91"/>
  <c r="Q74" i="91"/>
  <c r="R74" i="91"/>
  <c r="S74" i="91"/>
  <c r="T74" i="91"/>
  <c r="U74" i="91"/>
  <c r="V74" i="91"/>
  <c r="W74" i="91"/>
  <c r="X74" i="91"/>
  <c r="Y74" i="91"/>
  <c r="Z74" i="91"/>
  <c r="Q75" i="91"/>
  <c r="R75" i="91"/>
  <c r="S75" i="91"/>
  <c r="T75" i="91"/>
  <c r="U75" i="91"/>
  <c r="V75" i="91"/>
  <c r="W75" i="91"/>
  <c r="X75" i="91"/>
  <c r="Y75" i="91"/>
  <c r="Z75" i="91"/>
  <c r="Q76" i="91"/>
  <c r="R76" i="91"/>
  <c r="S76" i="91"/>
  <c r="T76" i="91"/>
  <c r="U76" i="91"/>
  <c r="V76" i="91"/>
  <c r="W76" i="91"/>
  <c r="X76" i="91"/>
  <c r="Y76" i="91"/>
  <c r="Z76" i="91"/>
  <c r="Q77" i="91"/>
  <c r="R77" i="91"/>
  <c r="S77" i="91"/>
  <c r="T77" i="91"/>
  <c r="U77" i="91"/>
  <c r="V77" i="91"/>
  <c r="W77" i="91"/>
  <c r="X77" i="91"/>
  <c r="Y77" i="91"/>
  <c r="Z77" i="91"/>
  <c r="Q78" i="91"/>
  <c r="R78" i="91"/>
  <c r="S78" i="91"/>
  <c r="T78" i="91"/>
  <c r="U78" i="91"/>
  <c r="V78" i="91"/>
  <c r="W78" i="91"/>
  <c r="X78" i="91"/>
  <c r="Y78" i="91"/>
  <c r="Z78" i="91"/>
  <c r="Q79" i="91"/>
  <c r="R79" i="91"/>
  <c r="S79" i="91"/>
  <c r="T79" i="91"/>
  <c r="U79" i="91"/>
  <c r="V79" i="91"/>
  <c r="W79" i="91"/>
  <c r="X79" i="91"/>
  <c r="Y79" i="91"/>
  <c r="Z79" i="91"/>
  <c r="Q80" i="91"/>
  <c r="R80" i="91"/>
  <c r="S80" i="91"/>
  <c r="T80" i="91"/>
  <c r="U80" i="91"/>
  <c r="V80" i="91"/>
  <c r="W80" i="91"/>
  <c r="X80" i="91"/>
  <c r="Y80" i="91"/>
  <c r="Z80" i="91"/>
  <c r="Q81" i="91"/>
  <c r="R81" i="91"/>
  <c r="S81" i="91"/>
  <c r="T81" i="91"/>
  <c r="U81" i="91"/>
  <c r="V81" i="91"/>
  <c r="W81" i="91"/>
  <c r="X81" i="91"/>
  <c r="Y81" i="91"/>
  <c r="Z81" i="91"/>
  <c r="Q82" i="91"/>
  <c r="R82" i="91"/>
  <c r="S82" i="91"/>
  <c r="T82" i="91"/>
  <c r="U82" i="91"/>
  <c r="V82" i="91"/>
  <c r="W82" i="91"/>
  <c r="X82" i="91"/>
  <c r="Y82" i="91"/>
  <c r="Z82" i="91"/>
  <c r="Q83" i="91"/>
  <c r="R83" i="91"/>
  <c r="S83" i="91"/>
  <c r="T83" i="91"/>
  <c r="U83" i="91"/>
  <c r="V83" i="91"/>
  <c r="W83" i="91"/>
  <c r="X83" i="91"/>
  <c r="Y83" i="91"/>
  <c r="Z83" i="91"/>
  <c r="Q84" i="91"/>
  <c r="R84" i="91"/>
  <c r="S84" i="91"/>
  <c r="T84" i="91"/>
  <c r="U84" i="91"/>
  <c r="V84" i="91"/>
  <c r="W84" i="91"/>
  <c r="X84" i="91"/>
  <c r="Y84" i="91"/>
  <c r="Z84" i="91"/>
  <c r="Q85" i="91"/>
  <c r="R85" i="91"/>
  <c r="S85" i="91"/>
  <c r="T85" i="91"/>
  <c r="U85" i="91"/>
  <c r="V85" i="91"/>
  <c r="W85" i="91"/>
  <c r="X85" i="91"/>
  <c r="Y85" i="91"/>
  <c r="Z85" i="91"/>
  <c r="Q86" i="91"/>
  <c r="R86" i="91"/>
  <c r="S86" i="91"/>
  <c r="T86" i="91"/>
  <c r="U86" i="91"/>
  <c r="V86" i="91"/>
  <c r="W86" i="91"/>
  <c r="X86" i="91"/>
  <c r="Y86" i="91"/>
  <c r="Z86" i="91"/>
  <c r="Q87" i="91"/>
  <c r="R87" i="91"/>
  <c r="S87" i="91"/>
  <c r="T87" i="91"/>
  <c r="U87" i="91"/>
  <c r="V87" i="91"/>
  <c r="W87" i="91"/>
  <c r="X87" i="91"/>
  <c r="Y87" i="91"/>
  <c r="Z87" i="91"/>
  <c r="Q88" i="91"/>
  <c r="R88" i="91"/>
  <c r="S88" i="91"/>
  <c r="T88" i="91"/>
  <c r="U88" i="91"/>
  <c r="V88" i="91"/>
  <c r="W88" i="91"/>
  <c r="X88" i="91"/>
  <c r="Y88" i="91"/>
  <c r="Z88" i="91"/>
  <c r="Q89" i="91"/>
  <c r="R89" i="91"/>
  <c r="S89" i="91"/>
  <c r="T89" i="91"/>
  <c r="U89" i="91"/>
  <c r="V89" i="91"/>
  <c r="W89" i="91"/>
  <c r="X89" i="91"/>
  <c r="Y89" i="91"/>
  <c r="Z89" i="91"/>
  <c r="Q90" i="91"/>
  <c r="R90" i="91"/>
  <c r="S90" i="91"/>
  <c r="T90" i="91"/>
  <c r="U90" i="91"/>
  <c r="V90" i="91"/>
  <c r="W90" i="91"/>
  <c r="X90" i="91"/>
  <c r="Y90" i="91"/>
  <c r="Z90" i="91"/>
  <c r="Q91" i="91"/>
  <c r="R91" i="91"/>
  <c r="S91" i="91"/>
  <c r="T91" i="91"/>
  <c r="U91" i="91"/>
  <c r="V91" i="91"/>
  <c r="W91" i="91"/>
  <c r="X91" i="91"/>
  <c r="Y91" i="91"/>
  <c r="Z91" i="91"/>
  <c r="Q92" i="91"/>
  <c r="R92" i="91"/>
  <c r="S92" i="91"/>
  <c r="T92" i="91"/>
  <c r="U92" i="91"/>
  <c r="V92" i="91"/>
  <c r="W92" i="91"/>
  <c r="X92" i="91"/>
  <c r="Y92" i="91"/>
  <c r="Z92" i="91"/>
  <c r="Q93" i="91"/>
  <c r="R93" i="91"/>
  <c r="S93" i="91"/>
  <c r="T93" i="91"/>
  <c r="U93" i="91"/>
  <c r="V93" i="91"/>
  <c r="W93" i="91"/>
  <c r="X93" i="91"/>
  <c r="Y93" i="91"/>
  <c r="Z93" i="91"/>
  <c r="Q94" i="91"/>
  <c r="R94" i="91"/>
  <c r="S94" i="91"/>
  <c r="T94" i="91"/>
  <c r="U94" i="91"/>
  <c r="V94" i="91"/>
  <c r="W94" i="91"/>
  <c r="X94" i="91"/>
  <c r="Y94" i="91"/>
  <c r="Z94" i="91"/>
  <c r="Q95" i="91"/>
  <c r="R95" i="91"/>
  <c r="S95" i="91"/>
  <c r="T95" i="91"/>
  <c r="U95" i="91"/>
  <c r="V95" i="91"/>
  <c r="W95" i="91"/>
  <c r="X95" i="91"/>
  <c r="Y95" i="91"/>
  <c r="Z95" i="91"/>
  <c r="Q96" i="91"/>
  <c r="R96" i="91"/>
  <c r="S96" i="91"/>
  <c r="T96" i="91"/>
  <c r="U96" i="91"/>
  <c r="V96" i="91"/>
  <c r="W96" i="91"/>
  <c r="X96" i="91"/>
  <c r="Y96" i="91"/>
  <c r="Z96" i="91"/>
  <c r="Q97" i="91"/>
  <c r="R97" i="91"/>
  <c r="S97" i="91"/>
  <c r="T97" i="91"/>
  <c r="U97" i="91"/>
  <c r="V97" i="91"/>
  <c r="W97" i="91"/>
  <c r="X97" i="91"/>
  <c r="Y97" i="91"/>
  <c r="Z97" i="91"/>
  <c r="Q98" i="91"/>
  <c r="R98" i="91"/>
  <c r="S98" i="91"/>
  <c r="T98" i="91"/>
  <c r="U98" i="91"/>
  <c r="V98" i="91"/>
  <c r="W98" i="91"/>
  <c r="X98" i="91"/>
  <c r="Y98" i="91"/>
  <c r="Z98" i="91"/>
  <c r="Q99" i="91"/>
  <c r="R99" i="91"/>
  <c r="S99" i="91"/>
  <c r="T99" i="91"/>
  <c r="U99" i="91"/>
  <c r="V99" i="91"/>
  <c r="W99" i="91"/>
  <c r="X99" i="91"/>
  <c r="Y99" i="91"/>
  <c r="Z99" i="91"/>
  <c r="Q100" i="91"/>
  <c r="R100" i="91"/>
  <c r="S100" i="91"/>
  <c r="T100" i="91"/>
  <c r="U100" i="91"/>
  <c r="V100" i="91"/>
  <c r="W100" i="91"/>
  <c r="X100" i="91"/>
  <c r="Y100" i="91"/>
  <c r="Z100" i="91"/>
  <c r="Q101" i="91"/>
  <c r="R101" i="91"/>
  <c r="S101" i="91"/>
  <c r="T101" i="91"/>
  <c r="U101" i="91"/>
  <c r="V101" i="91"/>
  <c r="W101" i="91"/>
  <c r="X101" i="91"/>
  <c r="Y101" i="91"/>
  <c r="Z101" i="91"/>
  <c r="Q102" i="91"/>
  <c r="R102" i="91"/>
  <c r="S102" i="91"/>
  <c r="T102" i="91"/>
  <c r="U102" i="91"/>
  <c r="V102" i="91"/>
  <c r="W102" i="91"/>
  <c r="X102" i="91"/>
  <c r="Y102" i="91"/>
  <c r="Z102" i="91"/>
  <c r="Q103" i="91"/>
  <c r="R103" i="91"/>
  <c r="S103" i="91"/>
  <c r="T103" i="91"/>
  <c r="U103" i="91"/>
  <c r="V103" i="91"/>
  <c r="W103" i="91"/>
  <c r="X103" i="91"/>
  <c r="Y103" i="91"/>
  <c r="Z103" i="91"/>
  <c r="Q104" i="91"/>
  <c r="R104" i="91"/>
  <c r="S104" i="91"/>
  <c r="T104" i="91"/>
  <c r="U104" i="91"/>
  <c r="V104" i="91"/>
  <c r="W104" i="91"/>
  <c r="X104" i="91"/>
  <c r="Y104" i="91"/>
  <c r="Z104" i="91"/>
  <c r="Q105" i="91"/>
  <c r="R105" i="91"/>
  <c r="S105" i="91"/>
  <c r="T105" i="91"/>
  <c r="U105" i="91"/>
  <c r="V105" i="91"/>
  <c r="W105" i="91"/>
  <c r="X105" i="91"/>
  <c r="Y105" i="91"/>
  <c r="Z105" i="91"/>
  <c r="Q106" i="91"/>
  <c r="R106" i="91"/>
  <c r="S106" i="91"/>
  <c r="T106" i="91"/>
  <c r="U106" i="91"/>
  <c r="V106" i="91"/>
  <c r="W106" i="91"/>
  <c r="X106" i="91"/>
  <c r="Y106" i="91"/>
  <c r="Z106" i="91"/>
  <c r="Q107" i="91"/>
  <c r="R107" i="91"/>
  <c r="S107" i="91"/>
  <c r="T107" i="91"/>
  <c r="U107" i="91"/>
  <c r="V107" i="91"/>
  <c r="W107" i="91"/>
  <c r="X107" i="91"/>
  <c r="Y107" i="91"/>
  <c r="Z107" i="91"/>
  <c r="Q108" i="91"/>
  <c r="R108" i="91"/>
  <c r="S108" i="91"/>
  <c r="T108" i="91"/>
  <c r="U108" i="91"/>
  <c r="V108" i="91"/>
  <c r="W108" i="91"/>
  <c r="X108" i="91"/>
  <c r="Y108" i="91"/>
  <c r="Z108" i="91"/>
  <c r="Q109" i="91"/>
  <c r="R109" i="91"/>
  <c r="S109" i="91"/>
  <c r="T109" i="91"/>
  <c r="U109" i="91"/>
  <c r="V109" i="91"/>
  <c r="W109" i="91"/>
  <c r="X109" i="91"/>
  <c r="Y109" i="91"/>
  <c r="Z109" i="91"/>
  <c r="Q110" i="91"/>
  <c r="R110" i="91"/>
  <c r="S110" i="91"/>
  <c r="T110" i="91"/>
  <c r="U110" i="91"/>
  <c r="V110" i="91"/>
  <c r="W110" i="91"/>
  <c r="X110" i="91"/>
  <c r="Y110" i="91"/>
  <c r="Z110" i="91"/>
  <c r="Q111" i="91"/>
  <c r="R111" i="91"/>
  <c r="S111" i="91"/>
  <c r="T111" i="91"/>
  <c r="U111" i="91"/>
  <c r="V111" i="91"/>
  <c r="W111" i="91"/>
  <c r="X111" i="91"/>
  <c r="Y111" i="91"/>
  <c r="Z111" i="91"/>
  <c r="Q112" i="91"/>
  <c r="R112" i="91"/>
  <c r="S112" i="91"/>
  <c r="T112" i="91"/>
  <c r="U112" i="91"/>
  <c r="V112" i="91"/>
  <c r="W112" i="91"/>
  <c r="X112" i="91"/>
  <c r="Y112" i="91"/>
  <c r="Z112" i="91"/>
  <c r="Q113" i="91"/>
  <c r="R113" i="91"/>
  <c r="S113" i="91"/>
  <c r="T113" i="91"/>
  <c r="U113" i="91"/>
  <c r="V113" i="91"/>
  <c r="W113" i="91"/>
  <c r="X113" i="91"/>
  <c r="Y113" i="91"/>
  <c r="Z113" i="91"/>
  <c r="Q114" i="91"/>
  <c r="R114" i="91"/>
  <c r="S114" i="91"/>
  <c r="T114" i="91"/>
  <c r="U114" i="91"/>
  <c r="V114" i="91"/>
  <c r="W114" i="91"/>
  <c r="X114" i="91"/>
  <c r="Y114" i="91"/>
  <c r="Z114" i="91"/>
  <c r="Q115" i="91"/>
  <c r="R115" i="91"/>
  <c r="S115" i="91"/>
  <c r="T115" i="91"/>
  <c r="U115" i="91"/>
  <c r="V115" i="91"/>
  <c r="W115" i="91"/>
  <c r="X115" i="91"/>
  <c r="Y115" i="91"/>
  <c r="Z115" i="91"/>
  <c r="Q116" i="91"/>
  <c r="R116" i="91"/>
  <c r="S116" i="91"/>
  <c r="T116" i="91"/>
  <c r="U116" i="91"/>
  <c r="V116" i="91"/>
  <c r="W116" i="91"/>
  <c r="X116" i="91"/>
  <c r="Y116" i="91"/>
  <c r="Z116" i="91"/>
  <c r="Q117" i="91"/>
  <c r="R117" i="91"/>
  <c r="S117" i="91"/>
  <c r="T117" i="91"/>
  <c r="U117" i="91"/>
  <c r="V117" i="91"/>
  <c r="W117" i="91"/>
  <c r="X117" i="91"/>
  <c r="Y117" i="91"/>
  <c r="Z117" i="91"/>
  <c r="Q118" i="91"/>
  <c r="R118" i="91"/>
  <c r="S118" i="91"/>
  <c r="T118" i="91"/>
  <c r="U118" i="91"/>
  <c r="V118" i="91"/>
  <c r="W118" i="91"/>
  <c r="X118" i="91"/>
  <c r="Y118" i="91"/>
  <c r="Z118" i="91"/>
  <c r="Q119" i="91"/>
  <c r="R119" i="91"/>
  <c r="S119" i="91"/>
  <c r="T119" i="91"/>
  <c r="U119" i="91"/>
  <c r="V119" i="91"/>
  <c r="W119" i="91"/>
  <c r="X119" i="91"/>
  <c r="Y119" i="91"/>
  <c r="Z119" i="91"/>
  <c r="Q120" i="91"/>
  <c r="R120" i="91"/>
  <c r="S120" i="91"/>
  <c r="T120" i="91"/>
  <c r="U120" i="91"/>
  <c r="V120" i="91"/>
  <c r="W120" i="91"/>
  <c r="X120" i="91"/>
  <c r="Y120" i="91"/>
  <c r="Z120" i="91"/>
  <c r="Q121" i="91"/>
  <c r="R121" i="91"/>
  <c r="S121" i="91"/>
  <c r="T121" i="91"/>
  <c r="U121" i="91"/>
  <c r="V121" i="91"/>
  <c r="W121" i="91"/>
  <c r="X121" i="91"/>
  <c r="Y121" i="91"/>
  <c r="Z121" i="91"/>
  <c r="Q122" i="91"/>
  <c r="R122" i="91"/>
  <c r="S122" i="91"/>
  <c r="T122" i="91"/>
  <c r="U122" i="91"/>
  <c r="V122" i="91"/>
  <c r="W122" i="91"/>
  <c r="X122" i="91"/>
  <c r="Y122" i="91"/>
  <c r="Z122" i="91"/>
  <c r="Q123" i="91"/>
  <c r="R123" i="91"/>
  <c r="S123" i="91"/>
  <c r="T123" i="91"/>
  <c r="U123" i="91"/>
  <c r="V123" i="91"/>
  <c r="W123" i="91"/>
  <c r="X123" i="91"/>
  <c r="Y123" i="91"/>
  <c r="Z123" i="91"/>
  <c r="Q124" i="91"/>
  <c r="R124" i="91"/>
  <c r="S124" i="91"/>
  <c r="T124" i="91"/>
  <c r="U124" i="91"/>
  <c r="V124" i="91"/>
  <c r="W124" i="91"/>
  <c r="X124" i="91"/>
  <c r="Y124" i="91"/>
  <c r="Z124" i="91"/>
  <c r="Q125" i="91"/>
  <c r="R125" i="91"/>
  <c r="S125" i="91"/>
  <c r="T125" i="91"/>
  <c r="U125" i="91"/>
  <c r="V125" i="91"/>
  <c r="W125" i="91"/>
  <c r="X125" i="91"/>
  <c r="Y125" i="91"/>
  <c r="Z125" i="91"/>
  <c r="Q126" i="91"/>
  <c r="R126" i="91"/>
  <c r="S126" i="91"/>
  <c r="T126" i="91"/>
  <c r="U126" i="91"/>
  <c r="V126" i="91"/>
  <c r="W126" i="91"/>
  <c r="X126" i="91"/>
  <c r="Y126" i="91"/>
  <c r="Z126" i="91"/>
  <c r="Q127" i="91"/>
  <c r="R127" i="91"/>
  <c r="S127" i="91"/>
  <c r="T127" i="91"/>
  <c r="U127" i="91"/>
  <c r="V127" i="91"/>
  <c r="W127" i="91"/>
  <c r="X127" i="91"/>
  <c r="Y127" i="91"/>
  <c r="Z127" i="91"/>
  <c r="Q128" i="91"/>
  <c r="R128" i="91"/>
  <c r="S128" i="91"/>
  <c r="T128" i="91"/>
  <c r="U128" i="91"/>
  <c r="V128" i="91"/>
  <c r="W128" i="91"/>
  <c r="X128" i="91"/>
  <c r="Y128" i="91"/>
  <c r="Z128" i="91"/>
  <c r="Q129" i="91"/>
  <c r="R129" i="91"/>
  <c r="S129" i="91"/>
  <c r="T129" i="91"/>
  <c r="U129" i="91"/>
  <c r="V129" i="91"/>
  <c r="W129" i="91"/>
  <c r="X129" i="91"/>
  <c r="Y129" i="91"/>
  <c r="Z129" i="91"/>
  <c r="Q130" i="91"/>
  <c r="R130" i="91"/>
  <c r="S130" i="91"/>
  <c r="T130" i="91"/>
  <c r="U130" i="91"/>
  <c r="V130" i="91"/>
  <c r="W130" i="91"/>
  <c r="X130" i="91"/>
  <c r="Y130" i="91"/>
  <c r="Z130" i="91"/>
  <c r="Q131" i="91"/>
  <c r="R131" i="91"/>
  <c r="S131" i="91"/>
  <c r="T131" i="91"/>
  <c r="U131" i="91"/>
  <c r="V131" i="91"/>
  <c r="W131" i="91"/>
  <c r="X131" i="91"/>
  <c r="Y131" i="91"/>
  <c r="Z131" i="91"/>
  <c r="Q132" i="91"/>
  <c r="R132" i="91"/>
  <c r="S132" i="91"/>
  <c r="T132" i="91"/>
  <c r="U132" i="91"/>
  <c r="V132" i="91"/>
  <c r="W132" i="91"/>
  <c r="X132" i="91"/>
  <c r="Y132" i="91"/>
  <c r="Z132" i="91"/>
  <c r="Q133" i="91"/>
  <c r="R133" i="91"/>
  <c r="S133" i="91"/>
  <c r="T133" i="91"/>
  <c r="U133" i="91"/>
  <c r="V133" i="91"/>
  <c r="W133" i="91"/>
  <c r="X133" i="91"/>
  <c r="Y133" i="91"/>
  <c r="Z133" i="91"/>
  <c r="Q134" i="91"/>
  <c r="R134" i="91"/>
  <c r="S134" i="91"/>
  <c r="T134" i="91"/>
  <c r="U134" i="91"/>
  <c r="V134" i="91"/>
  <c r="W134" i="91"/>
  <c r="X134" i="91"/>
  <c r="Y134" i="91"/>
  <c r="Z134" i="91"/>
  <c r="Q135" i="91"/>
  <c r="R135" i="91"/>
  <c r="S135" i="91"/>
  <c r="T135" i="91"/>
  <c r="U135" i="91"/>
  <c r="V135" i="91"/>
  <c r="W135" i="91"/>
  <c r="X135" i="91"/>
  <c r="Y135" i="91"/>
  <c r="Z135" i="91"/>
  <c r="Q136" i="91"/>
  <c r="R136" i="91"/>
  <c r="S136" i="91"/>
  <c r="T136" i="91"/>
  <c r="U136" i="91"/>
  <c r="V136" i="91"/>
  <c r="W136" i="91"/>
  <c r="X136" i="91"/>
  <c r="Y136" i="91"/>
  <c r="Z136" i="91"/>
  <c r="Q137" i="91"/>
  <c r="R137" i="91"/>
  <c r="S137" i="91"/>
  <c r="T137" i="91"/>
  <c r="U137" i="91"/>
  <c r="V137" i="91"/>
  <c r="W137" i="91"/>
  <c r="X137" i="91"/>
  <c r="Y137" i="91"/>
  <c r="Z137" i="91"/>
  <c r="Q138" i="91"/>
  <c r="R138" i="91"/>
  <c r="S138" i="91"/>
  <c r="T138" i="91"/>
  <c r="U138" i="91"/>
  <c r="V138" i="91"/>
  <c r="W138" i="91"/>
  <c r="X138" i="91"/>
  <c r="Y138" i="91"/>
  <c r="Z138" i="91"/>
  <c r="Q139" i="91"/>
  <c r="R139" i="91"/>
  <c r="S139" i="91"/>
  <c r="T139" i="91"/>
  <c r="U139" i="91"/>
  <c r="V139" i="91"/>
  <c r="W139" i="91"/>
  <c r="X139" i="91"/>
  <c r="Y139" i="91"/>
  <c r="Z139" i="91"/>
  <c r="Q140" i="91"/>
  <c r="R140" i="91"/>
  <c r="S140" i="91"/>
  <c r="T140" i="91"/>
  <c r="U140" i="91"/>
  <c r="V140" i="91"/>
  <c r="W140" i="91"/>
  <c r="X140" i="91"/>
  <c r="Y140" i="91"/>
  <c r="Z140" i="91"/>
  <c r="Q141" i="91"/>
  <c r="R141" i="91"/>
  <c r="S141" i="91"/>
  <c r="T141" i="91"/>
  <c r="U141" i="91"/>
  <c r="V141" i="91"/>
  <c r="W141" i="91"/>
  <c r="X141" i="91"/>
  <c r="Y141" i="91"/>
  <c r="Z141" i="91"/>
  <c r="Q142" i="91"/>
  <c r="R142" i="91"/>
  <c r="S142" i="91"/>
  <c r="T142" i="91"/>
  <c r="U142" i="91"/>
  <c r="V142" i="91"/>
  <c r="W142" i="91"/>
  <c r="X142" i="91"/>
  <c r="Y142" i="91"/>
  <c r="Z142" i="91"/>
  <c r="Q143" i="91"/>
  <c r="R143" i="91"/>
  <c r="S143" i="91"/>
  <c r="T143" i="91"/>
  <c r="U143" i="91"/>
  <c r="V143" i="91"/>
  <c r="W143" i="91"/>
  <c r="X143" i="91"/>
  <c r="Y143" i="91"/>
  <c r="Z143" i="91"/>
  <c r="Q144" i="91"/>
  <c r="R144" i="91"/>
  <c r="S144" i="91"/>
  <c r="T144" i="91"/>
  <c r="U144" i="91"/>
  <c r="V144" i="91"/>
  <c r="W144" i="91"/>
  <c r="X144" i="91"/>
  <c r="Y144" i="91"/>
  <c r="Z144" i="91"/>
  <c r="Q145" i="91"/>
  <c r="R145" i="91"/>
  <c r="S145" i="91"/>
  <c r="T145" i="91"/>
  <c r="U145" i="91"/>
  <c r="V145" i="91"/>
  <c r="W145" i="91"/>
  <c r="X145" i="91"/>
  <c r="Y145" i="91"/>
  <c r="Z145" i="91"/>
  <c r="Q146" i="91"/>
  <c r="R146" i="91"/>
  <c r="S146" i="91"/>
  <c r="T146" i="91"/>
  <c r="U146" i="91"/>
  <c r="V146" i="91"/>
  <c r="W146" i="91"/>
  <c r="X146" i="91"/>
  <c r="Y146" i="91"/>
  <c r="Z146" i="91"/>
  <c r="Q147" i="91"/>
  <c r="R147" i="91"/>
  <c r="S147" i="91"/>
  <c r="T147" i="91"/>
  <c r="U147" i="91"/>
  <c r="V147" i="91"/>
  <c r="W147" i="91"/>
  <c r="X147" i="91"/>
  <c r="Y147" i="91"/>
  <c r="Z147" i="91"/>
  <c r="Q148" i="91"/>
  <c r="R148" i="91"/>
  <c r="S148" i="91"/>
  <c r="T148" i="91"/>
  <c r="U148" i="91"/>
  <c r="V148" i="91"/>
  <c r="W148" i="91"/>
  <c r="X148" i="91"/>
  <c r="Y148" i="91"/>
  <c r="Z148" i="91"/>
  <c r="Q149" i="91"/>
  <c r="R149" i="91"/>
  <c r="S149" i="91"/>
  <c r="T149" i="91"/>
  <c r="U149" i="91"/>
  <c r="V149" i="91"/>
  <c r="W149" i="91"/>
  <c r="X149" i="91"/>
  <c r="Y149" i="91"/>
  <c r="Z149" i="91"/>
  <c r="Q150" i="91"/>
  <c r="R150" i="91"/>
  <c r="S150" i="91"/>
  <c r="T150" i="91"/>
  <c r="U150" i="91"/>
  <c r="V150" i="91"/>
  <c r="W150" i="91"/>
  <c r="X150" i="91"/>
  <c r="Y150" i="91"/>
  <c r="Z150" i="91"/>
  <c r="Q151" i="91"/>
  <c r="R151" i="91"/>
  <c r="S151" i="91"/>
  <c r="T151" i="91"/>
  <c r="U151" i="91"/>
  <c r="V151" i="91"/>
  <c r="W151" i="91"/>
  <c r="X151" i="91"/>
  <c r="Y151" i="91"/>
  <c r="Z151" i="91"/>
  <c r="Q152" i="91"/>
  <c r="R152" i="91"/>
  <c r="S152" i="91"/>
  <c r="T152" i="91"/>
  <c r="U152" i="91"/>
  <c r="V152" i="91"/>
  <c r="W152" i="91"/>
  <c r="X152" i="91"/>
  <c r="Y152" i="91"/>
  <c r="Z152" i="91"/>
  <c r="Q153" i="91"/>
  <c r="R153" i="91"/>
  <c r="S153" i="91"/>
  <c r="T153" i="91"/>
  <c r="U153" i="91"/>
  <c r="V153" i="91"/>
  <c r="W153" i="91"/>
  <c r="X153" i="91"/>
  <c r="Y153" i="91"/>
  <c r="Z153" i="91"/>
  <c r="Q154" i="91"/>
  <c r="R154" i="91"/>
  <c r="S154" i="91"/>
  <c r="T154" i="91"/>
  <c r="U154" i="91"/>
  <c r="V154" i="91"/>
  <c r="W154" i="91"/>
  <c r="X154" i="91"/>
  <c r="Y154" i="91"/>
  <c r="Z154" i="91"/>
  <c r="Q155" i="91"/>
  <c r="R155" i="91"/>
  <c r="S155" i="91"/>
  <c r="T155" i="91"/>
  <c r="U155" i="91"/>
  <c r="V155" i="91"/>
  <c r="W155" i="91"/>
  <c r="X155" i="91"/>
  <c r="Y155" i="91"/>
  <c r="Z155" i="91"/>
  <c r="Q156" i="91"/>
  <c r="R156" i="91"/>
  <c r="S156" i="91"/>
  <c r="T156" i="91"/>
  <c r="U156" i="91"/>
  <c r="V156" i="91"/>
  <c r="W156" i="91"/>
  <c r="X156" i="91"/>
  <c r="Y156" i="91"/>
  <c r="Z156" i="91"/>
  <c r="Q157" i="91"/>
  <c r="R157" i="91"/>
  <c r="S157" i="91"/>
  <c r="T157" i="91"/>
  <c r="U157" i="91"/>
  <c r="V157" i="91"/>
  <c r="W157" i="91"/>
  <c r="X157" i="91"/>
  <c r="Y157" i="91"/>
  <c r="Z157" i="91"/>
  <c r="Q158" i="91"/>
  <c r="R158" i="91"/>
  <c r="S158" i="91"/>
  <c r="T158" i="91"/>
  <c r="U158" i="91"/>
  <c r="V158" i="91"/>
  <c r="W158" i="91"/>
  <c r="X158" i="91"/>
  <c r="Y158" i="91"/>
  <c r="Z158" i="91"/>
  <c r="Q159" i="91"/>
  <c r="R159" i="91"/>
  <c r="S159" i="91"/>
  <c r="T159" i="91"/>
  <c r="U159" i="91"/>
  <c r="V159" i="91"/>
  <c r="W159" i="91"/>
  <c r="X159" i="91"/>
  <c r="Y159" i="91"/>
  <c r="Z159" i="91"/>
  <c r="Q160" i="91"/>
  <c r="R160" i="91"/>
  <c r="S160" i="91"/>
  <c r="T160" i="91"/>
  <c r="U160" i="91"/>
  <c r="V160" i="91"/>
  <c r="W160" i="91"/>
  <c r="X160" i="91"/>
  <c r="Y160" i="91"/>
  <c r="Z160" i="91"/>
  <c r="Q161" i="91"/>
  <c r="R161" i="91"/>
  <c r="S161" i="91"/>
  <c r="T161" i="91"/>
  <c r="U161" i="91"/>
  <c r="V161" i="91"/>
  <c r="W161" i="91"/>
  <c r="X161" i="91"/>
  <c r="Y161" i="91"/>
  <c r="Z161" i="91"/>
  <c r="Q162" i="91"/>
  <c r="R162" i="91"/>
  <c r="S162" i="91"/>
  <c r="T162" i="91"/>
  <c r="U162" i="91"/>
  <c r="V162" i="91"/>
  <c r="W162" i="91"/>
  <c r="X162" i="91"/>
  <c r="Y162" i="91"/>
  <c r="Z162" i="91"/>
  <c r="Q163" i="91"/>
  <c r="R163" i="91"/>
  <c r="S163" i="91"/>
  <c r="T163" i="91"/>
  <c r="U163" i="91"/>
  <c r="V163" i="91"/>
  <c r="W163" i="91"/>
  <c r="X163" i="91"/>
  <c r="Y163" i="91"/>
  <c r="Z163" i="91"/>
  <c r="R4" i="91"/>
  <c r="S4" i="91"/>
  <c r="T4" i="91"/>
  <c r="U4" i="91"/>
  <c r="V4" i="91"/>
  <c r="W4" i="91"/>
  <c r="X4" i="91"/>
  <c r="Y4" i="91"/>
  <c r="Z4" i="91"/>
  <c r="Q4" i="91"/>
  <c r="E48" i="98"/>
  <c r="F48" i="98"/>
  <c r="G48" i="98"/>
  <c r="E51" i="98"/>
  <c r="F51" i="98"/>
  <c r="G51" i="98"/>
  <c r="E52" i="98"/>
  <c r="F52" i="98"/>
  <c r="G52" i="98"/>
  <c r="E53" i="98"/>
  <c r="F53" i="98"/>
  <c r="G53" i="98"/>
  <c r="E54" i="98"/>
  <c r="F54" i="98"/>
  <c r="G54" i="98"/>
  <c r="E55" i="98"/>
  <c r="F55" i="98"/>
  <c r="G55" i="98"/>
  <c r="E56" i="98"/>
  <c r="F56" i="98"/>
  <c r="G56" i="98"/>
  <c r="F47" i="98"/>
  <c r="G47" i="98"/>
  <c r="E47" i="98"/>
  <c r="AT93" i="98"/>
  <c r="BD158" i="98"/>
  <c r="AT69" i="98"/>
  <c r="CX99" i="98"/>
  <c r="CX160" i="98"/>
  <c r="CX33" i="98"/>
  <c r="CX141" i="98"/>
  <c r="AT134" i="98"/>
  <c r="CX18" i="98"/>
  <c r="CX64" i="98"/>
  <c r="CX67" i="98"/>
  <c r="CX76" i="98"/>
  <c r="AT150" i="98"/>
  <c r="CX83" i="98"/>
  <c r="BD107" i="98"/>
  <c r="CX50" i="98"/>
  <c r="CX9" i="98"/>
  <c r="CX61" i="98"/>
  <c r="CX78" i="98"/>
  <c r="AT114" i="98"/>
  <c r="CX124" i="98"/>
  <c r="AT125" i="98"/>
  <c r="AT128" i="98"/>
  <c r="CX60" i="98"/>
  <c r="CX88" i="98"/>
  <c r="CX35" i="98"/>
  <c r="BD144" i="98"/>
  <c r="CX19" i="98"/>
  <c r="CX5" i="98"/>
  <c r="CX154" i="98"/>
  <c r="CX54" i="98"/>
  <c r="CX94" i="98"/>
  <c r="CX106" i="98"/>
  <c r="AT149" i="98"/>
  <c r="CX36" i="98"/>
  <c r="CX82" i="98"/>
  <c r="CX10" i="98"/>
  <c r="CX116" i="98"/>
  <c r="AY66" i="98"/>
  <c r="CX48" i="98"/>
  <c r="CX65" i="98"/>
  <c r="CX17" i="98"/>
  <c r="CX8" i="98"/>
  <c r="CX163" i="98"/>
  <c r="CX14" i="98"/>
  <c r="CX25" i="98"/>
  <c r="BD108" i="98"/>
  <c r="AT98" i="98"/>
  <c r="CX31" i="98"/>
  <c r="CX32" i="98"/>
  <c r="CX42" i="98"/>
  <c r="AY84" i="98"/>
  <c r="CX142" i="98"/>
  <c r="CX53" i="98"/>
  <c r="CX40" i="98"/>
  <c r="AY110" i="98"/>
  <c r="CX147" i="98"/>
  <c r="CX24" i="98"/>
  <c r="CX139" i="98"/>
  <c r="CX11" i="98"/>
  <c r="AT79" i="98"/>
  <c r="CX102" i="98"/>
  <c r="CX21" i="98"/>
  <c r="AT138" i="98"/>
  <c r="CX59" i="98"/>
  <c r="CX52" i="98"/>
  <c r="CX145" i="98"/>
  <c r="CX44" i="98"/>
  <c r="CX20" i="98"/>
  <c r="CX136" i="98"/>
  <c r="AT73" i="98"/>
  <c r="BD75" i="98"/>
  <c r="CX13" i="98"/>
  <c r="CX155" i="98"/>
  <c r="CX90" i="98"/>
  <c r="AT123" i="98"/>
  <c r="CX62" i="98"/>
  <c r="CX43" i="98"/>
  <c r="CX49" i="98"/>
  <c r="CX157" i="98"/>
  <c r="CX16" i="98"/>
  <c r="CX30" i="98"/>
  <c r="AT89" i="98"/>
  <c r="CX29" i="98"/>
  <c r="CX70" i="98"/>
  <c r="CX122" i="98"/>
  <c r="CX80" i="98"/>
  <c r="BD115" i="98"/>
  <c r="BD74" i="98"/>
  <c r="CX146" i="98"/>
  <c r="CX6" i="98"/>
  <c r="CX56" i="98"/>
  <c r="BD133" i="98"/>
  <c r="AY131" i="98"/>
  <c r="BD77" i="98"/>
  <c r="CX85" i="98"/>
  <c r="AT81" i="98"/>
  <c r="CX45" i="98"/>
  <c r="CX22" i="98"/>
  <c r="CX86" i="98"/>
  <c r="CX109" i="98"/>
  <c r="AT104" i="98"/>
  <c r="CX12" i="98"/>
  <c r="CX96" i="98"/>
  <c r="CX91" i="98"/>
  <c r="CX72" i="98"/>
  <c r="CX58" i="98"/>
  <c r="CX34" i="98"/>
  <c r="AT156" i="98"/>
  <c r="CX46" i="98"/>
  <c r="CX120" i="98"/>
  <c r="CX68" i="98"/>
  <c r="AY162" i="98"/>
  <c r="CX38" i="98"/>
  <c r="CX130" i="98"/>
  <c r="CX126" i="98"/>
  <c r="CX51" i="98"/>
  <c r="BD118" i="98"/>
  <c r="CX41" i="98"/>
  <c r="CX27" i="98"/>
  <c r="CX101" i="98"/>
  <c r="CX112" i="98"/>
  <c r="CX37" i="98"/>
  <c r="BD117" i="98"/>
  <c r="CX28" i="98"/>
  <c r="CX57" i="98"/>
  <c r="AY152" i="98"/>
  <c r="CX92" i="98"/>
  <c r="CX100" i="98"/>
  <c r="CX132" i="98"/>
  <c r="CX140" i="98"/>
  <c r="AT148" i="98"/>
  <c r="CX164" i="98"/>
  <c r="BD153" i="98"/>
  <c r="CX7" i="98"/>
  <c r="CX129" i="98"/>
  <c r="BD111" i="98"/>
  <c r="CX15" i="98"/>
  <c r="AT97" i="98"/>
  <c r="AT105" i="98"/>
  <c r="AT113" i="98"/>
  <c r="CX121" i="98"/>
  <c r="CX137" i="98"/>
  <c r="CX161" i="98"/>
  <c r="AT87" i="98"/>
  <c r="CX159" i="98"/>
  <c r="CX55" i="98"/>
  <c r="BD135" i="98"/>
  <c r="AY143" i="98"/>
  <c r="BD103" i="98"/>
  <c r="CX151" i="98"/>
  <c r="BD127" i="98"/>
  <c r="CX23" i="98"/>
  <c r="BD119" i="98"/>
  <c r="CX26" i="98"/>
  <c r="CX39" i="98"/>
  <c r="CX47" i="98"/>
  <c r="CX63" i="98"/>
  <c r="CX71" i="98"/>
  <c r="CX95" i="98"/>
  <c r="AA5" i="98" l="1"/>
  <c r="AI5" i="98" s="1"/>
  <c r="AW6" i="101" s="1"/>
  <c r="AD25" i="98"/>
  <c r="AD15" i="98"/>
  <c r="AD23" i="98"/>
  <c r="AB22" i="98"/>
  <c r="AD20" i="98"/>
  <c r="AB19" i="98"/>
  <c r="AD17" i="98"/>
  <c r="AB16" i="98"/>
  <c r="AD14" i="98"/>
  <c r="AB13" i="98"/>
  <c r="AD11" i="98"/>
  <c r="AB10" i="98"/>
  <c r="AD8" i="98"/>
  <c r="AB7" i="98"/>
  <c r="AE5" i="98"/>
  <c r="AB23" i="98"/>
  <c r="AD21" i="98"/>
  <c r="AD18" i="98"/>
  <c r="AD12" i="98"/>
  <c r="AD9" i="98"/>
  <c r="AB8" i="98"/>
  <c r="AE24" i="98"/>
  <c r="AC23" i="98"/>
  <c r="AE21" i="98"/>
  <c r="AC20" i="98"/>
  <c r="AE18" i="98"/>
  <c r="AC17" i="98"/>
  <c r="AE15" i="98"/>
  <c r="AC14" i="98"/>
  <c r="AE12" i="98"/>
  <c r="AC11" i="98"/>
  <c r="AE9" i="98"/>
  <c r="AC8" i="98"/>
  <c r="AE6" i="98"/>
  <c r="AD24" i="98"/>
  <c r="AB20" i="98"/>
  <c r="AD5" i="98"/>
  <c r="AC24" i="98"/>
  <c r="AE22" i="98"/>
  <c r="AC21" i="98"/>
  <c r="AE19" i="98"/>
  <c r="AC18" i="98"/>
  <c r="AE16" i="98"/>
  <c r="AC15" i="98"/>
  <c r="AE13" i="98"/>
  <c r="AC12" i="98"/>
  <c r="AE10" i="98"/>
  <c r="AC9" i="98"/>
  <c r="AE7" i="98"/>
  <c r="AC6" i="98"/>
  <c r="AB11" i="98"/>
  <c r="AC5" i="98"/>
  <c r="AB24" i="98"/>
  <c r="AD22" i="98"/>
  <c r="AB21" i="98"/>
  <c r="AD19" i="98"/>
  <c r="AB18" i="98"/>
  <c r="AD16" i="98"/>
  <c r="AB15" i="98"/>
  <c r="AD13" i="98"/>
  <c r="AB12" i="98"/>
  <c r="AD10" i="98"/>
  <c r="AB9" i="98"/>
  <c r="AD7" i="98"/>
  <c r="AB6" i="98"/>
  <c r="AB17" i="98"/>
  <c r="AB14" i="98"/>
  <c r="AD6" i="98"/>
  <c r="AB5" i="98"/>
  <c r="AE23" i="98"/>
  <c r="AC22" i="98"/>
  <c r="AE20" i="98"/>
  <c r="AC19" i="98"/>
  <c r="AE17" i="98"/>
  <c r="AC16" i="98"/>
  <c r="AE14" i="98"/>
  <c r="AC13" i="98"/>
  <c r="AE11" i="98"/>
  <c r="AC10" i="98"/>
  <c r="AE8" i="98"/>
  <c r="AC7" i="98"/>
  <c r="AA22" i="98"/>
  <c r="AA19" i="98"/>
  <c r="AA16" i="98"/>
  <c r="AA13" i="98"/>
  <c r="AA10" i="98"/>
  <c r="AA7" i="98"/>
  <c r="AA23" i="98"/>
  <c r="AA20" i="98"/>
  <c r="AA17" i="98"/>
  <c r="AA14" i="98"/>
  <c r="AA11" i="98"/>
  <c r="AA8" i="98"/>
  <c r="AA24" i="98"/>
  <c r="AA21" i="98"/>
  <c r="AA18" i="98"/>
  <c r="AA15" i="98"/>
  <c r="AA12" i="98"/>
  <c r="AA9" i="98"/>
  <c r="AA6" i="98"/>
  <c r="CX156" i="98"/>
  <c r="CX127" i="98"/>
  <c r="AY78" i="98"/>
  <c r="CX113" i="98"/>
  <c r="AY76" i="98"/>
  <c r="BD72" i="98"/>
  <c r="CX111" i="98"/>
  <c r="CX98" i="98"/>
  <c r="CX150" i="98"/>
  <c r="BD106" i="98"/>
  <c r="CX97" i="98"/>
  <c r="CX133" i="98"/>
  <c r="CX138" i="98"/>
  <c r="AY95" i="98"/>
  <c r="CX89" i="98"/>
  <c r="AY68" i="98"/>
  <c r="AT141" i="98"/>
  <c r="CX134" i="98"/>
  <c r="AY144" i="98"/>
  <c r="CX152" i="98"/>
  <c r="AT131" i="98"/>
  <c r="CX148" i="98"/>
  <c r="AT140" i="98"/>
  <c r="CX119" i="98"/>
  <c r="CX110" i="98"/>
  <c r="CX77" i="98"/>
  <c r="BD137" i="98"/>
  <c r="BD110" i="98"/>
  <c r="CX149" i="98"/>
  <c r="AT99" i="98"/>
  <c r="AA25" i="98" l="1"/>
  <c r="AE25" i="98"/>
  <c r="AB25" i="98"/>
  <c r="AC25" i="98"/>
  <c r="DC65" i="98" l="1"/>
  <c r="DC40" i="98"/>
  <c r="DC15" i="98"/>
  <c r="DC24" i="98"/>
  <c r="DC58" i="98"/>
  <c r="DC42" i="98"/>
  <c r="DC51" i="98"/>
  <c r="DC38" i="98"/>
  <c r="DC60" i="98"/>
  <c r="DC37" i="98"/>
  <c r="DC36" i="98"/>
  <c r="DC54" i="98"/>
  <c r="DC61" i="98"/>
  <c r="DC44" i="98"/>
  <c r="DC48" i="98"/>
  <c r="DC63" i="98"/>
  <c r="DC26" i="98"/>
  <c r="DC13" i="98"/>
  <c r="DC35" i="98"/>
  <c r="DC10" i="98"/>
  <c r="DC31" i="98"/>
  <c r="DC33" i="98"/>
  <c r="DC20" i="98"/>
  <c r="DC7" i="98"/>
  <c r="DC57" i="98"/>
  <c r="DC45" i="98"/>
  <c r="DC11" i="98"/>
  <c r="DC53" i="98"/>
  <c r="DC28" i="98"/>
  <c r="DC9" i="98"/>
  <c r="DC49" i="98"/>
  <c r="DC12" i="98"/>
  <c r="DC46" i="98"/>
  <c r="DC27" i="98"/>
  <c r="DC14" i="98"/>
  <c r="DC34" i="98"/>
  <c r="DC17" i="98"/>
  <c r="DC56" i="98"/>
  <c r="DC5" i="98"/>
  <c r="DC43" i="98"/>
  <c r="DC41" i="98"/>
  <c r="DC25" i="98"/>
  <c r="DC32" i="98"/>
  <c r="DC50" i="98"/>
  <c r="DC39" i="98"/>
  <c r="DC16" i="98"/>
  <c r="DC29" i="98"/>
  <c r="DC19" i="98"/>
  <c r="DC47" i="98"/>
  <c r="DC22" i="98"/>
  <c r="DC30" i="98"/>
  <c r="DC64" i="98"/>
  <c r="DC23" i="98"/>
  <c r="DC62" i="98"/>
  <c r="DC52" i="98"/>
  <c r="DC21" i="98"/>
  <c r="DC18" i="98"/>
  <c r="DC6" i="98"/>
  <c r="DC55" i="98"/>
  <c r="DC59" i="98"/>
  <c r="DC8" i="98"/>
  <c r="AD26" i="98"/>
  <c r="AC26" i="98"/>
  <c r="AB26" i="98"/>
  <c r="AE26" i="98"/>
  <c r="AA26" i="98"/>
  <c r="AE27" i="98" l="1"/>
  <c r="AC27" i="98"/>
  <c r="AB27" i="98"/>
  <c r="AD27" i="98"/>
  <c r="AA27" i="98"/>
  <c r="AB28" i="98" l="1"/>
  <c r="AE28" i="98"/>
  <c r="AD28" i="98"/>
  <c r="AC28" i="98"/>
  <c r="AA28" i="98"/>
  <c r="AD29" i="98" l="1"/>
  <c r="AL29" i="98" s="1"/>
  <c r="AZ30" i="101" s="1"/>
  <c r="AC29" i="98"/>
  <c r="AK29" i="98" s="1"/>
  <c r="AY30" i="101" s="1"/>
  <c r="AB29" i="98"/>
  <c r="AJ29" i="98" s="1"/>
  <c r="AX30" i="101" s="1"/>
  <c r="AE29" i="98"/>
  <c r="AA29" i="98"/>
  <c r="AI29" i="98" s="1"/>
  <c r="AW30" i="101" s="1"/>
  <c r="AL10" i="98"/>
  <c r="AZ11" i="101" s="1"/>
  <c r="AL17" i="98"/>
  <c r="AZ18" i="101" s="1"/>
  <c r="AL28" i="98"/>
  <c r="AZ29" i="101" s="1"/>
  <c r="AL19" i="98"/>
  <c r="AZ20" i="101" s="1"/>
  <c r="AL8" i="98"/>
  <c r="AZ9" i="101" s="1"/>
  <c r="AL6" i="98"/>
  <c r="AZ7" i="101" s="1"/>
  <c r="AL11" i="98"/>
  <c r="AZ12" i="101" s="1"/>
  <c r="AL14" i="98"/>
  <c r="AZ15" i="101" s="1"/>
  <c r="AL13" i="98"/>
  <c r="AZ14" i="101" s="1"/>
  <c r="AL7" i="98"/>
  <c r="AZ8" i="101" s="1"/>
  <c r="AL9" i="98"/>
  <c r="AZ10" i="101" s="1"/>
  <c r="AL20" i="98"/>
  <c r="AZ21" i="101" s="1"/>
  <c r="AL22" i="98"/>
  <c r="AZ23" i="101" s="1"/>
  <c r="AL24" i="98"/>
  <c r="AZ25" i="101" s="1"/>
  <c r="AL25" i="98"/>
  <c r="AZ26" i="101" s="1"/>
  <c r="AL27" i="98"/>
  <c r="AZ28" i="101" s="1"/>
  <c r="AL18" i="98"/>
  <c r="AZ19" i="101" s="1"/>
  <c r="AL12" i="98"/>
  <c r="AZ13" i="101" s="1"/>
  <c r="AL23" i="98"/>
  <c r="AZ24" i="101" s="1"/>
  <c r="AL26" i="98"/>
  <c r="AZ27" i="101" s="1"/>
  <c r="AL5" i="98"/>
  <c r="AZ6" i="101" s="1"/>
  <c r="AL15" i="98"/>
  <c r="AZ16" i="101" s="1"/>
  <c r="AL21" i="98"/>
  <c r="AZ22" i="101" s="1"/>
  <c r="AL16" i="98"/>
  <c r="AZ17" i="101" s="1"/>
  <c r="AM22" i="98"/>
  <c r="BA23" i="101" s="1"/>
  <c r="AM27" i="98"/>
  <c r="BA28" i="101" s="1"/>
  <c r="AM12" i="98"/>
  <c r="BA13" i="101" s="1"/>
  <c r="AM18" i="98"/>
  <c r="BA19" i="101" s="1"/>
  <c r="AM11" i="98"/>
  <c r="BA12" i="101" s="1"/>
  <c r="AM28" i="98"/>
  <c r="BA29" i="101" s="1"/>
  <c r="AM17" i="98"/>
  <c r="BA18" i="101" s="1"/>
  <c r="AM13" i="98"/>
  <c r="BA14" i="101" s="1"/>
  <c r="AM15" i="98"/>
  <c r="BA16" i="101" s="1"/>
  <c r="AM26" i="98"/>
  <c r="BA27" i="101" s="1"/>
  <c r="AM24" i="98"/>
  <c r="BA25" i="101" s="1"/>
  <c r="AM20" i="98"/>
  <c r="BA21" i="101" s="1"/>
  <c r="AM25" i="98"/>
  <c r="BA26" i="101" s="1"/>
  <c r="AM16" i="98"/>
  <c r="BA17" i="101" s="1"/>
  <c r="AM8" i="98"/>
  <c r="BA9" i="101" s="1"/>
  <c r="AM6" i="98"/>
  <c r="BA7" i="101" s="1"/>
  <c r="AM10" i="98"/>
  <c r="BA11" i="101" s="1"/>
  <c r="AM14" i="98"/>
  <c r="BA15" i="101" s="1"/>
  <c r="AM9" i="98"/>
  <c r="BA10" i="101" s="1"/>
  <c r="AM7" i="98"/>
  <c r="BA8" i="101" s="1"/>
  <c r="AM21" i="98"/>
  <c r="BA22" i="101" s="1"/>
  <c r="AM23" i="98"/>
  <c r="BA24" i="101" s="1"/>
  <c r="AM19" i="98"/>
  <c r="BA20" i="101" s="1"/>
  <c r="AM5" i="98"/>
  <c r="BA6" i="101" s="1"/>
  <c r="AJ23" i="98"/>
  <c r="AX24" i="101" s="1"/>
  <c r="AJ25" i="98"/>
  <c r="AX26" i="101" s="1"/>
  <c r="AJ16" i="98"/>
  <c r="AX17" i="101" s="1"/>
  <c r="AJ17" i="98"/>
  <c r="AX18" i="101" s="1"/>
  <c r="AJ15" i="98"/>
  <c r="AX16" i="101" s="1"/>
  <c r="AJ28" i="98"/>
  <c r="AX29" i="101" s="1"/>
  <c r="AJ8" i="98"/>
  <c r="AX9" i="101" s="1"/>
  <c r="AJ9" i="98"/>
  <c r="AX10" i="101" s="1"/>
  <c r="AJ19" i="98"/>
  <c r="AX20" i="101" s="1"/>
  <c r="AJ10" i="98"/>
  <c r="AX11" i="101" s="1"/>
  <c r="AJ24" i="98"/>
  <c r="AX25" i="101" s="1"/>
  <c r="AJ5" i="98"/>
  <c r="AX6" i="101" s="1"/>
  <c r="AJ27" i="98"/>
  <c r="AX28" i="101" s="1"/>
  <c r="AJ14" i="98"/>
  <c r="AX15" i="101" s="1"/>
  <c r="AJ26" i="98"/>
  <c r="AX27" i="101" s="1"/>
  <c r="AJ12" i="98"/>
  <c r="AX13" i="101" s="1"/>
  <c r="AJ11" i="98"/>
  <c r="AX12" i="101" s="1"/>
  <c r="AJ21" i="98"/>
  <c r="AX22" i="101" s="1"/>
  <c r="AJ18" i="98"/>
  <c r="AX19" i="101" s="1"/>
  <c r="AJ6" i="98"/>
  <c r="AX7" i="101" s="1"/>
  <c r="AJ7" i="98"/>
  <c r="AX8" i="101" s="1"/>
  <c r="AJ22" i="98"/>
  <c r="AX23" i="101" s="1"/>
  <c r="AJ20" i="98"/>
  <c r="AX21" i="101" s="1"/>
  <c r="AJ13" i="98"/>
  <c r="AX14" i="101" s="1"/>
  <c r="AK27" i="98"/>
  <c r="AY28" i="101" s="1"/>
  <c r="AK5" i="98"/>
  <c r="AY6" i="101" s="1"/>
  <c r="AK19" i="98"/>
  <c r="AY20" i="101" s="1"/>
  <c r="AK7" i="98"/>
  <c r="AY8" i="101" s="1"/>
  <c r="AK10" i="98"/>
  <c r="AY11" i="101" s="1"/>
  <c r="AK11" i="98"/>
  <c r="AY12" i="101" s="1"/>
  <c r="AK12" i="98"/>
  <c r="AY13" i="101" s="1"/>
  <c r="AK17" i="98"/>
  <c r="AY18" i="101" s="1"/>
  <c r="AK24" i="98"/>
  <c r="AY25" i="101" s="1"/>
  <c r="AK22" i="98"/>
  <c r="AY23" i="101" s="1"/>
  <c r="AK26" i="98"/>
  <c r="AY27" i="101" s="1"/>
  <c r="AK23" i="98"/>
  <c r="AY24" i="101" s="1"/>
  <c r="AK25" i="98"/>
  <c r="AY26" i="101" s="1"/>
  <c r="AK6" i="98"/>
  <c r="AY7" i="101" s="1"/>
  <c r="AK28" i="98"/>
  <c r="AY29" i="101" s="1"/>
  <c r="AK21" i="98"/>
  <c r="AY22" i="101" s="1"/>
  <c r="AK8" i="98"/>
  <c r="AY9" i="101" s="1"/>
  <c r="AK18" i="98"/>
  <c r="AY19" i="101" s="1"/>
  <c r="AK16" i="98"/>
  <c r="AY17" i="101" s="1"/>
  <c r="AK20" i="98"/>
  <c r="AY21" i="101" s="1"/>
  <c r="AK14" i="98"/>
  <c r="AY15" i="101" s="1"/>
  <c r="AK9" i="98"/>
  <c r="AY10" i="101" s="1"/>
  <c r="AK15" i="98"/>
  <c r="AY16" i="101" s="1"/>
  <c r="AK13" i="98"/>
  <c r="AY14" i="101" s="1"/>
  <c r="AI7" i="98"/>
  <c r="AW8" i="101" s="1"/>
  <c r="AI6" i="98"/>
  <c r="AW7" i="101" s="1"/>
  <c r="AI11" i="98"/>
  <c r="AW12" i="101" s="1"/>
  <c r="AI14" i="98"/>
  <c r="AW15" i="101" s="1"/>
  <c r="AI12" i="98"/>
  <c r="AW13" i="101" s="1"/>
  <c r="AI22" i="98"/>
  <c r="AW23" i="101" s="1"/>
  <c r="AI9" i="98"/>
  <c r="AW10" i="101" s="1"/>
  <c r="AI21" i="98"/>
  <c r="AW22" i="101" s="1"/>
  <c r="AI13" i="98"/>
  <c r="AW14" i="101" s="1"/>
  <c r="AI10" i="98"/>
  <c r="AW11" i="101" s="1"/>
  <c r="AI8" i="98"/>
  <c r="AW9" i="101" s="1"/>
  <c r="AI23" i="98"/>
  <c r="AW24" i="101" s="1"/>
  <c r="AI16" i="98"/>
  <c r="AW17" i="101" s="1"/>
  <c r="AI15" i="98"/>
  <c r="AW16" i="101" s="1"/>
  <c r="AI24" i="98"/>
  <c r="AW25" i="101" s="1"/>
  <c r="AI27" i="98"/>
  <c r="AW28" i="101" s="1"/>
  <c r="AI26" i="98"/>
  <c r="AW27" i="101" s="1"/>
  <c r="AI28" i="98"/>
  <c r="AW29" i="101" s="1"/>
  <c r="AI19" i="98"/>
  <c r="AW20" i="101" s="1"/>
  <c r="AI20" i="98"/>
  <c r="AW21" i="101" s="1"/>
  <c r="AI17" i="98"/>
  <c r="AW18" i="101" s="1"/>
  <c r="AI18" i="98"/>
  <c r="AW19" i="101" s="1"/>
  <c r="AI25" i="98"/>
  <c r="AW26" i="101" s="1"/>
  <c r="CX143" i="98"/>
  <c r="BD76" i="98"/>
  <c r="AY157" i="98"/>
  <c r="AY55" i="98"/>
  <c r="BD67" i="98"/>
  <c r="AY107" i="98"/>
  <c r="BD14" i="98"/>
  <c r="AT136" i="98"/>
  <c r="AY127" i="98"/>
  <c r="BD112" i="98"/>
  <c r="BD91" i="98"/>
  <c r="BD42" i="98"/>
  <c r="AY17" i="98"/>
  <c r="BD8" i="98"/>
  <c r="AT35" i="98"/>
  <c r="AY65" i="98"/>
  <c r="BD35" i="98"/>
  <c r="AY72" i="98"/>
  <c r="AT68" i="98"/>
  <c r="AY7" i="98"/>
  <c r="AY153" i="98"/>
  <c r="BD15" i="98"/>
  <c r="CX66" i="98"/>
  <c r="AT96" i="98"/>
  <c r="BD94" i="98"/>
  <c r="AT8" i="98"/>
  <c r="CX81" i="98"/>
  <c r="BD90" i="98"/>
  <c r="AY39" i="98"/>
  <c r="CX144" i="98"/>
  <c r="AY8" i="98"/>
  <c r="AT27" i="98"/>
  <c r="AY88" i="98"/>
  <c r="AY128" i="98"/>
  <c r="AT110" i="98"/>
  <c r="BD125" i="98"/>
  <c r="BD58" i="98"/>
  <c r="AY118" i="98"/>
  <c r="AT75" i="98"/>
  <c r="AY21" i="98"/>
  <c r="AY156" i="98"/>
  <c r="AY103" i="98"/>
  <c r="AT21" i="98"/>
  <c r="AT31" i="98"/>
  <c r="CX131" i="98"/>
  <c r="BD68" i="98"/>
  <c r="BD20" i="98"/>
  <c r="BD101" i="98"/>
  <c r="AT130" i="98"/>
  <c r="BD78" i="98"/>
  <c r="AY139" i="98"/>
  <c r="BD80" i="98"/>
  <c r="AY32" i="98"/>
  <c r="AT115" i="98"/>
  <c r="AT9" i="98"/>
  <c r="AY99" i="98"/>
  <c r="BD163" i="98"/>
  <c r="AY89" i="98"/>
  <c r="AY132" i="98"/>
  <c r="AT28" i="98"/>
  <c r="BD145" i="98"/>
  <c r="AT16" i="98"/>
  <c r="AY108" i="98"/>
  <c r="AY70" i="98"/>
  <c r="BD64" i="98"/>
  <c r="AT76" i="98"/>
  <c r="AY22" i="98"/>
  <c r="AT34" i="98"/>
  <c r="BD151" i="98"/>
  <c r="AY142" i="98"/>
  <c r="BD113" i="98"/>
  <c r="AT48" i="98"/>
  <c r="AY80" i="98"/>
  <c r="AY130" i="98"/>
  <c r="AT139" i="98"/>
  <c r="AY51" i="98"/>
  <c r="BD62" i="98"/>
  <c r="CX153" i="98"/>
  <c r="AT19" i="98"/>
  <c r="AY42" i="98"/>
  <c r="AY28" i="98"/>
  <c r="AT142" i="98"/>
  <c r="AT43" i="98"/>
  <c r="AT36" i="98"/>
  <c r="AY117" i="98"/>
  <c r="BD65" i="98"/>
  <c r="AT22" i="98"/>
  <c r="BD124" i="98"/>
  <c r="BD52" i="98"/>
  <c r="AT53" i="98"/>
  <c r="CX93" i="98"/>
  <c r="AY122" i="98"/>
  <c r="AT108" i="98"/>
  <c r="AY44" i="98"/>
  <c r="AT161" i="98"/>
  <c r="AT129" i="98"/>
  <c r="AY45" i="98"/>
  <c r="AT119" i="98"/>
  <c r="AY111" i="98"/>
  <c r="BD129" i="98"/>
  <c r="AY104" i="98"/>
  <c r="AY123" i="98"/>
  <c r="AY134" i="98"/>
  <c r="AT60" i="98"/>
  <c r="AT153" i="98"/>
  <c r="AY57" i="98"/>
  <c r="BD92" i="98"/>
  <c r="AY133" i="98"/>
  <c r="AT132" i="98"/>
  <c r="BD55" i="98"/>
  <c r="AY75" i="98"/>
  <c r="BD138" i="98"/>
  <c r="AT118" i="98"/>
  <c r="BD98" i="98"/>
  <c r="AT71" i="98"/>
  <c r="AT116" i="98"/>
  <c r="BD70" i="98"/>
  <c r="AY47" i="98"/>
  <c r="AY43" i="98"/>
  <c r="AT5" i="98"/>
  <c r="BD18" i="98"/>
  <c r="AY136" i="98"/>
  <c r="AT66" i="98"/>
  <c r="AY35" i="98"/>
  <c r="CX87" i="98"/>
  <c r="AT147" i="98"/>
  <c r="BD131" i="98"/>
  <c r="AT121" i="98"/>
  <c r="AY79" i="98"/>
  <c r="BD86" i="98"/>
  <c r="BD146" i="98"/>
  <c r="AY164" i="98"/>
  <c r="AT26" i="98"/>
  <c r="AY149" i="98"/>
  <c r="AY124" i="98"/>
  <c r="AY11" i="98"/>
  <c r="AY77" i="98"/>
  <c r="AY126" i="98"/>
  <c r="BD82" i="98"/>
  <c r="BD53" i="98"/>
  <c r="AT41" i="98"/>
  <c r="BD89" i="98"/>
  <c r="AY67" i="98"/>
  <c r="BD22" i="98"/>
  <c r="AT11" i="98"/>
  <c r="BD45" i="98"/>
  <c r="CX125" i="98"/>
  <c r="AT52" i="98"/>
  <c r="AY59" i="98"/>
  <c r="BD100" i="98"/>
  <c r="CX158" i="98"/>
  <c r="CX73" i="98"/>
  <c r="AT103" i="98"/>
  <c r="BD46" i="98"/>
  <c r="AY161" i="98"/>
  <c r="AT62" i="98"/>
  <c r="AT45" i="98"/>
  <c r="AB18" i="96"/>
  <c r="AY145" i="98"/>
  <c r="CX115" i="98"/>
  <c r="BD142" i="98"/>
  <c r="AT24" i="98"/>
  <c r="BD141" i="98"/>
  <c r="AT15" i="98"/>
  <c r="BD39" i="98"/>
  <c r="AY62" i="98"/>
  <c r="BD104" i="98"/>
  <c r="BD43" i="98"/>
  <c r="AY50" i="98"/>
  <c r="AY90" i="98"/>
  <c r="AT163" i="98"/>
  <c r="BD25" i="98"/>
  <c r="AY91" i="98"/>
  <c r="AT51" i="98"/>
  <c r="AY27" i="98"/>
  <c r="AY101" i="98"/>
  <c r="AT20" i="98"/>
  <c r="AY151" i="98"/>
  <c r="AY81" i="98"/>
  <c r="BD162" i="98"/>
  <c r="AY115" i="98"/>
  <c r="BD143" i="98"/>
  <c r="AT64" i="98"/>
  <c r="AT145" i="98"/>
  <c r="AY48" i="98"/>
  <c r="BD140" i="98"/>
  <c r="CX103" i="98"/>
  <c r="AT159" i="98"/>
  <c r="AY60" i="98"/>
  <c r="AT6" i="98"/>
  <c r="AY49" i="98"/>
  <c r="BD116" i="98"/>
  <c r="AT120" i="98"/>
  <c r="BD61" i="98"/>
  <c r="AT124" i="98"/>
  <c r="BD47" i="98"/>
  <c r="AT44" i="98"/>
  <c r="AY71" i="98"/>
  <c r="BD95" i="98"/>
  <c r="AT33" i="98"/>
  <c r="AY86" i="98"/>
  <c r="AT17" i="98"/>
  <c r="AT23" i="98"/>
  <c r="AY125" i="98"/>
  <c r="CX162" i="98"/>
  <c r="AY13" i="98"/>
  <c r="BD136" i="98"/>
  <c r="BD30" i="98"/>
  <c r="BD88" i="98"/>
  <c r="BD40" i="98"/>
  <c r="AY38" i="98"/>
  <c r="BD159" i="98"/>
  <c r="AY163" i="98"/>
  <c r="BD114" i="98"/>
  <c r="AT12" i="98"/>
  <c r="BD123" i="98"/>
  <c r="AY141" i="98"/>
  <c r="AY36" i="98"/>
  <c r="CX79" i="98"/>
  <c r="AY56" i="98"/>
  <c r="AT29" i="98"/>
  <c r="BD150" i="98"/>
  <c r="AY54" i="98"/>
  <c r="BD69" i="98"/>
  <c r="AT46" i="98"/>
  <c r="BD97" i="98"/>
  <c r="BD50" i="98"/>
  <c r="AY98" i="98"/>
  <c r="BD28" i="98"/>
  <c r="AY121" i="98"/>
  <c r="CX69" i="98"/>
  <c r="BD23" i="98"/>
  <c r="AY97" i="98"/>
  <c r="AY34" i="98"/>
  <c r="BD157" i="98"/>
  <c r="AY26" i="98"/>
  <c r="BD122" i="98"/>
  <c r="AY20" i="98"/>
  <c r="BD84" i="98"/>
  <c r="CX84" i="98"/>
  <c r="BD63" i="98"/>
  <c r="AY74" i="98"/>
  <c r="AT49" i="98"/>
  <c r="BD105" i="98"/>
  <c r="AT54" i="98"/>
  <c r="BD11" i="98"/>
  <c r="AY85" i="98"/>
  <c r="BD148" i="98"/>
  <c r="AT84" i="98"/>
  <c r="AY106" i="98"/>
  <c r="BD31" i="98"/>
  <c r="BD44" i="98"/>
  <c r="AY160" i="98"/>
  <c r="BD5" i="98"/>
  <c r="AT86" i="98"/>
  <c r="BD60" i="98"/>
  <c r="BD13" i="98"/>
  <c r="BD41" i="98"/>
  <c r="AY24" i="98"/>
  <c r="AT61" i="98"/>
  <c r="BD17" i="98"/>
  <c r="AT90" i="98"/>
  <c r="BD54" i="98"/>
  <c r="AY52" i="98"/>
  <c r="BD139" i="98"/>
  <c r="AY100" i="98"/>
  <c r="AT160" i="98"/>
  <c r="AT152" i="98"/>
  <c r="BD147" i="98"/>
  <c r="BD96" i="98"/>
  <c r="BD59" i="98"/>
  <c r="AT162" i="98"/>
  <c r="AT50" i="98"/>
  <c r="AT91" i="98"/>
  <c r="AT122" i="98"/>
  <c r="CX74" i="98"/>
  <c r="AT38" i="98"/>
  <c r="BD156" i="98"/>
  <c r="AY154" i="98"/>
  <c r="CX135" i="98"/>
  <c r="AT151" i="98"/>
  <c r="AY12" i="98"/>
  <c r="AY146" i="98"/>
  <c r="AY96" i="98"/>
  <c r="AT117" i="98"/>
  <c r="AT47" i="98"/>
  <c r="AY9" i="98"/>
  <c r="AT70" i="98"/>
  <c r="AT74" i="98"/>
  <c r="BD83" i="98"/>
  <c r="AT164" i="98"/>
  <c r="BD32" i="98"/>
  <c r="AY30" i="98"/>
  <c r="AY105" i="98"/>
  <c r="AY61" i="98"/>
  <c r="AT144" i="98"/>
  <c r="AY33" i="98"/>
  <c r="AY140" i="98"/>
  <c r="AT37" i="98"/>
  <c r="AY64" i="98"/>
  <c r="AY112" i="98"/>
  <c r="AT59" i="98"/>
  <c r="AY29" i="98"/>
  <c r="AY102" i="98"/>
  <c r="BD130" i="98"/>
  <c r="BD66" i="98"/>
  <c r="AY113" i="98"/>
  <c r="AT94" i="98"/>
  <c r="BD36" i="98"/>
  <c r="AT106" i="98"/>
  <c r="AY109" i="98"/>
  <c r="AT7" i="98"/>
  <c r="BD6" i="98"/>
  <c r="BD19" i="98"/>
  <c r="AT126" i="98"/>
  <c r="AT80" i="98"/>
  <c r="AT25" i="98"/>
  <c r="BD109" i="98"/>
  <c r="AT42" i="98"/>
  <c r="CX104" i="98"/>
  <c r="AY37" i="98"/>
  <c r="AY135" i="98"/>
  <c r="AT100" i="98"/>
  <c r="BD57" i="98"/>
  <c r="AY93" i="98"/>
  <c r="BD121" i="98"/>
  <c r="AY6" i="98"/>
  <c r="AY137" i="98"/>
  <c r="AY150" i="98"/>
  <c r="BD9" i="98"/>
  <c r="CX108" i="98"/>
  <c r="AT13" i="98"/>
  <c r="BD26" i="98"/>
  <c r="AY69" i="98"/>
  <c r="AY83" i="98"/>
  <c r="AY23" i="98"/>
  <c r="AY19" i="98"/>
  <c r="AT78" i="98"/>
  <c r="AT63" i="98"/>
  <c r="AY159" i="98"/>
  <c r="AY18" i="98"/>
  <c r="AY53" i="98"/>
  <c r="AY148" i="98"/>
  <c r="BD152" i="98"/>
  <c r="AB17" i="96"/>
  <c r="BD85" i="98"/>
  <c r="BD134" i="98"/>
  <c r="AT67" i="98"/>
  <c r="AT82" i="98"/>
  <c r="BD37" i="98"/>
  <c r="BD161" i="98"/>
  <c r="BD128" i="98"/>
  <c r="BD160" i="98"/>
  <c r="AY119" i="98"/>
  <c r="AT85" i="98"/>
  <c r="AY158" i="98"/>
  <c r="BD49" i="98"/>
  <c r="AT133" i="98"/>
  <c r="AY92" i="98"/>
  <c r="AY46" i="98"/>
  <c r="CX114" i="98"/>
  <c r="AT111" i="98"/>
  <c r="BD79" i="98"/>
  <c r="BD24" i="98"/>
  <c r="AT95" i="98"/>
  <c r="BD120" i="98"/>
  <c r="AY147" i="98"/>
  <c r="BD99" i="98"/>
  <c r="AT77" i="98"/>
  <c r="AT107" i="98"/>
  <c r="AY40" i="98"/>
  <c r="AY15" i="98"/>
  <c r="CX105" i="98"/>
  <c r="BD51" i="98"/>
  <c r="AY120" i="98"/>
  <c r="AT137" i="98"/>
  <c r="AT83" i="98"/>
  <c r="AT72" i="98"/>
  <c r="AY155" i="98"/>
  <c r="BD73" i="98"/>
  <c r="AT157" i="98"/>
  <c r="BD38" i="98"/>
  <c r="AY114" i="98"/>
  <c r="BD48" i="98"/>
  <c r="AY41" i="98"/>
  <c r="BD21" i="98"/>
  <c r="CX118" i="98"/>
  <c r="AY94" i="98"/>
  <c r="AT155" i="98"/>
  <c r="CX128" i="98"/>
  <c r="BD71" i="98"/>
  <c r="AT112" i="98"/>
  <c r="BD87" i="98"/>
  <c r="AT92" i="98"/>
  <c r="AT10" i="98"/>
  <c r="BD93" i="98"/>
  <c r="AT101" i="98"/>
  <c r="AT158" i="98"/>
  <c r="BD10" i="98"/>
  <c r="AT102" i="98"/>
  <c r="AT39" i="98"/>
  <c r="AY73" i="98"/>
  <c r="CX123" i="98"/>
  <c r="BD149" i="98"/>
  <c r="BD34" i="98"/>
  <c r="AT143" i="98"/>
  <c r="BD29" i="98"/>
  <c r="AT109" i="98"/>
  <c r="AY25" i="98"/>
  <c r="AT57" i="98"/>
  <c r="AT65" i="98"/>
  <c r="AT58" i="98"/>
  <c r="AT32" i="98"/>
  <c r="BD12" i="98"/>
  <c r="AT135" i="98"/>
  <c r="BD126" i="98"/>
  <c r="AT55" i="98"/>
  <c r="AT127" i="98"/>
  <c r="AY58" i="98"/>
  <c r="AY5" i="98"/>
  <c r="AT56" i="98"/>
  <c r="CX117" i="98"/>
  <c r="AT40" i="98"/>
  <c r="BD81" i="98"/>
  <c r="AY10" i="98"/>
  <c r="AT154" i="98"/>
  <c r="BD27" i="98"/>
  <c r="BD33" i="98"/>
  <c r="AT18" i="98"/>
  <c r="AY82" i="98"/>
  <c r="AY16" i="98"/>
  <c r="AY63" i="98"/>
  <c r="BD155" i="98"/>
  <c r="AY87" i="98"/>
  <c r="BD16" i="98"/>
  <c r="AY31" i="98"/>
  <c r="BD132" i="98"/>
  <c r="AY116" i="98"/>
  <c r="AT146" i="98"/>
  <c r="AT14" i="98"/>
  <c r="BD56" i="98"/>
  <c r="CX75" i="98"/>
  <c r="AT30" i="98"/>
  <c r="AT88" i="98"/>
  <c r="BD154" i="98"/>
  <c r="CX107" i="98"/>
  <c r="BD7" i="98"/>
  <c r="AY129" i="98"/>
  <c r="BD102" i="98"/>
  <c r="AY14" i="98"/>
  <c r="BD164" i="98"/>
  <c r="AY138" i="98"/>
  <c r="AE17" i="96" l="1"/>
  <c r="AC17" i="96"/>
  <c r="AF17" i="96"/>
  <c r="AD17" i="96"/>
  <c r="DC136" i="98"/>
  <c r="DC110" i="98"/>
  <c r="DC66" i="98"/>
  <c r="DC95" i="98"/>
  <c r="DC164" i="98"/>
  <c r="DC86" i="98"/>
  <c r="DC148" i="98"/>
  <c r="DC71" i="98"/>
  <c r="DC123" i="98"/>
  <c r="DC67" i="98"/>
  <c r="DC135" i="98"/>
  <c r="DC143" i="98"/>
  <c r="DC72" i="98"/>
  <c r="DC155" i="98"/>
  <c r="DC156" i="98"/>
  <c r="DC87" i="98"/>
  <c r="DC154" i="98"/>
  <c r="DC158" i="98"/>
  <c r="DC151" i="98"/>
  <c r="DC102" i="98"/>
  <c r="DC130" i="98"/>
  <c r="DC74" i="98"/>
  <c r="DC144" i="98"/>
  <c r="DC91" i="98"/>
  <c r="DC117" i="98"/>
  <c r="DC119" i="98"/>
  <c r="DC139" i="98"/>
  <c r="DC108" i="98"/>
  <c r="DC80" i="98"/>
  <c r="DC69" i="98"/>
  <c r="DC142" i="98"/>
  <c r="DC129" i="98"/>
  <c r="DC150" i="98"/>
  <c r="DC83" i="98"/>
  <c r="DC107" i="98"/>
  <c r="DC106" i="98"/>
  <c r="DC93" i="98"/>
  <c r="DC122" i="98"/>
  <c r="DC99" i="98"/>
  <c r="DC94" i="98"/>
  <c r="DC126" i="98"/>
  <c r="DC124" i="98"/>
  <c r="DC98" i="98"/>
  <c r="DC76" i="98"/>
  <c r="DC132" i="98"/>
  <c r="DC118" i="98"/>
  <c r="DC70" i="98"/>
  <c r="DC157" i="98"/>
  <c r="DC73" i="98"/>
  <c r="DC112" i="98"/>
  <c r="DC90" i="98"/>
  <c r="DC149" i="98"/>
  <c r="DC127" i="98"/>
  <c r="DC141" i="98"/>
  <c r="DC145" i="98"/>
  <c r="DC75" i="98"/>
  <c r="DC109" i="98"/>
  <c r="DC104" i="98"/>
  <c r="DC147" i="98"/>
  <c r="DC159" i="98"/>
  <c r="DC82" i="98"/>
  <c r="DC114" i="98"/>
  <c r="DC125" i="98"/>
  <c r="DC134" i="98"/>
  <c r="DC92" i="98"/>
  <c r="DC115" i="98"/>
  <c r="DC153" i="98"/>
  <c r="DC77" i="98"/>
  <c r="DC133" i="98"/>
  <c r="DC88" i="98"/>
  <c r="DC131" i="98"/>
  <c r="DC101" i="98"/>
  <c r="DC68" i="98"/>
  <c r="DC78" i="98"/>
  <c r="DC146" i="98"/>
  <c r="DC152" i="98"/>
  <c r="DC163" i="98"/>
  <c r="DC138" i="98"/>
  <c r="DC84" i="98"/>
  <c r="DC103" i="98"/>
  <c r="DC128" i="98"/>
  <c r="DC161" i="98"/>
  <c r="DC81" i="98"/>
  <c r="DC162" i="98"/>
  <c r="DC105" i="98"/>
  <c r="DC113" i="98"/>
  <c r="DC85" i="98"/>
  <c r="DC120" i="98"/>
  <c r="DC79" i="98"/>
  <c r="DC111" i="98"/>
  <c r="DC96" i="98"/>
  <c r="DC160" i="98"/>
  <c r="DC89" i="98"/>
  <c r="DC137" i="98"/>
  <c r="DC121" i="98"/>
  <c r="DC116" i="98"/>
  <c r="DC97" i="98"/>
  <c r="DC140" i="98"/>
  <c r="DC100" i="98"/>
  <c r="AD18" i="96"/>
  <c r="AC18" i="96"/>
  <c r="AE18" i="96"/>
  <c r="AF18" i="96"/>
  <c r="AM29" i="98"/>
  <c r="BA30" i="101" s="1"/>
  <c r="AC30" i="98"/>
  <c r="AB30" i="98"/>
  <c r="AD30" i="98"/>
  <c r="AE30" i="98"/>
  <c r="AA30" i="98"/>
  <c r="AB27" i="96"/>
  <c r="AB35" i="96"/>
  <c r="AB24" i="96"/>
  <c r="AB28" i="96"/>
  <c r="AB30" i="96"/>
  <c r="AB26" i="96"/>
  <c r="AB31" i="96"/>
  <c r="AB37" i="96"/>
  <c r="AB25" i="96"/>
  <c r="AB20" i="96"/>
  <c r="AB33" i="96"/>
  <c r="AB22" i="96"/>
  <c r="AB29" i="96"/>
  <c r="AB34" i="96"/>
  <c r="AB21" i="96"/>
  <c r="AB32" i="96"/>
  <c r="AB19" i="96"/>
  <c r="AB36" i="96"/>
  <c r="AB23" i="96"/>
  <c r="AF33" i="96" l="1"/>
  <c r="AC33" i="96"/>
  <c r="AE33" i="96"/>
  <c r="AD33" i="96"/>
  <c r="AF36" i="96"/>
  <c r="AC36" i="96"/>
  <c r="AD36" i="96"/>
  <c r="AE36" i="96"/>
  <c r="AD34" i="96"/>
  <c r="AF34" i="96"/>
  <c r="AE34" i="96"/>
  <c r="AC34" i="96"/>
  <c r="AC21" i="96"/>
  <c r="AE21" i="96"/>
  <c r="AF21" i="96"/>
  <c r="AD21" i="96"/>
  <c r="AC37" i="96"/>
  <c r="AF37" i="96"/>
  <c r="AD37" i="96"/>
  <c r="AE37" i="96"/>
  <c r="AC32" i="96"/>
  <c r="AE32" i="96"/>
  <c r="AF32" i="96"/>
  <c r="AD32" i="96"/>
  <c r="AF22" i="96"/>
  <c r="AE22" i="96"/>
  <c r="AC22" i="96"/>
  <c r="AD22" i="96"/>
  <c r="AE24" i="96"/>
  <c r="AC24" i="96"/>
  <c r="AD24" i="96"/>
  <c r="AF24" i="96"/>
  <c r="AE27" i="96"/>
  <c r="AC27" i="96"/>
  <c r="AF27" i="96"/>
  <c r="AD27" i="96"/>
  <c r="AD19" i="96"/>
  <c r="AE19" i="96"/>
  <c r="AF19" i="96"/>
  <c r="AC19" i="96"/>
  <c r="AE25" i="96"/>
  <c r="AD25" i="96"/>
  <c r="AF25" i="96"/>
  <c r="AC25" i="96"/>
  <c r="AC29" i="96"/>
  <c r="AD29" i="96"/>
  <c r="AF29" i="96"/>
  <c r="AE29" i="96"/>
  <c r="AD28" i="96"/>
  <c r="AC28" i="96"/>
  <c r="AE28" i="96"/>
  <c r="AF28" i="96"/>
  <c r="AF20" i="96"/>
  <c r="AD20" i="96"/>
  <c r="AC20" i="96"/>
  <c r="AE20" i="96"/>
  <c r="AD26" i="96"/>
  <c r="AC26" i="96"/>
  <c r="AF26" i="96"/>
  <c r="AE26" i="96"/>
  <c r="AD35" i="96"/>
  <c r="AE35" i="96"/>
  <c r="AF35" i="96"/>
  <c r="AC35" i="96"/>
  <c r="AE31" i="96"/>
  <c r="AC31" i="96"/>
  <c r="AD31" i="96"/>
  <c r="AF31" i="96"/>
  <c r="AE23" i="96"/>
  <c r="AC23" i="96"/>
  <c r="AD23" i="96"/>
  <c r="AF23" i="96"/>
  <c r="AE30" i="96"/>
  <c r="AF30" i="96"/>
  <c r="AD30" i="96"/>
  <c r="AC30" i="96"/>
  <c r="AM30" i="98"/>
  <c r="BA31" i="101" s="1"/>
  <c r="AL30" i="98"/>
  <c r="AZ31" i="101" s="1"/>
  <c r="AJ30" i="98"/>
  <c r="AX31" i="101" s="1"/>
  <c r="AD31" i="98"/>
  <c r="AB31" i="98"/>
  <c r="AE31" i="98"/>
  <c r="AM31" i="98" s="1"/>
  <c r="BA32" i="101" s="1"/>
  <c r="AC31" i="98"/>
  <c r="AK31" i="98" s="1"/>
  <c r="AY32" i="101" s="1"/>
  <c r="AA31" i="98"/>
  <c r="AI31" i="98" s="1"/>
  <c r="AW32" i="101" s="1"/>
  <c r="AK30" i="98"/>
  <c r="AY31" i="101" s="1"/>
  <c r="AI30" i="98"/>
  <c r="AW31" i="101" s="1"/>
  <c r="AL31" i="98" l="1"/>
  <c r="AZ32" i="101" s="1"/>
  <c r="AD32" i="98"/>
  <c r="AC32" i="98"/>
  <c r="AA32" i="98"/>
  <c r="AB32" i="98"/>
  <c r="AJ32" i="98" s="1"/>
  <c r="AX33" i="101" s="1"/>
  <c r="AE32" i="98"/>
  <c r="AM32" i="98" s="1"/>
  <c r="BA33" i="101" s="1"/>
  <c r="AJ31" i="98"/>
  <c r="AX32" i="101" s="1"/>
  <c r="BQ54" i="98"/>
  <c r="BQ73" i="98"/>
  <c r="BQ117" i="98"/>
  <c r="BQ18" i="98"/>
  <c r="BQ132" i="98"/>
  <c r="BQ14" i="98"/>
  <c r="BQ5" i="98"/>
  <c r="BQ56" i="98"/>
  <c r="BQ105" i="98"/>
  <c r="BQ131" i="98"/>
  <c r="BQ88" i="98"/>
  <c r="BQ129" i="98"/>
  <c r="BQ108" i="98"/>
  <c r="BQ23" i="98"/>
  <c r="BQ89" i="98"/>
  <c r="BQ15" i="98"/>
  <c r="BQ38" i="98"/>
  <c r="BQ76" i="98"/>
  <c r="BQ35" i="98"/>
  <c r="BQ101" i="98"/>
  <c r="BQ114" i="98"/>
  <c r="BQ53" i="98"/>
  <c r="BQ83" i="98"/>
  <c r="BQ22" i="98"/>
  <c r="BQ94" i="98"/>
  <c r="BQ77" i="98"/>
  <c r="BQ70" i="98"/>
  <c r="BQ118" i="98"/>
  <c r="BQ71" i="98"/>
  <c r="BQ17" i="98"/>
  <c r="BQ90" i="98"/>
  <c r="BQ133" i="98"/>
  <c r="BQ138" i="98"/>
  <c r="BQ43" i="98"/>
  <c r="BQ63" i="98"/>
  <c r="BQ162" i="98"/>
  <c r="BQ97" i="98"/>
  <c r="BQ65" i="98"/>
  <c r="BQ127" i="98"/>
  <c r="BQ111" i="98"/>
  <c r="BQ130" i="98"/>
  <c r="BQ93" i="98"/>
  <c r="BQ45" i="98"/>
  <c r="BQ21" i="98"/>
  <c r="BQ161" i="98"/>
  <c r="BQ62" i="98"/>
  <c r="BQ157" i="98"/>
  <c r="BQ75" i="98"/>
  <c r="BQ11" i="98"/>
  <c r="BQ16" i="98"/>
  <c r="BQ103" i="98"/>
  <c r="BQ124" i="98"/>
  <c r="BQ42" i="98"/>
  <c r="BQ110" i="98"/>
  <c r="BQ158" i="98"/>
  <c r="BQ81" i="98"/>
  <c r="BQ37" i="98"/>
  <c r="BQ134" i="98"/>
  <c r="BQ146" i="98"/>
  <c r="BQ156" i="98"/>
  <c r="BQ122" i="98"/>
  <c r="BQ109" i="98"/>
  <c r="BQ61" i="98"/>
  <c r="BQ67" i="98"/>
  <c r="BQ87" i="98"/>
  <c r="BQ152" i="98"/>
  <c r="BQ160" i="98"/>
  <c r="BQ159" i="98"/>
  <c r="BQ121" i="98"/>
  <c r="BQ104" i="98"/>
  <c r="BQ79" i="98"/>
  <c r="BQ164" i="98"/>
  <c r="BQ85" i="98"/>
  <c r="BQ98" i="98"/>
  <c r="BQ32" i="98"/>
  <c r="BQ33" i="98"/>
  <c r="BQ119" i="98"/>
  <c r="BQ144" i="98"/>
  <c r="BQ6" i="98"/>
  <c r="BQ50" i="98"/>
  <c r="BQ19" i="98"/>
  <c r="BQ113" i="98"/>
  <c r="BQ60" i="98"/>
  <c r="BQ47" i="98"/>
  <c r="BQ128" i="98"/>
  <c r="BQ141" i="98"/>
  <c r="BQ26" i="98"/>
  <c r="BQ74" i="98"/>
  <c r="BQ80" i="98"/>
  <c r="BQ13" i="98"/>
  <c r="BQ20" i="98"/>
  <c r="BQ137" i="98"/>
  <c r="BQ12" i="98"/>
  <c r="BQ57" i="98"/>
  <c r="BQ69" i="98"/>
  <c r="BQ99" i="98"/>
  <c r="BQ51" i="98"/>
  <c r="BQ58" i="98"/>
  <c r="BQ68" i="98"/>
  <c r="BQ59" i="98"/>
  <c r="BQ86" i="98"/>
  <c r="BQ95" i="98"/>
  <c r="BQ154" i="98"/>
  <c r="BQ8" i="98"/>
  <c r="BQ147" i="98"/>
  <c r="BQ123" i="98"/>
  <c r="BQ125" i="98"/>
  <c r="BQ120" i="98"/>
  <c r="BQ126" i="98"/>
  <c r="BQ112" i="98"/>
  <c r="BQ48" i="98"/>
  <c r="BQ91" i="98"/>
  <c r="BQ116" i="98"/>
  <c r="BQ31" i="98"/>
  <c r="BQ100" i="98"/>
  <c r="BQ25" i="98"/>
  <c r="BQ115" i="98"/>
  <c r="BQ30" i="98"/>
  <c r="BQ27" i="98"/>
  <c r="BQ153" i="98"/>
  <c r="BQ41" i="98"/>
  <c r="BQ82" i="98"/>
  <c r="BQ72" i="98"/>
  <c r="BQ155" i="98"/>
  <c r="BQ40" i="98"/>
  <c r="BQ106" i="98"/>
  <c r="BQ28" i="98"/>
  <c r="BQ24" i="98"/>
  <c r="BQ46" i="98"/>
  <c r="BQ92" i="98"/>
  <c r="BQ149" i="98"/>
  <c r="BQ36" i="98"/>
  <c r="BQ136" i="98"/>
  <c r="BQ9" i="98"/>
  <c r="BQ150" i="98"/>
  <c r="BQ107" i="98"/>
  <c r="BQ52" i="98"/>
  <c r="BQ34" i="98"/>
  <c r="BQ151" i="98"/>
  <c r="BQ10" i="98"/>
  <c r="BQ140" i="98"/>
  <c r="BQ39" i="98"/>
  <c r="BQ102" i="98"/>
  <c r="BQ78" i="98"/>
  <c r="BQ44" i="98"/>
  <c r="BQ142" i="98"/>
  <c r="BQ148" i="98"/>
  <c r="BQ66" i="98"/>
  <c r="BQ49" i="98"/>
  <c r="BQ84" i="98"/>
  <c r="BQ7" i="98"/>
  <c r="BQ96" i="98"/>
  <c r="BQ55" i="98"/>
  <c r="BQ135" i="98"/>
  <c r="BQ145" i="98"/>
  <c r="BQ29" i="98"/>
  <c r="BQ139" i="98"/>
  <c r="BQ64" i="98"/>
  <c r="BQ143" i="98"/>
  <c r="BQ163" i="98"/>
  <c r="BV108" i="98"/>
  <c r="BV23" i="98"/>
  <c r="BV66" i="98"/>
  <c r="BV125" i="98"/>
  <c r="BV78" i="98"/>
  <c r="BV135" i="98"/>
  <c r="BV13" i="98"/>
  <c r="BV8" i="98"/>
  <c r="BV128" i="98"/>
  <c r="BV101" i="98"/>
  <c r="BV148" i="98"/>
  <c r="BV103" i="98"/>
  <c r="BV162" i="98"/>
  <c r="BV96" i="98"/>
  <c r="BV38" i="98"/>
  <c r="BV91" i="98"/>
  <c r="BV60" i="98"/>
  <c r="BV25" i="98"/>
  <c r="BV136" i="98"/>
  <c r="BV59" i="98"/>
  <c r="BV34" i="98"/>
  <c r="BV28" i="98"/>
  <c r="BV105" i="98"/>
  <c r="BV36" i="98"/>
  <c r="BV139" i="98"/>
  <c r="BV55" i="98"/>
  <c r="BV62" i="98"/>
  <c r="BV56" i="98"/>
  <c r="BV57" i="98"/>
  <c r="BV9" i="98"/>
  <c r="BV81" i="98"/>
  <c r="BV92" i="98"/>
  <c r="BV10" i="98"/>
  <c r="BV122" i="98"/>
  <c r="BV54" i="98"/>
  <c r="BV5" i="98"/>
  <c r="BV120" i="98"/>
  <c r="BV45" i="98"/>
  <c r="BV63" i="98"/>
  <c r="BV89" i="98"/>
  <c r="BV41" i="98"/>
  <c r="BV43" i="98"/>
  <c r="BV151" i="98"/>
  <c r="BV130" i="98"/>
  <c r="BV82" i="98"/>
  <c r="BV75" i="98"/>
  <c r="BV157" i="98"/>
  <c r="BV111" i="98"/>
  <c r="BV21" i="98"/>
  <c r="BV164" i="98"/>
  <c r="BV129" i="98"/>
  <c r="BV84" i="98"/>
  <c r="BV19" i="98"/>
  <c r="BV73" i="98"/>
  <c r="BV44" i="98"/>
  <c r="BV52" i="98"/>
  <c r="BV47" i="98"/>
  <c r="BV64" i="98"/>
  <c r="BV17" i="98"/>
  <c r="BV51" i="98"/>
  <c r="BV18" i="98"/>
  <c r="BV70" i="98"/>
  <c r="BV31" i="98"/>
  <c r="BV154" i="98"/>
  <c r="BV30" i="98"/>
  <c r="BV100" i="98"/>
  <c r="BV90" i="98"/>
  <c r="BV144" i="98"/>
  <c r="BV98" i="98"/>
  <c r="BV107" i="98"/>
  <c r="BV67" i="98"/>
  <c r="BV11" i="98"/>
  <c r="BV142" i="98"/>
  <c r="BV104" i="98"/>
  <c r="BV150" i="98"/>
  <c r="BV22" i="98"/>
  <c r="BV24" i="98"/>
  <c r="BV39" i="98"/>
  <c r="BV32" i="98"/>
  <c r="BV33" i="98"/>
  <c r="BV48" i="98"/>
  <c r="BV119" i="98"/>
  <c r="BV7" i="98"/>
  <c r="BV76" i="98"/>
  <c r="BV94" i="98"/>
  <c r="BV114" i="98"/>
  <c r="BV71" i="98"/>
  <c r="BV65" i="98"/>
  <c r="BV72" i="98"/>
  <c r="BV6" i="98"/>
  <c r="BV69" i="98"/>
  <c r="BV133" i="98"/>
  <c r="BV163" i="98"/>
  <c r="BV137" i="98"/>
  <c r="BV20" i="98"/>
  <c r="BV46" i="98"/>
  <c r="BV12" i="98"/>
  <c r="BV158" i="98"/>
  <c r="BV112" i="98"/>
  <c r="BV127" i="98"/>
  <c r="BV124" i="98"/>
  <c r="BV161" i="98"/>
  <c r="BV49" i="98"/>
  <c r="BV26" i="98"/>
  <c r="BV68" i="98"/>
  <c r="BV102" i="98"/>
  <c r="BV27" i="98"/>
  <c r="BV74" i="98"/>
  <c r="BV145" i="98"/>
  <c r="BV93" i="98"/>
  <c r="BV156" i="98"/>
  <c r="BV99" i="98"/>
  <c r="BV35" i="98"/>
  <c r="BV40" i="98"/>
  <c r="BV106" i="98"/>
  <c r="BV149" i="98"/>
  <c r="BV50" i="98"/>
  <c r="BV159" i="98"/>
  <c r="BV160" i="98"/>
  <c r="BV143" i="98"/>
  <c r="BV113" i="98"/>
  <c r="BV61" i="98"/>
  <c r="BV140" i="98"/>
  <c r="BV153" i="98"/>
  <c r="BV116" i="98"/>
  <c r="BV83" i="98"/>
  <c r="BV126" i="98"/>
  <c r="BV14" i="98"/>
  <c r="BV87" i="98"/>
  <c r="BV37" i="98"/>
  <c r="BV80" i="98"/>
  <c r="BV115" i="98"/>
  <c r="BV86" i="98"/>
  <c r="BV132" i="98"/>
  <c r="BV58" i="98"/>
  <c r="BV146" i="98"/>
  <c r="BV141" i="98"/>
  <c r="BV117" i="98"/>
  <c r="BV147" i="98"/>
  <c r="BV77" i="98"/>
  <c r="BV29" i="98"/>
  <c r="BV131" i="98"/>
  <c r="BV110" i="98"/>
  <c r="BV95" i="98"/>
  <c r="BV155" i="98"/>
  <c r="BV42" i="98"/>
  <c r="BV123" i="98"/>
  <c r="BV134" i="98"/>
  <c r="BV16" i="98"/>
  <c r="BV152" i="98"/>
  <c r="BV53" i="98"/>
  <c r="BV121" i="98"/>
  <c r="BV118" i="98"/>
  <c r="BV85" i="98"/>
  <c r="BV138" i="98"/>
  <c r="BV15" i="98"/>
  <c r="BV97" i="98"/>
  <c r="BV88" i="98"/>
  <c r="BV79" i="98"/>
  <c r="BV109" i="98"/>
  <c r="BL159" i="98"/>
  <c r="BL152" i="98"/>
  <c r="BL51" i="98"/>
  <c r="BL118" i="98"/>
  <c r="BL63" i="98"/>
  <c r="BL163" i="98"/>
  <c r="BL146" i="98"/>
  <c r="BL144" i="98"/>
  <c r="BL85" i="98"/>
  <c r="BL90" i="98"/>
  <c r="BL98" i="98"/>
  <c r="BL22" i="98"/>
  <c r="BL25" i="98"/>
  <c r="BL48" i="98"/>
  <c r="BL102" i="98"/>
  <c r="BL82" i="98"/>
  <c r="BL16" i="98"/>
  <c r="BL50" i="98"/>
  <c r="BL143" i="98"/>
  <c r="BL160" i="98"/>
  <c r="BL37" i="98"/>
  <c r="BL110" i="98"/>
  <c r="BL54" i="98"/>
  <c r="BL21" i="98"/>
  <c r="BL10" i="98"/>
  <c r="BL39" i="98"/>
  <c r="BL124" i="98"/>
  <c r="BL119" i="98"/>
  <c r="BL14" i="98"/>
  <c r="BL6" i="98"/>
  <c r="BL69" i="98"/>
  <c r="BL164" i="98"/>
  <c r="BL36" i="98"/>
  <c r="BL89" i="98"/>
  <c r="BL156" i="98"/>
  <c r="BL91" i="98"/>
  <c r="BL46" i="98"/>
  <c r="BL8" i="98"/>
  <c r="BL155" i="98"/>
  <c r="BL141" i="98"/>
  <c r="BL53" i="98"/>
  <c r="BL150" i="98"/>
  <c r="BL140" i="98"/>
  <c r="BL97" i="98"/>
  <c r="BL66" i="98"/>
  <c r="BL148" i="98"/>
  <c r="BL132" i="98"/>
  <c r="BL120" i="98"/>
  <c r="BL17" i="98"/>
  <c r="BL75" i="98"/>
  <c r="BL87" i="98"/>
  <c r="BL157" i="98"/>
  <c r="BL111" i="98"/>
  <c r="BL29" i="98"/>
  <c r="BL112" i="98"/>
  <c r="BL42" i="98"/>
  <c r="BL153" i="98"/>
  <c r="BL106" i="98"/>
  <c r="BL130" i="98"/>
  <c r="BL101" i="98"/>
  <c r="BL139" i="98"/>
  <c r="BL151" i="98"/>
  <c r="BL149" i="98"/>
  <c r="BL44" i="98"/>
  <c r="BL115" i="98"/>
  <c r="BL57" i="98"/>
  <c r="BL138" i="98"/>
  <c r="BL114" i="98"/>
  <c r="BL61" i="98"/>
  <c r="BL40" i="98"/>
  <c r="BL125" i="98"/>
  <c r="BL84" i="98"/>
  <c r="BL62" i="98"/>
  <c r="BL128" i="98"/>
  <c r="BL55" i="98"/>
  <c r="BL122" i="98"/>
  <c r="BL68" i="98"/>
  <c r="BL52" i="98"/>
  <c r="BL28" i="98"/>
  <c r="BL12" i="98"/>
  <c r="BL108" i="98"/>
  <c r="BL86" i="98"/>
  <c r="BL109" i="98"/>
  <c r="BL100" i="98"/>
  <c r="BL99" i="98"/>
  <c r="BL154" i="98"/>
  <c r="BL73" i="98"/>
  <c r="BL81" i="98"/>
  <c r="BL56" i="98"/>
  <c r="BL95" i="98"/>
  <c r="BL127" i="98"/>
  <c r="BL121" i="98"/>
  <c r="BL133" i="98"/>
  <c r="BL96" i="98"/>
  <c r="BL88" i="98"/>
  <c r="BL104" i="98"/>
  <c r="BL76" i="98"/>
  <c r="BL161" i="98"/>
  <c r="BL47" i="98"/>
  <c r="BL137" i="98"/>
  <c r="BL13" i="98"/>
  <c r="BL58" i="98"/>
  <c r="BL65" i="98"/>
  <c r="BL19" i="98"/>
  <c r="BL74" i="98"/>
  <c r="BL41" i="98"/>
  <c r="BL7" i="98"/>
  <c r="BL145" i="98"/>
  <c r="BL92" i="98"/>
  <c r="BL134" i="98"/>
  <c r="BL131" i="98"/>
  <c r="BL9" i="98"/>
  <c r="BL26" i="98"/>
  <c r="BL113" i="98"/>
  <c r="BL79" i="98"/>
  <c r="BL129" i="98"/>
  <c r="BL67" i="98"/>
  <c r="BL24" i="98"/>
  <c r="BL15" i="98"/>
  <c r="BL30" i="98"/>
  <c r="BL123" i="98"/>
  <c r="BL18" i="98"/>
  <c r="BL70" i="98"/>
  <c r="BL103" i="98"/>
  <c r="BL59" i="98"/>
  <c r="BL83" i="98"/>
  <c r="BL49" i="98"/>
  <c r="BL5" i="98"/>
  <c r="BL116" i="98"/>
  <c r="BL11" i="98"/>
  <c r="BL71" i="98"/>
  <c r="BL31" i="98"/>
  <c r="BL94" i="98"/>
  <c r="BL43" i="98"/>
  <c r="BL105" i="98"/>
  <c r="BL20" i="98"/>
  <c r="BL33" i="98"/>
  <c r="BL136" i="98"/>
  <c r="BL34" i="98"/>
  <c r="BL72" i="98"/>
  <c r="BL78" i="98"/>
  <c r="BL158" i="98"/>
  <c r="BL38" i="98"/>
  <c r="BL45" i="98"/>
  <c r="BL126" i="98"/>
  <c r="BL60" i="98"/>
  <c r="BL35" i="98"/>
  <c r="BL107" i="98"/>
  <c r="BL64" i="98"/>
  <c r="BL80" i="98"/>
  <c r="BL162" i="98"/>
  <c r="BL77" i="98"/>
  <c r="BL32" i="98"/>
  <c r="BL23" i="98"/>
  <c r="BL147" i="98"/>
  <c r="BL117" i="98"/>
  <c r="BL142" i="98"/>
  <c r="BL135" i="98"/>
  <c r="BL93" i="98"/>
  <c r="BL27" i="98"/>
  <c r="AB33" i="98" l="1"/>
  <c r="AC33" i="98"/>
  <c r="AK33" i="98" s="1"/>
  <c r="AY34" i="101" s="1"/>
  <c r="AD33" i="98"/>
  <c r="AL33" i="98" s="1"/>
  <c r="AZ34" i="101" s="1"/>
  <c r="AA33" i="98"/>
  <c r="AI33" i="98" s="1"/>
  <c r="AW34" i="101" s="1"/>
  <c r="AE33" i="98"/>
  <c r="AM33" i="98" s="1"/>
  <c r="BA34" i="101" s="1"/>
  <c r="AI32" i="98"/>
  <c r="AW33" i="101" s="1"/>
  <c r="AL32" i="98"/>
  <c r="AZ33" i="101" s="1"/>
  <c r="AK32" i="98"/>
  <c r="AY33" i="101" s="1"/>
  <c r="CN107" i="98"/>
  <c r="CI107" i="98"/>
  <c r="CN11" i="98"/>
  <c r="CI11" i="98"/>
  <c r="CN41" i="98"/>
  <c r="CI41" i="98"/>
  <c r="CN122" i="98"/>
  <c r="CI122" i="98"/>
  <c r="CN44" i="98"/>
  <c r="CI44" i="98"/>
  <c r="CN141" i="98"/>
  <c r="CI141" i="98"/>
  <c r="CN118" i="98"/>
  <c r="CI118" i="98"/>
  <c r="CN93" i="98"/>
  <c r="CI93" i="98"/>
  <c r="CN78" i="98"/>
  <c r="CI78" i="98"/>
  <c r="CN70" i="98"/>
  <c r="CI70" i="98"/>
  <c r="CN133" i="98"/>
  <c r="CI133" i="98"/>
  <c r="CN61" i="98"/>
  <c r="CI61" i="98"/>
  <c r="CN155" i="98"/>
  <c r="CI155" i="98"/>
  <c r="CN85" i="98"/>
  <c r="CI85" i="98"/>
  <c r="CI158" i="98"/>
  <c r="CN158" i="98"/>
  <c r="CN137" i="98"/>
  <c r="CI137" i="98"/>
  <c r="CN86" i="98"/>
  <c r="CI86" i="98"/>
  <c r="CN106" i="98"/>
  <c r="CI106" i="98"/>
  <c r="CN119" i="98"/>
  <c r="CI119" i="98"/>
  <c r="CN82" i="98"/>
  <c r="CI82" i="98"/>
  <c r="CN35" i="98"/>
  <c r="CI35" i="98"/>
  <c r="CN105" i="98"/>
  <c r="CI105" i="98"/>
  <c r="CN67" i="98"/>
  <c r="CI67" i="98"/>
  <c r="CN74" i="98"/>
  <c r="CI74" i="98"/>
  <c r="CN73" i="98"/>
  <c r="CI73" i="98"/>
  <c r="CN55" i="98"/>
  <c r="CI55" i="98"/>
  <c r="CN153" i="98"/>
  <c r="CI153" i="98"/>
  <c r="CN66" i="98"/>
  <c r="CI66" i="98"/>
  <c r="CN124" i="98"/>
  <c r="CI124" i="98"/>
  <c r="CN37" i="98"/>
  <c r="CI37" i="98"/>
  <c r="CN51" i="98"/>
  <c r="CI51" i="98"/>
  <c r="CN135" i="98"/>
  <c r="CI135" i="98"/>
  <c r="CN72" i="98"/>
  <c r="CI72" i="98"/>
  <c r="CN5" i="98"/>
  <c r="CI5" i="98"/>
  <c r="CD5" i="98"/>
  <c r="CN129" i="98"/>
  <c r="CI129" i="98"/>
  <c r="CN19" i="98"/>
  <c r="CI19" i="98"/>
  <c r="CN121" i="98"/>
  <c r="CI121" i="98"/>
  <c r="CN128" i="98"/>
  <c r="CI128" i="98"/>
  <c r="CN151" i="98"/>
  <c r="CI151" i="98"/>
  <c r="CN42" i="98"/>
  <c r="CI42" i="98"/>
  <c r="CN97" i="98"/>
  <c r="CI97" i="98"/>
  <c r="CN8" i="98"/>
  <c r="CI8" i="98"/>
  <c r="CN39" i="98"/>
  <c r="CI39" i="98"/>
  <c r="CN144" i="98"/>
  <c r="CI144" i="98"/>
  <c r="CN23" i="98"/>
  <c r="CI23" i="98"/>
  <c r="CN20" i="98"/>
  <c r="CI20" i="98"/>
  <c r="CN24" i="98"/>
  <c r="CI24" i="98"/>
  <c r="CN81" i="98"/>
  <c r="CI81" i="98"/>
  <c r="CN157" i="98"/>
  <c r="CI157" i="98"/>
  <c r="CN89" i="98"/>
  <c r="CI89" i="98"/>
  <c r="CN90" i="98"/>
  <c r="CI90" i="98"/>
  <c r="CN32" i="98"/>
  <c r="CI32" i="98"/>
  <c r="CN116" i="98"/>
  <c r="CI116" i="98"/>
  <c r="CN131" i="98"/>
  <c r="CI131" i="98"/>
  <c r="CN47" i="98"/>
  <c r="CI47" i="98"/>
  <c r="CN108" i="98"/>
  <c r="CI108" i="98"/>
  <c r="CN149" i="98"/>
  <c r="CI149" i="98"/>
  <c r="CN87" i="98"/>
  <c r="CI87" i="98"/>
  <c r="CN36" i="98"/>
  <c r="CI36" i="98"/>
  <c r="CN102" i="98"/>
  <c r="CI102" i="98"/>
  <c r="CN77" i="98"/>
  <c r="CI77" i="98"/>
  <c r="CN60" i="98"/>
  <c r="CI60" i="98"/>
  <c r="CN43" i="98"/>
  <c r="CI43" i="98"/>
  <c r="CN18" i="98"/>
  <c r="CI18" i="98"/>
  <c r="CN134" i="98"/>
  <c r="CI134" i="98"/>
  <c r="CN161" i="98"/>
  <c r="CI161" i="98"/>
  <c r="CN154" i="98"/>
  <c r="CI154" i="98"/>
  <c r="CN12" i="98"/>
  <c r="CI12" i="98"/>
  <c r="CN114" i="98"/>
  <c r="CI114" i="98"/>
  <c r="CN75" i="98"/>
  <c r="CI75" i="98"/>
  <c r="CN164" i="98"/>
  <c r="CI164" i="98"/>
  <c r="CN160" i="98"/>
  <c r="CI160" i="98"/>
  <c r="CN48" i="98"/>
  <c r="CI48" i="98"/>
  <c r="CN152" i="98"/>
  <c r="CI152" i="98"/>
  <c r="CN142" i="98"/>
  <c r="CI142" i="98"/>
  <c r="CN162" i="98"/>
  <c r="CI162" i="98"/>
  <c r="CN126" i="98"/>
  <c r="CI126" i="98"/>
  <c r="CN34" i="98"/>
  <c r="CI34" i="98"/>
  <c r="CN94" i="98"/>
  <c r="CI94" i="98"/>
  <c r="CN49" i="98"/>
  <c r="CI49" i="98"/>
  <c r="CN123" i="98"/>
  <c r="CI123" i="98"/>
  <c r="CN79" i="98"/>
  <c r="CI79" i="98"/>
  <c r="CN92" i="98"/>
  <c r="CI92" i="98"/>
  <c r="CN65" i="98"/>
  <c r="CI65" i="98"/>
  <c r="CN76" i="98"/>
  <c r="CI76" i="98"/>
  <c r="CN127" i="98"/>
  <c r="CI127" i="98"/>
  <c r="CN99" i="98"/>
  <c r="CI99" i="98"/>
  <c r="CN28" i="98"/>
  <c r="CI28" i="98"/>
  <c r="CN62" i="98"/>
  <c r="CI62" i="98"/>
  <c r="CN138" i="98"/>
  <c r="CI138" i="98"/>
  <c r="CN139" i="98"/>
  <c r="CI139" i="98"/>
  <c r="CN112" i="98"/>
  <c r="CI112" i="98"/>
  <c r="CN17" i="98"/>
  <c r="CI17" i="98"/>
  <c r="CN140" i="98"/>
  <c r="CI140" i="98"/>
  <c r="CN46" i="98"/>
  <c r="CI46" i="98"/>
  <c r="CN69" i="98"/>
  <c r="CI69" i="98"/>
  <c r="CN10" i="98"/>
  <c r="CI10" i="98"/>
  <c r="CN143" i="98"/>
  <c r="CI143" i="98"/>
  <c r="CN25" i="98"/>
  <c r="CI25" i="98"/>
  <c r="CN146" i="98"/>
  <c r="CI146" i="98"/>
  <c r="CN159" i="98"/>
  <c r="CI159" i="98"/>
  <c r="CN27" i="98"/>
  <c r="CI27" i="98"/>
  <c r="CN103" i="98"/>
  <c r="CI103" i="98"/>
  <c r="CI9" i="98"/>
  <c r="CN9" i="98"/>
  <c r="CN96" i="98"/>
  <c r="CI96" i="98"/>
  <c r="CN40" i="98"/>
  <c r="CI40" i="98"/>
  <c r="CN148" i="98"/>
  <c r="CI148" i="98"/>
  <c r="CN110" i="98"/>
  <c r="CI110" i="98"/>
  <c r="CN117" i="98"/>
  <c r="CI117" i="98"/>
  <c r="CN80" i="98"/>
  <c r="CI80" i="98"/>
  <c r="CN45" i="98"/>
  <c r="CI45" i="98"/>
  <c r="CN136" i="98"/>
  <c r="CI136" i="98"/>
  <c r="CN31" i="98"/>
  <c r="CI31" i="98"/>
  <c r="CN83" i="98"/>
  <c r="CI83" i="98"/>
  <c r="CN30" i="98"/>
  <c r="CI30" i="98"/>
  <c r="CN113" i="98"/>
  <c r="CI113" i="98"/>
  <c r="CN145" i="98"/>
  <c r="CI145" i="98"/>
  <c r="CN58" i="98"/>
  <c r="CI58" i="98"/>
  <c r="CN104" i="98"/>
  <c r="CI104" i="98"/>
  <c r="CN95" i="98"/>
  <c r="CI95" i="98"/>
  <c r="CN100" i="98"/>
  <c r="CI100" i="98"/>
  <c r="CN52" i="98"/>
  <c r="CI52" i="98"/>
  <c r="CN84" i="98"/>
  <c r="CI84" i="98"/>
  <c r="CN57" i="98"/>
  <c r="CI57" i="98"/>
  <c r="CN101" i="98"/>
  <c r="CI101" i="98"/>
  <c r="CN29" i="98"/>
  <c r="CI29" i="98"/>
  <c r="CN120" i="98"/>
  <c r="CI120" i="98"/>
  <c r="CN150" i="98"/>
  <c r="CI150" i="98"/>
  <c r="CN91" i="98"/>
  <c r="CI91" i="98"/>
  <c r="CN6" i="98"/>
  <c r="CI6" i="98"/>
  <c r="CN21" i="98"/>
  <c r="CI21" i="98"/>
  <c r="CN50" i="98"/>
  <c r="CI50" i="98"/>
  <c r="CN22" i="98"/>
  <c r="CI22" i="98"/>
  <c r="CN163" i="98"/>
  <c r="CI163" i="98"/>
  <c r="CN147" i="98"/>
  <c r="CI147" i="98"/>
  <c r="CN64" i="98"/>
  <c r="CI64" i="98"/>
  <c r="CN38" i="98"/>
  <c r="CI38" i="98"/>
  <c r="CN33" i="98"/>
  <c r="CI33" i="98"/>
  <c r="CN71" i="98"/>
  <c r="CI71" i="98"/>
  <c r="CN59" i="98"/>
  <c r="CI59" i="98"/>
  <c r="CN15" i="98"/>
  <c r="CI15" i="98"/>
  <c r="CN26" i="98"/>
  <c r="CI26" i="98"/>
  <c r="CN7" i="98"/>
  <c r="CI7" i="98"/>
  <c r="CN13" i="98"/>
  <c r="CI13" i="98"/>
  <c r="CN88" i="98"/>
  <c r="CI88" i="98"/>
  <c r="CN56" i="98"/>
  <c r="CI56" i="98"/>
  <c r="CN109" i="98"/>
  <c r="CI109" i="98"/>
  <c r="CN68" i="98"/>
  <c r="CI68" i="98"/>
  <c r="CN125" i="98"/>
  <c r="CI125" i="98"/>
  <c r="CN115" i="98"/>
  <c r="CI115" i="98"/>
  <c r="CN130" i="98"/>
  <c r="CI130" i="98"/>
  <c r="CN111" i="98"/>
  <c r="CI111" i="98"/>
  <c r="CN132" i="98"/>
  <c r="CI132" i="98"/>
  <c r="CN53" i="98"/>
  <c r="CI53" i="98"/>
  <c r="CN156" i="98"/>
  <c r="CI156" i="98"/>
  <c r="CN14" i="98"/>
  <c r="CI14" i="98"/>
  <c r="CN54" i="98"/>
  <c r="CI54" i="98"/>
  <c r="CN16" i="98"/>
  <c r="CI16" i="98"/>
  <c r="CN98" i="98"/>
  <c r="CI98" i="98"/>
  <c r="CN63" i="98"/>
  <c r="CI63" i="98"/>
  <c r="CD156" i="98"/>
  <c r="CD65" i="98"/>
  <c r="CD64" i="98"/>
  <c r="CD56" i="98"/>
  <c r="CD109" i="98"/>
  <c r="CD34" i="98"/>
  <c r="CD16" i="98"/>
  <c r="CD44" i="98"/>
  <c r="CD119" i="98"/>
  <c r="CD69" i="98"/>
  <c r="CD146" i="98"/>
  <c r="CD12" i="98"/>
  <c r="CD17" i="98"/>
  <c r="CD63" i="98"/>
  <c r="CD159" i="98"/>
  <c r="CD24" i="98"/>
  <c r="CD32" i="98"/>
  <c r="CD105" i="98"/>
  <c r="CD161" i="98"/>
  <c r="CD162" i="98"/>
  <c r="CD78" i="98"/>
  <c r="CD137" i="98"/>
  <c r="CD121" i="98"/>
  <c r="CD8" i="98"/>
  <c r="CD152" i="98"/>
  <c r="CD46" i="98"/>
  <c r="CD9" i="98"/>
  <c r="CD25" i="98"/>
  <c r="CD84" i="98"/>
  <c r="CD75" i="98"/>
  <c r="CD76" i="98"/>
  <c r="CD37" i="98"/>
  <c r="CD102" i="98"/>
  <c r="CD83" i="98"/>
  <c r="CD115" i="98"/>
  <c r="CD111" i="98"/>
  <c r="CD79" i="98"/>
  <c r="CD129" i="98"/>
  <c r="CD10" i="98"/>
  <c r="CD151" i="98"/>
  <c r="CD28" i="98"/>
  <c r="CD126" i="98"/>
  <c r="CD38" i="98"/>
  <c r="CD125" i="98"/>
  <c r="CD42" i="98"/>
  <c r="CD14" i="98"/>
  <c r="CD114" i="98"/>
  <c r="CD48" i="98"/>
  <c r="CD135" i="98"/>
  <c r="CD53" i="98"/>
  <c r="CD18" i="98"/>
  <c r="CD140" i="98"/>
  <c r="CD71" i="98"/>
  <c r="CD98" i="98"/>
  <c r="CD147" i="98"/>
  <c r="CD31" i="98"/>
  <c r="CD6" i="98"/>
  <c r="CD150" i="98"/>
  <c r="CD107" i="98"/>
  <c r="CD103" i="98"/>
  <c r="CD96" i="98"/>
  <c r="CD86" i="98"/>
  <c r="CD82" i="98"/>
  <c r="CD52" i="98"/>
  <c r="CD43" i="98"/>
  <c r="CD145" i="98"/>
  <c r="CD77" i="98"/>
  <c r="CD23" i="98"/>
  <c r="CD81" i="98"/>
  <c r="CD89" i="98"/>
  <c r="CD40" i="98"/>
  <c r="CD117" i="98"/>
  <c r="CD106" i="98"/>
  <c r="CD113" i="98"/>
  <c r="CD157" i="98"/>
  <c r="CD101" i="98"/>
  <c r="CD95" i="98"/>
  <c r="CD132" i="98"/>
  <c r="CD144" i="98"/>
  <c r="CD164" i="98"/>
  <c r="CD39" i="98"/>
  <c r="CD134" i="98"/>
  <c r="CD62" i="98"/>
  <c r="CD26" i="98"/>
  <c r="CD118" i="98"/>
  <c r="CD93" i="98"/>
  <c r="CD149" i="98"/>
  <c r="CD138" i="98"/>
  <c r="CD110" i="98"/>
  <c r="CD141" i="98"/>
  <c r="CD27" i="98"/>
  <c r="CD19" i="98"/>
  <c r="CD88" i="98"/>
  <c r="CD143" i="98"/>
  <c r="CD15" i="98"/>
  <c r="CD33" i="98"/>
  <c r="CD59" i="98"/>
  <c r="CD130" i="98"/>
  <c r="CD139" i="98"/>
  <c r="CD7" i="98"/>
  <c r="CD154" i="98"/>
  <c r="CD128" i="98"/>
  <c r="CD160" i="98"/>
  <c r="CD158" i="98"/>
  <c r="CD11" i="98"/>
  <c r="CD97" i="98"/>
  <c r="CD72" i="98"/>
  <c r="CD41" i="98"/>
  <c r="CD90" i="98"/>
  <c r="CD122" i="98"/>
  <c r="CD94" i="98"/>
  <c r="CD20" i="98"/>
  <c r="CD54" i="98"/>
  <c r="CD29" i="98"/>
  <c r="CD155" i="98"/>
  <c r="CD85" i="98"/>
  <c r="CD80" i="98"/>
  <c r="CD45" i="98"/>
  <c r="CD136" i="98"/>
  <c r="CD30" i="98"/>
  <c r="CD58" i="98"/>
  <c r="CD100" i="98"/>
  <c r="CD57" i="98"/>
  <c r="CD120" i="98"/>
  <c r="CD91" i="98"/>
  <c r="CD21" i="98"/>
  <c r="CD50" i="98"/>
  <c r="CD22" i="98"/>
  <c r="CD163" i="98"/>
  <c r="CD51" i="98"/>
  <c r="CD148" i="98"/>
  <c r="CD60" i="98"/>
  <c r="CD142" i="98"/>
  <c r="CD49" i="98"/>
  <c r="CD123" i="98"/>
  <c r="CD92" i="98"/>
  <c r="CD127" i="98"/>
  <c r="CD112" i="98"/>
  <c r="CD35" i="98"/>
  <c r="CD133" i="98"/>
  <c r="CD36" i="98"/>
  <c r="CD124" i="98"/>
  <c r="CD116" i="98"/>
  <c r="CD153" i="98"/>
  <c r="CD70" i="98"/>
  <c r="CD47" i="98"/>
  <c r="CD74" i="98"/>
  <c r="CD66" i="98"/>
  <c r="CD87" i="98"/>
  <c r="CD61" i="98"/>
  <c r="CD67" i="98"/>
  <c r="CD99" i="98"/>
  <c r="CD108" i="98"/>
  <c r="CD73" i="98"/>
  <c r="CD55" i="98"/>
  <c r="CD68" i="98"/>
  <c r="CD131" i="98"/>
  <c r="CD104" i="98"/>
  <c r="CD13" i="98"/>
  <c r="AJ33" i="98" l="1"/>
  <c r="AX34" i="101" s="1"/>
  <c r="AD34" i="98"/>
  <c r="AA34" i="98"/>
  <c r="AB34" i="98"/>
  <c r="AJ34" i="98" s="1"/>
  <c r="AX35" i="101" s="1"/>
  <c r="AE34" i="98"/>
  <c r="AM34" i="98" s="1"/>
  <c r="BA35" i="101" s="1"/>
  <c r="AC34" i="98"/>
  <c r="N4" i="18"/>
  <c r="N5" i="18"/>
  <c r="N6" i="18"/>
  <c r="N7" i="18"/>
  <c r="N8" i="18"/>
  <c r="N9" i="18"/>
  <c r="N10" i="18"/>
  <c r="N11" i="18"/>
  <c r="N12" i="18"/>
  <c r="N13" i="18"/>
  <c r="N14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3" i="18"/>
  <c r="N44" i="18"/>
  <c r="N45" i="18"/>
  <c r="N46" i="18"/>
  <c r="N47" i="18"/>
  <c r="N48" i="18"/>
  <c r="N49" i="18"/>
  <c r="N50" i="18"/>
  <c r="N51" i="18"/>
  <c r="N52" i="18"/>
  <c r="N53" i="18"/>
  <c r="N54" i="18"/>
  <c r="N55" i="18"/>
  <c r="N56" i="18"/>
  <c r="N57" i="18"/>
  <c r="N58" i="18"/>
  <c r="N59" i="18"/>
  <c r="N60" i="18"/>
  <c r="N61" i="18"/>
  <c r="N62" i="18"/>
  <c r="N63" i="18"/>
  <c r="N64" i="18"/>
  <c r="N65" i="18"/>
  <c r="N66" i="18"/>
  <c r="N67" i="18"/>
  <c r="N68" i="18"/>
  <c r="N69" i="18"/>
  <c r="N70" i="18"/>
  <c r="N71" i="18"/>
  <c r="N72" i="18"/>
  <c r="N73" i="18"/>
  <c r="N74" i="18"/>
  <c r="N75" i="18"/>
  <c r="N76" i="18"/>
  <c r="N77" i="18"/>
  <c r="N78" i="18"/>
  <c r="N79" i="18"/>
  <c r="N80" i="18"/>
  <c r="N81" i="18"/>
  <c r="N82" i="18"/>
  <c r="N83" i="18"/>
  <c r="N84" i="18"/>
  <c r="N85" i="18"/>
  <c r="N86" i="18"/>
  <c r="N87" i="18"/>
  <c r="N88" i="18"/>
  <c r="N89" i="18"/>
  <c r="N90" i="18"/>
  <c r="N91" i="18"/>
  <c r="N92" i="18"/>
  <c r="N93" i="18"/>
  <c r="N94" i="18"/>
  <c r="N95" i="18"/>
  <c r="N96" i="18"/>
  <c r="N97" i="18"/>
  <c r="N98" i="18"/>
  <c r="N99" i="18"/>
  <c r="N100" i="18"/>
  <c r="N101" i="18"/>
  <c r="N102" i="18"/>
  <c r="N103" i="18"/>
  <c r="N104" i="18"/>
  <c r="N105" i="18"/>
  <c r="N106" i="18"/>
  <c r="N107" i="18"/>
  <c r="N108" i="18"/>
  <c r="N109" i="18"/>
  <c r="N110" i="18"/>
  <c r="N111" i="18"/>
  <c r="N112" i="18"/>
  <c r="N113" i="18"/>
  <c r="N3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A113" i="18"/>
  <c r="Z113" i="18"/>
  <c r="Y113" i="18"/>
  <c r="X113" i="18"/>
  <c r="W113" i="18"/>
  <c r="T113" i="18"/>
  <c r="S113" i="18"/>
  <c r="R113" i="18"/>
  <c r="Q113" i="18"/>
  <c r="P113" i="18"/>
  <c r="AD112" i="18"/>
  <c r="AA112" i="18"/>
  <c r="Z112" i="18"/>
  <c r="Y112" i="18"/>
  <c r="X112" i="18"/>
  <c r="W112" i="18"/>
  <c r="T112" i="18"/>
  <c r="S112" i="18"/>
  <c r="R112" i="18"/>
  <c r="Q112" i="18"/>
  <c r="P112" i="18"/>
  <c r="AD111" i="18"/>
  <c r="AA111" i="18"/>
  <c r="Z111" i="18"/>
  <c r="Y111" i="18"/>
  <c r="X111" i="18"/>
  <c r="W111" i="18"/>
  <c r="T111" i="18"/>
  <c r="S111" i="18"/>
  <c r="R111" i="18"/>
  <c r="Q111" i="18"/>
  <c r="P111" i="18"/>
  <c r="AD110" i="18"/>
  <c r="AA110" i="18"/>
  <c r="Z110" i="18"/>
  <c r="Y110" i="18"/>
  <c r="X110" i="18"/>
  <c r="W110" i="18"/>
  <c r="T110" i="18"/>
  <c r="S110" i="18"/>
  <c r="R110" i="18"/>
  <c r="Q110" i="18"/>
  <c r="P110" i="18"/>
  <c r="AD109" i="18"/>
  <c r="AA109" i="18"/>
  <c r="Z109" i="18"/>
  <c r="Y109" i="18"/>
  <c r="X109" i="18"/>
  <c r="W109" i="18"/>
  <c r="T109" i="18"/>
  <c r="S109" i="18"/>
  <c r="R109" i="18"/>
  <c r="Q109" i="18"/>
  <c r="P109" i="18"/>
  <c r="AD108" i="18"/>
  <c r="AA108" i="18"/>
  <c r="Z108" i="18"/>
  <c r="Y108" i="18"/>
  <c r="X108" i="18"/>
  <c r="W108" i="18"/>
  <c r="T108" i="18"/>
  <c r="S108" i="18"/>
  <c r="R108" i="18"/>
  <c r="Q108" i="18"/>
  <c r="P108" i="18"/>
  <c r="AD107" i="18"/>
  <c r="AA107" i="18"/>
  <c r="Z107" i="18"/>
  <c r="Y107" i="18"/>
  <c r="X107" i="18"/>
  <c r="W107" i="18"/>
  <c r="T107" i="18"/>
  <c r="S107" i="18"/>
  <c r="R107" i="18"/>
  <c r="Q107" i="18"/>
  <c r="P107" i="18"/>
  <c r="AD106" i="18"/>
  <c r="AA106" i="18"/>
  <c r="Z106" i="18"/>
  <c r="Y106" i="18"/>
  <c r="X106" i="18"/>
  <c r="W106" i="18"/>
  <c r="T106" i="18"/>
  <c r="S106" i="18"/>
  <c r="R106" i="18"/>
  <c r="Q106" i="18"/>
  <c r="P106" i="18"/>
  <c r="AD105" i="18"/>
  <c r="AA105" i="18"/>
  <c r="Z105" i="18"/>
  <c r="Y105" i="18"/>
  <c r="X105" i="18"/>
  <c r="W105" i="18"/>
  <c r="T105" i="18"/>
  <c r="S105" i="18"/>
  <c r="R105" i="18"/>
  <c r="Q105" i="18"/>
  <c r="P105" i="18"/>
  <c r="AD104" i="18"/>
  <c r="AA104" i="18"/>
  <c r="Z104" i="18"/>
  <c r="Y104" i="18"/>
  <c r="X104" i="18"/>
  <c r="W104" i="18"/>
  <c r="T104" i="18"/>
  <c r="S104" i="18"/>
  <c r="R104" i="18"/>
  <c r="Q104" i="18"/>
  <c r="P104" i="18"/>
  <c r="AD103" i="18"/>
  <c r="AA103" i="18"/>
  <c r="Z103" i="18"/>
  <c r="Y103" i="18"/>
  <c r="X103" i="18"/>
  <c r="W103" i="18"/>
  <c r="T103" i="18"/>
  <c r="S103" i="18"/>
  <c r="R103" i="18"/>
  <c r="Q103" i="18"/>
  <c r="P103" i="18"/>
  <c r="AD102" i="18"/>
  <c r="AA102" i="18"/>
  <c r="Z102" i="18"/>
  <c r="Y102" i="18"/>
  <c r="X102" i="18"/>
  <c r="W102" i="18"/>
  <c r="T102" i="18"/>
  <c r="S102" i="18"/>
  <c r="R102" i="18"/>
  <c r="Q102" i="18"/>
  <c r="P102" i="18"/>
  <c r="AD101" i="18"/>
  <c r="AA101" i="18"/>
  <c r="Z101" i="18"/>
  <c r="Y101" i="18"/>
  <c r="X101" i="18"/>
  <c r="W101" i="18"/>
  <c r="T101" i="18"/>
  <c r="S101" i="18"/>
  <c r="R101" i="18"/>
  <c r="Q101" i="18"/>
  <c r="P101" i="18"/>
  <c r="AD100" i="18"/>
  <c r="AA100" i="18"/>
  <c r="Z100" i="18"/>
  <c r="Y100" i="18"/>
  <c r="X100" i="18"/>
  <c r="W100" i="18"/>
  <c r="S100" i="18"/>
  <c r="R100" i="18"/>
  <c r="Q100" i="18"/>
  <c r="P100" i="18"/>
  <c r="AD99" i="18"/>
  <c r="AA99" i="18"/>
  <c r="Z99" i="18"/>
  <c r="Y99" i="18"/>
  <c r="X99" i="18"/>
  <c r="W99" i="18"/>
  <c r="T99" i="18"/>
  <c r="S99" i="18"/>
  <c r="R99" i="18"/>
  <c r="Q99" i="18"/>
  <c r="P99" i="18"/>
  <c r="AD98" i="18"/>
  <c r="AA98" i="18"/>
  <c r="Z98" i="18"/>
  <c r="Y98" i="18"/>
  <c r="X98" i="18"/>
  <c r="W98" i="18"/>
  <c r="T98" i="18"/>
  <c r="S98" i="18"/>
  <c r="R98" i="18"/>
  <c r="Q98" i="18"/>
  <c r="P98" i="18"/>
  <c r="AD97" i="18"/>
  <c r="AA97" i="18"/>
  <c r="Z97" i="18"/>
  <c r="Y97" i="18"/>
  <c r="X97" i="18"/>
  <c r="W97" i="18"/>
  <c r="T97" i="18"/>
  <c r="S97" i="18"/>
  <c r="R97" i="18"/>
  <c r="Q97" i="18"/>
  <c r="P97" i="18"/>
  <c r="AD96" i="18"/>
  <c r="AA96" i="18"/>
  <c r="Z96" i="18"/>
  <c r="Y96" i="18"/>
  <c r="X96" i="18"/>
  <c r="W96" i="18"/>
  <c r="T96" i="18"/>
  <c r="S96" i="18"/>
  <c r="R96" i="18"/>
  <c r="Q96" i="18"/>
  <c r="P96" i="18"/>
  <c r="AD95" i="18"/>
  <c r="AA95" i="18"/>
  <c r="Z95" i="18"/>
  <c r="Y95" i="18"/>
  <c r="X95" i="18"/>
  <c r="W95" i="18"/>
  <c r="T95" i="18"/>
  <c r="S95" i="18"/>
  <c r="R95" i="18"/>
  <c r="Q95" i="18"/>
  <c r="P95" i="18"/>
  <c r="AD94" i="18"/>
  <c r="AA94" i="18"/>
  <c r="Z94" i="18"/>
  <c r="Y94" i="18"/>
  <c r="X94" i="18"/>
  <c r="W94" i="18"/>
  <c r="T94" i="18"/>
  <c r="S94" i="18"/>
  <c r="R94" i="18"/>
  <c r="Q94" i="18"/>
  <c r="P94" i="18"/>
  <c r="AD93" i="18"/>
  <c r="AA93" i="18"/>
  <c r="Z93" i="18"/>
  <c r="Y93" i="18"/>
  <c r="X93" i="18"/>
  <c r="W93" i="18"/>
  <c r="T93" i="18"/>
  <c r="S93" i="18"/>
  <c r="R93" i="18"/>
  <c r="Q93" i="18"/>
  <c r="P93" i="18"/>
  <c r="AD92" i="18"/>
  <c r="AA92" i="18"/>
  <c r="Z92" i="18"/>
  <c r="Y92" i="18"/>
  <c r="X92" i="18"/>
  <c r="W92" i="18"/>
  <c r="T92" i="18"/>
  <c r="S92" i="18"/>
  <c r="R92" i="18"/>
  <c r="Q92" i="18"/>
  <c r="P92" i="18"/>
  <c r="AD91" i="18"/>
  <c r="AA91" i="18"/>
  <c r="Z91" i="18"/>
  <c r="Y91" i="18"/>
  <c r="X91" i="18"/>
  <c r="W91" i="18"/>
  <c r="T91" i="18"/>
  <c r="S91" i="18"/>
  <c r="R91" i="18"/>
  <c r="Q91" i="18"/>
  <c r="P91" i="18"/>
  <c r="AD90" i="18"/>
  <c r="AA90" i="18"/>
  <c r="Z90" i="18"/>
  <c r="Y90" i="18"/>
  <c r="X90" i="18"/>
  <c r="W90" i="18"/>
  <c r="T90" i="18"/>
  <c r="S90" i="18"/>
  <c r="R90" i="18"/>
  <c r="Q90" i="18"/>
  <c r="P90" i="18"/>
  <c r="AD89" i="18"/>
  <c r="AA89" i="18"/>
  <c r="Z89" i="18"/>
  <c r="Y89" i="18"/>
  <c r="X89" i="18"/>
  <c r="W89" i="18"/>
  <c r="T89" i="18"/>
  <c r="S89" i="18"/>
  <c r="R89" i="18"/>
  <c r="Q89" i="18"/>
  <c r="P89" i="18"/>
  <c r="AD88" i="18"/>
  <c r="AA88" i="18"/>
  <c r="Z88" i="18"/>
  <c r="Y88" i="18"/>
  <c r="X88" i="18"/>
  <c r="W88" i="18"/>
  <c r="T88" i="18"/>
  <c r="S88" i="18"/>
  <c r="R88" i="18"/>
  <c r="Q88" i="18"/>
  <c r="P88" i="18"/>
  <c r="AD87" i="18"/>
  <c r="AA87" i="18"/>
  <c r="Z87" i="18"/>
  <c r="Y87" i="18"/>
  <c r="X87" i="18"/>
  <c r="W87" i="18"/>
  <c r="T87" i="18"/>
  <c r="S87" i="18"/>
  <c r="R87" i="18"/>
  <c r="Q87" i="18"/>
  <c r="P87" i="18"/>
  <c r="AD86" i="18"/>
  <c r="AA86" i="18"/>
  <c r="Z86" i="18"/>
  <c r="Y86" i="18"/>
  <c r="X86" i="18"/>
  <c r="W86" i="18"/>
  <c r="T86" i="18"/>
  <c r="S86" i="18"/>
  <c r="R86" i="18"/>
  <c r="Q86" i="18"/>
  <c r="P86" i="18"/>
  <c r="AD85" i="18"/>
  <c r="AA85" i="18"/>
  <c r="Z85" i="18"/>
  <c r="Y85" i="18"/>
  <c r="X85" i="18"/>
  <c r="W85" i="18"/>
  <c r="T85" i="18"/>
  <c r="S85" i="18"/>
  <c r="R85" i="18"/>
  <c r="Q85" i="18"/>
  <c r="P85" i="18"/>
  <c r="AD84" i="18"/>
  <c r="AA84" i="18"/>
  <c r="Z84" i="18"/>
  <c r="Y84" i="18"/>
  <c r="X84" i="18"/>
  <c r="W84" i="18"/>
  <c r="T84" i="18"/>
  <c r="S84" i="18"/>
  <c r="R84" i="18"/>
  <c r="Q84" i="18"/>
  <c r="P84" i="18"/>
  <c r="AD83" i="18"/>
  <c r="AA83" i="18"/>
  <c r="Z83" i="18"/>
  <c r="Y83" i="18"/>
  <c r="X83" i="18"/>
  <c r="W83" i="18"/>
  <c r="T83" i="18"/>
  <c r="S83" i="18"/>
  <c r="R83" i="18"/>
  <c r="Q83" i="18"/>
  <c r="P83" i="18"/>
  <c r="AD82" i="18"/>
  <c r="AA82" i="18"/>
  <c r="Z82" i="18"/>
  <c r="Y82" i="18"/>
  <c r="X82" i="18"/>
  <c r="W82" i="18"/>
  <c r="T82" i="18"/>
  <c r="S82" i="18"/>
  <c r="R82" i="18"/>
  <c r="Q82" i="18"/>
  <c r="P82" i="18"/>
  <c r="AD81" i="18"/>
  <c r="AA81" i="18"/>
  <c r="Z81" i="18"/>
  <c r="Y81" i="18"/>
  <c r="X81" i="18"/>
  <c r="W81" i="18"/>
  <c r="T81" i="18"/>
  <c r="S81" i="18"/>
  <c r="R81" i="18"/>
  <c r="Q81" i="18"/>
  <c r="P81" i="18"/>
  <c r="AD80" i="18"/>
  <c r="AA80" i="18"/>
  <c r="Z80" i="18"/>
  <c r="Y80" i="18"/>
  <c r="X80" i="18"/>
  <c r="W80" i="18"/>
  <c r="T80" i="18"/>
  <c r="S80" i="18"/>
  <c r="R80" i="18"/>
  <c r="Q80" i="18"/>
  <c r="P80" i="18"/>
  <c r="AD79" i="18"/>
  <c r="AA79" i="18"/>
  <c r="Z79" i="18"/>
  <c r="Y79" i="18"/>
  <c r="X79" i="18"/>
  <c r="W79" i="18"/>
  <c r="T79" i="18"/>
  <c r="S79" i="18"/>
  <c r="R79" i="18"/>
  <c r="Q79" i="18"/>
  <c r="P79" i="18"/>
  <c r="AD78" i="18"/>
  <c r="AA78" i="18"/>
  <c r="Z78" i="18"/>
  <c r="Y78" i="18"/>
  <c r="X78" i="18"/>
  <c r="W78" i="18"/>
  <c r="T78" i="18"/>
  <c r="S78" i="18"/>
  <c r="R78" i="18"/>
  <c r="Q78" i="18"/>
  <c r="P78" i="18"/>
  <c r="AD77" i="18"/>
  <c r="AA77" i="18"/>
  <c r="Z77" i="18"/>
  <c r="Y77" i="18"/>
  <c r="X77" i="18"/>
  <c r="W77" i="18"/>
  <c r="T77" i="18"/>
  <c r="S77" i="18"/>
  <c r="R77" i="18"/>
  <c r="Q77" i="18"/>
  <c r="P77" i="18"/>
  <c r="AD76" i="18"/>
  <c r="AA76" i="18"/>
  <c r="Z76" i="18"/>
  <c r="Y76" i="18"/>
  <c r="X76" i="18"/>
  <c r="W76" i="18"/>
  <c r="T76" i="18"/>
  <c r="S76" i="18"/>
  <c r="R76" i="18"/>
  <c r="Q76" i="18"/>
  <c r="P76" i="18"/>
  <c r="AD75" i="18"/>
  <c r="AA75" i="18"/>
  <c r="Z75" i="18"/>
  <c r="Y75" i="18"/>
  <c r="X75" i="18"/>
  <c r="W75" i="18"/>
  <c r="T75" i="18"/>
  <c r="S75" i="18"/>
  <c r="R75" i="18"/>
  <c r="Q75" i="18"/>
  <c r="P75" i="18"/>
  <c r="AD74" i="18"/>
  <c r="AA74" i="18"/>
  <c r="Z74" i="18"/>
  <c r="Y74" i="18"/>
  <c r="X74" i="18"/>
  <c r="W74" i="18"/>
  <c r="T74" i="18"/>
  <c r="S74" i="18"/>
  <c r="R74" i="18"/>
  <c r="Q74" i="18"/>
  <c r="P74" i="18"/>
  <c r="AD73" i="18"/>
  <c r="AA73" i="18"/>
  <c r="Z73" i="18"/>
  <c r="Y73" i="18"/>
  <c r="X73" i="18"/>
  <c r="W73" i="18"/>
  <c r="T73" i="18"/>
  <c r="S73" i="18"/>
  <c r="R73" i="18"/>
  <c r="Q73" i="18"/>
  <c r="P73" i="18"/>
  <c r="AD72" i="18"/>
  <c r="AA72" i="18"/>
  <c r="Z72" i="18"/>
  <c r="Y72" i="18"/>
  <c r="X72" i="18"/>
  <c r="W72" i="18"/>
  <c r="T72" i="18"/>
  <c r="S72" i="18"/>
  <c r="R72" i="18"/>
  <c r="Q72" i="18"/>
  <c r="P72" i="18"/>
  <c r="AD71" i="18"/>
  <c r="AA71" i="18"/>
  <c r="Z71" i="18"/>
  <c r="Y71" i="18"/>
  <c r="X71" i="18"/>
  <c r="W71" i="18"/>
  <c r="T71" i="18"/>
  <c r="S71" i="18"/>
  <c r="R71" i="18"/>
  <c r="Q71" i="18"/>
  <c r="P71" i="18"/>
  <c r="AD70" i="18"/>
  <c r="AA70" i="18"/>
  <c r="Z70" i="18"/>
  <c r="Y70" i="18"/>
  <c r="X70" i="18"/>
  <c r="W70" i="18"/>
  <c r="T70" i="18"/>
  <c r="S70" i="18"/>
  <c r="R70" i="18"/>
  <c r="Q70" i="18"/>
  <c r="P70" i="18"/>
  <c r="AD69" i="18"/>
  <c r="AA69" i="18"/>
  <c r="Z69" i="18"/>
  <c r="Y69" i="18"/>
  <c r="X69" i="18"/>
  <c r="W69" i="18"/>
  <c r="T69" i="18"/>
  <c r="S69" i="18"/>
  <c r="R69" i="18"/>
  <c r="Q69" i="18"/>
  <c r="P69" i="18"/>
  <c r="AD68" i="18"/>
  <c r="AA68" i="18"/>
  <c r="Z68" i="18"/>
  <c r="Y68" i="18"/>
  <c r="X68" i="18"/>
  <c r="W68" i="18"/>
  <c r="T68" i="18"/>
  <c r="S68" i="18"/>
  <c r="R68" i="18"/>
  <c r="Q68" i="18"/>
  <c r="P68" i="18"/>
  <c r="AD67" i="18"/>
  <c r="AA67" i="18"/>
  <c r="Z67" i="18"/>
  <c r="Y67" i="18"/>
  <c r="X67" i="18"/>
  <c r="W67" i="18"/>
  <c r="T67" i="18"/>
  <c r="S67" i="18"/>
  <c r="R67" i="18"/>
  <c r="Q67" i="18"/>
  <c r="P67" i="18"/>
  <c r="AD66" i="18"/>
  <c r="AA66" i="18"/>
  <c r="Z66" i="18"/>
  <c r="Y66" i="18"/>
  <c r="X66" i="18"/>
  <c r="W66" i="18"/>
  <c r="T66" i="18"/>
  <c r="S66" i="18"/>
  <c r="R66" i="18"/>
  <c r="Q66" i="18"/>
  <c r="P66" i="18"/>
  <c r="AD65" i="18"/>
  <c r="AA65" i="18"/>
  <c r="Z65" i="18"/>
  <c r="Y65" i="18"/>
  <c r="X65" i="18"/>
  <c r="W65" i="18"/>
  <c r="T65" i="18"/>
  <c r="S65" i="18"/>
  <c r="R65" i="18"/>
  <c r="Q65" i="18"/>
  <c r="P65" i="18"/>
  <c r="AD64" i="18"/>
  <c r="AA64" i="18"/>
  <c r="Z64" i="18"/>
  <c r="Y64" i="18"/>
  <c r="X64" i="18"/>
  <c r="W64" i="18"/>
  <c r="T64" i="18"/>
  <c r="S64" i="18"/>
  <c r="R64" i="18"/>
  <c r="Q64" i="18"/>
  <c r="P64" i="18"/>
  <c r="AD63" i="18"/>
  <c r="AA63" i="18"/>
  <c r="Z63" i="18"/>
  <c r="Y63" i="18"/>
  <c r="X63" i="18"/>
  <c r="W63" i="18"/>
  <c r="T63" i="18"/>
  <c r="S63" i="18"/>
  <c r="R63" i="18"/>
  <c r="Q63" i="18"/>
  <c r="P63" i="18"/>
  <c r="AD62" i="18"/>
  <c r="AA62" i="18"/>
  <c r="Z62" i="18"/>
  <c r="Y62" i="18"/>
  <c r="X62" i="18"/>
  <c r="W62" i="18"/>
  <c r="T62" i="18"/>
  <c r="S62" i="18"/>
  <c r="R62" i="18"/>
  <c r="Q62" i="18"/>
  <c r="P62" i="18"/>
  <c r="AD61" i="18"/>
  <c r="AA61" i="18"/>
  <c r="Z61" i="18"/>
  <c r="Y61" i="18"/>
  <c r="X61" i="18"/>
  <c r="W61" i="18"/>
  <c r="T61" i="18"/>
  <c r="S61" i="18"/>
  <c r="R61" i="18"/>
  <c r="Q61" i="18"/>
  <c r="P61" i="18"/>
  <c r="AD60" i="18"/>
  <c r="AA60" i="18"/>
  <c r="Z60" i="18"/>
  <c r="Y60" i="18"/>
  <c r="X60" i="18"/>
  <c r="W60" i="18"/>
  <c r="T60" i="18"/>
  <c r="S60" i="18"/>
  <c r="R60" i="18"/>
  <c r="Q60" i="18"/>
  <c r="P60" i="18"/>
  <c r="AD59" i="18"/>
  <c r="AA59" i="18"/>
  <c r="Z59" i="18"/>
  <c r="Y59" i="18"/>
  <c r="X59" i="18"/>
  <c r="W59" i="18"/>
  <c r="T59" i="18"/>
  <c r="S59" i="18"/>
  <c r="R59" i="18"/>
  <c r="Q59" i="18"/>
  <c r="P59" i="18"/>
  <c r="AD58" i="18"/>
  <c r="AA58" i="18"/>
  <c r="Z58" i="18"/>
  <c r="Y58" i="18"/>
  <c r="X58" i="18"/>
  <c r="W58" i="18"/>
  <c r="T58" i="18"/>
  <c r="S58" i="18"/>
  <c r="R58" i="18"/>
  <c r="Q58" i="18"/>
  <c r="P58" i="18"/>
  <c r="AD57" i="18"/>
  <c r="AA57" i="18"/>
  <c r="Z57" i="18"/>
  <c r="Y57" i="18"/>
  <c r="X57" i="18"/>
  <c r="W57" i="18"/>
  <c r="T57" i="18"/>
  <c r="S57" i="18"/>
  <c r="R57" i="18"/>
  <c r="Q57" i="18"/>
  <c r="P57" i="18"/>
  <c r="AD56" i="18"/>
  <c r="AA56" i="18"/>
  <c r="Z56" i="18"/>
  <c r="Y56" i="18"/>
  <c r="X56" i="18"/>
  <c r="W56" i="18"/>
  <c r="T56" i="18"/>
  <c r="S56" i="18"/>
  <c r="R56" i="18"/>
  <c r="Q56" i="18"/>
  <c r="P56" i="18"/>
  <c r="AD55" i="18"/>
  <c r="AA55" i="18"/>
  <c r="Z55" i="18"/>
  <c r="Y55" i="18"/>
  <c r="X55" i="18"/>
  <c r="W55" i="18"/>
  <c r="T55" i="18"/>
  <c r="S55" i="18"/>
  <c r="R55" i="18"/>
  <c r="Q55" i="18"/>
  <c r="P55" i="18"/>
  <c r="AD54" i="18"/>
  <c r="AA54" i="18"/>
  <c r="Z54" i="18"/>
  <c r="Y54" i="18"/>
  <c r="X54" i="18"/>
  <c r="W54" i="18"/>
  <c r="T54" i="18"/>
  <c r="S54" i="18"/>
  <c r="R54" i="18"/>
  <c r="Q54" i="18"/>
  <c r="P54" i="18"/>
  <c r="BE53" i="18"/>
  <c r="BD53" i="18"/>
  <c r="BC53" i="18"/>
  <c r="BB53" i="18"/>
  <c r="BA53" i="18"/>
  <c r="AX53" i="18"/>
  <c r="AW53" i="18"/>
  <c r="AV53" i="18"/>
  <c r="AU53" i="18"/>
  <c r="AT53" i="18"/>
  <c r="AQ53" i="18"/>
  <c r="AP53" i="18"/>
  <c r="AO53" i="18"/>
  <c r="AN53" i="18"/>
  <c r="AM53" i="18"/>
  <c r="AD53" i="18"/>
  <c r="AA53" i="18"/>
  <c r="Z53" i="18"/>
  <c r="Y53" i="18"/>
  <c r="X53" i="18"/>
  <c r="W53" i="18"/>
  <c r="T53" i="18"/>
  <c r="S53" i="18"/>
  <c r="R53" i="18"/>
  <c r="Q53" i="18"/>
  <c r="P53" i="18"/>
  <c r="BE52" i="18"/>
  <c r="BD52" i="18"/>
  <c r="BC52" i="18"/>
  <c r="BB52" i="18"/>
  <c r="BA52" i="18"/>
  <c r="AX52" i="18"/>
  <c r="AW52" i="18"/>
  <c r="AV52" i="18"/>
  <c r="AU52" i="18"/>
  <c r="AT52" i="18"/>
  <c r="AQ52" i="18"/>
  <c r="AP52" i="18"/>
  <c r="AO52" i="18"/>
  <c r="AN52" i="18"/>
  <c r="AM52" i="18"/>
  <c r="AD52" i="18"/>
  <c r="AA52" i="18"/>
  <c r="Z52" i="18"/>
  <c r="Y52" i="18"/>
  <c r="X52" i="18"/>
  <c r="W52" i="18"/>
  <c r="T52" i="18"/>
  <c r="S52" i="18"/>
  <c r="R52" i="18"/>
  <c r="Q52" i="18"/>
  <c r="P52" i="18"/>
  <c r="BE51" i="18"/>
  <c r="BD51" i="18"/>
  <c r="BC51" i="18"/>
  <c r="BB51" i="18"/>
  <c r="BA51" i="18"/>
  <c r="AX51" i="18"/>
  <c r="AW51" i="18"/>
  <c r="AV51" i="18"/>
  <c r="AU51" i="18"/>
  <c r="AT51" i="18"/>
  <c r="AQ51" i="18"/>
  <c r="AP51" i="18"/>
  <c r="AO51" i="18"/>
  <c r="AN51" i="18"/>
  <c r="AM51" i="18"/>
  <c r="AD51" i="18"/>
  <c r="AA51" i="18"/>
  <c r="Z51" i="18"/>
  <c r="Y51" i="18"/>
  <c r="X51" i="18"/>
  <c r="W51" i="18"/>
  <c r="T51" i="18"/>
  <c r="S51" i="18"/>
  <c r="R51" i="18"/>
  <c r="Q51" i="18"/>
  <c r="P51" i="18"/>
  <c r="BE50" i="18"/>
  <c r="BD50" i="18"/>
  <c r="BC50" i="18"/>
  <c r="BB50" i="18"/>
  <c r="BA50" i="18"/>
  <c r="AX50" i="18"/>
  <c r="AW50" i="18"/>
  <c r="AV50" i="18"/>
  <c r="AU50" i="18"/>
  <c r="AT50" i="18"/>
  <c r="AQ50" i="18"/>
  <c r="AP50" i="18"/>
  <c r="AO50" i="18"/>
  <c r="AN50" i="18"/>
  <c r="AM50" i="18"/>
  <c r="AD50" i="18"/>
  <c r="AA50" i="18"/>
  <c r="Z50" i="18"/>
  <c r="Y50" i="18"/>
  <c r="X50" i="18"/>
  <c r="W50" i="18"/>
  <c r="T50" i="18"/>
  <c r="S50" i="18"/>
  <c r="R50" i="18"/>
  <c r="Q50" i="18"/>
  <c r="P50" i="18"/>
  <c r="BE49" i="18"/>
  <c r="BD49" i="18"/>
  <c r="BC49" i="18"/>
  <c r="BB49" i="18"/>
  <c r="BA49" i="18"/>
  <c r="AX49" i="18"/>
  <c r="AW49" i="18"/>
  <c r="AV49" i="18"/>
  <c r="AU49" i="18"/>
  <c r="AT49" i="18"/>
  <c r="AQ49" i="18"/>
  <c r="AP49" i="18"/>
  <c r="AO49" i="18"/>
  <c r="AN49" i="18"/>
  <c r="AM49" i="18"/>
  <c r="AD49" i="18"/>
  <c r="AA49" i="18"/>
  <c r="Z49" i="18"/>
  <c r="Y49" i="18"/>
  <c r="X49" i="18"/>
  <c r="W49" i="18"/>
  <c r="T49" i="18"/>
  <c r="S49" i="18"/>
  <c r="R49" i="18"/>
  <c r="Q49" i="18"/>
  <c r="P49" i="18"/>
  <c r="BE48" i="18"/>
  <c r="BD48" i="18"/>
  <c r="BC48" i="18"/>
  <c r="BB48" i="18"/>
  <c r="BA48" i="18"/>
  <c r="AX48" i="18"/>
  <c r="AW48" i="18"/>
  <c r="AV48" i="18"/>
  <c r="AU48" i="18"/>
  <c r="AT48" i="18"/>
  <c r="AQ48" i="18"/>
  <c r="AP48" i="18"/>
  <c r="AO48" i="18"/>
  <c r="AN48" i="18"/>
  <c r="AM48" i="18"/>
  <c r="AD48" i="18"/>
  <c r="AA48" i="18"/>
  <c r="Z48" i="18"/>
  <c r="Y48" i="18"/>
  <c r="X48" i="18"/>
  <c r="W48" i="18"/>
  <c r="T48" i="18"/>
  <c r="S48" i="18"/>
  <c r="R48" i="18"/>
  <c r="Q48" i="18"/>
  <c r="P48" i="18"/>
  <c r="BE47" i="18"/>
  <c r="BD47" i="18"/>
  <c r="BC47" i="18"/>
  <c r="BB47" i="18"/>
  <c r="BA47" i="18"/>
  <c r="AX47" i="18"/>
  <c r="AW47" i="18"/>
  <c r="AV47" i="18"/>
  <c r="AU47" i="18"/>
  <c r="AT47" i="18"/>
  <c r="AQ47" i="18"/>
  <c r="AP47" i="18"/>
  <c r="AO47" i="18"/>
  <c r="AN47" i="18"/>
  <c r="AM47" i="18"/>
  <c r="AD47" i="18"/>
  <c r="AA47" i="18"/>
  <c r="Z47" i="18"/>
  <c r="Y47" i="18"/>
  <c r="X47" i="18"/>
  <c r="W47" i="18"/>
  <c r="T47" i="18"/>
  <c r="S47" i="18"/>
  <c r="R47" i="18"/>
  <c r="Q47" i="18"/>
  <c r="P47" i="18"/>
  <c r="BE46" i="18"/>
  <c r="BD46" i="18"/>
  <c r="BC46" i="18"/>
  <c r="BB46" i="18"/>
  <c r="BA46" i="18"/>
  <c r="AX46" i="18"/>
  <c r="AW46" i="18"/>
  <c r="AV46" i="18"/>
  <c r="AU46" i="18"/>
  <c r="AT46" i="18"/>
  <c r="AQ46" i="18"/>
  <c r="AP46" i="18"/>
  <c r="AO46" i="18"/>
  <c r="AN46" i="18"/>
  <c r="AM46" i="18"/>
  <c r="AD46" i="18"/>
  <c r="AA46" i="18"/>
  <c r="Z46" i="18"/>
  <c r="Y46" i="18"/>
  <c r="X46" i="18"/>
  <c r="W46" i="18"/>
  <c r="T46" i="18"/>
  <c r="S46" i="18"/>
  <c r="R46" i="18"/>
  <c r="Q46" i="18"/>
  <c r="P46" i="18"/>
  <c r="BE45" i="18"/>
  <c r="BD45" i="18"/>
  <c r="BC45" i="18"/>
  <c r="BB45" i="18"/>
  <c r="BA45" i="18"/>
  <c r="AX45" i="18"/>
  <c r="AW45" i="18"/>
  <c r="AV45" i="18"/>
  <c r="AU45" i="18"/>
  <c r="AT45" i="18"/>
  <c r="AQ45" i="18"/>
  <c r="AP45" i="18"/>
  <c r="AO45" i="18"/>
  <c r="AN45" i="18"/>
  <c r="AM45" i="18"/>
  <c r="AD45" i="18"/>
  <c r="AA45" i="18"/>
  <c r="Z45" i="18"/>
  <c r="Y45" i="18"/>
  <c r="X45" i="18"/>
  <c r="W45" i="18"/>
  <c r="T45" i="18"/>
  <c r="S45" i="18"/>
  <c r="R45" i="18"/>
  <c r="Q45" i="18"/>
  <c r="P45" i="18"/>
  <c r="BE44" i="18"/>
  <c r="BD44" i="18"/>
  <c r="BC44" i="18"/>
  <c r="BB44" i="18"/>
  <c r="BA44" i="18"/>
  <c r="AX44" i="18"/>
  <c r="AW44" i="18"/>
  <c r="AV44" i="18"/>
  <c r="AU44" i="18"/>
  <c r="AT44" i="18"/>
  <c r="AQ44" i="18"/>
  <c r="AP44" i="18"/>
  <c r="AO44" i="18"/>
  <c r="AN44" i="18"/>
  <c r="AM44" i="18"/>
  <c r="AD44" i="18"/>
  <c r="AA44" i="18"/>
  <c r="Z44" i="18"/>
  <c r="Y44" i="18"/>
  <c r="X44" i="18"/>
  <c r="W44" i="18"/>
  <c r="T44" i="18"/>
  <c r="S44" i="18"/>
  <c r="R44" i="18"/>
  <c r="Q44" i="18"/>
  <c r="P44" i="18"/>
  <c r="BE43" i="18"/>
  <c r="BD43" i="18"/>
  <c r="BC43" i="18"/>
  <c r="BB43" i="18"/>
  <c r="BA43" i="18"/>
  <c r="AX43" i="18"/>
  <c r="AW43" i="18"/>
  <c r="AV43" i="18"/>
  <c r="AU43" i="18"/>
  <c r="AT43" i="18"/>
  <c r="AQ43" i="18"/>
  <c r="AP43" i="18"/>
  <c r="AO43" i="18"/>
  <c r="AN43" i="18"/>
  <c r="AM43" i="18"/>
  <c r="AD43" i="18"/>
  <c r="AA43" i="18"/>
  <c r="Z43" i="18"/>
  <c r="Y43" i="18"/>
  <c r="X43" i="18"/>
  <c r="W43" i="18"/>
  <c r="T43" i="18"/>
  <c r="S43" i="18"/>
  <c r="R43" i="18"/>
  <c r="Q43" i="18"/>
  <c r="P43" i="18"/>
  <c r="BE42" i="18"/>
  <c r="BD42" i="18"/>
  <c r="BC42" i="18"/>
  <c r="BB42" i="18"/>
  <c r="BA42" i="18"/>
  <c r="AX42" i="18"/>
  <c r="AW42" i="18"/>
  <c r="AV42" i="18"/>
  <c r="AU42" i="18"/>
  <c r="AT42" i="18"/>
  <c r="AQ42" i="18"/>
  <c r="AP42" i="18"/>
  <c r="AO42" i="18"/>
  <c r="AN42" i="18"/>
  <c r="AM42" i="18"/>
  <c r="AD42" i="18"/>
  <c r="AA42" i="18"/>
  <c r="Z42" i="18"/>
  <c r="Y42" i="18"/>
  <c r="X42" i="18"/>
  <c r="W42" i="18"/>
  <c r="T42" i="18"/>
  <c r="S42" i="18"/>
  <c r="R42" i="18"/>
  <c r="Q42" i="18"/>
  <c r="P42" i="18"/>
  <c r="BE41" i="18"/>
  <c r="BD41" i="18"/>
  <c r="BC41" i="18"/>
  <c r="BB41" i="18"/>
  <c r="BA41" i="18"/>
  <c r="AX41" i="18"/>
  <c r="AW41" i="18"/>
  <c r="AV41" i="18"/>
  <c r="AU41" i="18"/>
  <c r="AT41" i="18"/>
  <c r="AQ41" i="18"/>
  <c r="AP41" i="18"/>
  <c r="AO41" i="18"/>
  <c r="AN41" i="18"/>
  <c r="AM41" i="18"/>
  <c r="AD41" i="18"/>
  <c r="AA41" i="18"/>
  <c r="Z41" i="18"/>
  <c r="Y41" i="18"/>
  <c r="X41" i="18"/>
  <c r="W41" i="18"/>
  <c r="T41" i="18"/>
  <c r="S41" i="18"/>
  <c r="R41" i="18"/>
  <c r="Q41" i="18"/>
  <c r="P41" i="18"/>
  <c r="BE40" i="18"/>
  <c r="BD40" i="18"/>
  <c r="BC40" i="18"/>
  <c r="BB40" i="18"/>
  <c r="BA40" i="18"/>
  <c r="AX40" i="18"/>
  <c r="AW40" i="18"/>
  <c r="AV40" i="18"/>
  <c r="AU40" i="18"/>
  <c r="AT40" i="18"/>
  <c r="AQ40" i="18"/>
  <c r="AP40" i="18"/>
  <c r="AO40" i="18"/>
  <c r="AN40" i="18"/>
  <c r="AM40" i="18"/>
  <c r="AD40" i="18"/>
  <c r="AA40" i="18"/>
  <c r="Z40" i="18"/>
  <c r="Y40" i="18"/>
  <c r="X40" i="18"/>
  <c r="W40" i="18"/>
  <c r="T40" i="18"/>
  <c r="S40" i="18"/>
  <c r="R40" i="18"/>
  <c r="Q40" i="18"/>
  <c r="P40" i="18"/>
  <c r="BE39" i="18"/>
  <c r="BD39" i="18"/>
  <c r="BC39" i="18"/>
  <c r="BB39" i="18"/>
  <c r="BA39" i="18"/>
  <c r="AX39" i="18"/>
  <c r="AW39" i="18"/>
  <c r="AV39" i="18"/>
  <c r="AU39" i="18"/>
  <c r="AT39" i="18"/>
  <c r="AQ39" i="18"/>
  <c r="AP39" i="18"/>
  <c r="AO39" i="18"/>
  <c r="AN39" i="18"/>
  <c r="AM39" i="18"/>
  <c r="AD39" i="18"/>
  <c r="AA39" i="18"/>
  <c r="Z39" i="18"/>
  <c r="Y39" i="18"/>
  <c r="X39" i="18"/>
  <c r="W39" i="18"/>
  <c r="T39" i="18"/>
  <c r="S39" i="18"/>
  <c r="R39" i="18"/>
  <c r="Q39" i="18"/>
  <c r="P39" i="18"/>
  <c r="BE38" i="18"/>
  <c r="BD38" i="18"/>
  <c r="BC38" i="18"/>
  <c r="BB38" i="18"/>
  <c r="BA38" i="18"/>
  <c r="AX38" i="18"/>
  <c r="AW38" i="18"/>
  <c r="AV38" i="18"/>
  <c r="AU38" i="18"/>
  <c r="AT38" i="18"/>
  <c r="AQ38" i="18"/>
  <c r="AP38" i="18"/>
  <c r="AO38" i="18"/>
  <c r="AN38" i="18"/>
  <c r="AM38" i="18"/>
  <c r="AD38" i="18"/>
  <c r="AA38" i="18"/>
  <c r="Z38" i="18"/>
  <c r="Y38" i="18"/>
  <c r="X38" i="18"/>
  <c r="W38" i="18"/>
  <c r="T38" i="18"/>
  <c r="S38" i="18"/>
  <c r="R38" i="18"/>
  <c r="Q38" i="18"/>
  <c r="P38" i="18"/>
  <c r="BE37" i="18"/>
  <c r="BD37" i="18"/>
  <c r="BC37" i="18"/>
  <c r="BB37" i="18"/>
  <c r="BA37" i="18"/>
  <c r="AX37" i="18"/>
  <c r="AW37" i="18"/>
  <c r="AV37" i="18"/>
  <c r="AU37" i="18"/>
  <c r="AT37" i="18"/>
  <c r="AQ37" i="18"/>
  <c r="AP37" i="18"/>
  <c r="AO37" i="18"/>
  <c r="AN37" i="18"/>
  <c r="AM37" i="18"/>
  <c r="AD37" i="18"/>
  <c r="AA37" i="18"/>
  <c r="Z37" i="18"/>
  <c r="Y37" i="18"/>
  <c r="X37" i="18"/>
  <c r="W37" i="18"/>
  <c r="T37" i="18"/>
  <c r="S37" i="18"/>
  <c r="R37" i="18"/>
  <c r="Q37" i="18"/>
  <c r="P37" i="18"/>
  <c r="BE36" i="18"/>
  <c r="BD36" i="18"/>
  <c r="BC36" i="18"/>
  <c r="BB36" i="18"/>
  <c r="BA36" i="18"/>
  <c r="AX36" i="18"/>
  <c r="AW36" i="18"/>
  <c r="AV36" i="18"/>
  <c r="AU36" i="18"/>
  <c r="AT36" i="18"/>
  <c r="AQ36" i="18"/>
  <c r="AP36" i="18"/>
  <c r="AO36" i="18"/>
  <c r="AN36" i="18"/>
  <c r="AM36" i="18"/>
  <c r="AD36" i="18"/>
  <c r="AA36" i="18"/>
  <c r="Z36" i="18"/>
  <c r="Y36" i="18"/>
  <c r="X36" i="18"/>
  <c r="W36" i="18"/>
  <c r="T36" i="18"/>
  <c r="S36" i="18"/>
  <c r="R36" i="18"/>
  <c r="Q36" i="18"/>
  <c r="P36" i="18"/>
  <c r="BE35" i="18"/>
  <c r="BD35" i="18"/>
  <c r="BC35" i="18"/>
  <c r="BB35" i="18"/>
  <c r="BA35" i="18"/>
  <c r="AX35" i="18"/>
  <c r="AW35" i="18"/>
  <c r="AV35" i="18"/>
  <c r="AU35" i="18"/>
  <c r="AT35" i="18"/>
  <c r="AQ35" i="18"/>
  <c r="AP35" i="18"/>
  <c r="AO35" i="18"/>
  <c r="AN35" i="18"/>
  <c r="AM35" i="18"/>
  <c r="AD35" i="18"/>
  <c r="AA35" i="18"/>
  <c r="Z35" i="18"/>
  <c r="Y35" i="18"/>
  <c r="X35" i="18"/>
  <c r="W35" i="18"/>
  <c r="T35" i="18"/>
  <c r="S35" i="18"/>
  <c r="R35" i="18"/>
  <c r="Q35" i="18"/>
  <c r="P35" i="18"/>
  <c r="BE34" i="18"/>
  <c r="BD34" i="18"/>
  <c r="BC34" i="18"/>
  <c r="BB34" i="18"/>
  <c r="BA34" i="18"/>
  <c r="AX34" i="18"/>
  <c r="AW34" i="18"/>
  <c r="AV34" i="18"/>
  <c r="AU34" i="18"/>
  <c r="AT34" i="18"/>
  <c r="AQ34" i="18"/>
  <c r="AP34" i="18"/>
  <c r="AO34" i="18"/>
  <c r="AN34" i="18"/>
  <c r="AM34" i="18"/>
  <c r="AD34" i="18"/>
  <c r="AA34" i="18"/>
  <c r="Z34" i="18"/>
  <c r="Y34" i="18"/>
  <c r="X34" i="18"/>
  <c r="W34" i="18"/>
  <c r="T34" i="18"/>
  <c r="S34" i="18"/>
  <c r="R34" i="18"/>
  <c r="Q34" i="18"/>
  <c r="P34" i="18"/>
  <c r="BE33" i="18"/>
  <c r="BD33" i="18"/>
  <c r="BC33" i="18"/>
  <c r="BB33" i="18"/>
  <c r="BA33" i="18"/>
  <c r="AX33" i="18"/>
  <c r="AW33" i="18"/>
  <c r="AV33" i="18"/>
  <c r="AU33" i="18"/>
  <c r="AT33" i="18"/>
  <c r="AQ33" i="18"/>
  <c r="AP33" i="18"/>
  <c r="AO33" i="18"/>
  <c r="AN33" i="18"/>
  <c r="AM33" i="18"/>
  <c r="AD33" i="18"/>
  <c r="AA33" i="18"/>
  <c r="Z33" i="18"/>
  <c r="Y33" i="18"/>
  <c r="X33" i="18"/>
  <c r="W33" i="18"/>
  <c r="T33" i="18"/>
  <c r="S33" i="18"/>
  <c r="R33" i="18"/>
  <c r="Q33" i="18"/>
  <c r="P33" i="18"/>
  <c r="BE32" i="18"/>
  <c r="BD32" i="18"/>
  <c r="BC32" i="18"/>
  <c r="BB32" i="18"/>
  <c r="BA32" i="18"/>
  <c r="AX32" i="18"/>
  <c r="AW32" i="18"/>
  <c r="AV32" i="18"/>
  <c r="AU32" i="18"/>
  <c r="AT32" i="18"/>
  <c r="AQ32" i="18"/>
  <c r="AP32" i="18"/>
  <c r="AO32" i="18"/>
  <c r="AN32" i="18"/>
  <c r="AM32" i="18"/>
  <c r="AD32" i="18"/>
  <c r="AA32" i="18"/>
  <c r="Z32" i="18"/>
  <c r="Y32" i="18"/>
  <c r="X32" i="18"/>
  <c r="W32" i="18"/>
  <c r="T32" i="18"/>
  <c r="S32" i="18"/>
  <c r="R32" i="18"/>
  <c r="Q32" i="18"/>
  <c r="P32" i="18"/>
  <c r="BE31" i="18"/>
  <c r="BD31" i="18"/>
  <c r="BC31" i="18"/>
  <c r="BB31" i="18"/>
  <c r="BA31" i="18"/>
  <c r="AX31" i="18"/>
  <c r="AW31" i="18"/>
  <c r="AV31" i="18"/>
  <c r="AU31" i="18"/>
  <c r="AT31" i="18"/>
  <c r="AQ31" i="18"/>
  <c r="AP31" i="18"/>
  <c r="AO31" i="18"/>
  <c r="AN31" i="18"/>
  <c r="AM31" i="18"/>
  <c r="AD31" i="18"/>
  <c r="AA31" i="18"/>
  <c r="Z31" i="18"/>
  <c r="Y31" i="18"/>
  <c r="X31" i="18"/>
  <c r="W31" i="18"/>
  <c r="T31" i="18"/>
  <c r="S31" i="18"/>
  <c r="R31" i="18"/>
  <c r="Q31" i="18"/>
  <c r="P31" i="18"/>
  <c r="BE30" i="18"/>
  <c r="BD30" i="18"/>
  <c r="BC30" i="18"/>
  <c r="BB30" i="18"/>
  <c r="BA30" i="18"/>
  <c r="AX30" i="18"/>
  <c r="AW30" i="18"/>
  <c r="AV30" i="18"/>
  <c r="AU30" i="18"/>
  <c r="AT30" i="18"/>
  <c r="AQ30" i="18"/>
  <c r="AP30" i="18"/>
  <c r="AO30" i="18"/>
  <c r="AN30" i="18"/>
  <c r="AM30" i="18"/>
  <c r="AD30" i="18"/>
  <c r="AA30" i="18"/>
  <c r="Z30" i="18"/>
  <c r="Y30" i="18"/>
  <c r="X30" i="18"/>
  <c r="W30" i="18"/>
  <c r="T30" i="18"/>
  <c r="S30" i="18"/>
  <c r="R30" i="18"/>
  <c r="Q30" i="18"/>
  <c r="P30" i="18"/>
  <c r="BE29" i="18"/>
  <c r="BD29" i="18"/>
  <c r="BC29" i="18"/>
  <c r="BB29" i="18"/>
  <c r="BA29" i="18"/>
  <c r="AX29" i="18"/>
  <c r="AW29" i="18"/>
  <c r="AV29" i="18"/>
  <c r="AU29" i="18"/>
  <c r="AT29" i="18"/>
  <c r="AQ29" i="18"/>
  <c r="AP29" i="18"/>
  <c r="AO29" i="18"/>
  <c r="AN29" i="18"/>
  <c r="AM29" i="18"/>
  <c r="AD29" i="18"/>
  <c r="AA29" i="18"/>
  <c r="Z29" i="18"/>
  <c r="Y29" i="18"/>
  <c r="X29" i="18"/>
  <c r="W29" i="18"/>
  <c r="T29" i="18"/>
  <c r="S29" i="18"/>
  <c r="R29" i="18"/>
  <c r="Q29" i="18"/>
  <c r="P29" i="18"/>
  <c r="BE28" i="18"/>
  <c r="BD28" i="18"/>
  <c r="BC28" i="18"/>
  <c r="BB28" i="18"/>
  <c r="BA28" i="18"/>
  <c r="AX28" i="18"/>
  <c r="AW28" i="18"/>
  <c r="AV28" i="18"/>
  <c r="AU28" i="18"/>
  <c r="AT28" i="18"/>
  <c r="AQ28" i="18"/>
  <c r="AP28" i="18"/>
  <c r="AO28" i="18"/>
  <c r="AN28" i="18"/>
  <c r="AM28" i="18"/>
  <c r="AD28" i="18"/>
  <c r="AA28" i="18"/>
  <c r="Z28" i="18"/>
  <c r="Y28" i="18"/>
  <c r="X28" i="18"/>
  <c r="W28" i="18"/>
  <c r="T28" i="18"/>
  <c r="S28" i="18"/>
  <c r="R28" i="18"/>
  <c r="Q28" i="18"/>
  <c r="P28" i="18"/>
  <c r="BE27" i="18"/>
  <c r="BD27" i="18"/>
  <c r="BC27" i="18"/>
  <c r="BB27" i="18"/>
  <c r="BA27" i="18"/>
  <c r="AX27" i="18"/>
  <c r="AW27" i="18"/>
  <c r="AV27" i="18"/>
  <c r="AU27" i="18"/>
  <c r="AT27" i="18"/>
  <c r="AQ27" i="18"/>
  <c r="AP27" i="18"/>
  <c r="AO27" i="18"/>
  <c r="AN27" i="18"/>
  <c r="AM27" i="18"/>
  <c r="AD27" i="18"/>
  <c r="AA27" i="18"/>
  <c r="Z27" i="18"/>
  <c r="Y27" i="18"/>
  <c r="X27" i="18"/>
  <c r="W27" i="18"/>
  <c r="T27" i="18"/>
  <c r="S27" i="18"/>
  <c r="R27" i="18"/>
  <c r="Q27" i="18"/>
  <c r="P27" i="18"/>
  <c r="BE26" i="18"/>
  <c r="BD26" i="18"/>
  <c r="BC26" i="18"/>
  <c r="BB26" i="18"/>
  <c r="BA26" i="18"/>
  <c r="AX26" i="18"/>
  <c r="AW26" i="18"/>
  <c r="AV26" i="18"/>
  <c r="AU26" i="18"/>
  <c r="AT26" i="18"/>
  <c r="AQ26" i="18"/>
  <c r="AP26" i="18"/>
  <c r="AO26" i="18"/>
  <c r="AN26" i="18"/>
  <c r="AM26" i="18"/>
  <c r="AD26" i="18"/>
  <c r="AA26" i="18"/>
  <c r="Z26" i="18"/>
  <c r="Y26" i="18"/>
  <c r="X26" i="18"/>
  <c r="W26" i="18"/>
  <c r="T26" i="18"/>
  <c r="S26" i="18"/>
  <c r="R26" i="18"/>
  <c r="Q26" i="18"/>
  <c r="P26" i="18"/>
  <c r="BE25" i="18"/>
  <c r="BD25" i="18"/>
  <c r="BC25" i="18"/>
  <c r="BB25" i="18"/>
  <c r="BA25" i="18"/>
  <c r="AX25" i="18"/>
  <c r="AW25" i="18"/>
  <c r="AV25" i="18"/>
  <c r="AU25" i="18"/>
  <c r="AT25" i="18"/>
  <c r="AQ25" i="18"/>
  <c r="AP25" i="18"/>
  <c r="AO25" i="18"/>
  <c r="AN25" i="18"/>
  <c r="AM25" i="18"/>
  <c r="AD25" i="18"/>
  <c r="AA25" i="18"/>
  <c r="Z25" i="18"/>
  <c r="Y25" i="18"/>
  <c r="X25" i="18"/>
  <c r="W25" i="18"/>
  <c r="T25" i="18"/>
  <c r="S25" i="18"/>
  <c r="R25" i="18"/>
  <c r="Q25" i="18"/>
  <c r="P25" i="18"/>
  <c r="BE24" i="18"/>
  <c r="BD24" i="18"/>
  <c r="BC24" i="18"/>
  <c r="BB24" i="18"/>
  <c r="BA24" i="18"/>
  <c r="AX24" i="18"/>
  <c r="AW24" i="18"/>
  <c r="AV24" i="18"/>
  <c r="AU24" i="18"/>
  <c r="AT24" i="18"/>
  <c r="AQ24" i="18"/>
  <c r="AP24" i="18"/>
  <c r="AO24" i="18"/>
  <c r="AN24" i="18"/>
  <c r="AM24" i="18"/>
  <c r="AD24" i="18"/>
  <c r="AA24" i="18"/>
  <c r="Z24" i="18"/>
  <c r="Y24" i="18"/>
  <c r="X24" i="18"/>
  <c r="W24" i="18"/>
  <c r="T24" i="18"/>
  <c r="S24" i="18"/>
  <c r="R24" i="18"/>
  <c r="Q24" i="18"/>
  <c r="P24" i="18"/>
  <c r="BE23" i="18"/>
  <c r="BD23" i="18"/>
  <c r="BC23" i="18"/>
  <c r="BB23" i="18"/>
  <c r="BA23" i="18"/>
  <c r="AX23" i="18"/>
  <c r="AW23" i="18"/>
  <c r="AV23" i="18"/>
  <c r="AU23" i="18"/>
  <c r="AT23" i="18"/>
  <c r="AQ23" i="18"/>
  <c r="AP23" i="18"/>
  <c r="AO23" i="18"/>
  <c r="AN23" i="18"/>
  <c r="AM23" i="18"/>
  <c r="AD23" i="18"/>
  <c r="AA23" i="18"/>
  <c r="Z23" i="18"/>
  <c r="Y23" i="18"/>
  <c r="X23" i="18"/>
  <c r="W23" i="18"/>
  <c r="T23" i="18"/>
  <c r="S23" i="18"/>
  <c r="R23" i="18"/>
  <c r="Q23" i="18"/>
  <c r="P23" i="18"/>
  <c r="BE22" i="18"/>
  <c r="BD22" i="18"/>
  <c r="BC22" i="18"/>
  <c r="BB22" i="18"/>
  <c r="BA22" i="18"/>
  <c r="AX22" i="18"/>
  <c r="AW22" i="18"/>
  <c r="AV22" i="18"/>
  <c r="AU22" i="18"/>
  <c r="AT22" i="18"/>
  <c r="AQ22" i="18"/>
  <c r="AP22" i="18"/>
  <c r="AO22" i="18"/>
  <c r="AN22" i="18"/>
  <c r="AM22" i="18"/>
  <c r="AD22" i="18"/>
  <c r="AA22" i="18"/>
  <c r="Z22" i="18"/>
  <c r="Y22" i="18"/>
  <c r="X22" i="18"/>
  <c r="W22" i="18"/>
  <c r="T22" i="18"/>
  <c r="S22" i="18"/>
  <c r="R22" i="18"/>
  <c r="Q22" i="18"/>
  <c r="P22" i="18"/>
  <c r="BE21" i="18"/>
  <c r="BD21" i="18"/>
  <c r="BC21" i="18"/>
  <c r="BB21" i="18"/>
  <c r="BA21" i="18"/>
  <c r="AX21" i="18"/>
  <c r="AW21" i="18"/>
  <c r="AV21" i="18"/>
  <c r="AU21" i="18"/>
  <c r="AT21" i="18"/>
  <c r="AQ21" i="18"/>
  <c r="AP21" i="18"/>
  <c r="AO21" i="18"/>
  <c r="AN21" i="18"/>
  <c r="AM21" i="18"/>
  <c r="AD21" i="18"/>
  <c r="W21" i="18"/>
  <c r="T21" i="18"/>
  <c r="S21" i="18"/>
  <c r="R21" i="18"/>
  <c r="Q21" i="18"/>
  <c r="P21" i="18"/>
  <c r="BE20" i="18"/>
  <c r="BD20" i="18"/>
  <c r="BC20" i="18"/>
  <c r="BB20" i="18"/>
  <c r="BA20" i="18"/>
  <c r="AX20" i="18"/>
  <c r="AW20" i="18"/>
  <c r="AV20" i="18"/>
  <c r="AU20" i="18"/>
  <c r="AT20" i="18"/>
  <c r="AQ20" i="18"/>
  <c r="AP20" i="18"/>
  <c r="AO20" i="18"/>
  <c r="AN20" i="18"/>
  <c r="AM20" i="18"/>
  <c r="AD20" i="18"/>
  <c r="W20" i="18"/>
  <c r="P20" i="18"/>
  <c r="BE19" i="18"/>
  <c r="BD19" i="18"/>
  <c r="BC19" i="18"/>
  <c r="BB19" i="18"/>
  <c r="BA19" i="18"/>
  <c r="AX19" i="18"/>
  <c r="AW19" i="18"/>
  <c r="AV19" i="18"/>
  <c r="AU19" i="18"/>
  <c r="AT19" i="18"/>
  <c r="AQ19" i="18"/>
  <c r="AP19" i="18"/>
  <c r="AO19" i="18"/>
  <c r="AN19" i="18"/>
  <c r="AM19" i="18"/>
  <c r="AD19" i="18"/>
  <c r="W19" i="18"/>
  <c r="P19" i="18"/>
  <c r="BE18" i="18"/>
  <c r="BD18" i="18"/>
  <c r="BC18" i="18"/>
  <c r="BB18" i="18"/>
  <c r="BA18" i="18"/>
  <c r="AX18" i="18"/>
  <c r="AW18" i="18"/>
  <c r="AV18" i="18"/>
  <c r="AU18" i="18"/>
  <c r="AT18" i="18"/>
  <c r="AQ18" i="18"/>
  <c r="AP18" i="18"/>
  <c r="AO18" i="18"/>
  <c r="AN18" i="18"/>
  <c r="AM18" i="18"/>
  <c r="AD18" i="18"/>
  <c r="W18" i="18"/>
  <c r="P18" i="18"/>
  <c r="BE17" i="18"/>
  <c r="BD17" i="18"/>
  <c r="BC17" i="18"/>
  <c r="BB17" i="18"/>
  <c r="BA17" i="18"/>
  <c r="AX17" i="18"/>
  <c r="AW17" i="18"/>
  <c r="AV17" i="18"/>
  <c r="AU17" i="18"/>
  <c r="AT17" i="18"/>
  <c r="AQ17" i="18"/>
  <c r="AP17" i="18"/>
  <c r="AO17" i="18"/>
  <c r="AN17" i="18"/>
  <c r="AM17" i="18"/>
  <c r="AD17" i="18"/>
  <c r="W17" i="18"/>
  <c r="P17" i="18"/>
  <c r="BE16" i="18"/>
  <c r="BD16" i="18"/>
  <c r="BC16" i="18"/>
  <c r="BB16" i="18"/>
  <c r="BA16" i="18"/>
  <c r="AX16" i="18"/>
  <c r="AW16" i="18"/>
  <c r="AV16" i="18"/>
  <c r="AU16" i="18"/>
  <c r="AT16" i="18"/>
  <c r="AQ16" i="18"/>
  <c r="AP16" i="18"/>
  <c r="AO16" i="18"/>
  <c r="AN16" i="18"/>
  <c r="AM16" i="18"/>
  <c r="AD16" i="18"/>
  <c r="W16" i="18"/>
  <c r="P16" i="18"/>
  <c r="BE15" i="18"/>
  <c r="BD15" i="18"/>
  <c r="BC15" i="18"/>
  <c r="BB15" i="18"/>
  <c r="BA15" i="18"/>
  <c r="AX15" i="18"/>
  <c r="AW15" i="18"/>
  <c r="AV15" i="18"/>
  <c r="AU15" i="18"/>
  <c r="AT15" i="18"/>
  <c r="AQ15" i="18"/>
  <c r="AP15" i="18"/>
  <c r="AO15" i="18"/>
  <c r="AN15" i="18"/>
  <c r="AM15" i="18"/>
  <c r="AD15" i="18"/>
  <c r="W15" i="18"/>
  <c r="P15" i="18"/>
  <c r="BE14" i="18"/>
  <c r="BD14" i="18"/>
  <c r="BC14" i="18"/>
  <c r="BB14" i="18"/>
  <c r="BA14" i="18"/>
  <c r="AX14" i="18"/>
  <c r="AW14" i="18"/>
  <c r="AV14" i="18"/>
  <c r="AU14" i="18"/>
  <c r="AT14" i="18"/>
  <c r="AQ14" i="18"/>
  <c r="AP14" i="18"/>
  <c r="AO14" i="18"/>
  <c r="AN14" i="18"/>
  <c r="AM14" i="18"/>
  <c r="AD14" i="18"/>
  <c r="W14" i="18"/>
  <c r="P14" i="18"/>
  <c r="BE13" i="18"/>
  <c r="BD13" i="18"/>
  <c r="BC13" i="18"/>
  <c r="BB13" i="18"/>
  <c r="BA13" i="18"/>
  <c r="AX13" i="18"/>
  <c r="AW13" i="18"/>
  <c r="AV13" i="18"/>
  <c r="AU13" i="18"/>
  <c r="AT13" i="18"/>
  <c r="AQ13" i="18"/>
  <c r="AP13" i="18"/>
  <c r="AO13" i="18"/>
  <c r="AN13" i="18"/>
  <c r="AM13" i="18"/>
  <c r="AD13" i="18"/>
  <c r="W13" i="18"/>
  <c r="P13" i="18"/>
  <c r="BE12" i="18"/>
  <c r="BD12" i="18"/>
  <c r="BC12" i="18"/>
  <c r="BB12" i="18"/>
  <c r="BA12" i="18"/>
  <c r="AX12" i="18"/>
  <c r="AW12" i="18"/>
  <c r="AV12" i="18"/>
  <c r="AU12" i="18"/>
  <c r="AT12" i="18"/>
  <c r="AQ12" i="18"/>
  <c r="AP12" i="18"/>
  <c r="AO12" i="18"/>
  <c r="AN12" i="18"/>
  <c r="AM12" i="18"/>
  <c r="AD12" i="18"/>
  <c r="W12" i="18"/>
  <c r="P12" i="18"/>
  <c r="BE11" i="18"/>
  <c r="BD11" i="18"/>
  <c r="BC11" i="18"/>
  <c r="BB11" i="18"/>
  <c r="BA11" i="18"/>
  <c r="AX11" i="18"/>
  <c r="AW11" i="18"/>
  <c r="AV11" i="18"/>
  <c r="AU11" i="18"/>
  <c r="AT11" i="18"/>
  <c r="AQ11" i="18"/>
  <c r="AP11" i="18"/>
  <c r="AO11" i="18"/>
  <c r="AN11" i="18"/>
  <c r="AM11" i="18"/>
  <c r="AD11" i="18"/>
  <c r="W11" i="18"/>
  <c r="P11" i="18"/>
  <c r="BE10" i="18"/>
  <c r="BD10" i="18"/>
  <c r="BC10" i="18"/>
  <c r="BB10" i="18"/>
  <c r="BA10" i="18"/>
  <c r="AX10" i="18"/>
  <c r="AW10" i="18"/>
  <c r="AV10" i="18"/>
  <c r="AU10" i="18"/>
  <c r="AT10" i="18"/>
  <c r="AQ10" i="18"/>
  <c r="AP10" i="18"/>
  <c r="AO10" i="18"/>
  <c r="AN10" i="18"/>
  <c r="AM10" i="18"/>
  <c r="AD10" i="18"/>
  <c r="W10" i="18"/>
  <c r="P10" i="18"/>
  <c r="BE9" i="18"/>
  <c r="BD9" i="18"/>
  <c r="BC9" i="18"/>
  <c r="BB9" i="18"/>
  <c r="BA9" i="18"/>
  <c r="AX9" i="18"/>
  <c r="AW9" i="18"/>
  <c r="AV9" i="18"/>
  <c r="AU9" i="18"/>
  <c r="AT9" i="18"/>
  <c r="AQ9" i="18"/>
  <c r="AP9" i="18"/>
  <c r="AO9" i="18"/>
  <c r="AN9" i="18"/>
  <c r="AM9" i="18"/>
  <c r="AD9" i="18"/>
  <c r="W9" i="18"/>
  <c r="P9" i="18"/>
  <c r="BE8" i="18"/>
  <c r="BD8" i="18"/>
  <c r="BC8" i="18"/>
  <c r="BB8" i="18"/>
  <c r="BA8" i="18"/>
  <c r="AX8" i="18"/>
  <c r="AW8" i="18"/>
  <c r="AV8" i="18"/>
  <c r="AU8" i="18"/>
  <c r="AT8" i="18"/>
  <c r="AQ8" i="18"/>
  <c r="AP8" i="18"/>
  <c r="AO8" i="18"/>
  <c r="AN8" i="18"/>
  <c r="AM8" i="18"/>
  <c r="AD8" i="18"/>
  <c r="W8" i="18"/>
  <c r="P8" i="18"/>
  <c r="BE7" i="18"/>
  <c r="BD7" i="18"/>
  <c r="BC7" i="18"/>
  <c r="BB7" i="18"/>
  <c r="BA7" i="18"/>
  <c r="AX7" i="18"/>
  <c r="AW7" i="18"/>
  <c r="AV7" i="18"/>
  <c r="AU7" i="18"/>
  <c r="AT7" i="18"/>
  <c r="AQ7" i="18"/>
  <c r="AP7" i="18"/>
  <c r="AO7" i="18"/>
  <c r="AN7" i="18"/>
  <c r="AM7" i="18"/>
  <c r="AD7" i="18"/>
  <c r="W7" i="18"/>
  <c r="P7" i="18"/>
  <c r="BE6" i="18"/>
  <c r="BD6" i="18"/>
  <c r="BC6" i="18"/>
  <c r="BB6" i="18"/>
  <c r="BA6" i="18"/>
  <c r="AX6" i="18"/>
  <c r="AW6" i="18"/>
  <c r="AV6" i="18"/>
  <c r="AU6" i="18"/>
  <c r="AT6" i="18"/>
  <c r="AQ6" i="18"/>
  <c r="AP6" i="18"/>
  <c r="AO6" i="18"/>
  <c r="AN6" i="18"/>
  <c r="AM6" i="18"/>
  <c r="AD6" i="18"/>
  <c r="W6" i="18"/>
  <c r="P6" i="18"/>
  <c r="BE5" i="18"/>
  <c r="BD5" i="18"/>
  <c r="BC5" i="18"/>
  <c r="BB5" i="18"/>
  <c r="BA5" i="18"/>
  <c r="AX5" i="18"/>
  <c r="AW5" i="18"/>
  <c r="AV5" i="18"/>
  <c r="AU5" i="18"/>
  <c r="AT5" i="18"/>
  <c r="AQ5" i="18"/>
  <c r="AP5" i="18"/>
  <c r="AO5" i="18"/>
  <c r="AN5" i="18"/>
  <c r="AM5" i="18"/>
  <c r="AD5" i="18"/>
  <c r="AA5" i="18"/>
  <c r="Z5" i="18"/>
  <c r="Y5" i="18"/>
  <c r="X5" i="18"/>
  <c r="W5" i="18"/>
  <c r="T5" i="18"/>
  <c r="S5" i="18"/>
  <c r="R5" i="18"/>
  <c r="Q5" i="18"/>
  <c r="P5" i="18"/>
  <c r="BE4" i="18"/>
  <c r="BD4" i="18"/>
  <c r="BC4" i="18"/>
  <c r="BB4" i="18"/>
  <c r="BA4" i="18"/>
  <c r="AX4" i="18"/>
  <c r="AW4" i="18"/>
  <c r="AV4" i="18"/>
  <c r="AU4" i="18"/>
  <c r="AT4" i="18"/>
  <c r="AQ4" i="18"/>
  <c r="AP4" i="18"/>
  <c r="AO4" i="18"/>
  <c r="AN4" i="18"/>
  <c r="AM4" i="18"/>
  <c r="AD4" i="18"/>
  <c r="AA4" i="18"/>
  <c r="Z4" i="18"/>
  <c r="Y4" i="18"/>
  <c r="X4" i="18"/>
  <c r="W4" i="18"/>
  <c r="T4" i="18"/>
  <c r="S4" i="18"/>
  <c r="R4" i="18"/>
  <c r="Q4" i="18"/>
  <c r="P4" i="18"/>
  <c r="K11" i="47"/>
  <c r="J6" i="47"/>
  <c r="Y8" i="51"/>
  <c r="X8" i="51"/>
  <c r="W8" i="51"/>
  <c r="V8" i="51"/>
  <c r="U8" i="51"/>
  <c r="T8" i="51"/>
  <c r="S8" i="51"/>
  <c r="Y9" i="51"/>
  <c r="Y10" i="51"/>
  <c r="Y11" i="51"/>
  <c r="Y12" i="51"/>
  <c r="Y13" i="51"/>
  <c r="Y14" i="51"/>
  <c r="X9" i="51"/>
  <c r="X10" i="51"/>
  <c r="X11" i="51"/>
  <c r="X12" i="51"/>
  <c r="X13" i="51"/>
  <c r="X14" i="51"/>
  <c r="W9" i="51"/>
  <c r="W10" i="51"/>
  <c r="W11" i="51"/>
  <c r="W12" i="51"/>
  <c r="W13" i="51"/>
  <c r="W14" i="51"/>
  <c r="V13" i="51"/>
  <c r="V14" i="51"/>
  <c r="V9" i="51"/>
  <c r="V10" i="51"/>
  <c r="V11" i="51"/>
  <c r="V12" i="51"/>
  <c r="U9" i="51"/>
  <c r="U10" i="51"/>
  <c r="U11" i="51"/>
  <c r="U12" i="51"/>
  <c r="U13" i="51"/>
  <c r="U14" i="51"/>
  <c r="T9" i="51"/>
  <c r="T10" i="51"/>
  <c r="T11" i="51"/>
  <c r="T12" i="51"/>
  <c r="T13" i="51"/>
  <c r="T14" i="51"/>
  <c r="S9" i="51"/>
  <c r="S10" i="51"/>
  <c r="S11" i="51"/>
  <c r="S12" i="51"/>
  <c r="S13" i="51"/>
  <c r="S14" i="51"/>
  <c r="D20" i="50"/>
  <c r="AD49" i="50" s="1"/>
  <c r="D21" i="50"/>
  <c r="AC48" i="50" s="1"/>
  <c r="D22" i="50"/>
  <c r="AC74" i="50" s="1"/>
  <c r="D23" i="50"/>
  <c r="D24" i="50"/>
  <c r="D25" i="50"/>
  <c r="D26" i="50"/>
  <c r="D19" i="50"/>
  <c r="AA36" i="50" s="1"/>
  <c r="D13" i="50"/>
  <c r="D12" i="50"/>
  <c r="D11" i="50"/>
  <c r="D10" i="50"/>
  <c r="D9" i="50"/>
  <c r="D8" i="50"/>
  <c r="D7" i="50"/>
  <c r="D6" i="50"/>
  <c r="AB49" i="50"/>
  <c r="AD54" i="50"/>
  <c r="AC49" i="50"/>
  <c r="Z48" i="50"/>
  <c r="AA48" i="50"/>
  <c r="AC54" i="50"/>
  <c r="AB53" i="50"/>
  <c r="AA35" i="50"/>
  <c r="AD38" i="50"/>
  <c r="AC38" i="50"/>
  <c r="AC36" i="50"/>
  <c r="AC14" i="50"/>
  <c r="AC64" i="50"/>
  <c r="AC59" i="50"/>
  <c r="AB64" i="50"/>
  <c r="AA65" i="50"/>
  <c r="AC66" i="50"/>
  <c r="Z59" i="50"/>
  <c r="Z63" i="50"/>
  <c r="AD63" i="50"/>
  <c r="AC58" i="50"/>
  <c r="AB59" i="50"/>
  <c r="AA68" i="50"/>
  <c r="Z58" i="50"/>
  <c r="AA63" i="50"/>
  <c r="Z64" i="50"/>
  <c r="Z68" i="50"/>
  <c r="AD58" i="50"/>
  <c r="AA58" i="50"/>
  <c r="AC75" i="50"/>
  <c r="AC63" i="50"/>
  <c r="AD78" i="50"/>
  <c r="AD66" i="50"/>
  <c r="AC61" i="50"/>
  <c r="AB80" i="50"/>
  <c r="AA77" i="50"/>
  <c r="AA73" i="50"/>
  <c r="AA7" i="50"/>
  <c r="AC12" i="50"/>
  <c r="AB9" i="50"/>
  <c r="AD7" i="50"/>
  <c r="AC78" i="50"/>
  <c r="AD77" i="50"/>
  <c r="Z15" i="50"/>
  <c r="AD15" i="50"/>
  <c r="Z20" i="50"/>
  <c r="AD20" i="50"/>
  <c r="AD8" i="50"/>
  <c r="Z8" i="50"/>
  <c r="AB17" i="50"/>
  <c r="Z18" i="50"/>
  <c r="AD13" i="50"/>
  <c r="Z13" i="50"/>
  <c r="AA9" i="50"/>
  <c r="AC8" i="50"/>
  <c r="AB15" i="50"/>
  <c r="Z16" i="50"/>
  <c r="AD19" i="50"/>
  <c r="AB20" i="50"/>
  <c r="Z9" i="50"/>
  <c r="AB8" i="50"/>
  <c r="AD14" i="50"/>
  <c r="AB13" i="50"/>
  <c r="AC7" i="50"/>
  <c r="AD72" i="50"/>
  <c r="Z80" i="50"/>
  <c r="AD76" i="50"/>
  <c r="Z76" i="50"/>
  <c r="AA75" i="50"/>
  <c r="AC73" i="50"/>
  <c r="AC72" i="50"/>
  <c r="AC80" i="50"/>
  <c r="Z79" i="50"/>
  <c r="AC76" i="50"/>
  <c r="AD75" i="50"/>
  <c r="Z75" i="50"/>
  <c r="AA74" i="50"/>
  <c r="AA27" i="50"/>
  <c r="Z28" i="50"/>
  <c r="AD28" i="50"/>
  <c r="Z29" i="50"/>
  <c r="AD29" i="50"/>
  <c r="AC30" i="50"/>
  <c r="AB31" i="50"/>
  <c r="AA32" i="50"/>
  <c r="Z33" i="50"/>
  <c r="AD33" i="50"/>
  <c r="Z43" i="50"/>
  <c r="AD43" i="50"/>
  <c r="AA44" i="50"/>
  <c r="AC45" i="50"/>
  <c r="AA46" i="50"/>
  <c r="Z47" i="50"/>
  <c r="AD47" i="50"/>
  <c r="AB50" i="50"/>
  <c r="Z51" i="50"/>
  <c r="AD51" i="50"/>
  <c r="AB27" i="50"/>
  <c r="AA28" i="50"/>
  <c r="AA29" i="50"/>
  <c r="Z30" i="50"/>
  <c r="AD30" i="50"/>
  <c r="AB32" i="50"/>
  <c r="AA33" i="50"/>
  <c r="Z34" i="50"/>
  <c r="AD34" i="50"/>
  <c r="AA43" i="50"/>
  <c r="AB44" i="50"/>
  <c r="Z45" i="50"/>
  <c r="AD45" i="50"/>
  <c r="AB46" i="50"/>
  <c r="AA47" i="50"/>
  <c r="AC50" i="50"/>
  <c r="AA51" i="50"/>
  <c r="AC27" i="50"/>
  <c r="AB29" i="50"/>
  <c r="AA30" i="50"/>
  <c r="Z31" i="50"/>
  <c r="AD31" i="50"/>
  <c r="AC32" i="50"/>
  <c r="AB33" i="50"/>
  <c r="AA34" i="50"/>
  <c r="AB43" i="50"/>
  <c r="AC44" i="50"/>
  <c r="AA45" i="50"/>
  <c r="AC46" i="50"/>
  <c r="AB47" i="50"/>
  <c r="Z50" i="50"/>
  <c r="AD50" i="50"/>
  <c r="AB51" i="50"/>
  <c r="Z27" i="50"/>
  <c r="AD27" i="50"/>
  <c r="AC28" i="50"/>
  <c r="AC29" i="50"/>
  <c r="AB30" i="50"/>
  <c r="AA31" i="50"/>
  <c r="Z32" i="50"/>
  <c r="AD32" i="50"/>
  <c r="AB34" i="50"/>
  <c r="AC43" i="50"/>
  <c r="Z44" i="50"/>
  <c r="AD44" i="50"/>
  <c r="AB45" i="50"/>
  <c r="Z46" i="50"/>
  <c r="AD46" i="50"/>
  <c r="AC47" i="50"/>
  <c r="AA50" i="50"/>
  <c r="AC51" i="50"/>
  <c r="AL70" i="47"/>
  <c r="AL71" i="47"/>
  <c r="AL72" i="47"/>
  <c r="AL73" i="47"/>
  <c r="AL74" i="47"/>
  <c r="AL75" i="47"/>
  <c r="AL76" i="47"/>
  <c r="AL77" i="47"/>
  <c r="AL78" i="47"/>
  <c r="AL79" i="47"/>
  <c r="AL80" i="47"/>
  <c r="AL81" i="47"/>
  <c r="AL82" i="47"/>
  <c r="AL83" i="47"/>
  <c r="AL84" i="47"/>
  <c r="AL85" i="47"/>
  <c r="AL86" i="47"/>
  <c r="AL87" i="47"/>
  <c r="AL88" i="47"/>
  <c r="AL89" i="47"/>
  <c r="AL90" i="47"/>
  <c r="AL91" i="47"/>
  <c r="AL92" i="47"/>
  <c r="AL93" i="47"/>
  <c r="AL94" i="47"/>
  <c r="AL95" i="47"/>
  <c r="AL96" i="47"/>
  <c r="AL97" i="47"/>
  <c r="AL98" i="47"/>
  <c r="AL99" i="47"/>
  <c r="AL100" i="47"/>
  <c r="AL101" i="47"/>
  <c r="AL102" i="47"/>
  <c r="AL103" i="47"/>
  <c r="Q4" i="47"/>
  <c r="Q5" i="47"/>
  <c r="R5" i="47"/>
  <c r="S5" i="47"/>
  <c r="T5" i="47"/>
  <c r="U5" i="47"/>
  <c r="Q6" i="47"/>
  <c r="R6" i="47"/>
  <c r="S6" i="47"/>
  <c r="T6" i="47"/>
  <c r="U6" i="47"/>
  <c r="Q7" i="47"/>
  <c r="R7" i="47"/>
  <c r="S7" i="47"/>
  <c r="T7" i="47"/>
  <c r="U7" i="47"/>
  <c r="Q8" i="47"/>
  <c r="R8" i="47"/>
  <c r="T8" i="47"/>
  <c r="U8" i="47"/>
  <c r="Q9" i="47"/>
  <c r="R9" i="47"/>
  <c r="T9" i="47"/>
  <c r="U9" i="47"/>
  <c r="Q10" i="47"/>
  <c r="R10" i="47"/>
  <c r="T10" i="47"/>
  <c r="U10" i="47"/>
  <c r="R4" i="47"/>
  <c r="S4" i="47"/>
  <c r="T4" i="47"/>
  <c r="U4" i="47"/>
  <c r="J7" i="47"/>
  <c r="K7" i="47"/>
  <c r="L7" i="47"/>
  <c r="M7" i="47"/>
  <c r="N7" i="47"/>
  <c r="J8" i="47"/>
  <c r="K8" i="47"/>
  <c r="L8" i="47"/>
  <c r="M8" i="47"/>
  <c r="N8" i="47"/>
  <c r="J9" i="47"/>
  <c r="K9" i="47"/>
  <c r="L9" i="47"/>
  <c r="M9" i="47"/>
  <c r="N9" i="47"/>
  <c r="J10" i="47"/>
  <c r="K10" i="47"/>
  <c r="L10" i="47"/>
  <c r="M10" i="47"/>
  <c r="N10" i="47"/>
  <c r="J11" i="47"/>
  <c r="L11" i="47"/>
  <c r="M11" i="47"/>
  <c r="N11" i="47"/>
  <c r="J12" i="47"/>
  <c r="K12" i="47"/>
  <c r="AH5" i="47" s="1"/>
  <c r="L12" i="47"/>
  <c r="M12" i="47"/>
  <c r="N12" i="47"/>
  <c r="J13" i="47"/>
  <c r="K13" i="47"/>
  <c r="L13" i="47"/>
  <c r="M13" i="47"/>
  <c r="N13" i="47"/>
  <c r="J14" i="47"/>
  <c r="K14" i="47"/>
  <c r="L14" i="47"/>
  <c r="M14" i="47"/>
  <c r="N14" i="47"/>
  <c r="J15" i="47"/>
  <c r="K15" i="47"/>
  <c r="L15" i="47"/>
  <c r="M15" i="47"/>
  <c r="N15" i="47"/>
  <c r="J16" i="47"/>
  <c r="K16" i="47"/>
  <c r="L16" i="47"/>
  <c r="AH6" i="47" s="1"/>
  <c r="M16" i="47"/>
  <c r="N16" i="47"/>
  <c r="J17" i="47"/>
  <c r="K17" i="47"/>
  <c r="L17" i="47"/>
  <c r="M17" i="47"/>
  <c r="N17" i="47"/>
  <c r="J18" i="47"/>
  <c r="K18" i="47"/>
  <c r="L18" i="47"/>
  <c r="M18" i="47"/>
  <c r="N18" i="47"/>
  <c r="J19" i="47"/>
  <c r="K19" i="47"/>
  <c r="L19" i="47"/>
  <c r="M19" i="47"/>
  <c r="N19" i="47"/>
  <c r="J20" i="47"/>
  <c r="K20" i="47"/>
  <c r="L20" i="47"/>
  <c r="M20" i="47"/>
  <c r="N20" i="47"/>
  <c r="J21" i="47"/>
  <c r="K21" i="47"/>
  <c r="L21" i="47"/>
  <c r="M21" i="47"/>
  <c r="N21" i="47"/>
  <c r="J22" i="47"/>
  <c r="K22" i="47"/>
  <c r="L22" i="47"/>
  <c r="M22" i="47"/>
  <c r="N22" i="47"/>
  <c r="J23" i="47"/>
  <c r="K23" i="47"/>
  <c r="L23" i="47"/>
  <c r="M23" i="47"/>
  <c r="N23" i="47"/>
  <c r="J24" i="47"/>
  <c r="K24" i="47"/>
  <c r="L24" i="47"/>
  <c r="M24" i="47"/>
  <c r="N24" i="47"/>
  <c r="K25" i="47"/>
  <c r="L25" i="47"/>
  <c r="M25" i="47"/>
  <c r="N25" i="47"/>
  <c r="K26" i="47"/>
  <c r="L26" i="47"/>
  <c r="M26" i="47"/>
  <c r="N26" i="47"/>
  <c r="K27" i="47"/>
  <c r="L27" i="47"/>
  <c r="M27" i="47"/>
  <c r="N27" i="47"/>
  <c r="K28" i="47"/>
  <c r="L28" i="47"/>
  <c r="M28" i="47"/>
  <c r="N28" i="47"/>
  <c r="K29" i="47"/>
  <c r="L29" i="47"/>
  <c r="M29" i="47"/>
  <c r="N29" i="47"/>
  <c r="K30" i="47"/>
  <c r="L30" i="47"/>
  <c r="M30" i="47"/>
  <c r="N30" i="47"/>
  <c r="K31" i="47"/>
  <c r="L31" i="47"/>
  <c r="M31" i="47"/>
  <c r="N31" i="47"/>
  <c r="K32" i="47"/>
  <c r="L32" i="47"/>
  <c r="M32" i="47"/>
  <c r="N32" i="47"/>
  <c r="K33" i="47"/>
  <c r="L33" i="47"/>
  <c r="M33" i="47"/>
  <c r="N33" i="47"/>
  <c r="K34" i="47"/>
  <c r="L34" i="47"/>
  <c r="M34" i="47"/>
  <c r="N34" i="47"/>
  <c r="K35" i="47"/>
  <c r="L35" i="47"/>
  <c r="M35" i="47"/>
  <c r="N35" i="47"/>
  <c r="K36" i="47"/>
  <c r="L36" i="47"/>
  <c r="M36" i="47"/>
  <c r="N36" i="47"/>
  <c r="K37" i="47"/>
  <c r="L37" i="47"/>
  <c r="M37" i="47"/>
  <c r="N37" i="47"/>
  <c r="K38" i="47"/>
  <c r="L38" i="47"/>
  <c r="M38" i="47"/>
  <c r="N38" i="47"/>
  <c r="K39" i="47"/>
  <c r="L39" i="47"/>
  <c r="M39" i="47"/>
  <c r="AH10" i="47" s="1"/>
  <c r="N39" i="47"/>
  <c r="K40" i="47"/>
  <c r="L40" i="47"/>
  <c r="M40" i="47"/>
  <c r="N40" i="47"/>
  <c r="K41" i="47"/>
  <c r="L41" i="47"/>
  <c r="M41" i="47"/>
  <c r="N41" i="47"/>
  <c r="K42" i="47"/>
  <c r="L42" i="47"/>
  <c r="M42" i="47"/>
  <c r="N42" i="47"/>
  <c r="K43" i="47"/>
  <c r="L43" i="47"/>
  <c r="M43" i="47"/>
  <c r="N43" i="47"/>
  <c r="K44" i="47"/>
  <c r="L44" i="47"/>
  <c r="M44" i="47"/>
  <c r="AH11" i="47"/>
  <c r="N44" i="47"/>
  <c r="K45" i="47"/>
  <c r="L45" i="47"/>
  <c r="M45" i="47"/>
  <c r="N45" i="47"/>
  <c r="K46" i="47"/>
  <c r="L46" i="47"/>
  <c r="M46" i="47"/>
  <c r="N46" i="47"/>
  <c r="K47" i="47"/>
  <c r="L47" i="47"/>
  <c r="M47" i="47"/>
  <c r="N47" i="47"/>
  <c r="K48" i="47"/>
  <c r="L48" i="47"/>
  <c r="M48" i="47"/>
  <c r="N48" i="47"/>
  <c r="K49" i="47"/>
  <c r="L49" i="47"/>
  <c r="M49" i="47"/>
  <c r="N49" i="47"/>
  <c r="K50" i="47"/>
  <c r="L50" i="47"/>
  <c r="M50" i="47"/>
  <c r="N50" i="47"/>
  <c r="K51" i="47"/>
  <c r="L51" i="47"/>
  <c r="M51" i="47"/>
  <c r="N51" i="47"/>
  <c r="K52" i="47"/>
  <c r="L52" i="47"/>
  <c r="M52" i="47"/>
  <c r="N52" i="47"/>
  <c r="K53" i="47"/>
  <c r="L53" i="47"/>
  <c r="M53" i="47"/>
  <c r="N53" i="47"/>
  <c r="K54" i="47"/>
  <c r="L54" i="47"/>
  <c r="M54" i="47"/>
  <c r="AH12" i="47" s="1"/>
  <c r="N54" i="47"/>
  <c r="K55" i="47"/>
  <c r="L55" i="47"/>
  <c r="M55" i="47"/>
  <c r="N55" i="47"/>
  <c r="K56" i="47"/>
  <c r="L56" i="47"/>
  <c r="M56" i="47"/>
  <c r="N56" i="47"/>
  <c r="K57" i="47"/>
  <c r="L57" i="47"/>
  <c r="M57" i="47"/>
  <c r="N57" i="47"/>
  <c r="K58" i="47"/>
  <c r="L58" i="47"/>
  <c r="M58" i="47"/>
  <c r="N58" i="47"/>
  <c r="K59" i="47"/>
  <c r="L59" i="47"/>
  <c r="M59" i="47"/>
  <c r="N59" i="47"/>
  <c r="K60" i="47"/>
  <c r="L60" i="47"/>
  <c r="M60" i="47"/>
  <c r="N60" i="47"/>
  <c r="K61" i="47"/>
  <c r="L61" i="47"/>
  <c r="M61" i="47"/>
  <c r="N61" i="47"/>
  <c r="K62" i="47"/>
  <c r="L62" i="47"/>
  <c r="M62" i="47"/>
  <c r="N62" i="47"/>
  <c r="K63" i="47"/>
  <c r="L63" i="47"/>
  <c r="M63" i="47"/>
  <c r="N63" i="47"/>
  <c r="K64" i="47"/>
  <c r="L64" i="47"/>
  <c r="M64" i="47"/>
  <c r="AH13" i="47" s="1"/>
  <c r="N64" i="47"/>
  <c r="K65" i="47"/>
  <c r="L65" i="47"/>
  <c r="M65" i="47"/>
  <c r="N65" i="47"/>
  <c r="K66" i="47"/>
  <c r="L66" i="47"/>
  <c r="M66" i="47"/>
  <c r="N66" i="47"/>
  <c r="K67" i="47"/>
  <c r="L67" i="47"/>
  <c r="M67" i="47"/>
  <c r="N67" i="47"/>
  <c r="K68" i="47"/>
  <c r="L68" i="47"/>
  <c r="M68" i="47"/>
  <c r="N68" i="47"/>
  <c r="K69" i="47"/>
  <c r="L69" i="47"/>
  <c r="M69" i="47"/>
  <c r="N69" i="47"/>
  <c r="K70" i="47"/>
  <c r="L70" i="47"/>
  <c r="M70" i="47"/>
  <c r="N70" i="47"/>
  <c r="K71" i="47"/>
  <c r="L71" i="47"/>
  <c r="M71" i="47"/>
  <c r="N71" i="47"/>
  <c r="K72" i="47"/>
  <c r="L72" i="47"/>
  <c r="M72" i="47"/>
  <c r="N72" i="47"/>
  <c r="K73" i="47"/>
  <c r="L73" i="47"/>
  <c r="M73" i="47"/>
  <c r="N73" i="47"/>
  <c r="K74" i="47"/>
  <c r="L74" i="47"/>
  <c r="M74" i="47"/>
  <c r="AH14" i="47" s="1"/>
  <c r="N74" i="47"/>
  <c r="K75" i="47"/>
  <c r="L75" i="47"/>
  <c r="M75" i="47"/>
  <c r="N75" i="47"/>
  <c r="K76" i="47"/>
  <c r="L76" i="47"/>
  <c r="M76" i="47"/>
  <c r="N76" i="47"/>
  <c r="K77" i="47"/>
  <c r="L77" i="47"/>
  <c r="M77" i="47"/>
  <c r="N77" i="47"/>
  <c r="K78" i="47"/>
  <c r="L78" i="47"/>
  <c r="M78" i="47"/>
  <c r="N78" i="47"/>
  <c r="K79" i="47"/>
  <c r="L79" i="47"/>
  <c r="M79" i="47"/>
  <c r="N79" i="47"/>
  <c r="K80" i="47"/>
  <c r="L80" i="47"/>
  <c r="M80" i="47"/>
  <c r="N80" i="47"/>
  <c r="K81" i="47"/>
  <c r="L81" i="47"/>
  <c r="M81" i="47"/>
  <c r="N81" i="47"/>
  <c r="K82" i="47"/>
  <c r="L82" i="47"/>
  <c r="M82" i="47"/>
  <c r="N82" i="47"/>
  <c r="K83" i="47"/>
  <c r="L83" i="47"/>
  <c r="M83" i="47"/>
  <c r="N83" i="47"/>
  <c r="K84" i="47"/>
  <c r="L84" i="47"/>
  <c r="M84" i="47"/>
  <c r="AH15" i="47" s="1"/>
  <c r="N84" i="47"/>
  <c r="K85" i="47"/>
  <c r="L85" i="47"/>
  <c r="M85" i="47"/>
  <c r="N85" i="47"/>
  <c r="K86" i="47"/>
  <c r="L86" i="47"/>
  <c r="M86" i="47"/>
  <c r="N86" i="47"/>
  <c r="K87" i="47"/>
  <c r="L87" i="47"/>
  <c r="M87" i="47"/>
  <c r="N87" i="47"/>
  <c r="K88" i="47"/>
  <c r="L88" i="47"/>
  <c r="M88" i="47"/>
  <c r="N88" i="47"/>
  <c r="K89" i="47"/>
  <c r="L89" i="47"/>
  <c r="M89" i="47"/>
  <c r="N89" i="47"/>
  <c r="K90" i="47"/>
  <c r="L90" i="47"/>
  <c r="M90" i="47"/>
  <c r="N90" i="47"/>
  <c r="K91" i="47"/>
  <c r="L91" i="47"/>
  <c r="M91" i="47"/>
  <c r="N91" i="47"/>
  <c r="K92" i="47"/>
  <c r="L92" i="47"/>
  <c r="M92" i="47"/>
  <c r="N92" i="47"/>
  <c r="K93" i="47"/>
  <c r="L93" i="47"/>
  <c r="M93" i="47"/>
  <c r="N93" i="47"/>
  <c r="K94" i="47"/>
  <c r="L94" i="47"/>
  <c r="M94" i="47"/>
  <c r="AH16" i="47" s="1"/>
  <c r="N94" i="47"/>
  <c r="K95" i="47"/>
  <c r="L95" i="47"/>
  <c r="M95" i="47"/>
  <c r="N95" i="47"/>
  <c r="K96" i="47"/>
  <c r="L96" i="47"/>
  <c r="M96" i="47"/>
  <c r="N96" i="47"/>
  <c r="K97" i="47"/>
  <c r="L97" i="47"/>
  <c r="M97" i="47"/>
  <c r="N97" i="47"/>
  <c r="K98" i="47"/>
  <c r="L98" i="47"/>
  <c r="M98" i="47"/>
  <c r="N98" i="47"/>
  <c r="K99" i="47"/>
  <c r="L99" i="47"/>
  <c r="M99" i="47"/>
  <c r="N99" i="47"/>
  <c r="K100" i="47"/>
  <c r="L100" i="47"/>
  <c r="M100" i="47"/>
  <c r="N100" i="47"/>
  <c r="K101" i="47"/>
  <c r="L101" i="47"/>
  <c r="M101" i="47"/>
  <c r="N101" i="47"/>
  <c r="K102" i="47"/>
  <c r="L102" i="47"/>
  <c r="M102" i="47"/>
  <c r="N102" i="47"/>
  <c r="K103" i="47"/>
  <c r="L103" i="47"/>
  <c r="M103" i="47"/>
  <c r="N103" i="47"/>
  <c r="K104" i="47"/>
  <c r="L104" i="47"/>
  <c r="M104" i="47"/>
  <c r="AH17" i="47" s="1"/>
  <c r="N104" i="47"/>
  <c r="K6" i="47"/>
  <c r="L6" i="47"/>
  <c r="M6" i="47"/>
  <c r="N6" i="47"/>
  <c r="K5" i="47"/>
  <c r="L5" i="47"/>
  <c r="M5" i="47"/>
  <c r="N5" i="47"/>
  <c r="J5" i="47"/>
  <c r="AH8" i="47"/>
  <c r="T20" i="18"/>
  <c r="S20" i="18"/>
  <c r="R20" i="18"/>
  <c r="Q20" i="18"/>
  <c r="T19" i="18"/>
  <c r="S19" i="18"/>
  <c r="Q19" i="18"/>
  <c r="R19" i="18"/>
  <c r="T18" i="18"/>
  <c r="S18" i="18"/>
  <c r="Q18" i="18"/>
  <c r="R18" i="18"/>
  <c r="T17" i="18"/>
  <c r="S17" i="18"/>
  <c r="Q17" i="18"/>
  <c r="R17" i="18"/>
  <c r="T16" i="18"/>
  <c r="S16" i="18"/>
  <c r="Q16" i="18"/>
  <c r="R16" i="18"/>
  <c r="T15" i="18"/>
  <c r="S15" i="18"/>
  <c r="Q15" i="18"/>
  <c r="R15" i="18"/>
  <c r="T14" i="18"/>
  <c r="S14" i="18"/>
  <c r="Q14" i="18"/>
  <c r="R14" i="18"/>
  <c r="T13" i="18"/>
  <c r="S13" i="18"/>
  <c r="Q13" i="18"/>
  <c r="R13" i="18"/>
  <c r="T12" i="18"/>
  <c r="Q12" i="18"/>
  <c r="R12" i="18"/>
  <c r="T11" i="18"/>
  <c r="R11" i="18"/>
  <c r="S11" i="18"/>
  <c r="Q11" i="18"/>
  <c r="T10" i="18"/>
  <c r="Q10" i="18"/>
  <c r="S10" i="18"/>
  <c r="R10" i="18"/>
  <c r="T9" i="18"/>
  <c r="Q9" i="18"/>
  <c r="R9" i="18"/>
  <c r="S9" i="18"/>
  <c r="T8" i="18"/>
  <c r="Q8" i="18"/>
  <c r="S8" i="18"/>
  <c r="R8" i="18"/>
  <c r="T7" i="18"/>
  <c r="Q7" i="18"/>
  <c r="R7" i="18"/>
  <c r="S7" i="18"/>
  <c r="T6" i="18"/>
  <c r="Q6" i="18"/>
  <c r="S6" i="18"/>
  <c r="R6" i="18"/>
  <c r="S12" i="18"/>
  <c r="AA6" i="18"/>
  <c r="AA7" i="18"/>
  <c r="AA8" i="18"/>
  <c r="AA9" i="18"/>
  <c r="AA10" i="18"/>
  <c r="AA11" i="18"/>
  <c r="AA12" i="18"/>
  <c r="AA13" i="18"/>
  <c r="AA14" i="18"/>
  <c r="AA15" i="18"/>
  <c r="AA16" i="18"/>
  <c r="AA17" i="18"/>
  <c r="AA18" i="18"/>
  <c r="AA19" i="18"/>
  <c r="AA20" i="18"/>
  <c r="AA21" i="18"/>
  <c r="Z6" i="18"/>
  <c r="Z10" i="18"/>
  <c r="Z13" i="18"/>
  <c r="Z14" i="18"/>
  <c r="Z12" i="18"/>
  <c r="Z17" i="18"/>
  <c r="Z20" i="18"/>
  <c r="Z19" i="18"/>
  <c r="Z15" i="18"/>
  <c r="Z21" i="18"/>
  <c r="Z8" i="18"/>
  <c r="Z11" i="18"/>
  <c r="Z16" i="18"/>
  <c r="Z7" i="18"/>
  <c r="Z9" i="18"/>
  <c r="Z18" i="18"/>
  <c r="AH333" i="18"/>
  <c r="AG106" i="18"/>
  <c r="AH168" i="18"/>
  <c r="AH158" i="18"/>
  <c r="AH234" i="18"/>
  <c r="AG212" i="18"/>
  <c r="AH224" i="18"/>
  <c r="AG169" i="18"/>
  <c r="AH191" i="18"/>
  <c r="AG123" i="18"/>
  <c r="AG74" i="18"/>
  <c r="AG326" i="18"/>
  <c r="AH341" i="18"/>
  <c r="AH200" i="18"/>
  <c r="AH325" i="18"/>
  <c r="AH298" i="18"/>
  <c r="AG93" i="18"/>
  <c r="AG168" i="18"/>
  <c r="AH131" i="18"/>
  <c r="AH295" i="18"/>
  <c r="AH134" i="18"/>
  <c r="AH228" i="18"/>
  <c r="AG345" i="18"/>
  <c r="AG185" i="18"/>
  <c r="AH288" i="18"/>
  <c r="AG76" i="18"/>
  <c r="AG152" i="18"/>
  <c r="AH143" i="18"/>
  <c r="AG239" i="18"/>
  <c r="AH9" i="18"/>
  <c r="AH33" i="18"/>
  <c r="AG188" i="18"/>
  <c r="AH146" i="18"/>
  <c r="AG295" i="18"/>
  <c r="AH26" i="18"/>
  <c r="AG181" i="18"/>
  <c r="AG50" i="18"/>
  <c r="AH343" i="18"/>
  <c r="AG175" i="18"/>
  <c r="AH305" i="18"/>
  <c r="AG143" i="18"/>
  <c r="AH281" i="18"/>
  <c r="AH163" i="18"/>
  <c r="AH346" i="18"/>
  <c r="AG60" i="18"/>
  <c r="AG85" i="18"/>
  <c r="AG104" i="18"/>
  <c r="AG216" i="18"/>
  <c r="AH31" i="18"/>
  <c r="AH337" i="18"/>
  <c r="AH265" i="18"/>
  <c r="AG324" i="18"/>
  <c r="AG65" i="18"/>
  <c r="AH215" i="18"/>
  <c r="AH324" i="18"/>
  <c r="AH217" i="18"/>
  <c r="AH141" i="18"/>
  <c r="AG279" i="18"/>
  <c r="AH329" i="18"/>
  <c r="AH133" i="18"/>
  <c r="AH136" i="18"/>
  <c r="AH176" i="18"/>
  <c r="AG54" i="18"/>
  <c r="AH151" i="18"/>
  <c r="AH24" i="18"/>
  <c r="AG77" i="18"/>
  <c r="AG178" i="18"/>
  <c r="AH139" i="18"/>
  <c r="AG79" i="18"/>
  <c r="AG224" i="18"/>
  <c r="AG294" i="18"/>
  <c r="AG352" i="18"/>
  <c r="AH42" i="18"/>
  <c r="AG186" i="18"/>
  <c r="AG127" i="18"/>
  <c r="AH165" i="18"/>
  <c r="AH294" i="18"/>
  <c r="AH184" i="18"/>
  <c r="AH241" i="18"/>
  <c r="AG82" i="18"/>
  <c r="AG125" i="18"/>
  <c r="AH178" i="18"/>
  <c r="AH72" i="18"/>
  <c r="AH207" i="18"/>
  <c r="AG247" i="18"/>
  <c r="AH137" i="18"/>
  <c r="AG310" i="18"/>
  <c r="AG362" i="18"/>
  <c r="AH275" i="18"/>
  <c r="AG252" i="18"/>
  <c r="AH149" i="18"/>
  <c r="AG196" i="18"/>
  <c r="AG111" i="18"/>
  <c r="AH209" i="18"/>
  <c r="AG222" i="18"/>
  <c r="AH167" i="18"/>
  <c r="AH43" i="18"/>
  <c r="AG293" i="18"/>
  <c r="AG217" i="18"/>
  <c r="AG132" i="18"/>
  <c r="AG8" i="18"/>
  <c r="AG349" i="18"/>
  <c r="AG199" i="18"/>
  <c r="AG283" i="18"/>
  <c r="AG39" i="18"/>
  <c r="AH266" i="18"/>
  <c r="AH320" i="18"/>
  <c r="AH117" i="18"/>
  <c r="AH339" i="18"/>
  <c r="AG25" i="18"/>
  <c r="AG280" i="18"/>
  <c r="AH35" i="18"/>
  <c r="AH216" i="18"/>
  <c r="AH359" i="18"/>
  <c r="AH300" i="18"/>
  <c r="AG89" i="18"/>
  <c r="AH87" i="18"/>
  <c r="AG223" i="18"/>
  <c r="AG204" i="18"/>
  <c r="AH187" i="18"/>
  <c r="AH11" i="18"/>
  <c r="AH235" i="18"/>
  <c r="AG206" i="18"/>
  <c r="AG4" i="18"/>
  <c r="AG202" i="18"/>
  <c r="AG43" i="18"/>
  <c r="AH292" i="18"/>
  <c r="AG10" i="18"/>
  <c r="AG281" i="18"/>
  <c r="AH116" i="18"/>
  <c r="AG80" i="18"/>
  <c r="AH145" i="18"/>
  <c r="AH352" i="18"/>
  <c r="AH34" i="18"/>
  <c r="AG275" i="18"/>
  <c r="AH351" i="18"/>
  <c r="AG131" i="18"/>
  <c r="AH350" i="18"/>
  <c r="AG61" i="18"/>
  <c r="AG120" i="18"/>
  <c r="AG299" i="18"/>
  <c r="AG215" i="18"/>
  <c r="AG109" i="18"/>
  <c r="AH249" i="18"/>
  <c r="AG129" i="18"/>
  <c r="AG331" i="18"/>
  <c r="AG256" i="18"/>
  <c r="AG298" i="18"/>
  <c r="AH174" i="18"/>
  <c r="AH258" i="18"/>
  <c r="AH89" i="18"/>
  <c r="AH36" i="18"/>
  <c r="AH268" i="18"/>
  <c r="AG105" i="18"/>
  <c r="AG172" i="18"/>
  <c r="AG320" i="18"/>
  <c r="AH38" i="18"/>
  <c r="AH264" i="18"/>
  <c r="AH238" i="18"/>
  <c r="AH355" i="18"/>
  <c r="AH7" i="18"/>
  <c r="AG69" i="18"/>
  <c r="AG42" i="18"/>
  <c r="AH96" i="18"/>
  <c r="AG210" i="18"/>
  <c r="AG339" i="18"/>
  <c r="AH14" i="18"/>
  <c r="AH259" i="18"/>
  <c r="AH166" i="18"/>
  <c r="AG88" i="18"/>
  <c r="AG46" i="18"/>
  <c r="AG58" i="18"/>
  <c r="AH13" i="18"/>
  <c r="AH231" i="18"/>
  <c r="AH32" i="18"/>
  <c r="AG308" i="18"/>
  <c r="AG122" i="18"/>
  <c r="AH315" i="18"/>
  <c r="AG312" i="18"/>
  <c r="AH225" i="18"/>
  <c r="AG250" i="18"/>
  <c r="AH155" i="18"/>
  <c r="AG56" i="18"/>
  <c r="AH57" i="18"/>
  <c r="AG59" i="18"/>
  <c r="AH27" i="18"/>
  <c r="AG300" i="18"/>
  <c r="AG315" i="18"/>
  <c r="AG92" i="18"/>
  <c r="AG338" i="18"/>
  <c r="AG141" i="18"/>
  <c r="AG285" i="18"/>
  <c r="AG297" i="18"/>
  <c r="AH6" i="18"/>
  <c r="AG195" i="18"/>
  <c r="AG49" i="18"/>
  <c r="AG140" i="18"/>
  <c r="AG102" i="18"/>
  <c r="AH132" i="18"/>
  <c r="AH293" i="18"/>
  <c r="AG146" i="18"/>
  <c r="AG277" i="18"/>
  <c r="AG37" i="18"/>
  <c r="AH153" i="18"/>
  <c r="AG238" i="18"/>
  <c r="AG87" i="18"/>
  <c r="AH327" i="18"/>
  <c r="AG220" i="18"/>
  <c r="AG343" i="18"/>
  <c r="AG13" i="18"/>
  <c r="AG130" i="18"/>
  <c r="AH335" i="18"/>
  <c r="AG137" i="18"/>
  <c r="AH45" i="18"/>
  <c r="AH299" i="18"/>
  <c r="AH60" i="18"/>
  <c r="AH252" i="18"/>
  <c r="AG20" i="18"/>
  <c r="AG70" i="18"/>
  <c r="AG289" i="18"/>
  <c r="AH247" i="18"/>
  <c r="AG314" i="18"/>
  <c r="AG183" i="18"/>
  <c r="AH303" i="18"/>
  <c r="AG284" i="18"/>
  <c r="AG189" i="18"/>
  <c r="AG258" i="18"/>
  <c r="AG11" i="18"/>
  <c r="AH107" i="18"/>
  <c r="AG276" i="18"/>
  <c r="AG176" i="18"/>
  <c r="AG350" i="18"/>
  <c r="AH282" i="18"/>
  <c r="AG255" i="18"/>
  <c r="AH347" i="18"/>
  <c r="AG325" i="18"/>
  <c r="AH5" i="18"/>
  <c r="AG57" i="18"/>
  <c r="AG86" i="18"/>
  <c r="AH51" i="18"/>
  <c r="AH190" i="18"/>
  <c r="AG108" i="18"/>
  <c r="AG139" i="18"/>
  <c r="AG114" i="18"/>
  <c r="AH99" i="18"/>
  <c r="AH85" i="18"/>
  <c r="AH243" i="18"/>
  <c r="AH316" i="18"/>
  <c r="AG126" i="18"/>
  <c r="AH175" i="18"/>
  <c r="AG121" i="18"/>
  <c r="AH222" i="18"/>
  <c r="AG307" i="18"/>
  <c r="AG236" i="18"/>
  <c r="AH194" i="18"/>
  <c r="AG103" i="18"/>
  <c r="AG356" i="18"/>
  <c r="AH73" i="18"/>
  <c r="AH171" i="18"/>
  <c r="AG164" i="18"/>
  <c r="AG208" i="18"/>
  <c r="AG24" i="18"/>
  <c r="AH144" i="18"/>
  <c r="AG240" i="18"/>
  <c r="AG160" i="18"/>
  <c r="AG340" i="18"/>
  <c r="AG353" i="18"/>
  <c r="AG134" i="18"/>
  <c r="AG67" i="18"/>
  <c r="AH80" i="18"/>
  <c r="AH348" i="18"/>
  <c r="AG266" i="18"/>
  <c r="AH30" i="18"/>
  <c r="AH283" i="18"/>
  <c r="AH302" i="18"/>
  <c r="AG282" i="18"/>
  <c r="AH193" i="18"/>
  <c r="AG214" i="18"/>
  <c r="AG30" i="18"/>
  <c r="AH61" i="18"/>
  <c r="AG302" i="18"/>
  <c r="AH338" i="18"/>
  <c r="AG304" i="18"/>
  <c r="AG117" i="18"/>
  <c r="AH120" i="18"/>
  <c r="AH93" i="18"/>
  <c r="AG235" i="18"/>
  <c r="AH260" i="18"/>
  <c r="AH54" i="18"/>
  <c r="AG162" i="18"/>
  <c r="AG232" i="18"/>
  <c r="AH53" i="18"/>
  <c r="AH170" i="18"/>
  <c r="AG173" i="18"/>
  <c r="AH181" i="18"/>
  <c r="AH55" i="18"/>
  <c r="AG12" i="18"/>
  <c r="AG190" i="18"/>
  <c r="AH310" i="18"/>
  <c r="AG198" i="18"/>
  <c r="AG337" i="18"/>
  <c r="AH127" i="18"/>
  <c r="AH219" i="18"/>
  <c r="AG263" i="18"/>
  <c r="AH105" i="18"/>
  <c r="AH47" i="18"/>
  <c r="AH110" i="18"/>
  <c r="AH128" i="18"/>
  <c r="AG98" i="18"/>
  <c r="AH280" i="18"/>
  <c r="AG101" i="18"/>
  <c r="AG158" i="18"/>
  <c r="AH322" i="18"/>
  <c r="AH152" i="18"/>
  <c r="AG336" i="18"/>
  <c r="AG27" i="18"/>
  <c r="AG171" i="18"/>
  <c r="AG200" i="18"/>
  <c r="AG292" i="18"/>
  <c r="AH140" i="18"/>
  <c r="AG47" i="18"/>
  <c r="AH64" i="18"/>
  <c r="AH201" i="18"/>
  <c r="AG156" i="18"/>
  <c r="AH56" i="18"/>
  <c r="AG241" i="18"/>
  <c r="AG357" i="18"/>
  <c r="AG107" i="18"/>
  <c r="AH46" i="18"/>
  <c r="AG333" i="18"/>
  <c r="AG251" i="18"/>
  <c r="AG17" i="18"/>
  <c r="AH186" i="18"/>
  <c r="AG96" i="18"/>
  <c r="AG26" i="18"/>
  <c r="AG15" i="18"/>
  <c r="AH185" i="18"/>
  <c r="AH108" i="18"/>
  <c r="AH197" i="18"/>
  <c r="AH156" i="18"/>
  <c r="AH213" i="18"/>
  <c r="AH313" i="18"/>
  <c r="AH239" i="18"/>
  <c r="AH78" i="18"/>
  <c r="AH75" i="18"/>
  <c r="AG321" i="18"/>
  <c r="AG330" i="18"/>
  <c r="AH236" i="18"/>
  <c r="AG14" i="18"/>
  <c r="AG201" i="18"/>
  <c r="AH129" i="18"/>
  <c r="AH81" i="18"/>
  <c r="AG118" i="18"/>
  <c r="AH353" i="18"/>
  <c r="AG346" i="18"/>
  <c r="AH309" i="18"/>
  <c r="AH71" i="18"/>
  <c r="AG226" i="18"/>
  <c r="AH237" i="18"/>
  <c r="AH357" i="18"/>
  <c r="AH69" i="18"/>
  <c r="AH286" i="18"/>
  <c r="AH308" i="18"/>
  <c r="AG211" i="18"/>
  <c r="AH304" i="18"/>
  <c r="AH342" i="18"/>
  <c r="AH88" i="18"/>
  <c r="AG44" i="18"/>
  <c r="AG35" i="18"/>
  <c r="AH362" i="18"/>
  <c r="AG136" i="18"/>
  <c r="AG71" i="18"/>
  <c r="AG48" i="18"/>
  <c r="AH177" i="18"/>
  <c r="AG262" i="18"/>
  <c r="AH195" i="18"/>
  <c r="AG28" i="18"/>
  <c r="AH173" i="18"/>
  <c r="AH233" i="18"/>
  <c r="AG159" i="18"/>
  <c r="AG351" i="18"/>
  <c r="AH312" i="18"/>
  <c r="AH210" i="18"/>
  <c r="AH40" i="18"/>
  <c r="AG218" i="18"/>
  <c r="AH257" i="18"/>
  <c r="AG287" i="18"/>
  <c r="AH19" i="18"/>
  <c r="AG21" i="18"/>
  <c r="AH25" i="18"/>
  <c r="AG219" i="18"/>
  <c r="AH218" i="18"/>
  <c r="AG29" i="18"/>
  <c r="AG260" i="18"/>
  <c r="AG303" i="18"/>
  <c r="AH334" i="18"/>
  <c r="AG332" i="18"/>
  <c r="AG237" i="18"/>
  <c r="AG64" i="18"/>
  <c r="AH50" i="18"/>
  <c r="AH39" i="18"/>
  <c r="AH307" i="18"/>
  <c r="AH269" i="18"/>
  <c r="AG213" i="18"/>
  <c r="AG167" i="18"/>
  <c r="AG33" i="18"/>
  <c r="AG124" i="18"/>
  <c r="AG253" i="18"/>
  <c r="AG184" i="18"/>
  <c r="AH10" i="18"/>
  <c r="AG323" i="18"/>
  <c r="AH261" i="18"/>
  <c r="AG147" i="18"/>
  <c r="AH162" i="18"/>
  <c r="AG272" i="18"/>
  <c r="AG112" i="18"/>
  <c r="AH122" i="18"/>
  <c r="AG243" i="18"/>
  <c r="AG348" i="18"/>
  <c r="AH226" i="18"/>
  <c r="AG191" i="18"/>
  <c r="AG360" i="18"/>
  <c r="AG157" i="18"/>
  <c r="AG358" i="18"/>
  <c r="AG254" i="18"/>
  <c r="AH150" i="18"/>
  <c r="AH90" i="18"/>
  <c r="AH130" i="18"/>
  <c r="AH169" i="18"/>
  <c r="AG53" i="18"/>
  <c r="AH159" i="18"/>
  <c r="AH44" i="18"/>
  <c r="AH147" i="18"/>
  <c r="AG84" i="18"/>
  <c r="AH48" i="18"/>
  <c r="AH336" i="18"/>
  <c r="AG163" i="18"/>
  <c r="AH113" i="18"/>
  <c r="AH279" i="18"/>
  <c r="AH211" i="18"/>
  <c r="AG182" i="18"/>
  <c r="AH223" i="18"/>
  <c r="AH94" i="18"/>
  <c r="AG328" i="18"/>
  <c r="AH271" i="18"/>
  <c r="AH317" i="18"/>
  <c r="AG81" i="18"/>
  <c r="AH182" i="18"/>
  <c r="AG274" i="18"/>
  <c r="AH262" i="18"/>
  <c r="AG34" i="18"/>
  <c r="AG270" i="18"/>
  <c r="AG316" i="18"/>
  <c r="AG16" i="18"/>
  <c r="AG40" i="18"/>
  <c r="AH148" i="18"/>
  <c r="AG273" i="18"/>
  <c r="AG148" i="18"/>
  <c r="AG110" i="18"/>
  <c r="AG192" i="18"/>
  <c r="AH331" i="18"/>
  <c r="AH326" i="18"/>
  <c r="AG317" i="18"/>
  <c r="AH111" i="18"/>
  <c r="AH344" i="18"/>
  <c r="AH330" i="18"/>
  <c r="AG197" i="18"/>
  <c r="AH318" i="18"/>
  <c r="AH230" i="18"/>
  <c r="AH41" i="18"/>
  <c r="AG145" i="18"/>
  <c r="AH15" i="18"/>
  <c r="AH363" i="18"/>
  <c r="AH70" i="18"/>
  <c r="AG207" i="18"/>
  <c r="AG267" i="18"/>
  <c r="AH289" i="18"/>
  <c r="AG291" i="18"/>
  <c r="AG265" i="18"/>
  <c r="AG23" i="18"/>
  <c r="AG311" i="18"/>
  <c r="AH240" i="18"/>
  <c r="AH28" i="18"/>
  <c r="AH301" i="18"/>
  <c r="AG62" i="18"/>
  <c r="AH255" i="18"/>
  <c r="AH360" i="18"/>
  <c r="AG174" i="18"/>
  <c r="AG95" i="18"/>
  <c r="AG83" i="18"/>
  <c r="AG73" i="18"/>
  <c r="AG138" i="18"/>
  <c r="AH18" i="18"/>
  <c r="AH296" i="18"/>
  <c r="AG41" i="18"/>
  <c r="AH196" i="18"/>
  <c r="AG32" i="18"/>
  <c r="AH84" i="18"/>
  <c r="AH29" i="18"/>
  <c r="AH160" i="18"/>
  <c r="AG6" i="18"/>
  <c r="AH291" i="18"/>
  <c r="AG116" i="18"/>
  <c r="AH245" i="18"/>
  <c r="AH306" i="18"/>
  <c r="AG271" i="18"/>
  <c r="AH101" i="18"/>
  <c r="AG341" i="18"/>
  <c r="AG259" i="18"/>
  <c r="AH125" i="18"/>
  <c r="AG248" i="18"/>
  <c r="AG234" i="18"/>
  <c r="AH188" i="18"/>
  <c r="AG18" i="18"/>
  <c r="AG231" i="18"/>
  <c r="AG361" i="18"/>
  <c r="AG180" i="18"/>
  <c r="AG305" i="18"/>
  <c r="AH189" i="18"/>
  <c r="AH311" i="18"/>
  <c r="AH16" i="18"/>
  <c r="AG52" i="18"/>
  <c r="AH135" i="18"/>
  <c r="AH68" i="18"/>
  <c r="AG99" i="18"/>
  <c r="AH76" i="18"/>
  <c r="AH138" i="18"/>
  <c r="AG230" i="18"/>
  <c r="AH267" i="18"/>
  <c r="AH221" i="18"/>
  <c r="AG7" i="18"/>
  <c r="AH123" i="18"/>
  <c r="AH358" i="18"/>
  <c r="AH66" i="18"/>
  <c r="AH214" i="18"/>
  <c r="AH276" i="18"/>
  <c r="AH65" i="18"/>
  <c r="AH102" i="18"/>
  <c r="AH12" i="18"/>
  <c r="AH229" i="18"/>
  <c r="AG36" i="18"/>
  <c r="AG150" i="18"/>
  <c r="AG151" i="18"/>
  <c r="AH314" i="18"/>
  <c r="AH172" i="18"/>
  <c r="AG334" i="18"/>
  <c r="AH323" i="18"/>
  <c r="AH332" i="18"/>
  <c r="AH79" i="18"/>
  <c r="AG97" i="18"/>
  <c r="AH205" i="18"/>
  <c r="AG228" i="18"/>
  <c r="AH297" i="18"/>
  <c r="AG170" i="18"/>
  <c r="AG278" i="18"/>
  <c r="AG290" i="18"/>
  <c r="AH232" i="18"/>
  <c r="AG78" i="18"/>
  <c r="AG177" i="18"/>
  <c r="AG142" i="18"/>
  <c r="AH244" i="18"/>
  <c r="AG233" i="18"/>
  <c r="AH202" i="18"/>
  <c r="AH109" i="18"/>
  <c r="AG45" i="18"/>
  <c r="AH164" i="18"/>
  <c r="AH227" i="18"/>
  <c r="AG347" i="18"/>
  <c r="AG161" i="18"/>
  <c r="AH254" i="18"/>
  <c r="AG269" i="18"/>
  <c r="AH253" i="18"/>
  <c r="AG359" i="18"/>
  <c r="AH272" i="18"/>
  <c r="AG91" i="18"/>
  <c r="AG209" i="18"/>
  <c r="AG286" i="18"/>
  <c r="AH199" i="18"/>
  <c r="AH212" i="18"/>
  <c r="AH208" i="18"/>
  <c r="AG166" i="18"/>
  <c r="AG19" i="18"/>
  <c r="AH345" i="18"/>
  <c r="AG149" i="18"/>
  <c r="AG155" i="18"/>
  <c r="AG227" i="18"/>
  <c r="AH142" i="18"/>
  <c r="AH67" i="18"/>
  <c r="AH287" i="18"/>
  <c r="AH106" i="18"/>
  <c r="AG51" i="18"/>
  <c r="AG242" i="18"/>
  <c r="AG75" i="18"/>
  <c r="AG194" i="18"/>
  <c r="AG309" i="18"/>
  <c r="AH180" i="18"/>
  <c r="AG329" i="18"/>
  <c r="AH198" i="18"/>
  <c r="AH328" i="18"/>
  <c r="AG38" i="18"/>
  <c r="AG249" i="18"/>
  <c r="AH119" i="18"/>
  <c r="AH21" i="18"/>
  <c r="AG229" i="18"/>
  <c r="AH20" i="18"/>
  <c r="AG319" i="18"/>
  <c r="AH83" i="18"/>
  <c r="AG221" i="18"/>
  <c r="AH59" i="18"/>
  <c r="AH256" i="18"/>
  <c r="AG128" i="18"/>
  <c r="AG244" i="18"/>
  <c r="AH248" i="18"/>
  <c r="AH95" i="18"/>
  <c r="AH285" i="18"/>
  <c r="AH273" i="18"/>
  <c r="AG94" i="18"/>
  <c r="AH77" i="18"/>
  <c r="AH86" i="18"/>
  <c r="AH321" i="18"/>
  <c r="AH23" i="18"/>
  <c r="AG55" i="18"/>
  <c r="AG313" i="18"/>
  <c r="AH270" i="18"/>
  <c r="AH114" i="18"/>
  <c r="AG187" i="18"/>
  <c r="AH92" i="18"/>
  <c r="AG5" i="18"/>
  <c r="AG113" i="18"/>
  <c r="AH17" i="18"/>
  <c r="AG261" i="18"/>
  <c r="AG363" i="18"/>
  <c r="AG355" i="18"/>
  <c r="AH112" i="18"/>
  <c r="AH263" i="18"/>
  <c r="AH63" i="18"/>
  <c r="AH246" i="18"/>
  <c r="AG31" i="18"/>
  <c r="AG322" i="18"/>
  <c r="AG288" i="18"/>
  <c r="AH220" i="18"/>
  <c r="AG165" i="18"/>
  <c r="AH115" i="18"/>
  <c r="AG327" i="18"/>
  <c r="AG68" i="18"/>
  <c r="AH206" i="18"/>
  <c r="AG268" i="18"/>
  <c r="AH349" i="18"/>
  <c r="AG193" i="18"/>
  <c r="AH103" i="18"/>
  <c r="AG9" i="18"/>
  <c r="AH356" i="18"/>
  <c r="AG257" i="18"/>
  <c r="AG135" i="18"/>
  <c r="AH204" i="18"/>
  <c r="AH104" i="18"/>
  <c r="AH340" i="18"/>
  <c r="AG344" i="18"/>
  <c r="AG225" i="18"/>
  <c r="AH22" i="18"/>
  <c r="AH284" i="18"/>
  <c r="AG119" i="18"/>
  <c r="AH118" i="18"/>
  <c r="AH179" i="18"/>
  <c r="AG205" i="18"/>
  <c r="AH250" i="18"/>
  <c r="AH97" i="18"/>
  <c r="AG264" i="18"/>
  <c r="AG179" i="18"/>
  <c r="AG144" i="18"/>
  <c r="AG100" i="18"/>
  <c r="AH8" i="18"/>
  <c r="AH4" i="18"/>
  <c r="AH58" i="18"/>
  <c r="AH274" i="18"/>
  <c r="AH49" i="18"/>
  <c r="AG342" i="18"/>
  <c r="AH319" i="18"/>
  <c r="AG318" i="18"/>
  <c r="AH126" i="18"/>
  <c r="AH361" i="18"/>
  <c r="AH251" i="18"/>
  <c r="AH121" i="18"/>
  <c r="AH62" i="18"/>
  <c r="AH157" i="18"/>
  <c r="AG203" i="18"/>
  <c r="AG22" i="18"/>
  <c r="AH203" i="18"/>
  <c r="AH161" i="18"/>
  <c r="AH100" i="18"/>
  <c r="AG72" i="18"/>
  <c r="AH278" i="18"/>
  <c r="AG66" i="18"/>
  <c r="AG154" i="18"/>
  <c r="AG63" i="18"/>
  <c r="AH82" i="18"/>
  <c r="AG296" i="18"/>
  <c r="AG90" i="18"/>
  <c r="AH354" i="18"/>
  <c r="AH290" i="18"/>
  <c r="AG354" i="18"/>
  <c r="AG306" i="18"/>
  <c r="AH192" i="18"/>
  <c r="AG153" i="18"/>
  <c r="AG133" i="18"/>
  <c r="AH98" i="18"/>
  <c r="AH154" i="18"/>
  <c r="AH124" i="18"/>
  <c r="AG246" i="18"/>
  <c r="AH242" i="18"/>
  <c r="AH277" i="18"/>
  <c r="AG335" i="18"/>
  <c r="AG301" i="18"/>
  <c r="AH91" i="18"/>
  <c r="AH37" i="18"/>
  <c r="AH52" i="18"/>
  <c r="AG115" i="18"/>
  <c r="AH74" i="18"/>
  <c r="AH183" i="18"/>
  <c r="AG245" i="18"/>
  <c r="Y17" i="18"/>
  <c r="X15" i="18"/>
  <c r="X16" i="18"/>
  <c r="Y6" i="18"/>
  <c r="Y9" i="18"/>
  <c r="Y10" i="18"/>
  <c r="Y21" i="18"/>
  <c r="Y11" i="18"/>
  <c r="Y18" i="18"/>
  <c r="Y14" i="18"/>
  <c r="Y7" i="18"/>
  <c r="Y15" i="18"/>
  <c r="Y20" i="18"/>
  <c r="Y19" i="18"/>
  <c r="X12" i="18"/>
  <c r="X11" i="18"/>
  <c r="X7" i="18"/>
  <c r="X17" i="18"/>
  <c r="X20" i="18"/>
  <c r="X21" i="18"/>
  <c r="X19" i="18"/>
  <c r="X18" i="18"/>
  <c r="X10" i="18"/>
  <c r="X14" i="18"/>
  <c r="X13" i="18"/>
  <c r="Y16" i="18"/>
  <c r="X9" i="18"/>
  <c r="Y8" i="18"/>
  <c r="Y12" i="18"/>
  <c r="X6" i="18"/>
  <c r="Y13" i="18"/>
  <c r="X8" i="18"/>
  <c r="AF171" i="18"/>
  <c r="AF313" i="18"/>
  <c r="AE260" i="18"/>
  <c r="AE303" i="18"/>
  <c r="AF100" i="18"/>
  <c r="AF243" i="18"/>
  <c r="AF351" i="18"/>
  <c r="AE119" i="18"/>
  <c r="AE116" i="18"/>
  <c r="AF153" i="18"/>
  <c r="AF249" i="18"/>
  <c r="AE236" i="18"/>
  <c r="AE337" i="18"/>
  <c r="AF63" i="18"/>
  <c r="AF352" i="18"/>
  <c r="AF201" i="18"/>
  <c r="AE102" i="18"/>
  <c r="AF240" i="18"/>
  <c r="AF84" i="18"/>
  <c r="AE149" i="18"/>
  <c r="AE211" i="18"/>
  <c r="AF19" i="18"/>
  <c r="AE272" i="18"/>
  <c r="AE270" i="18"/>
  <c r="AF273" i="18"/>
  <c r="AF46" i="18"/>
  <c r="AE198" i="18"/>
  <c r="AE207" i="18"/>
  <c r="AF198" i="18"/>
  <c r="AE348" i="18"/>
  <c r="AF5" i="18"/>
  <c r="AF338" i="18"/>
  <c r="AE184" i="18"/>
  <c r="AF348" i="18"/>
  <c r="AE289" i="18"/>
  <c r="AF69" i="18"/>
  <c r="AF67" i="18"/>
  <c r="AF43" i="18"/>
  <c r="AE137" i="18"/>
  <c r="AE33" i="18"/>
  <c r="AF167" i="18"/>
  <c r="AF253" i="18"/>
  <c r="AF4" i="18"/>
  <c r="AF304" i="18"/>
  <c r="AE90" i="18"/>
  <c r="AF51" i="18"/>
  <c r="AF168" i="18"/>
  <c r="AF130" i="18"/>
  <c r="AE126" i="18"/>
  <c r="AE176" i="18"/>
  <c r="AE136" i="18"/>
  <c r="AE138" i="18"/>
  <c r="AF151" i="18"/>
  <c r="AE154" i="18"/>
  <c r="AE358" i="18"/>
  <c r="AE354" i="18"/>
  <c r="AF70" i="18"/>
  <c r="AF333" i="18"/>
  <c r="AE155" i="18"/>
  <c r="AE96" i="18"/>
  <c r="AE159" i="18"/>
  <c r="AE21" i="18"/>
  <c r="AE4" i="18"/>
  <c r="AE340" i="18"/>
  <c r="AF190" i="18"/>
  <c r="AE103" i="18"/>
  <c r="AF353" i="18"/>
  <c r="AF289" i="18"/>
  <c r="AF290" i="18"/>
  <c r="AE57" i="18"/>
  <c r="AE131" i="18"/>
  <c r="AE217" i="18"/>
  <c r="AF344" i="18"/>
  <c r="AF244" i="18"/>
  <c r="AF204" i="18"/>
  <c r="AE319" i="18"/>
  <c r="AE91" i="18"/>
  <c r="AF121" i="18"/>
  <c r="AF55" i="18"/>
  <c r="AF76" i="18"/>
  <c r="AF179" i="18"/>
  <c r="AE240" i="18"/>
  <c r="AE315" i="18"/>
  <c r="AE135" i="18"/>
  <c r="AF235" i="18"/>
  <c r="AE230" i="18"/>
  <c r="AE263" i="18"/>
  <c r="AE249" i="18"/>
  <c r="AE172" i="18"/>
  <c r="AF292" i="18"/>
  <c r="AF202" i="18"/>
  <c r="AF225" i="18"/>
  <c r="AE232" i="18"/>
  <c r="AE304" i="18"/>
  <c r="AE87" i="18"/>
  <c r="AF326" i="18"/>
  <c r="AE74" i="18"/>
  <c r="AF87" i="18"/>
  <c r="AF349" i="18"/>
  <c r="AF343" i="18"/>
  <c r="AE228" i="18"/>
  <c r="AF291" i="18"/>
  <c r="AE48" i="18"/>
  <c r="AF176" i="18"/>
  <c r="AF152" i="18"/>
  <c r="AF328" i="18"/>
  <c r="AF337" i="18"/>
  <c r="AE123" i="18"/>
  <c r="AF195" i="18"/>
  <c r="AF279" i="18"/>
  <c r="AE360" i="18"/>
  <c r="AF178" i="18"/>
  <c r="AF331" i="18"/>
  <c r="AF156" i="18"/>
  <c r="AE85" i="18"/>
  <c r="AE301" i="18"/>
  <c r="AF262" i="18"/>
  <c r="AF299" i="18"/>
  <c r="AE147" i="18"/>
  <c r="AF339" i="18"/>
  <c r="AE234" i="18"/>
  <c r="AF311" i="18"/>
  <c r="AE339" i="18"/>
  <c r="AF149" i="18"/>
  <c r="AE133" i="18"/>
  <c r="AF232" i="18"/>
  <c r="AE284" i="18"/>
  <c r="AF258" i="18"/>
  <c r="AE302" i="18"/>
  <c r="AF108" i="18"/>
  <c r="AE362" i="18"/>
  <c r="AE243" i="18"/>
  <c r="AE276" i="18"/>
  <c r="AF216" i="18"/>
  <c r="AF203" i="18"/>
  <c r="AE92" i="18"/>
  <c r="AE361" i="18"/>
  <c r="AE193" i="18"/>
  <c r="AE53" i="18"/>
  <c r="AF89" i="18"/>
  <c r="AF11" i="18"/>
  <c r="AE113" i="18"/>
  <c r="AF64" i="18"/>
  <c r="AF155" i="18"/>
  <c r="AE105" i="18"/>
  <c r="AF335" i="18"/>
  <c r="AF107" i="18"/>
  <c r="AF26" i="18"/>
  <c r="AF284" i="18"/>
  <c r="AE322" i="18"/>
  <c r="AF300" i="18"/>
  <c r="AF36" i="18"/>
  <c r="AE231" i="18"/>
  <c r="AE32" i="18"/>
  <c r="AE189" i="18"/>
  <c r="AF49" i="18"/>
  <c r="AE219" i="18"/>
  <c r="AF200" i="18"/>
  <c r="AF248" i="18"/>
  <c r="AE44" i="18"/>
  <c r="AE247" i="18"/>
  <c r="AF186" i="18"/>
  <c r="AE306" i="18"/>
  <c r="AE262" i="18"/>
  <c r="AE221" i="18"/>
  <c r="AE346" i="18"/>
  <c r="AF330" i="18"/>
  <c r="AE257" i="18"/>
  <c r="AE312" i="18"/>
  <c r="AF37" i="18"/>
  <c r="AE209" i="18"/>
  <c r="AE336" i="18"/>
  <c r="AF209" i="18"/>
  <c r="AE50" i="18"/>
  <c r="AE89" i="18"/>
  <c r="AF140" i="18"/>
  <c r="AF263" i="18"/>
  <c r="AE125" i="18"/>
  <c r="AF27" i="18"/>
  <c r="AE26" i="18"/>
  <c r="AE31" i="18"/>
  <c r="AE216" i="18"/>
  <c r="AE203" i="18"/>
  <c r="AE343" i="18"/>
  <c r="AE12" i="18"/>
  <c r="AF226" i="18"/>
  <c r="AE27" i="18"/>
  <c r="AE294" i="18"/>
  <c r="AE215" i="18"/>
  <c r="AF29" i="18"/>
  <c r="AF120" i="18"/>
  <c r="AF218" i="18"/>
  <c r="AF99" i="18"/>
  <c r="AE163" i="18"/>
  <c r="AF184" i="18"/>
  <c r="AF254" i="18"/>
  <c r="AE258" i="18"/>
  <c r="AF228" i="18"/>
  <c r="AE280" i="18"/>
  <c r="AE71" i="18"/>
  <c r="AF193" i="18"/>
  <c r="AF175" i="18"/>
  <c r="AF213" i="18"/>
  <c r="AE164" i="18"/>
  <c r="AE241" i="18"/>
  <c r="AF124" i="18"/>
  <c r="AF158" i="18"/>
  <c r="AF229" i="18"/>
  <c r="AE309" i="18"/>
  <c r="AF267" i="18"/>
  <c r="AE37" i="18"/>
  <c r="AF261" i="18"/>
  <c r="AF210" i="18"/>
  <c r="AF194" i="18"/>
  <c r="AF297" i="18"/>
  <c r="AE15" i="18"/>
  <c r="AE59" i="18"/>
  <c r="AE206" i="18"/>
  <c r="AF137" i="18"/>
  <c r="AE139" i="18"/>
  <c r="AE40" i="18"/>
  <c r="AF23" i="18"/>
  <c r="AF296" i="18"/>
  <c r="AF310" i="18"/>
  <c r="AF8" i="18"/>
  <c r="AF271" i="18"/>
  <c r="AF319" i="18"/>
  <c r="AE183" i="18"/>
  <c r="AF95" i="18"/>
  <c r="AE106" i="18"/>
  <c r="AF355" i="18"/>
  <c r="AF118" i="18"/>
  <c r="AE28" i="18"/>
  <c r="AE72" i="18"/>
  <c r="AE17" i="18"/>
  <c r="AE242" i="18"/>
  <c r="AF165" i="18"/>
  <c r="AE65" i="18"/>
  <c r="AF265" i="18"/>
  <c r="AE345" i="18"/>
  <c r="AF360" i="18"/>
  <c r="AF39" i="18"/>
  <c r="AE266" i="18"/>
  <c r="AF77" i="18"/>
  <c r="AE185" i="18"/>
  <c r="AF7" i="18"/>
  <c r="AE156" i="18"/>
  <c r="AF88" i="18"/>
  <c r="AE144" i="18"/>
  <c r="AF315" i="18"/>
  <c r="AE313" i="18"/>
  <c r="AF363" i="18"/>
  <c r="AE76" i="18"/>
  <c r="AE52" i="18"/>
  <c r="AE79" i="18"/>
  <c r="AE317" i="18"/>
  <c r="AE101" i="18"/>
  <c r="AE352" i="18"/>
  <c r="AE165" i="18"/>
  <c r="AE177" i="18"/>
  <c r="AF111" i="18"/>
  <c r="AF97" i="18"/>
  <c r="AF114" i="18"/>
  <c r="AF264" i="18"/>
  <c r="AF189" i="18"/>
  <c r="AF346" i="18"/>
  <c r="AE287" i="18"/>
  <c r="AF135" i="18"/>
  <c r="AF28" i="18"/>
  <c r="AF199" i="18"/>
  <c r="AF132" i="18"/>
  <c r="AF83" i="18"/>
  <c r="AE97" i="18"/>
  <c r="AF283" i="18"/>
  <c r="AF269" i="18"/>
  <c r="AF177" i="18"/>
  <c r="AE146" i="18"/>
  <c r="AF60" i="18"/>
  <c r="AF357" i="18"/>
  <c r="AE248" i="18"/>
  <c r="AF215" i="18"/>
  <c r="AE68" i="18"/>
  <c r="AE347" i="18"/>
  <c r="AF85" i="18"/>
  <c r="AF13" i="18"/>
  <c r="AE140" i="18"/>
  <c r="AE14" i="18"/>
  <c r="AE169" i="18"/>
  <c r="AE268" i="18"/>
  <c r="AE186" i="18"/>
  <c r="AE104" i="18"/>
  <c r="AE6" i="18"/>
  <c r="AE86" i="18"/>
  <c r="AE295" i="18"/>
  <c r="AF116" i="18"/>
  <c r="AF302" i="18"/>
  <c r="AE25" i="18"/>
  <c r="AF294" i="18"/>
  <c r="AF187" i="18"/>
  <c r="AF25" i="18"/>
  <c r="AE199" i="18"/>
  <c r="AE325" i="18"/>
  <c r="AE200" i="18"/>
  <c r="AF98" i="18"/>
  <c r="AF318" i="18"/>
  <c r="AE334" i="18"/>
  <c r="AE265" i="18"/>
  <c r="AE310" i="18"/>
  <c r="AE70" i="18"/>
  <c r="AE349" i="18"/>
  <c r="AF145" i="18"/>
  <c r="AE18" i="18"/>
  <c r="AE204" i="18"/>
  <c r="AE167" i="18"/>
  <c r="AE255" i="18"/>
  <c r="AE95" i="18"/>
  <c r="AE142" i="18"/>
  <c r="AE63" i="18"/>
  <c r="AE41" i="18"/>
  <c r="AE10" i="18"/>
  <c r="AE107" i="18"/>
  <c r="AF57" i="18"/>
  <c r="AE259" i="18"/>
  <c r="AE291" i="18"/>
  <c r="AE45" i="18"/>
  <c r="AE127" i="18"/>
  <c r="AE256" i="18"/>
  <c r="AE195" i="18"/>
  <c r="AF329" i="18"/>
  <c r="AF117" i="18"/>
  <c r="AF74" i="18"/>
  <c r="AE237" i="18"/>
  <c r="AE114" i="18"/>
  <c r="AE192" i="18"/>
  <c r="AE78" i="18"/>
  <c r="AF307" i="18"/>
  <c r="AE158" i="18"/>
  <c r="AE281" i="18"/>
  <c r="AE66" i="18"/>
  <c r="AF327" i="18"/>
  <c r="AF166" i="18"/>
  <c r="AF59" i="18"/>
  <c r="AF180" i="18"/>
  <c r="AE80" i="18"/>
  <c r="AE36" i="18"/>
  <c r="AE335" i="18"/>
  <c r="AF238" i="18"/>
  <c r="AF324" i="18"/>
  <c r="AE166" i="18"/>
  <c r="AF82" i="18"/>
  <c r="AE77" i="18"/>
  <c r="AE60" i="18"/>
  <c r="AE83" i="18"/>
  <c r="AE187" i="18"/>
  <c r="AF293" i="18"/>
  <c r="AF358" i="18"/>
  <c r="AE275" i="18"/>
  <c r="AE143" i="18"/>
  <c r="AF73" i="18"/>
  <c r="AE338" i="18"/>
  <c r="AE152" i="18"/>
  <c r="AE278" i="18"/>
  <c r="AF91" i="18"/>
  <c r="AE150" i="18"/>
  <c r="AF277" i="18"/>
  <c r="AF222" i="18"/>
  <c r="AE112" i="18"/>
  <c r="AE67" i="18"/>
  <c r="AE308" i="18"/>
  <c r="AE277" i="18"/>
  <c r="AE69" i="18"/>
  <c r="AE202" i="18"/>
  <c r="AF309" i="18"/>
  <c r="AF133" i="18"/>
  <c r="AF219" i="18"/>
  <c r="AE264" i="18"/>
  <c r="AE168" i="18"/>
  <c r="AF127" i="18"/>
  <c r="AE324" i="18"/>
  <c r="AE213" i="18"/>
  <c r="AE161" i="18"/>
  <c r="AE134" i="18"/>
  <c r="AF6" i="18"/>
  <c r="AE180" i="18"/>
  <c r="AE98" i="18"/>
  <c r="AE320" i="18"/>
  <c r="AE201" i="18"/>
  <c r="AF241" i="18"/>
  <c r="AE300" i="18"/>
  <c r="AE22" i="18"/>
  <c r="AE299" i="18"/>
  <c r="AE196" i="18"/>
  <c r="AE124" i="18"/>
  <c r="AE333" i="18"/>
  <c r="AE141" i="18"/>
  <c r="AE181" i="18"/>
  <c r="AF52" i="18"/>
  <c r="AE174" i="18"/>
  <c r="AE218" i="18"/>
  <c r="AF101" i="18"/>
  <c r="AE94" i="18"/>
  <c r="AE356" i="18"/>
  <c r="AF206" i="18"/>
  <c r="AE238" i="18"/>
  <c r="AE81" i="18"/>
  <c r="AF103" i="18"/>
  <c r="AF22" i="18"/>
  <c r="AF58" i="18"/>
  <c r="AF257" i="18"/>
  <c r="AE75" i="18"/>
  <c r="AF20" i="18"/>
  <c r="AF325" i="18"/>
  <c r="AE194" i="18"/>
  <c r="AE108" i="18"/>
  <c r="AF181" i="18"/>
  <c r="AF50" i="18"/>
  <c r="AF276" i="18"/>
  <c r="AE274" i="18"/>
  <c r="AE39" i="18"/>
  <c r="AF54" i="18"/>
  <c r="AF361" i="18"/>
  <c r="AF182" i="18"/>
  <c r="AE20" i="18"/>
  <c r="AE321" i="18"/>
  <c r="AE271" i="18"/>
  <c r="AF16" i="18"/>
  <c r="AF157" i="18"/>
  <c r="AF66" i="18"/>
  <c r="AE19" i="18"/>
  <c r="AF247" i="18"/>
  <c r="AE239" i="18"/>
  <c r="AE246" i="18"/>
  <c r="AF231" i="18"/>
  <c r="AE205" i="18"/>
  <c r="AE355" i="18"/>
  <c r="AF147" i="18"/>
  <c r="AE13" i="18"/>
  <c r="AF162" i="18"/>
  <c r="AE332" i="18"/>
  <c r="AF223" i="18"/>
  <c r="AE111" i="18"/>
  <c r="AE323" i="18"/>
  <c r="AE296" i="18"/>
  <c r="AF40" i="18"/>
  <c r="AF234" i="18"/>
  <c r="AE179" i="18"/>
  <c r="AE110" i="18"/>
  <c r="AE82" i="18"/>
  <c r="AE251" i="18"/>
  <c r="AF142" i="18"/>
  <c r="AF266" i="18"/>
  <c r="AE122" i="18"/>
  <c r="AF320" i="18"/>
  <c r="AE130" i="18"/>
  <c r="AF280" i="18"/>
  <c r="AE38" i="18"/>
  <c r="AF139" i="18"/>
  <c r="AF316" i="18"/>
  <c r="AF196" i="18"/>
  <c r="AE43" i="18"/>
  <c r="AE342" i="18"/>
  <c r="AF56" i="18"/>
  <c r="AF233" i="18"/>
  <c r="AE117" i="18"/>
  <c r="AF134" i="18"/>
  <c r="AF105" i="18"/>
  <c r="AE250" i="18"/>
  <c r="AE273" i="18"/>
  <c r="AF81" i="18"/>
  <c r="AF169" i="18"/>
  <c r="AE314" i="18"/>
  <c r="AE285" i="18"/>
  <c r="AF9" i="18"/>
  <c r="AF305" i="18"/>
  <c r="AE318" i="18"/>
  <c r="AF47" i="18"/>
  <c r="AF301" i="18"/>
  <c r="AE162" i="18"/>
  <c r="AF10" i="18"/>
  <c r="AE157" i="18"/>
  <c r="AE227" i="18"/>
  <c r="AE311" i="18"/>
  <c r="AE109" i="18"/>
  <c r="AF164" i="18"/>
  <c r="AE128" i="18"/>
  <c r="AF242" i="18"/>
  <c r="AE190" i="18"/>
  <c r="AF34" i="18"/>
  <c r="AE341" i="18"/>
  <c r="AF68" i="18"/>
  <c r="AE269" i="18"/>
  <c r="AF285" i="18"/>
  <c r="AF281" i="18"/>
  <c r="AE153" i="18"/>
  <c r="AF278" i="18"/>
  <c r="AE245" i="18"/>
  <c r="AF317" i="18"/>
  <c r="AE160" i="18"/>
  <c r="AF75" i="18"/>
  <c r="AE55" i="18"/>
  <c r="AE93" i="18"/>
  <c r="AF192" i="18"/>
  <c r="AE178" i="18"/>
  <c r="AE326" i="18"/>
  <c r="AE297" i="18"/>
  <c r="AE170" i="18"/>
  <c r="AF306" i="18"/>
  <c r="AE305" i="18"/>
  <c r="AF239" i="18"/>
  <c r="AF62" i="18"/>
  <c r="AE175" i="18"/>
  <c r="AF80" i="18"/>
  <c r="AE118" i="18"/>
  <c r="AE357" i="18"/>
  <c r="AE224" i="18"/>
  <c r="AF65" i="18"/>
  <c r="AE8" i="18"/>
  <c r="AF356" i="18"/>
  <c r="AE350" i="18"/>
  <c r="AE49" i="18"/>
  <c r="AF154" i="18"/>
  <c r="AF159" i="18"/>
  <c r="AF362" i="18"/>
  <c r="AE120" i="18"/>
  <c r="AF260" i="18"/>
  <c r="AF102" i="18"/>
  <c r="AF224" i="18"/>
  <c r="AE62" i="18"/>
  <c r="AE16" i="18"/>
  <c r="AF322" i="18"/>
  <c r="AF143" i="18"/>
  <c r="AF128" i="18"/>
  <c r="AE288" i="18"/>
  <c r="AF221" i="18"/>
  <c r="AF345" i="18"/>
  <c r="AF32" i="18"/>
  <c r="AF251" i="18"/>
  <c r="AF183" i="18"/>
  <c r="AE29" i="18"/>
  <c r="AF286" i="18"/>
  <c r="AF227" i="18"/>
  <c r="AE171" i="18"/>
  <c r="AF94" i="18"/>
  <c r="AE51" i="18"/>
  <c r="AF104" i="18"/>
  <c r="AF272" i="18"/>
  <c r="AF250" i="18"/>
  <c r="AE5" i="18"/>
  <c r="AF217" i="18"/>
  <c r="AF323" i="18"/>
  <c r="AE47" i="18"/>
  <c r="AE233" i="18"/>
  <c r="AE359" i="18"/>
  <c r="AF208" i="18"/>
  <c r="AF38" i="18"/>
  <c r="AF35" i="18"/>
  <c r="AF268" i="18"/>
  <c r="AE132" i="18"/>
  <c r="AE61" i="18"/>
  <c r="AE307" i="18"/>
  <c r="AE267" i="18"/>
  <c r="AE182" i="18"/>
  <c r="AF122" i="18"/>
  <c r="AE46" i="18"/>
  <c r="AE54" i="18"/>
  <c r="AE7" i="18"/>
  <c r="AE254" i="18"/>
  <c r="AF295" i="18"/>
  <c r="AE121" i="18"/>
  <c r="AF220" i="18"/>
  <c r="AF119" i="18"/>
  <c r="AE145" i="18"/>
  <c r="AE293" i="18"/>
  <c r="AF79" i="18"/>
  <c r="AF188" i="18"/>
  <c r="AE290" i="18"/>
  <c r="AF205" i="18"/>
  <c r="AF336" i="18"/>
  <c r="AF246" i="18"/>
  <c r="AF78" i="18"/>
  <c r="AF136" i="18"/>
  <c r="AE344" i="18"/>
  <c r="AE292" i="18"/>
  <c r="AF48" i="18"/>
  <c r="AF33" i="18"/>
  <c r="AE191" i="18"/>
  <c r="AF41" i="18"/>
  <c r="AF42" i="18"/>
  <c r="AE220" i="18"/>
  <c r="AE223" i="18"/>
  <c r="AF332" i="18"/>
  <c r="AE188" i="18"/>
  <c r="AE282" i="18"/>
  <c r="AF170" i="18"/>
  <c r="AF14" i="18"/>
  <c r="AF308" i="18"/>
  <c r="AE148" i="18"/>
  <c r="AE129" i="18"/>
  <c r="AE73" i="18"/>
  <c r="AF126" i="18"/>
  <c r="AE115" i="18"/>
  <c r="AF197" i="18"/>
  <c r="AE283" i="18"/>
  <c r="AE253" i="18"/>
  <c r="AE261" i="18"/>
  <c r="AF163" i="18"/>
  <c r="AF342" i="18"/>
  <c r="AF106" i="18"/>
  <c r="AE327" i="18"/>
  <c r="AF237" i="18"/>
  <c r="AF131" i="18"/>
  <c r="AE279" i="18"/>
  <c r="AF31" i="18"/>
  <c r="AE225" i="18"/>
  <c r="AF350" i="18"/>
  <c r="AF236" i="18"/>
  <c r="AF314" i="18"/>
  <c r="AE84" i="18"/>
  <c r="AE151" i="18"/>
  <c r="AF303" i="18"/>
  <c r="AE88" i="18"/>
  <c r="AE24" i="18"/>
  <c r="AF191" i="18"/>
  <c r="AE56" i="18"/>
  <c r="AE11" i="18"/>
  <c r="AE35" i="18"/>
  <c r="AE316" i="18"/>
  <c r="AF172" i="18"/>
  <c r="AF141" i="18"/>
  <c r="AF30" i="18"/>
  <c r="AE100" i="18"/>
  <c r="AF45" i="18"/>
  <c r="AE353" i="18"/>
  <c r="AF144" i="18"/>
  <c r="AE286" i="18"/>
  <c r="AF340" i="18"/>
  <c r="AF125" i="18"/>
  <c r="AF18" i="18"/>
  <c r="AE331" i="18"/>
  <c r="AF347" i="18"/>
  <c r="AF288" i="18"/>
  <c r="AF92" i="18"/>
  <c r="AF112" i="18"/>
  <c r="AE330" i="18"/>
  <c r="AF211" i="18"/>
  <c r="AF90" i="18"/>
  <c r="AF129" i="18"/>
  <c r="AF21" i="18"/>
  <c r="AF71" i="18"/>
  <c r="AF274" i="18"/>
  <c r="AF185" i="18"/>
  <c r="AF146" i="18"/>
  <c r="AF207" i="18"/>
  <c r="AF245" i="18"/>
  <c r="AE298" i="18"/>
  <c r="AE197" i="18"/>
  <c r="AF44" i="18"/>
  <c r="AE363" i="18"/>
  <c r="AE212" i="18"/>
  <c r="AF287" i="18"/>
  <c r="AE30" i="18"/>
  <c r="AF93" i="18"/>
  <c r="AF148" i="18"/>
  <c r="AE58" i="18"/>
  <c r="AF174" i="18"/>
  <c r="AE328" i="18"/>
  <c r="AE226" i="18"/>
  <c r="AF256" i="18"/>
  <c r="AF96" i="18"/>
  <c r="AF214" i="18"/>
  <c r="AE99" i="18"/>
  <c r="AE229" i="18"/>
  <c r="AF270" i="18"/>
  <c r="AE173" i="18"/>
  <c r="AE222" i="18"/>
  <c r="AE64" i="18"/>
  <c r="AF230" i="18"/>
  <c r="AF255" i="18"/>
  <c r="AF298" i="18"/>
  <c r="AF150" i="18"/>
  <c r="AE23" i="18"/>
  <c r="AF312" i="18"/>
  <c r="AE34" i="18"/>
  <c r="AF86" i="18"/>
  <c r="AE235" i="18"/>
  <c r="AF123" i="18"/>
  <c r="AE351" i="18"/>
  <c r="AF212" i="18"/>
  <c r="AE208" i="18"/>
  <c r="AF138" i="18"/>
  <c r="AE244" i="18"/>
  <c r="AF61" i="18"/>
  <c r="AF334" i="18"/>
  <c r="AF109" i="18"/>
  <c r="AF115" i="18"/>
  <c r="AF12" i="18"/>
  <c r="AF113" i="18"/>
  <c r="AF354" i="18"/>
  <c r="AF173" i="18"/>
  <c r="AE329" i="18"/>
  <c r="AF17" i="18"/>
  <c r="AF282" i="18"/>
  <c r="AE210" i="18"/>
  <c r="AF275" i="18"/>
  <c r="AF359" i="18"/>
  <c r="AE252" i="18"/>
  <c r="AE9" i="18"/>
  <c r="AF53" i="18"/>
  <c r="AF259" i="18"/>
  <c r="AE42" i="18"/>
  <c r="AF252" i="18"/>
  <c r="AF24" i="18"/>
  <c r="AF160" i="18"/>
  <c r="AF341" i="18"/>
  <c r="AF15" i="18"/>
  <c r="AF72" i="18"/>
  <c r="AF161" i="18"/>
  <c r="AF110" i="18"/>
  <c r="AE214" i="18"/>
  <c r="AF321" i="18"/>
  <c r="C13" i="105"/>
  <c r="R4" i="109"/>
  <c r="E13" i="105"/>
  <c r="D13" i="105"/>
  <c r="V4" i="109"/>
  <c r="T4" i="109"/>
  <c r="G13" i="105"/>
  <c r="F13" i="105"/>
  <c r="S4" i="109"/>
  <c r="U4" i="109"/>
  <c r="T16" i="109" l="1"/>
  <c r="T24" i="109"/>
  <c r="S13" i="109"/>
  <c r="S18" i="109"/>
  <c r="V21" i="109"/>
  <c r="S26" i="109"/>
  <c r="U16" i="109"/>
  <c r="S17" i="109"/>
  <c r="T19" i="109"/>
  <c r="T20" i="109"/>
  <c r="S22" i="109"/>
  <c r="V23" i="109"/>
  <c r="S25" i="109"/>
  <c r="V26" i="109"/>
  <c r="S28" i="109"/>
  <c r="V29" i="109"/>
  <c r="R13" i="109"/>
  <c r="V14" i="109"/>
  <c r="T30" i="109"/>
  <c r="V31" i="109"/>
  <c r="T32" i="109"/>
  <c r="R33" i="109"/>
  <c r="V34" i="109"/>
  <c r="T35" i="109"/>
  <c r="R36" i="109"/>
  <c r="V37" i="109"/>
  <c r="T38" i="109"/>
  <c r="R39" i="109"/>
  <c r="V40" i="109"/>
  <c r="T41" i="109"/>
  <c r="R42" i="109"/>
  <c r="V43" i="109"/>
  <c r="T44" i="109"/>
  <c r="R45" i="109"/>
  <c r="V46" i="109"/>
  <c r="T47" i="109"/>
  <c r="R48" i="109"/>
  <c r="V49" i="109"/>
  <c r="T50" i="109"/>
  <c r="R51" i="109"/>
  <c r="V52" i="109"/>
  <c r="T53" i="109"/>
  <c r="R54" i="109"/>
  <c r="V55" i="109"/>
  <c r="T56" i="109"/>
  <c r="R57" i="109"/>
  <c r="V58" i="109"/>
  <c r="T59" i="109"/>
  <c r="R60" i="109"/>
  <c r="V61" i="109"/>
  <c r="T62" i="109"/>
  <c r="R63" i="109"/>
  <c r="S64" i="109"/>
  <c r="T65" i="109"/>
  <c r="U66" i="109"/>
  <c r="V67" i="109"/>
  <c r="R69" i="109"/>
  <c r="S70" i="109"/>
  <c r="T71" i="109"/>
  <c r="U72" i="109"/>
  <c r="V73" i="109"/>
  <c r="R75" i="109"/>
  <c r="S76" i="109"/>
  <c r="T77" i="109"/>
  <c r="U78" i="109"/>
  <c r="V79" i="109"/>
  <c r="R81" i="109"/>
  <c r="S82" i="109"/>
  <c r="T83" i="109"/>
  <c r="U84" i="109"/>
  <c r="V85" i="109"/>
  <c r="R87" i="109"/>
  <c r="S88" i="109"/>
  <c r="T89" i="109"/>
  <c r="U90" i="109"/>
  <c r="V91" i="109"/>
  <c r="R93" i="109"/>
  <c r="S94" i="109"/>
  <c r="T95" i="109"/>
  <c r="U96" i="109"/>
  <c r="V97" i="109"/>
  <c r="R99" i="109"/>
  <c r="S100" i="109"/>
  <c r="T101" i="109"/>
  <c r="U102" i="109"/>
  <c r="V103" i="109"/>
  <c r="R105" i="109"/>
  <c r="S106" i="109"/>
  <c r="T107" i="109"/>
  <c r="U108" i="109"/>
  <c r="R110" i="109"/>
  <c r="S111" i="109"/>
  <c r="T112" i="109"/>
  <c r="U113" i="109"/>
  <c r="V114" i="109"/>
  <c r="R116" i="109"/>
  <c r="S117" i="109"/>
  <c r="T118" i="109"/>
  <c r="U119" i="109"/>
  <c r="V120" i="109"/>
  <c r="R122" i="109"/>
  <c r="U21" i="109"/>
  <c r="T27" i="109"/>
  <c r="U30" i="109"/>
  <c r="U35" i="109"/>
  <c r="S36" i="109"/>
  <c r="S42" i="109"/>
  <c r="U50" i="109"/>
  <c r="S51" i="109"/>
  <c r="U53" i="109"/>
  <c r="S54" i="109"/>
  <c r="U56" i="109"/>
  <c r="S57" i="109"/>
  <c r="U59" i="109"/>
  <c r="U62" i="109"/>
  <c r="R68" i="109"/>
  <c r="S69" i="109"/>
  <c r="T70" i="109"/>
  <c r="U71" i="109"/>
  <c r="V72" i="109"/>
  <c r="T76" i="109"/>
  <c r="U77" i="109"/>
  <c r="V78" i="109"/>
  <c r="R80" i="109"/>
  <c r="S81" i="109"/>
  <c r="T82" i="109"/>
  <c r="R86" i="109"/>
  <c r="S87" i="109"/>
  <c r="T88" i="109"/>
  <c r="U89" i="109"/>
  <c r="R92" i="109"/>
  <c r="S93" i="109"/>
  <c r="T94" i="109"/>
  <c r="R98" i="109"/>
  <c r="R104" i="109"/>
  <c r="S105" i="109"/>
  <c r="T106" i="109"/>
  <c r="U107" i="109"/>
  <c r="V108" i="109"/>
  <c r="S110" i="109"/>
  <c r="T111" i="109"/>
  <c r="U112" i="109"/>
  <c r="V113" i="109"/>
  <c r="U118" i="109"/>
  <c r="V119" i="109"/>
  <c r="R121" i="109"/>
  <c r="S122" i="109"/>
  <c r="T15" i="109"/>
  <c r="S16" i="109"/>
  <c r="U18" i="109"/>
  <c r="S19" i="109"/>
  <c r="T21" i="109"/>
  <c r="V22" i="109"/>
  <c r="S24" i="109"/>
  <c r="V25" i="109"/>
  <c r="S27" i="109"/>
  <c r="V28" i="109"/>
  <c r="T13" i="109"/>
  <c r="R14" i="109"/>
  <c r="V30" i="109"/>
  <c r="R31" i="109"/>
  <c r="V32" i="109"/>
  <c r="T33" i="109"/>
  <c r="R34" i="109"/>
  <c r="V35" i="109"/>
  <c r="T36" i="109"/>
  <c r="R37" i="109"/>
  <c r="V38" i="109"/>
  <c r="T39" i="109"/>
  <c r="R40" i="109"/>
  <c r="V41" i="109"/>
  <c r="T42" i="109"/>
  <c r="R43" i="109"/>
  <c r="V44" i="109"/>
  <c r="T45" i="109"/>
  <c r="R46" i="109"/>
  <c r="V47" i="109"/>
  <c r="T48" i="109"/>
  <c r="R49" i="109"/>
  <c r="V50" i="109"/>
  <c r="T51" i="109"/>
  <c r="R52" i="109"/>
  <c r="V53" i="109"/>
  <c r="T54" i="109"/>
  <c r="R55" i="109"/>
  <c r="V56" i="109"/>
  <c r="T57" i="109"/>
  <c r="R58" i="109"/>
  <c r="V59" i="109"/>
  <c r="T60" i="109"/>
  <c r="R61" i="109"/>
  <c r="V62" i="109"/>
  <c r="T63" i="109"/>
  <c r="U64" i="109"/>
  <c r="V65" i="109"/>
  <c r="R67" i="109"/>
  <c r="S68" i="109"/>
  <c r="T69" i="109"/>
  <c r="U70" i="109"/>
  <c r="V71" i="109"/>
  <c r="R73" i="109"/>
  <c r="S74" i="109"/>
  <c r="T75" i="109"/>
  <c r="U76" i="109"/>
  <c r="V77" i="109"/>
  <c r="R79" i="109"/>
  <c r="S80" i="109"/>
  <c r="T81" i="109"/>
  <c r="U82" i="109"/>
  <c r="V83" i="109"/>
  <c r="R85" i="109"/>
  <c r="S86" i="109"/>
  <c r="T87" i="109"/>
  <c r="U88" i="109"/>
  <c r="V89" i="109"/>
  <c r="R91" i="109"/>
  <c r="S92" i="109"/>
  <c r="T93" i="109"/>
  <c r="U94" i="109"/>
  <c r="V95" i="109"/>
  <c r="R97" i="109"/>
  <c r="S98" i="109"/>
  <c r="T99" i="109"/>
  <c r="U100" i="109"/>
  <c r="V101" i="109"/>
  <c r="R103" i="109"/>
  <c r="S104" i="109"/>
  <c r="T105" i="109"/>
  <c r="U106" i="109"/>
  <c r="V107" i="109"/>
  <c r="R109" i="109"/>
  <c r="T110" i="109"/>
  <c r="U111" i="109"/>
  <c r="V112" i="109"/>
  <c r="R114" i="109"/>
  <c r="S115" i="109"/>
  <c r="T116" i="109"/>
  <c r="U117" i="109"/>
  <c r="V118" i="109"/>
  <c r="R120" i="109"/>
  <c r="S121" i="109"/>
  <c r="T122" i="109"/>
  <c r="V20" i="109"/>
  <c r="U28" i="109"/>
  <c r="U32" i="109"/>
  <c r="S33" i="109"/>
  <c r="U38" i="109"/>
  <c r="S39" i="109"/>
  <c r="U41" i="109"/>
  <c r="U44" i="109"/>
  <c r="S45" i="109"/>
  <c r="U47" i="109"/>
  <c r="S48" i="109"/>
  <c r="S60" i="109"/>
  <c r="S63" i="109"/>
  <c r="T64" i="109"/>
  <c r="U65" i="109"/>
  <c r="V66" i="109"/>
  <c r="R74" i="109"/>
  <c r="S75" i="109"/>
  <c r="U83" i="109"/>
  <c r="V84" i="109"/>
  <c r="V90" i="109"/>
  <c r="U95" i="109"/>
  <c r="V96" i="109"/>
  <c r="S99" i="109"/>
  <c r="T100" i="109"/>
  <c r="U101" i="109"/>
  <c r="V102" i="109"/>
  <c r="R115" i="109"/>
  <c r="S116" i="109"/>
  <c r="T117" i="109"/>
  <c r="U15" i="109"/>
  <c r="V16" i="109"/>
  <c r="T18" i="109"/>
  <c r="V19" i="109"/>
  <c r="S21" i="109"/>
  <c r="T23" i="109"/>
  <c r="U24" i="109"/>
  <c r="T26" i="109"/>
  <c r="U27" i="109"/>
  <c r="S29" i="109"/>
  <c r="U13" i="109"/>
  <c r="S14" i="109"/>
  <c r="S31" i="109"/>
  <c r="U33" i="109"/>
  <c r="S34" i="109"/>
  <c r="U36" i="109"/>
  <c r="S37" i="109"/>
  <c r="U39" i="109"/>
  <c r="S40" i="109"/>
  <c r="U42" i="109"/>
  <c r="S43" i="109"/>
  <c r="U45" i="109"/>
  <c r="S46" i="109"/>
  <c r="U48" i="109"/>
  <c r="S49" i="109"/>
  <c r="U51" i="109"/>
  <c r="S52" i="109"/>
  <c r="U54" i="109"/>
  <c r="S55" i="109"/>
  <c r="U57" i="109"/>
  <c r="S58" i="109"/>
  <c r="U60" i="109"/>
  <c r="S61" i="109"/>
  <c r="U63" i="109"/>
  <c r="V64" i="109"/>
  <c r="R66" i="109"/>
  <c r="S67" i="109"/>
  <c r="T68" i="109"/>
  <c r="U69" i="109"/>
  <c r="V70" i="109"/>
  <c r="R72" i="109"/>
  <c r="S73" i="109"/>
  <c r="T74" i="109"/>
  <c r="U75" i="109"/>
  <c r="V76" i="109"/>
  <c r="R78" i="109"/>
  <c r="S79" i="109"/>
  <c r="T80" i="109"/>
  <c r="U81" i="109"/>
  <c r="V82" i="109"/>
  <c r="R84" i="109"/>
  <c r="S85" i="109"/>
  <c r="T86" i="109"/>
  <c r="U87" i="109"/>
  <c r="V88" i="109"/>
  <c r="R90" i="109"/>
  <c r="S91" i="109"/>
  <c r="T92" i="109"/>
  <c r="U93" i="109"/>
  <c r="V94" i="109"/>
  <c r="R96" i="109"/>
  <c r="S97" i="109"/>
  <c r="T98" i="109"/>
  <c r="U99" i="109"/>
  <c r="V100" i="109"/>
  <c r="R102" i="109"/>
  <c r="S103" i="109"/>
  <c r="T104" i="109"/>
  <c r="U105" i="109"/>
  <c r="V106" i="109"/>
  <c r="R108" i="109"/>
  <c r="S109" i="109"/>
  <c r="U110" i="109"/>
  <c r="V111" i="109"/>
  <c r="R113" i="109"/>
  <c r="S114" i="109"/>
  <c r="T115" i="109"/>
  <c r="U116" i="109"/>
  <c r="V117" i="109"/>
  <c r="R119" i="109"/>
  <c r="S120" i="109"/>
  <c r="T121" i="109"/>
  <c r="U122" i="109"/>
  <c r="V17" i="109"/>
  <c r="U22" i="109"/>
  <c r="V27" i="109"/>
  <c r="V13" i="109"/>
  <c r="T14" i="109"/>
  <c r="R15" i="109"/>
  <c r="R16" i="109"/>
  <c r="R17" i="109"/>
  <c r="R18" i="109"/>
  <c r="R19" i="109"/>
  <c r="R20" i="109"/>
  <c r="R21" i="109"/>
  <c r="R22" i="109"/>
  <c r="R23" i="109"/>
  <c r="R24" i="109"/>
  <c r="R25" i="109"/>
  <c r="R26" i="109"/>
  <c r="R27" i="109"/>
  <c r="R28" i="109"/>
  <c r="R29" i="109"/>
  <c r="R30" i="109"/>
  <c r="T31" i="109"/>
  <c r="R32" i="109"/>
  <c r="V33" i="109"/>
  <c r="T34" i="109"/>
  <c r="R35" i="109"/>
  <c r="V36" i="109"/>
  <c r="T37" i="109"/>
  <c r="R38" i="109"/>
  <c r="V39" i="109"/>
  <c r="T40" i="109"/>
  <c r="R41" i="109"/>
  <c r="V42" i="109"/>
  <c r="T43" i="109"/>
  <c r="R44" i="109"/>
  <c r="V45" i="109"/>
  <c r="T46" i="109"/>
  <c r="R47" i="109"/>
  <c r="V48" i="109"/>
  <c r="T49" i="109"/>
  <c r="R50" i="109"/>
  <c r="V51" i="109"/>
  <c r="T52" i="109"/>
  <c r="R53" i="109"/>
  <c r="V54" i="109"/>
  <c r="T55" i="109"/>
  <c r="R56" i="109"/>
  <c r="V57" i="109"/>
  <c r="T58" i="109"/>
  <c r="R59" i="109"/>
  <c r="V60" i="109"/>
  <c r="T61" i="109"/>
  <c r="R62" i="109"/>
  <c r="V63" i="109"/>
  <c r="R65" i="109"/>
  <c r="S66" i="109"/>
  <c r="T67" i="109"/>
  <c r="U68" i="109"/>
  <c r="V69" i="109"/>
  <c r="R71" i="109"/>
  <c r="S72" i="109"/>
  <c r="T73" i="109"/>
  <c r="U74" i="109"/>
  <c r="V75" i="109"/>
  <c r="R77" i="109"/>
  <c r="S78" i="109"/>
  <c r="T79" i="109"/>
  <c r="U80" i="109"/>
  <c r="V81" i="109"/>
  <c r="R83" i="109"/>
  <c r="S84" i="109"/>
  <c r="T85" i="109"/>
  <c r="U86" i="109"/>
  <c r="V87" i="109"/>
  <c r="R89" i="109"/>
  <c r="S90" i="109"/>
  <c r="T91" i="109"/>
  <c r="U92" i="109"/>
  <c r="V93" i="109"/>
  <c r="R95" i="109"/>
  <c r="S96" i="109"/>
  <c r="T97" i="109"/>
  <c r="U98" i="109"/>
  <c r="V99" i="109"/>
  <c r="R101" i="109"/>
  <c r="S102" i="109"/>
  <c r="T103" i="109"/>
  <c r="U104" i="109"/>
  <c r="V105" i="109"/>
  <c r="R107" i="109"/>
  <c r="S108" i="109"/>
  <c r="T109" i="109"/>
  <c r="V110" i="109"/>
  <c r="R112" i="109"/>
  <c r="S113" i="109"/>
  <c r="T114" i="109"/>
  <c r="U115" i="109"/>
  <c r="V116" i="109"/>
  <c r="R118" i="109"/>
  <c r="S119" i="109"/>
  <c r="T120" i="109"/>
  <c r="U121" i="109"/>
  <c r="V122" i="109"/>
  <c r="U19" i="109"/>
  <c r="U25" i="109"/>
  <c r="S15" i="109"/>
  <c r="T17" i="109"/>
  <c r="S20" i="109"/>
  <c r="S23" i="109"/>
  <c r="V24" i="109"/>
  <c r="T29" i="109"/>
  <c r="V15" i="109"/>
  <c r="U17" i="109"/>
  <c r="V18" i="109"/>
  <c r="U20" i="109"/>
  <c r="T22" i="109"/>
  <c r="U23" i="109"/>
  <c r="T25" i="109"/>
  <c r="U26" i="109"/>
  <c r="T28" i="109"/>
  <c r="U29" i="109"/>
  <c r="U14" i="109"/>
  <c r="S30" i="109"/>
  <c r="U31" i="109"/>
  <c r="S32" i="109"/>
  <c r="U34" i="109"/>
  <c r="S35" i="109"/>
  <c r="U37" i="109"/>
  <c r="S38" i="109"/>
  <c r="U40" i="109"/>
  <c r="S41" i="109"/>
  <c r="U43" i="109"/>
  <c r="S44" i="109"/>
  <c r="U46" i="109"/>
  <c r="S47" i="109"/>
  <c r="U49" i="109"/>
  <c r="S50" i="109"/>
  <c r="U52" i="109"/>
  <c r="S53" i="109"/>
  <c r="U55" i="109"/>
  <c r="S56" i="109"/>
  <c r="U58" i="109"/>
  <c r="S59" i="109"/>
  <c r="U61" i="109"/>
  <c r="S62" i="109"/>
  <c r="R64" i="109"/>
  <c r="S65" i="109"/>
  <c r="T66" i="109"/>
  <c r="U67" i="109"/>
  <c r="V68" i="109"/>
  <c r="R70" i="109"/>
  <c r="S71" i="109"/>
  <c r="T72" i="109"/>
  <c r="U73" i="109"/>
  <c r="V74" i="109"/>
  <c r="R76" i="109"/>
  <c r="S77" i="109"/>
  <c r="T78" i="109"/>
  <c r="U79" i="109"/>
  <c r="V80" i="109"/>
  <c r="R82" i="109"/>
  <c r="S83" i="109"/>
  <c r="T84" i="109"/>
  <c r="U85" i="109"/>
  <c r="V86" i="109"/>
  <c r="R88" i="109"/>
  <c r="S89" i="109"/>
  <c r="T90" i="109"/>
  <c r="U91" i="109"/>
  <c r="V92" i="109"/>
  <c r="R94" i="109"/>
  <c r="S95" i="109"/>
  <c r="T96" i="109"/>
  <c r="U97" i="109"/>
  <c r="V98" i="109"/>
  <c r="R100" i="109"/>
  <c r="S101" i="109"/>
  <c r="T102" i="109"/>
  <c r="U103" i="109"/>
  <c r="V104" i="109"/>
  <c r="R106" i="109"/>
  <c r="S107" i="109"/>
  <c r="T108" i="109"/>
  <c r="U109" i="109"/>
  <c r="R111" i="109"/>
  <c r="S112" i="109"/>
  <c r="T113" i="109"/>
  <c r="U114" i="109"/>
  <c r="V115" i="109"/>
  <c r="R117" i="109"/>
  <c r="S118" i="109"/>
  <c r="T119" i="109"/>
  <c r="U120" i="109"/>
  <c r="V121" i="109"/>
  <c r="AB7" i="50"/>
  <c r="AC77" i="50"/>
  <c r="AA8" i="50"/>
  <c r="AC20" i="50"/>
  <c r="AD9" i="50"/>
  <c r="Z19" i="50"/>
  <c r="AD12" i="50"/>
  <c r="AC10" i="50"/>
  <c r="AB14" i="50"/>
  <c r="AC16" i="50"/>
  <c r="Z10" i="50"/>
  <c r="AB19" i="50"/>
  <c r="AD73" i="50"/>
  <c r="AB79" i="50"/>
  <c r="AB76" i="50"/>
  <c r="AB67" i="50"/>
  <c r="AA67" i="50"/>
  <c r="AB62" i="50"/>
  <c r="AD65" i="50"/>
  <c r="AC68" i="50"/>
  <c r="AA62" i="50"/>
  <c r="AB58" i="50"/>
  <c r="AD62" i="50"/>
  <c r="Z35" i="50"/>
  <c r="AA37" i="50"/>
  <c r="AE27" i="50"/>
  <c r="AB77" i="50"/>
  <c r="AB78" i="50"/>
  <c r="AC9" i="50"/>
  <c r="AA19" i="50"/>
  <c r="AC11" i="50"/>
  <c r="AA18" i="50"/>
  <c r="Z14" i="50"/>
  <c r="Z11" i="50"/>
  <c r="AA20" i="50"/>
  <c r="AA15" i="50"/>
  <c r="AD10" i="50"/>
  <c r="AC18" i="50"/>
  <c r="AB75" i="50"/>
  <c r="AA80" i="50"/>
  <c r="AD74" i="50"/>
  <c r="AC79" i="50"/>
  <c r="Z65" i="50"/>
  <c r="AB66" i="50"/>
  <c r="AD60" i="50"/>
  <c r="AA64" i="50"/>
  <c r="Z67" i="50"/>
  <c r="AB61" i="50"/>
  <c r="AB68" i="50"/>
  <c r="Z62" i="50"/>
  <c r="AB37" i="50"/>
  <c r="AD35" i="50"/>
  <c r="AA38" i="50"/>
  <c r="AH9" i="47"/>
  <c r="AB73" i="50"/>
  <c r="AA78" i="50"/>
  <c r="AB74" i="50"/>
  <c r="AA79" i="50"/>
  <c r="AB11" i="50"/>
  <c r="Z17" i="50"/>
  <c r="AA12" i="50"/>
  <c r="AC17" i="50"/>
  <c r="AB18" i="50"/>
  <c r="AD11" i="50"/>
  <c r="AC19" i="50"/>
  <c r="AA10" i="50"/>
  <c r="AA11" i="50"/>
  <c r="AA17" i="50"/>
  <c r="AA76" i="50"/>
  <c r="AA72" i="50"/>
  <c r="Z78" i="50"/>
  <c r="Z7" i="50"/>
  <c r="AB63" i="50"/>
  <c r="AC65" i="50"/>
  <c r="Z60" i="50"/>
  <c r="Z61" i="50"/>
  <c r="AA66" i="50"/>
  <c r="AE66" i="50" s="1"/>
  <c r="AC60" i="50"/>
  <c r="AC67" i="50"/>
  <c r="AA61" i="50"/>
  <c r="AB36" i="50"/>
  <c r="Z36" i="50"/>
  <c r="Z12" i="50"/>
  <c r="AC15" i="50"/>
  <c r="AA14" i="50"/>
  <c r="AD16" i="50"/>
  <c r="AA16" i="50"/>
  <c r="AB12" i="50"/>
  <c r="AD18" i="50"/>
  <c r="AD17" i="50"/>
  <c r="AA13" i="50"/>
  <c r="AB16" i="50"/>
  <c r="Z77" i="50"/>
  <c r="Z72" i="50"/>
  <c r="AB72" i="50"/>
  <c r="Z74" i="50"/>
  <c r="AD61" i="50"/>
  <c r="AD64" i="50"/>
  <c r="AA59" i="50"/>
  <c r="AA60" i="50"/>
  <c r="AB65" i="50"/>
  <c r="AD59" i="50"/>
  <c r="Z66" i="50"/>
  <c r="AB60" i="50"/>
  <c r="AC35" i="50"/>
  <c r="Z38" i="50"/>
  <c r="AE60" i="50"/>
  <c r="AE74" i="50"/>
  <c r="AA39" i="50"/>
  <c r="AB38" i="50"/>
  <c r="AD36" i="50"/>
  <c r="AD52" i="50"/>
  <c r="AB39" i="50"/>
  <c r="Z37" i="50"/>
  <c r="AB35" i="50"/>
  <c r="AE35" i="50" s="1"/>
  <c r="AD37" i="50"/>
  <c r="AE36" i="50"/>
  <c r="Z39" i="50"/>
  <c r="AC37" i="50"/>
  <c r="AE37" i="50" s="1"/>
  <c r="AD39" i="50"/>
  <c r="Z73" i="50"/>
  <c r="AC39" i="50"/>
  <c r="AE16" i="50"/>
  <c r="AE73" i="50"/>
  <c r="AE59" i="50"/>
  <c r="AE32" i="50"/>
  <c r="AE30" i="50"/>
  <c r="AF9" i="105"/>
  <c r="T9" i="105"/>
  <c r="AR9" i="105"/>
  <c r="AS12" i="105"/>
  <c r="AG12" i="105"/>
  <c r="U12" i="105"/>
  <c r="AR15" i="105"/>
  <c r="AF15" i="105"/>
  <c r="T15" i="105"/>
  <c r="S18" i="105"/>
  <c r="AQ18" i="105"/>
  <c r="AE18" i="105"/>
  <c r="AE21" i="105"/>
  <c r="S21" i="105"/>
  <c r="AQ21" i="105"/>
  <c r="V8" i="105"/>
  <c r="AT8" i="105"/>
  <c r="AH8" i="105"/>
  <c r="AH28" i="105"/>
  <c r="V28" i="105"/>
  <c r="AT28" i="105"/>
  <c r="AR29" i="105"/>
  <c r="AF29" i="105"/>
  <c r="T29" i="105"/>
  <c r="R30" i="105"/>
  <c r="AP30" i="105"/>
  <c r="AD30" i="105"/>
  <c r="V34" i="105"/>
  <c r="AT34" i="105"/>
  <c r="AH34" i="105"/>
  <c r="AF35" i="105"/>
  <c r="T35" i="105"/>
  <c r="AR35" i="105"/>
  <c r="AD36" i="105"/>
  <c r="R36" i="105"/>
  <c r="AP36" i="105"/>
  <c r="AH40" i="105"/>
  <c r="V40" i="105"/>
  <c r="AT40" i="105"/>
  <c r="AR41" i="105"/>
  <c r="AF41" i="105"/>
  <c r="T41" i="105"/>
  <c r="R42" i="105"/>
  <c r="AP42" i="105"/>
  <c r="AD42" i="105"/>
  <c r="V46" i="105"/>
  <c r="AT46" i="105"/>
  <c r="AH46" i="105"/>
  <c r="AF47" i="105"/>
  <c r="T47" i="105"/>
  <c r="AR47" i="105"/>
  <c r="AD48" i="105"/>
  <c r="R48" i="105"/>
  <c r="AP48" i="105"/>
  <c r="AG9" i="105"/>
  <c r="U9" i="105"/>
  <c r="AS9" i="105"/>
  <c r="AR12" i="105"/>
  <c r="AF12" i="105"/>
  <c r="T12" i="105"/>
  <c r="AQ15" i="105"/>
  <c r="AE15" i="105"/>
  <c r="S15" i="105"/>
  <c r="AG18" i="105"/>
  <c r="U18" i="105"/>
  <c r="AS18" i="105"/>
  <c r="AG21" i="105"/>
  <c r="U21" i="105"/>
  <c r="AS21" i="105"/>
  <c r="AS29" i="105"/>
  <c r="AG29" i="105"/>
  <c r="U29" i="105"/>
  <c r="S30" i="105"/>
  <c r="AQ30" i="105"/>
  <c r="AE30" i="105"/>
  <c r="AG35" i="105"/>
  <c r="U35" i="105"/>
  <c r="AS35" i="105"/>
  <c r="AQ36" i="105"/>
  <c r="AE36" i="105"/>
  <c r="S36" i="105"/>
  <c r="AS41" i="105"/>
  <c r="AG41" i="105"/>
  <c r="U41" i="105"/>
  <c r="S42" i="105"/>
  <c r="AQ42" i="105"/>
  <c r="AE42" i="105"/>
  <c r="AG47" i="105"/>
  <c r="U47" i="105"/>
  <c r="AS47" i="105"/>
  <c r="AQ48" i="105"/>
  <c r="AE48" i="105"/>
  <c r="S48" i="105"/>
  <c r="AE9" i="105"/>
  <c r="S9" i="105"/>
  <c r="AQ9" i="105"/>
  <c r="AQ12" i="105"/>
  <c r="AE12" i="105"/>
  <c r="S12" i="105"/>
  <c r="V15" i="105"/>
  <c r="AT15" i="105"/>
  <c r="AH15" i="105"/>
  <c r="AH18" i="105"/>
  <c r="V18" i="105"/>
  <c r="AT18" i="105"/>
  <c r="AT21" i="105"/>
  <c r="AH21" i="105"/>
  <c r="V21" i="105"/>
  <c r="AP25" i="105"/>
  <c r="AD25" i="105"/>
  <c r="R25" i="105"/>
  <c r="AT29" i="105"/>
  <c r="AH29" i="105"/>
  <c r="V29" i="105"/>
  <c r="AR30" i="105"/>
  <c r="T30" i="105"/>
  <c r="AF30" i="105"/>
  <c r="AD31" i="105"/>
  <c r="R31" i="105"/>
  <c r="AP31" i="105"/>
  <c r="AH35" i="105"/>
  <c r="V35" i="105"/>
  <c r="AT35" i="105"/>
  <c r="AR36" i="105"/>
  <c r="AF36" i="105"/>
  <c r="T36" i="105"/>
  <c r="AP37" i="105"/>
  <c r="AD37" i="105"/>
  <c r="R37" i="105"/>
  <c r="AT41" i="105"/>
  <c r="AH41" i="105"/>
  <c r="V41" i="105"/>
  <c r="T42" i="105"/>
  <c r="AR42" i="105"/>
  <c r="AF42" i="105"/>
  <c r="AD43" i="105"/>
  <c r="R43" i="105"/>
  <c r="AP43" i="105"/>
  <c r="AH47" i="105"/>
  <c r="V47" i="105"/>
  <c r="AT47" i="105"/>
  <c r="AR48" i="105"/>
  <c r="AF48" i="105"/>
  <c r="T48" i="105"/>
  <c r="AP49" i="105"/>
  <c r="AD49" i="105"/>
  <c r="R49" i="105"/>
  <c r="AT9" i="105"/>
  <c r="AH9" i="105"/>
  <c r="V9" i="105"/>
  <c r="AT12" i="105"/>
  <c r="AH12" i="105"/>
  <c r="V12" i="105"/>
  <c r="AF16" i="105"/>
  <c r="T16" i="105"/>
  <c r="AR16" i="105"/>
  <c r="AR19" i="105"/>
  <c r="AF19" i="105"/>
  <c r="T19" i="105"/>
  <c r="AR22" i="105"/>
  <c r="AF22" i="105"/>
  <c r="T22" i="105"/>
  <c r="S25" i="105"/>
  <c r="AQ25" i="105"/>
  <c r="AE25" i="105"/>
  <c r="AG30" i="105"/>
  <c r="U30" i="105"/>
  <c r="AS30" i="105"/>
  <c r="AE31" i="105"/>
  <c r="S31" i="105"/>
  <c r="AQ31" i="105"/>
  <c r="AS36" i="105"/>
  <c r="AG36" i="105"/>
  <c r="U36" i="105"/>
  <c r="S37" i="105"/>
  <c r="AQ37" i="105"/>
  <c r="AE37" i="105"/>
  <c r="AG42" i="105"/>
  <c r="U42" i="105"/>
  <c r="AS42" i="105"/>
  <c r="AE43" i="105"/>
  <c r="S43" i="105"/>
  <c r="AQ43" i="105"/>
  <c r="AS48" i="105"/>
  <c r="AG48" i="105"/>
  <c r="U48" i="105"/>
  <c r="S49" i="105"/>
  <c r="AQ49" i="105"/>
  <c r="AE49" i="105"/>
  <c r="AS10" i="105"/>
  <c r="AG10" i="105"/>
  <c r="U10" i="105"/>
  <c r="T13" i="105"/>
  <c r="AR13" i="105"/>
  <c r="AF13" i="105"/>
  <c r="AE16" i="105"/>
  <c r="S16" i="105"/>
  <c r="AQ16" i="105"/>
  <c r="AE19" i="105"/>
  <c r="S19" i="105"/>
  <c r="AQ19" i="105"/>
  <c r="AQ22" i="105"/>
  <c r="AE22" i="105"/>
  <c r="S22" i="105"/>
  <c r="AP10" i="105"/>
  <c r="AD10" i="105"/>
  <c r="R10" i="105"/>
  <c r="AD12" i="105"/>
  <c r="R12" i="105"/>
  <c r="AP12" i="105"/>
  <c r="AD14" i="105"/>
  <c r="R14" i="105"/>
  <c r="AP14" i="105"/>
  <c r="R16" i="105"/>
  <c r="AP16" i="105"/>
  <c r="AD16" i="105"/>
  <c r="R18" i="105"/>
  <c r="AP18" i="105"/>
  <c r="AD18" i="105"/>
  <c r="AP20" i="105"/>
  <c r="AD20" i="105"/>
  <c r="R20" i="105"/>
  <c r="AP22" i="105"/>
  <c r="AD22" i="105"/>
  <c r="R22" i="105"/>
  <c r="AD24" i="105"/>
  <c r="R24" i="105"/>
  <c r="AP24" i="105"/>
  <c r="T25" i="105"/>
  <c r="AR25" i="105"/>
  <c r="AF25" i="105"/>
  <c r="AD26" i="105"/>
  <c r="R26" i="105"/>
  <c r="AP26" i="105"/>
  <c r="AH30" i="105"/>
  <c r="V30" i="105"/>
  <c r="AT30" i="105"/>
  <c r="AR31" i="105"/>
  <c r="AF31" i="105"/>
  <c r="T31" i="105"/>
  <c r="AP32" i="105"/>
  <c r="AD32" i="105"/>
  <c r="R32" i="105"/>
  <c r="AT36" i="105"/>
  <c r="AH36" i="105"/>
  <c r="V36" i="105"/>
  <c r="T37" i="105"/>
  <c r="AR37" i="105"/>
  <c r="AF37" i="105"/>
  <c r="AD38" i="105"/>
  <c r="R38" i="105"/>
  <c r="AP38" i="105"/>
  <c r="AH42" i="105"/>
  <c r="V42" i="105"/>
  <c r="AT42" i="105"/>
  <c r="AR43" i="105"/>
  <c r="AF43" i="105"/>
  <c r="T43" i="105"/>
  <c r="AP44" i="105"/>
  <c r="AD44" i="105"/>
  <c r="R44" i="105"/>
  <c r="AT48" i="105"/>
  <c r="AH48" i="105"/>
  <c r="V48" i="105"/>
  <c r="AR49" i="105"/>
  <c r="T49" i="105"/>
  <c r="AF49" i="105"/>
  <c r="AD50" i="105"/>
  <c r="R50" i="105"/>
  <c r="AP50" i="105"/>
  <c r="AR10" i="105"/>
  <c r="AF10" i="105"/>
  <c r="T10" i="105"/>
  <c r="U13" i="105"/>
  <c r="AS13" i="105"/>
  <c r="AG13" i="105"/>
  <c r="AG16" i="105"/>
  <c r="U16" i="105"/>
  <c r="AS16" i="105"/>
  <c r="AS19" i="105"/>
  <c r="AG19" i="105"/>
  <c r="U19" i="105"/>
  <c r="AS22" i="105"/>
  <c r="AG22" i="105"/>
  <c r="U22" i="105"/>
  <c r="AQ24" i="105"/>
  <c r="AE24" i="105"/>
  <c r="S24" i="105"/>
  <c r="AS25" i="105"/>
  <c r="AG25" i="105"/>
  <c r="U25" i="105"/>
  <c r="AE26" i="105"/>
  <c r="S26" i="105"/>
  <c r="AQ26" i="105"/>
  <c r="AS31" i="105"/>
  <c r="AG31" i="105"/>
  <c r="U31" i="105"/>
  <c r="AQ32" i="105"/>
  <c r="AE32" i="105"/>
  <c r="S32" i="105"/>
  <c r="U37" i="105"/>
  <c r="AS37" i="105"/>
  <c r="AG37" i="105"/>
  <c r="AE38" i="105"/>
  <c r="S38" i="105"/>
  <c r="AQ38" i="105"/>
  <c r="AS43" i="105"/>
  <c r="AG43" i="105"/>
  <c r="U43" i="105"/>
  <c r="AQ44" i="105"/>
  <c r="AE44" i="105"/>
  <c r="S44" i="105"/>
  <c r="AS49" i="105"/>
  <c r="U49" i="105"/>
  <c r="AG49" i="105"/>
  <c r="AE50" i="105"/>
  <c r="S50" i="105"/>
  <c r="AQ50" i="105"/>
  <c r="AQ10" i="105"/>
  <c r="AE10" i="105"/>
  <c r="S10" i="105"/>
  <c r="S13" i="105"/>
  <c r="AQ13" i="105"/>
  <c r="AE13" i="105"/>
  <c r="AH16" i="105"/>
  <c r="V16" i="105"/>
  <c r="AT16" i="105"/>
  <c r="AT19" i="105"/>
  <c r="AH19" i="105"/>
  <c r="V19" i="105"/>
  <c r="V22" i="105"/>
  <c r="AT22" i="105"/>
  <c r="AH22" i="105"/>
  <c r="R7" i="105"/>
  <c r="AP7" i="105"/>
  <c r="AD7" i="105"/>
  <c r="AR24" i="105"/>
  <c r="AF24" i="105"/>
  <c r="T24" i="105"/>
  <c r="AH25" i="105"/>
  <c r="V25" i="105"/>
  <c r="AT25" i="105"/>
  <c r="AF26" i="105"/>
  <c r="T26" i="105"/>
  <c r="AR26" i="105"/>
  <c r="AP27" i="105"/>
  <c r="AD27" i="105"/>
  <c r="R27" i="105"/>
  <c r="AT31" i="105"/>
  <c r="AH31" i="105"/>
  <c r="V31" i="105"/>
  <c r="T32" i="105"/>
  <c r="AR32" i="105"/>
  <c r="AF32" i="105"/>
  <c r="AD33" i="105"/>
  <c r="R33" i="105"/>
  <c r="AP33" i="105"/>
  <c r="AH37" i="105"/>
  <c r="V37" i="105"/>
  <c r="AT37" i="105"/>
  <c r="AF38" i="105"/>
  <c r="T38" i="105"/>
  <c r="AR38" i="105"/>
  <c r="AP39" i="105"/>
  <c r="AD39" i="105"/>
  <c r="R39" i="105"/>
  <c r="AT43" i="105"/>
  <c r="AH43" i="105"/>
  <c r="V43" i="105"/>
  <c r="T44" i="105"/>
  <c r="AR44" i="105"/>
  <c r="AF44" i="105"/>
  <c r="AD45" i="105"/>
  <c r="R45" i="105"/>
  <c r="AP45" i="105"/>
  <c r="AH49" i="105"/>
  <c r="V49" i="105"/>
  <c r="AT49" i="105"/>
  <c r="AF50" i="105"/>
  <c r="T50" i="105"/>
  <c r="AR50" i="105"/>
  <c r="V10" i="105"/>
  <c r="AT10" i="105"/>
  <c r="AH10" i="105"/>
  <c r="AH13" i="105"/>
  <c r="V13" i="105"/>
  <c r="AT13" i="105"/>
  <c r="AR17" i="105"/>
  <c r="AF17" i="105"/>
  <c r="T17" i="105"/>
  <c r="T20" i="105"/>
  <c r="AR20" i="105"/>
  <c r="AF20" i="105"/>
  <c r="S23" i="105"/>
  <c r="AQ23" i="105"/>
  <c r="AE23" i="105"/>
  <c r="AQ7" i="105"/>
  <c r="AE7" i="105"/>
  <c r="S7" i="105"/>
  <c r="AS24" i="105"/>
  <c r="AG24" i="105"/>
  <c r="U24" i="105"/>
  <c r="AS26" i="105"/>
  <c r="AG26" i="105"/>
  <c r="U26" i="105"/>
  <c r="AQ27" i="105"/>
  <c r="AE27" i="105"/>
  <c r="S27" i="105"/>
  <c r="U32" i="105"/>
  <c r="AS32" i="105"/>
  <c r="AG32" i="105"/>
  <c r="AE33" i="105"/>
  <c r="S33" i="105"/>
  <c r="AQ33" i="105"/>
  <c r="AS38" i="105"/>
  <c r="AG38" i="105"/>
  <c r="U38" i="105"/>
  <c r="AQ39" i="105"/>
  <c r="AE39" i="105"/>
  <c r="S39" i="105"/>
  <c r="AS44" i="105"/>
  <c r="U44" i="105"/>
  <c r="AG44" i="105"/>
  <c r="AE45" i="105"/>
  <c r="S45" i="105"/>
  <c r="AQ45" i="105"/>
  <c r="AS50" i="105"/>
  <c r="AG50" i="105"/>
  <c r="U50" i="105"/>
  <c r="AF11" i="105"/>
  <c r="T11" i="105"/>
  <c r="AR11" i="105"/>
  <c r="AE14" i="105"/>
  <c r="S14" i="105"/>
  <c r="AQ14" i="105"/>
  <c r="AQ17" i="105"/>
  <c r="AE17" i="105"/>
  <c r="S17" i="105"/>
  <c r="AQ20" i="105"/>
  <c r="AE20" i="105"/>
  <c r="S20" i="105"/>
  <c r="AF23" i="105"/>
  <c r="T23" i="105"/>
  <c r="AR23" i="105"/>
  <c r="AR7" i="105"/>
  <c r="AF7" i="105"/>
  <c r="T7" i="105"/>
  <c r="AP8" i="105"/>
  <c r="AD8" i="105"/>
  <c r="R8" i="105"/>
  <c r="AT24" i="105"/>
  <c r="AH24" i="105"/>
  <c r="V24" i="105"/>
  <c r="AT26" i="105"/>
  <c r="AH26" i="105"/>
  <c r="V26" i="105"/>
  <c r="AR27" i="105"/>
  <c r="AF27" i="105"/>
  <c r="T27" i="105"/>
  <c r="AP28" i="105"/>
  <c r="R28" i="105"/>
  <c r="AD28" i="105"/>
  <c r="V32" i="105"/>
  <c r="AT32" i="105"/>
  <c r="AH32" i="105"/>
  <c r="AF33" i="105"/>
  <c r="T33" i="105"/>
  <c r="AR33" i="105"/>
  <c r="AP34" i="105"/>
  <c r="AD34" i="105"/>
  <c r="R34" i="105"/>
  <c r="AT38" i="105"/>
  <c r="AH38" i="105"/>
  <c r="V38" i="105"/>
  <c r="AR39" i="105"/>
  <c r="AF39" i="105"/>
  <c r="T39" i="105"/>
  <c r="R40" i="105"/>
  <c r="AP40" i="105"/>
  <c r="AD40" i="105"/>
  <c r="V44" i="105"/>
  <c r="AT44" i="105"/>
  <c r="AH44" i="105"/>
  <c r="AF45" i="105"/>
  <c r="T45" i="105"/>
  <c r="AR45" i="105"/>
  <c r="AP46" i="105"/>
  <c r="AD46" i="105"/>
  <c r="R46" i="105"/>
  <c r="AT50" i="105"/>
  <c r="AH50" i="105"/>
  <c r="V50" i="105"/>
  <c r="AG11" i="105"/>
  <c r="U11" i="105"/>
  <c r="AS11" i="105"/>
  <c r="AS14" i="105"/>
  <c r="AG14" i="105"/>
  <c r="U14" i="105"/>
  <c r="AS17" i="105"/>
  <c r="AG17" i="105"/>
  <c r="U17" i="105"/>
  <c r="U20" i="105"/>
  <c r="AS20" i="105"/>
  <c r="AG20" i="105"/>
  <c r="AG23" i="105"/>
  <c r="U23" i="105"/>
  <c r="AS23" i="105"/>
  <c r="AS7" i="105"/>
  <c r="U7" i="105"/>
  <c r="AG7" i="105"/>
  <c r="S8" i="105"/>
  <c r="AQ8" i="105"/>
  <c r="AE8" i="105"/>
  <c r="U27" i="105"/>
  <c r="AS27" i="105"/>
  <c r="AG27" i="105"/>
  <c r="AE28" i="105"/>
  <c r="S28" i="105"/>
  <c r="AQ28" i="105"/>
  <c r="AG33" i="105"/>
  <c r="U33" i="105"/>
  <c r="AS33" i="105"/>
  <c r="AQ34" i="105"/>
  <c r="AE34" i="105"/>
  <c r="S34" i="105"/>
  <c r="U39" i="105"/>
  <c r="AS39" i="105"/>
  <c r="AG39" i="105"/>
  <c r="AE40" i="105"/>
  <c r="S40" i="105"/>
  <c r="AQ40" i="105"/>
  <c r="AG45" i="105"/>
  <c r="U45" i="105"/>
  <c r="AS45" i="105"/>
  <c r="AQ46" i="105"/>
  <c r="AE46" i="105"/>
  <c r="S46" i="105"/>
  <c r="S11" i="105"/>
  <c r="AQ11" i="105"/>
  <c r="AE11" i="105"/>
  <c r="AF14" i="105"/>
  <c r="T14" i="105"/>
  <c r="AR14" i="105"/>
  <c r="AT17" i="105"/>
  <c r="AH17" i="105"/>
  <c r="V17" i="105"/>
  <c r="AT20" i="105"/>
  <c r="AH20" i="105"/>
  <c r="V20" i="105"/>
  <c r="AH23" i="105"/>
  <c r="V23" i="105"/>
  <c r="AT23" i="105"/>
  <c r="V7" i="105"/>
  <c r="AT7" i="105"/>
  <c r="AH7" i="105"/>
  <c r="T8" i="105"/>
  <c r="AR8" i="105"/>
  <c r="AF8" i="105"/>
  <c r="AD9" i="105"/>
  <c r="R9" i="105"/>
  <c r="AP9" i="105"/>
  <c r="R11" i="105"/>
  <c r="AP11" i="105"/>
  <c r="AD11" i="105"/>
  <c r="AP13" i="105"/>
  <c r="AD13" i="105"/>
  <c r="R13" i="105"/>
  <c r="AP15" i="105"/>
  <c r="AD15" i="105"/>
  <c r="R15" i="105"/>
  <c r="AP17" i="105"/>
  <c r="AD17" i="105"/>
  <c r="R17" i="105"/>
  <c r="AD19" i="105"/>
  <c r="R19" i="105"/>
  <c r="AP19" i="105"/>
  <c r="AD21" i="105"/>
  <c r="R21" i="105"/>
  <c r="AP21" i="105"/>
  <c r="R23" i="105"/>
  <c r="AP23" i="105"/>
  <c r="AD23" i="105"/>
  <c r="V27" i="105"/>
  <c r="AT27" i="105"/>
  <c r="AH27" i="105"/>
  <c r="AF28" i="105"/>
  <c r="T28" i="105"/>
  <c r="AR28" i="105"/>
  <c r="AP29" i="105"/>
  <c r="AD29" i="105"/>
  <c r="R29" i="105"/>
  <c r="AT33" i="105"/>
  <c r="AH33" i="105"/>
  <c r="V33" i="105"/>
  <c r="AR34" i="105"/>
  <c r="AF34" i="105"/>
  <c r="T34" i="105"/>
  <c r="R35" i="105"/>
  <c r="AP35" i="105"/>
  <c r="AD35" i="105"/>
  <c r="AT39" i="105"/>
  <c r="V39" i="105"/>
  <c r="AH39" i="105"/>
  <c r="AF40" i="105"/>
  <c r="T40" i="105"/>
  <c r="AR40" i="105"/>
  <c r="AP41" i="105"/>
  <c r="AD41" i="105"/>
  <c r="R41" i="105"/>
  <c r="AT45" i="105"/>
  <c r="AH45" i="105"/>
  <c r="V45" i="105"/>
  <c r="AR46" i="105"/>
  <c r="AF46" i="105"/>
  <c r="T46" i="105"/>
  <c r="AP47" i="105"/>
  <c r="AD47" i="105"/>
  <c r="R47" i="105"/>
  <c r="U15" i="105"/>
  <c r="AS15" i="105"/>
  <c r="AG15" i="105"/>
  <c r="AH11" i="105"/>
  <c r="V11" i="105"/>
  <c r="AT11" i="105"/>
  <c r="AT14" i="105"/>
  <c r="AH14" i="105"/>
  <c r="V14" i="105"/>
  <c r="T18" i="105"/>
  <c r="AR18" i="105"/>
  <c r="AF18" i="105"/>
  <c r="AF21" i="105"/>
  <c r="T21" i="105"/>
  <c r="AR21" i="105"/>
  <c r="U8" i="105"/>
  <c r="AS8" i="105"/>
  <c r="AG8" i="105"/>
  <c r="AG28" i="105"/>
  <c r="U28" i="105"/>
  <c r="AS28" i="105"/>
  <c r="AQ29" i="105"/>
  <c r="AE29" i="105"/>
  <c r="S29" i="105"/>
  <c r="AS34" i="105"/>
  <c r="AG34" i="105"/>
  <c r="U34" i="105"/>
  <c r="S35" i="105"/>
  <c r="AQ35" i="105"/>
  <c r="AE35" i="105"/>
  <c r="AG40" i="105"/>
  <c r="U40" i="105"/>
  <c r="AS40" i="105"/>
  <c r="AQ41" i="105"/>
  <c r="S41" i="105"/>
  <c r="AE41" i="105"/>
  <c r="AS46" i="105"/>
  <c r="U46" i="105"/>
  <c r="AG46" i="105"/>
  <c r="S47" i="105"/>
  <c r="AQ47" i="105"/>
  <c r="AE47" i="105"/>
  <c r="W45" i="50"/>
  <c r="W62" i="50"/>
  <c r="R11" i="51"/>
  <c r="W32" i="50"/>
  <c r="X32" i="50" s="1"/>
  <c r="W49" i="50"/>
  <c r="R13" i="51"/>
  <c r="W79" i="50"/>
  <c r="W27" i="50"/>
  <c r="X27" i="50" s="1"/>
  <c r="W59" i="50"/>
  <c r="W14" i="50"/>
  <c r="W34" i="50"/>
  <c r="X34" i="50" s="1"/>
  <c r="W51" i="50"/>
  <c r="W20" i="50"/>
  <c r="W28" i="50"/>
  <c r="X28" i="50" s="1"/>
  <c r="W33" i="50"/>
  <c r="X33" i="50" s="1"/>
  <c r="W68" i="50"/>
  <c r="W39" i="50"/>
  <c r="X39" i="50" s="1"/>
  <c r="W7" i="50"/>
  <c r="X7" i="50" s="1"/>
  <c r="W11" i="50"/>
  <c r="R12" i="51"/>
  <c r="W54" i="50"/>
  <c r="W30" i="50"/>
  <c r="X30" i="50" s="1"/>
  <c r="W19" i="50"/>
  <c r="W44" i="50"/>
  <c r="W46" i="50"/>
  <c r="W38" i="50"/>
  <c r="X38" i="50" s="1"/>
  <c r="W48" i="50"/>
  <c r="W78" i="50"/>
  <c r="W60" i="50"/>
  <c r="R9" i="51"/>
  <c r="W12" i="50"/>
  <c r="W50" i="50"/>
  <c r="W52" i="50"/>
  <c r="W80" i="50"/>
  <c r="W31" i="50"/>
  <c r="X31" i="50" s="1"/>
  <c r="W65" i="50"/>
  <c r="W43" i="50"/>
  <c r="X43" i="50" s="1"/>
  <c r="W61" i="50"/>
  <c r="W63" i="50"/>
  <c r="W67" i="50"/>
  <c r="W37" i="50"/>
  <c r="X37" i="50" s="1"/>
  <c r="W13" i="50"/>
  <c r="W53" i="50"/>
  <c r="AE20" i="50"/>
  <c r="AE47" i="50"/>
  <c r="AE43" i="50"/>
  <c r="AA54" i="50"/>
  <c r="AE45" i="50"/>
  <c r="AE8" i="50"/>
  <c r="AE17" i="50"/>
  <c r="AE7" i="50"/>
  <c r="AD79" i="50"/>
  <c r="AE79" i="50" s="1"/>
  <c r="AE14" i="50"/>
  <c r="AE77" i="50"/>
  <c r="AE65" i="50"/>
  <c r="AD48" i="50"/>
  <c r="AI34" i="98"/>
  <c r="AW35" i="101" s="1"/>
  <c r="AL34" i="98"/>
  <c r="AZ35" i="101" s="1"/>
  <c r="AD35" i="98"/>
  <c r="AC35" i="98"/>
  <c r="AK35" i="98" s="1"/>
  <c r="AY36" i="101" s="1"/>
  <c r="AE35" i="98"/>
  <c r="AA35" i="98"/>
  <c r="AB35" i="98"/>
  <c r="AK34" i="98"/>
  <c r="AY35" i="101" s="1"/>
  <c r="W58" i="50"/>
  <c r="X58" i="50" s="1"/>
  <c r="W72" i="50"/>
  <c r="X72" i="50" s="1"/>
  <c r="W73" i="50"/>
  <c r="W74" i="50"/>
  <c r="W75" i="50"/>
  <c r="W47" i="50"/>
  <c r="W76" i="50"/>
  <c r="W66" i="50"/>
  <c r="W36" i="50"/>
  <c r="X36" i="50" s="1"/>
  <c r="AD80" i="50"/>
  <c r="AE80" i="50" s="1"/>
  <c r="AC34" i="50"/>
  <c r="AE34" i="50" s="1"/>
  <c r="AC33" i="50"/>
  <c r="AE33" i="50" s="1"/>
  <c r="AE29" i="50"/>
  <c r="AE50" i="50"/>
  <c r="AB10" i="50"/>
  <c r="AE10" i="50" s="1"/>
  <c r="AD68" i="50"/>
  <c r="AE68" i="50" s="1"/>
  <c r="AC52" i="50"/>
  <c r="AA49" i="50"/>
  <c r="AA53" i="50"/>
  <c r="Z49" i="50"/>
  <c r="AE9" i="50"/>
  <c r="AE38" i="50"/>
  <c r="Z52" i="50"/>
  <c r="Z54" i="50"/>
  <c r="AH7" i="47"/>
  <c r="AE11" i="50"/>
  <c r="AE46" i="50"/>
  <c r="AE75" i="50"/>
  <c r="AE12" i="50"/>
  <c r="AE72" i="50"/>
  <c r="AE64" i="50"/>
  <c r="AA52" i="50"/>
  <c r="AB48" i="50"/>
  <c r="AE48" i="50" s="1"/>
  <c r="AE51" i="50"/>
  <c r="AE76" i="50"/>
  <c r="AE61" i="50"/>
  <c r="AC53" i="50"/>
  <c r="AB54" i="50"/>
  <c r="AE44" i="50"/>
  <c r="AE19" i="50"/>
  <c r="AB52" i="50"/>
  <c r="AE18" i="50"/>
  <c r="AE63" i="50"/>
  <c r="Z53" i="50"/>
  <c r="AE78" i="50"/>
  <c r="AE15" i="50"/>
  <c r="AB28" i="50"/>
  <c r="AE28" i="50" s="1"/>
  <c r="AD53" i="50"/>
  <c r="AC31" i="50"/>
  <c r="AE31" i="50" s="1"/>
  <c r="AE58" i="50"/>
  <c r="AE39" i="50"/>
  <c r="AC13" i="50"/>
  <c r="AE13" i="50" s="1"/>
  <c r="AC62" i="50"/>
  <c r="AE62" i="50" s="1"/>
  <c r="AD67" i="50"/>
  <c r="AE67" i="50" s="1"/>
  <c r="R10" i="51"/>
  <c r="W8" i="50"/>
  <c r="W10" i="50"/>
  <c r="W77" i="50"/>
  <c r="W64" i="50"/>
  <c r="W17" i="50"/>
  <c r="W16" i="50"/>
  <c r="W15" i="50"/>
  <c r="W35" i="50"/>
  <c r="X35" i="50" s="1"/>
  <c r="R8" i="51"/>
  <c r="W29" i="50"/>
  <c r="X29" i="50" s="1"/>
  <c r="W9" i="50"/>
  <c r="R14" i="51"/>
  <c r="W18" i="50"/>
  <c r="AE49" i="50" l="1"/>
  <c r="X8" i="50"/>
  <c r="AU7" i="105"/>
  <c r="AU15" i="105"/>
  <c r="AU29" i="105"/>
  <c r="AU32" i="105"/>
  <c r="AU10" i="105"/>
  <c r="AU23" i="105"/>
  <c r="AU34" i="105"/>
  <c r="AU42" i="105"/>
  <c r="AU26" i="105"/>
  <c r="AU17" i="105"/>
  <c r="AU31" i="105"/>
  <c r="AU25" i="105"/>
  <c r="AU22" i="105"/>
  <c r="AU11" i="105"/>
  <c r="AU24" i="105"/>
  <c r="AU33" i="105"/>
  <c r="AU39" i="105"/>
  <c r="AU30" i="105"/>
  <c r="AU46" i="105"/>
  <c r="AU12" i="105"/>
  <c r="AU47" i="105"/>
  <c r="AU48" i="105"/>
  <c r="AU40" i="105"/>
  <c r="AU38" i="105"/>
  <c r="AU50" i="105"/>
  <c r="AU9" i="105"/>
  <c r="AU19" i="105"/>
  <c r="AU20" i="105"/>
  <c r="AU14" i="105"/>
  <c r="AU27" i="105"/>
  <c r="AU35" i="105"/>
  <c r="AU28" i="105"/>
  <c r="AU37" i="105"/>
  <c r="AU21" i="105"/>
  <c r="AU41" i="105"/>
  <c r="AU8" i="105"/>
  <c r="AU36" i="105"/>
  <c r="AU43" i="105"/>
  <c r="AU44" i="105"/>
  <c r="AU45" i="105"/>
  <c r="AU13" i="105"/>
  <c r="AU16" i="105"/>
  <c r="AU18" i="105"/>
  <c r="AU49" i="105"/>
  <c r="AX7" i="105"/>
  <c r="AX27" i="105"/>
  <c r="AX41" i="105"/>
  <c r="AX28" i="105"/>
  <c r="AX13" i="105"/>
  <c r="AX47" i="105"/>
  <c r="AX35" i="105"/>
  <c r="AX36" i="105"/>
  <c r="AX21" i="105"/>
  <c r="AX38" i="105"/>
  <c r="AX26" i="105"/>
  <c r="AX50" i="105"/>
  <c r="AX44" i="105"/>
  <c r="AX29" i="105"/>
  <c r="AX30" i="105"/>
  <c r="AX48" i="105"/>
  <c r="AX49" i="105"/>
  <c r="AX25" i="105"/>
  <c r="AX9" i="105"/>
  <c r="AX37" i="105"/>
  <c r="AX14" i="105"/>
  <c r="AX39" i="105"/>
  <c r="AX17" i="105"/>
  <c r="AX45" i="105"/>
  <c r="AX18" i="105"/>
  <c r="AX22" i="105"/>
  <c r="AX8" i="105"/>
  <c r="AX31" i="105"/>
  <c r="AX11" i="105"/>
  <c r="AX19" i="105"/>
  <c r="AX33" i="105"/>
  <c r="AX10" i="105"/>
  <c r="AX23" i="105"/>
  <c r="AX16" i="105"/>
  <c r="AX42" i="105"/>
  <c r="AX24" i="105"/>
  <c r="AX32" i="105"/>
  <c r="AX34" i="105"/>
  <c r="AX43" i="105"/>
  <c r="AX12" i="105"/>
  <c r="AX40" i="105"/>
  <c r="AX20" i="105"/>
  <c r="AX15" i="105"/>
  <c r="AX46" i="105"/>
  <c r="AY9" i="105"/>
  <c r="AY7" i="105"/>
  <c r="AY30" i="105"/>
  <c r="AY17" i="105"/>
  <c r="AY41" i="105"/>
  <c r="AY22" i="105"/>
  <c r="AY11" i="105"/>
  <c r="AY46" i="105"/>
  <c r="AY50" i="105"/>
  <c r="AY10" i="105"/>
  <c r="AY33" i="105"/>
  <c r="AY19" i="105"/>
  <c r="AY37" i="105"/>
  <c r="AY43" i="105"/>
  <c r="AY44" i="105"/>
  <c r="AY25" i="105"/>
  <c r="AY27" i="105"/>
  <c r="AY42" i="105"/>
  <c r="AY20" i="105"/>
  <c r="AY34" i="105"/>
  <c r="AY36" i="105"/>
  <c r="AY8" i="105"/>
  <c r="AY14" i="105"/>
  <c r="AY35" i="105"/>
  <c r="AY26" i="105"/>
  <c r="AY15" i="105"/>
  <c r="AY16" i="105"/>
  <c r="AY28" i="105"/>
  <c r="AY23" i="105"/>
  <c r="AY38" i="105"/>
  <c r="AY21" i="105"/>
  <c r="AY24" i="105"/>
  <c r="AY32" i="105"/>
  <c r="AY13" i="105"/>
  <c r="AY12" i="105"/>
  <c r="AY18" i="105"/>
  <c r="AY31" i="105"/>
  <c r="AY47" i="105"/>
  <c r="AY39" i="105"/>
  <c r="AY40" i="105"/>
  <c r="AY45" i="105"/>
  <c r="AY48" i="105"/>
  <c r="AY29" i="105"/>
  <c r="AY49" i="105"/>
  <c r="AW12" i="105"/>
  <c r="AW9" i="105"/>
  <c r="AW37" i="105"/>
  <c r="AW32" i="105"/>
  <c r="AW35" i="105"/>
  <c r="AW17" i="105"/>
  <c r="AW45" i="105"/>
  <c r="AW23" i="105"/>
  <c r="AW50" i="105"/>
  <c r="AW25" i="105"/>
  <c r="AW10" i="105"/>
  <c r="AW30" i="105"/>
  <c r="AW46" i="105"/>
  <c r="AW33" i="105"/>
  <c r="AW18" i="105"/>
  <c r="AW40" i="105"/>
  <c r="AW7" i="105"/>
  <c r="AW41" i="105"/>
  <c r="AW26" i="105"/>
  <c r="AW47" i="105"/>
  <c r="AW20" i="105"/>
  <c r="AW49" i="105"/>
  <c r="AW34" i="105"/>
  <c r="AW14" i="105"/>
  <c r="AW42" i="105"/>
  <c r="AW16" i="105"/>
  <c r="AW28" i="105"/>
  <c r="AW43" i="105"/>
  <c r="AW11" i="105"/>
  <c r="AW39" i="105"/>
  <c r="AW24" i="105"/>
  <c r="AW19" i="105"/>
  <c r="AW44" i="105"/>
  <c r="AW31" i="105"/>
  <c r="AW29" i="105"/>
  <c r="AW8" i="105"/>
  <c r="AW36" i="105"/>
  <c r="AW13" i="105"/>
  <c r="AW15" i="105"/>
  <c r="AW38" i="105"/>
  <c r="AW21" i="105"/>
  <c r="AW22" i="105"/>
  <c r="AW48" i="105"/>
  <c r="AW27" i="105"/>
  <c r="AV9" i="105"/>
  <c r="AV30" i="105"/>
  <c r="AV15" i="105"/>
  <c r="AV43" i="105"/>
  <c r="AV44" i="105"/>
  <c r="AV38" i="105"/>
  <c r="AV23" i="105"/>
  <c r="AV8" i="105"/>
  <c r="AV48" i="105"/>
  <c r="AV36" i="105"/>
  <c r="AV32" i="105"/>
  <c r="AV46" i="105"/>
  <c r="AV31" i="105"/>
  <c r="AV21" i="105"/>
  <c r="AV27" i="105"/>
  <c r="AV11" i="105"/>
  <c r="AV39" i="105"/>
  <c r="AV41" i="105"/>
  <c r="AV12" i="105"/>
  <c r="AV19" i="105"/>
  <c r="AV47" i="105"/>
  <c r="AV16" i="105"/>
  <c r="AV24" i="105"/>
  <c r="AV25" i="105"/>
  <c r="AV10" i="105"/>
  <c r="AV49" i="105"/>
  <c r="AV35" i="105"/>
  <c r="AV40" i="105"/>
  <c r="AV45" i="105"/>
  <c r="AV14" i="105"/>
  <c r="AV20" i="105"/>
  <c r="AV50" i="105"/>
  <c r="AV13" i="105"/>
  <c r="AV18" i="105"/>
  <c r="AV37" i="105"/>
  <c r="AV26" i="105"/>
  <c r="AV28" i="105"/>
  <c r="AV7" i="105"/>
  <c r="AV33" i="105"/>
  <c r="AV17" i="105"/>
  <c r="AV34" i="105"/>
  <c r="AV42" i="105"/>
  <c r="AV22" i="105"/>
  <c r="AV29" i="105"/>
  <c r="X11" i="50"/>
  <c r="X12" i="50"/>
  <c r="X68" i="50"/>
  <c r="X46" i="50"/>
  <c r="X61" i="50"/>
  <c r="X50" i="50"/>
  <c r="X14" i="105"/>
  <c r="X26" i="105"/>
  <c r="X38" i="105"/>
  <c r="X50" i="105"/>
  <c r="X19" i="105"/>
  <c r="X31" i="105"/>
  <c r="X43" i="105"/>
  <c r="X12" i="105"/>
  <c r="X24" i="105"/>
  <c r="X36" i="105"/>
  <c r="X48" i="105"/>
  <c r="X17" i="105"/>
  <c r="X29" i="105"/>
  <c r="X41" i="105"/>
  <c r="X10" i="105"/>
  <c r="X22" i="105"/>
  <c r="X34" i="105"/>
  <c r="X46" i="105"/>
  <c r="X15" i="105"/>
  <c r="X27" i="105"/>
  <c r="X39" i="105"/>
  <c r="X8" i="105"/>
  <c r="X20" i="105"/>
  <c r="X32" i="105"/>
  <c r="X44" i="105"/>
  <c r="X13" i="105"/>
  <c r="X25" i="105"/>
  <c r="X37" i="105"/>
  <c r="X49" i="105"/>
  <c r="X42" i="105"/>
  <c r="X7" i="105"/>
  <c r="X35" i="105"/>
  <c r="X28" i="105"/>
  <c r="X21" i="105"/>
  <c r="X30" i="105"/>
  <c r="X23" i="105"/>
  <c r="X16" i="105"/>
  <c r="X9" i="105"/>
  <c r="X45" i="105"/>
  <c r="X40" i="105"/>
  <c r="X18" i="105"/>
  <c r="X47" i="105"/>
  <c r="X33" i="105"/>
  <c r="X11" i="105"/>
  <c r="AJ49" i="105"/>
  <c r="AJ14" i="105"/>
  <c r="AJ36" i="105"/>
  <c r="AJ35" i="105"/>
  <c r="AJ43" i="105"/>
  <c r="AJ42" i="105"/>
  <c r="AJ24" i="105"/>
  <c r="AJ29" i="105"/>
  <c r="AJ37" i="105"/>
  <c r="AJ30" i="105"/>
  <c r="AJ23" i="105"/>
  <c r="AJ31" i="105"/>
  <c r="AJ45" i="105"/>
  <c r="AJ50" i="105"/>
  <c r="AJ17" i="105"/>
  <c r="AJ25" i="105"/>
  <c r="AJ39" i="105"/>
  <c r="AJ46" i="105"/>
  <c r="AJ11" i="105"/>
  <c r="AJ13" i="105"/>
  <c r="AJ44" i="105"/>
  <c r="AJ33" i="105"/>
  <c r="AJ40" i="105"/>
  <c r="AJ38" i="105"/>
  <c r="AJ27" i="105"/>
  <c r="AJ34" i="105"/>
  <c r="AJ18" i="105"/>
  <c r="AJ48" i="105"/>
  <c r="AJ32" i="105"/>
  <c r="AJ21" i="105"/>
  <c r="AJ28" i="105"/>
  <c r="AJ12" i="105"/>
  <c r="AJ19" i="105"/>
  <c r="AJ26" i="105"/>
  <c r="AJ15" i="105"/>
  <c r="AJ22" i="105"/>
  <c r="AJ7" i="105"/>
  <c r="AJ8" i="105"/>
  <c r="AJ9" i="105"/>
  <c r="AJ16" i="105"/>
  <c r="AJ10" i="105"/>
  <c r="AJ47" i="105"/>
  <c r="AJ41" i="105"/>
  <c r="AJ20" i="105"/>
  <c r="W19" i="105"/>
  <c r="W31" i="105"/>
  <c r="W43" i="105"/>
  <c r="W12" i="105"/>
  <c r="W24" i="105"/>
  <c r="W36" i="105"/>
  <c r="W48" i="105"/>
  <c r="W17" i="105"/>
  <c r="W29" i="105"/>
  <c r="W41" i="105"/>
  <c r="W10" i="105"/>
  <c r="W22" i="105"/>
  <c r="W34" i="105"/>
  <c r="W46" i="105"/>
  <c r="W15" i="105"/>
  <c r="W27" i="105"/>
  <c r="W39" i="105"/>
  <c r="W8" i="105"/>
  <c r="W20" i="105"/>
  <c r="W32" i="105"/>
  <c r="W44" i="105"/>
  <c r="W13" i="105"/>
  <c r="W25" i="105"/>
  <c r="W37" i="105"/>
  <c r="W49" i="105"/>
  <c r="W18" i="105"/>
  <c r="W30" i="105"/>
  <c r="W42" i="105"/>
  <c r="W35" i="105"/>
  <c r="W28" i="105"/>
  <c r="W21" i="105"/>
  <c r="W14" i="105"/>
  <c r="W50" i="105"/>
  <c r="W23" i="105"/>
  <c r="W7" i="105"/>
  <c r="W16" i="105"/>
  <c r="W9" i="105"/>
  <c r="W45" i="105"/>
  <c r="W38" i="105"/>
  <c r="W33" i="105"/>
  <c r="W47" i="105"/>
  <c r="W26" i="105"/>
  <c r="W11" i="105"/>
  <c r="W40" i="105"/>
  <c r="AA11" i="105"/>
  <c r="AA23" i="105"/>
  <c r="AA35" i="105"/>
  <c r="AA47" i="105"/>
  <c r="AA16" i="105"/>
  <c r="AA28" i="105"/>
  <c r="AA40" i="105"/>
  <c r="AA9" i="105"/>
  <c r="AA21" i="105"/>
  <c r="AA33" i="105"/>
  <c r="AA45" i="105"/>
  <c r="AA14" i="105"/>
  <c r="AA26" i="105"/>
  <c r="AA38" i="105"/>
  <c r="AA50" i="105"/>
  <c r="AA19" i="105"/>
  <c r="AA31" i="105"/>
  <c r="AA43" i="105"/>
  <c r="AA12" i="105"/>
  <c r="AA24" i="105"/>
  <c r="AA36" i="105"/>
  <c r="AA48" i="105"/>
  <c r="AA17" i="105"/>
  <c r="AA29" i="105"/>
  <c r="AA41" i="105"/>
  <c r="AA10" i="105"/>
  <c r="AA22" i="105"/>
  <c r="AA34" i="105"/>
  <c r="AA46" i="105"/>
  <c r="AA27" i="105"/>
  <c r="AA20" i="105"/>
  <c r="AA13" i="105"/>
  <c r="AA49" i="105"/>
  <c r="AA42" i="105"/>
  <c r="AA7" i="105"/>
  <c r="AA15" i="105"/>
  <c r="AA8" i="105"/>
  <c r="AA44" i="105"/>
  <c r="AA37" i="105"/>
  <c r="AA30" i="105"/>
  <c r="AA25" i="105"/>
  <c r="AA18" i="105"/>
  <c r="AA32" i="105"/>
  <c r="AA39" i="105"/>
  <c r="Z16" i="105"/>
  <c r="Z28" i="105"/>
  <c r="Z40" i="105"/>
  <c r="Z9" i="105"/>
  <c r="Z21" i="105"/>
  <c r="Z33" i="105"/>
  <c r="Z45" i="105"/>
  <c r="Z14" i="105"/>
  <c r="Z26" i="105"/>
  <c r="Z38" i="105"/>
  <c r="Z50" i="105"/>
  <c r="Z19" i="105"/>
  <c r="Z31" i="105"/>
  <c r="Z43" i="105"/>
  <c r="Z12" i="105"/>
  <c r="Z24" i="105"/>
  <c r="Z36" i="105"/>
  <c r="Z48" i="105"/>
  <c r="Z17" i="105"/>
  <c r="Z29" i="105"/>
  <c r="Z41" i="105"/>
  <c r="Z10" i="105"/>
  <c r="Z22" i="105"/>
  <c r="Z34" i="105"/>
  <c r="Z46" i="105"/>
  <c r="Z15" i="105"/>
  <c r="Z27" i="105"/>
  <c r="Z39" i="105"/>
  <c r="Z20" i="105"/>
  <c r="Z13" i="105"/>
  <c r="Z49" i="105"/>
  <c r="Z42" i="105"/>
  <c r="Z7" i="105"/>
  <c r="Z35" i="105"/>
  <c r="Z8" i="105"/>
  <c r="Z44" i="105"/>
  <c r="Z37" i="105"/>
  <c r="Z30" i="105"/>
  <c r="Z23" i="105"/>
  <c r="Z18" i="105"/>
  <c r="Z47" i="105"/>
  <c r="Z25" i="105"/>
  <c r="Z32" i="105"/>
  <c r="Z11" i="105"/>
  <c r="AI24" i="105"/>
  <c r="AI25" i="105"/>
  <c r="AI32" i="105"/>
  <c r="AI27" i="105"/>
  <c r="AI18" i="105"/>
  <c r="AI19" i="105"/>
  <c r="AI26" i="105"/>
  <c r="AI21" i="105"/>
  <c r="AI46" i="105"/>
  <c r="AI12" i="105"/>
  <c r="AI13" i="105"/>
  <c r="AI20" i="105"/>
  <c r="AI15" i="105"/>
  <c r="AI40" i="105"/>
  <c r="AI47" i="105"/>
  <c r="AI7" i="105"/>
  <c r="AI14" i="105"/>
  <c r="AI9" i="105"/>
  <c r="AI34" i="105"/>
  <c r="AI29" i="105"/>
  <c r="AI8" i="105"/>
  <c r="AI17" i="105"/>
  <c r="AI28" i="105"/>
  <c r="AI11" i="105"/>
  <c r="AI22" i="105"/>
  <c r="AI16" i="105"/>
  <c r="AI50" i="105"/>
  <c r="AI35" i="105"/>
  <c r="AI10" i="105"/>
  <c r="AI48" i="105"/>
  <c r="AI49" i="105"/>
  <c r="AI41" i="105"/>
  <c r="AI42" i="105"/>
  <c r="AI43" i="105"/>
  <c r="AI45" i="105"/>
  <c r="AI23" i="105"/>
  <c r="AI36" i="105"/>
  <c r="AI37" i="105"/>
  <c r="AI44" i="105"/>
  <c r="AI39" i="105"/>
  <c r="AI30" i="105"/>
  <c r="AI31" i="105"/>
  <c r="AI38" i="105"/>
  <c r="AI33" i="105"/>
  <c r="AM44" i="105"/>
  <c r="AM19" i="105"/>
  <c r="AM46" i="105"/>
  <c r="AM38" i="105"/>
  <c r="AM45" i="105"/>
  <c r="AM49" i="105"/>
  <c r="AM32" i="105"/>
  <c r="AM26" i="105"/>
  <c r="AM33" i="105"/>
  <c r="AM34" i="105"/>
  <c r="AM41" i="105"/>
  <c r="AM20" i="105"/>
  <c r="AM28" i="105"/>
  <c r="AM27" i="105"/>
  <c r="AM35" i="105"/>
  <c r="AM14" i="105"/>
  <c r="AM8" i="105"/>
  <c r="AM15" i="105"/>
  <c r="AM16" i="105"/>
  <c r="AM23" i="105"/>
  <c r="AM42" i="105"/>
  <c r="AM13" i="105"/>
  <c r="AM9" i="105"/>
  <c r="AM10" i="105"/>
  <c r="AM17" i="105"/>
  <c r="AM36" i="105"/>
  <c r="AM7" i="105"/>
  <c r="AM11" i="105"/>
  <c r="AM30" i="105"/>
  <c r="AM37" i="105"/>
  <c r="AM24" i="105"/>
  <c r="AM21" i="105"/>
  <c r="AM48" i="105"/>
  <c r="AM18" i="105"/>
  <c r="AM12" i="105"/>
  <c r="AM40" i="105"/>
  <c r="AM22" i="105"/>
  <c r="AM43" i="105"/>
  <c r="AM25" i="105"/>
  <c r="AM50" i="105"/>
  <c r="AM47" i="105"/>
  <c r="AM29" i="105"/>
  <c r="AM31" i="105"/>
  <c r="AM39" i="105"/>
  <c r="AL39" i="105"/>
  <c r="AL34" i="105"/>
  <c r="AL24" i="105"/>
  <c r="AL33" i="105"/>
  <c r="AL28" i="105"/>
  <c r="AL25" i="105"/>
  <c r="AL18" i="105"/>
  <c r="AL49" i="105"/>
  <c r="AL27" i="105"/>
  <c r="AL22" i="105"/>
  <c r="AL12" i="105"/>
  <c r="AL26" i="105"/>
  <c r="AL21" i="105"/>
  <c r="AL16" i="105"/>
  <c r="AL47" i="105"/>
  <c r="AL37" i="105"/>
  <c r="AL41" i="105"/>
  <c r="AL10" i="105"/>
  <c r="AL7" i="105"/>
  <c r="AL44" i="105"/>
  <c r="AL15" i="105"/>
  <c r="AL43" i="105"/>
  <c r="AL35" i="105"/>
  <c r="AL38" i="105"/>
  <c r="AL9" i="105"/>
  <c r="AL13" i="105"/>
  <c r="AL29" i="105"/>
  <c r="AL32" i="105"/>
  <c r="AL23" i="105"/>
  <c r="AL20" i="105"/>
  <c r="AL17" i="105"/>
  <c r="AL48" i="105"/>
  <c r="AL14" i="105"/>
  <c r="AL50" i="105"/>
  <c r="AL11" i="105"/>
  <c r="AL42" i="105"/>
  <c r="AL31" i="105"/>
  <c r="AL36" i="105"/>
  <c r="AL30" i="105"/>
  <c r="AL8" i="105"/>
  <c r="AL19" i="105"/>
  <c r="AL45" i="105"/>
  <c r="AL46" i="105"/>
  <c r="AL40" i="105"/>
  <c r="Y9" i="105"/>
  <c r="Y21" i="105"/>
  <c r="Y33" i="105"/>
  <c r="Y45" i="105"/>
  <c r="Y14" i="105"/>
  <c r="Y26" i="105"/>
  <c r="Y38" i="105"/>
  <c r="Y50" i="105"/>
  <c r="Y19" i="105"/>
  <c r="Y31" i="105"/>
  <c r="Y43" i="105"/>
  <c r="Y12" i="105"/>
  <c r="Y24" i="105"/>
  <c r="Y36" i="105"/>
  <c r="Y48" i="105"/>
  <c r="Y17" i="105"/>
  <c r="Y29" i="105"/>
  <c r="Y41" i="105"/>
  <c r="Y10" i="105"/>
  <c r="Y22" i="105"/>
  <c r="Y34" i="105"/>
  <c r="Y46" i="105"/>
  <c r="Y15" i="105"/>
  <c r="Y27" i="105"/>
  <c r="Y39" i="105"/>
  <c r="Y8" i="105"/>
  <c r="Y20" i="105"/>
  <c r="Y32" i="105"/>
  <c r="Y44" i="105"/>
  <c r="Y13" i="105"/>
  <c r="Y49" i="105"/>
  <c r="Y42" i="105"/>
  <c r="Y7" i="105"/>
  <c r="Y35" i="105"/>
  <c r="Y28" i="105"/>
  <c r="Y37" i="105"/>
  <c r="Y30" i="105"/>
  <c r="Y23" i="105"/>
  <c r="Y16" i="105"/>
  <c r="Y11" i="105"/>
  <c r="Y47" i="105"/>
  <c r="Y18" i="105"/>
  <c r="Y25" i="105"/>
  <c r="Y40" i="105"/>
  <c r="AK23" i="105"/>
  <c r="AK17" i="105"/>
  <c r="AK50" i="105"/>
  <c r="AK49" i="105"/>
  <c r="AK46" i="105"/>
  <c r="AK11" i="105"/>
  <c r="AK44" i="105"/>
  <c r="AK45" i="105"/>
  <c r="AK40" i="105"/>
  <c r="AK30" i="105"/>
  <c r="AK43" i="105"/>
  <c r="AK34" i="105"/>
  <c r="AK38" i="105"/>
  <c r="AK39" i="105"/>
  <c r="AK18" i="105"/>
  <c r="AK37" i="105"/>
  <c r="AK32" i="105"/>
  <c r="AK33" i="105"/>
  <c r="AK28" i="105"/>
  <c r="AK12" i="105"/>
  <c r="AK48" i="105"/>
  <c r="AK31" i="105"/>
  <c r="AK26" i="105"/>
  <c r="AK27" i="105"/>
  <c r="AK22" i="105"/>
  <c r="AK36" i="105"/>
  <c r="AK25" i="105"/>
  <c r="AK20" i="105"/>
  <c r="AK21" i="105"/>
  <c r="AK16" i="105"/>
  <c r="AK19" i="105"/>
  <c r="AK14" i="105"/>
  <c r="AK15" i="105"/>
  <c r="AK10" i="105"/>
  <c r="AK47" i="105"/>
  <c r="AK13" i="105"/>
  <c r="AK8" i="105"/>
  <c r="AK9" i="105"/>
  <c r="AK41" i="105"/>
  <c r="AK29" i="105"/>
  <c r="AK42" i="105"/>
  <c r="AK24" i="105"/>
  <c r="AK7" i="105"/>
  <c r="AK35" i="105"/>
  <c r="X20" i="50"/>
  <c r="X52" i="50"/>
  <c r="X60" i="50"/>
  <c r="X53" i="50"/>
  <c r="X49" i="50"/>
  <c r="X45" i="50"/>
  <c r="X51" i="50"/>
  <c r="X13" i="50"/>
  <c r="X44" i="50"/>
  <c r="X79" i="50"/>
  <c r="X63" i="50"/>
  <c r="X80" i="50"/>
  <c r="X14" i="50"/>
  <c r="X54" i="50"/>
  <c r="X62" i="50"/>
  <c r="X67" i="50"/>
  <c r="X15" i="50"/>
  <c r="X48" i="50"/>
  <c r="AE53" i="50"/>
  <c r="AE54" i="50"/>
  <c r="AL35" i="98"/>
  <c r="AZ36" i="101" s="1"/>
  <c r="AD36" i="98"/>
  <c r="AE36" i="98"/>
  <c r="AM36" i="98" s="1"/>
  <c r="BA37" i="101" s="1"/>
  <c r="AC36" i="98"/>
  <c r="AB36" i="98"/>
  <c r="AJ36" i="98" s="1"/>
  <c r="AX37" i="101" s="1"/>
  <c r="AA36" i="98"/>
  <c r="AM35" i="98"/>
  <c r="BA36" i="101" s="1"/>
  <c r="AJ35" i="98"/>
  <c r="AX36" i="101" s="1"/>
  <c r="AI35" i="98"/>
  <c r="AW36" i="101" s="1"/>
  <c r="X76" i="50"/>
  <c r="X75" i="50"/>
  <c r="X77" i="50"/>
  <c r="X47" i="50"/>
  <c r="X73" i="50"/>
  <c r="X59" i="50"/>
  <c r="X66" i="50"/>
  <c r="X74" i="50"/>
  <c r="X78" i="50"/>
  <c r="AE52" i="50"/>
  <c r="X65" i="50"/>
  <c r="X64" i="50"/>
  <c r="X17" i="50"/>
  <c r="X18" i="50"/>
  <c r="X9" i="50"/>
  <c r="X10" i="50"/>
  <c r="X16" i="50"/>
  <c r="X19" i="50"/>
  <c r="AK36" i="98" l="1"/>
  <c r="AY37" i="101" s="1"/>
  <c r="AL36" i="98"/>
  <c r="AZ37" i="101" s="1"/>
  <c r="AI36" i="98"/>
  <c r="AW37" i="101" s="1"/>
  <c r="AB37" i="98"/>
  <c r="AJ37" i="98" s="1"/>
  <c r="AX38" i="101" s="1"/>
  <c r="AE37" i="98"/>
  <c r="AD37" i="98"/>
  <c r="AC37" i="98"/>
  <c r="AA37" i="98"/>
  <c r="J67" i="98"/>
  <c r="F69" i="98" s="1"/>
  <c r="AI37" i="98" l="1"/>
  <c r="AW38" i="101" s="1"/>
  <c r="AL37" i="98"/>
  <c r="AZ38" i="101" s="1"/>
  <c r="AK37" i="98"/>
  <c r="AY38" i="101" s="1"/>
  <c r="AM37" i="98"/>
  <c r="BA38" i="101" s="1"/>
  <c r="AD38" i="98"/>
  <c r="AL38" i="98" s="1"/>
  <c r="AZ39" i="101" s="1"/>
  <c r="AC38" i="98"/>
  <c r="AK38" i="98" s="1"/>
  <c r="AY39" i="101" s="1"/>
  <c r="AB38" i="98"/>
  <c r="AE38" i="98"/>
  <c r="AM38" i="98" s="1"/>
  <c r="BA39" i="101" s="1"/>
  <c r="AA38" i="98"/>
  <c r="AI38" i="98" s="1"/>
  <c r="AW39" i="101" s="1"/>
  <c r="AC74" i="51"/>
  <c r="AC41" i="51"/>
  <c r="AK80" i="50"/>
  <c r="AI77" i="50"/>
  <c r="AI43" i="50"/>
  <c r="AI81" i="50"/>
  <c r="AL64" i="47"/>
  <c r="AF59" i="51"/>
  <c r="AL41" i="50"/>
  <c r="AL105" i="50"/>
  <c r="AI28" i="50"/>
  <c r="AF71" i="51"/>
  <c r="AI103" i="50"/>
  <c r="AC60" i="51"/>
  <c r="AK15" i="50"/>
  <c r="AD18" i="51"/>
  <c r="AB45" i="51"/>
  <c r="AB84" i="51"/>
  <c r="AL68" i="50"/>
  <c r="AJ17" i="50"/>
  <c r="AI102" i="50"/>
  <c r="AE65" i="51"/>
  <c r="AE82" i="51"/>
  <c r="AE88" i="51"/>
  <c r="AB104" i="51"/>
  <c r="AK12" i="50"/>
  <c r="AK52" i="47"/>
  <c r="AJ15" i="50"/>
  <c r="AK100" i="50"/>
  <c r="AD92" i="51"/>
  <c r="AF76" i="51"/>
  <c r="AC102" i="51"/>
  <c r="AK81" i="50"/>
  <c r="AK4" i="47"/>
  <c r="AI41" i="50"/>
  <c r="AK36" i="47"/>
  <c r="AD31" i="51"/>
  <c r="AC42" i="51"/>
  <c r="AB69" i="51"/>
  <c r="AK25" i="50"/>
  <c r="AE62" i="51"/>
  <c r="AE91" i="51"/>
  <c r="AI51" i="50"/>
  <c r="AL57" i="50"/>
  <c r="AB59" i="51"/>
  <c r="AB43" i="51"/>
  <c r="AF101" i="51"/>
  <c r="AL8" i="50"/>
  <c r="AF37" i="51"/>
  <c r="AL33" i="50"/>
  <c r="AD85" i="51"/>
  <c r="AB39" i="51"/>
  <c r="AE59" i="51"/>
  <c r="AK103" i="47"/>
  <c r="AL75" i="50"/>
  <c r="AJ23" i="50"/>
  <c r="AI70" i="50"/>
  <c r="AH31" i="50"/>
  <c r="AK72" i="50"/>
  <c r="AD34" i="51"/>
  <c r="AB101" i="51"/>
  <c r="AH25" i="50"/>
  <c r="AB16" i="51"/>
  <c r="AB82" i="51"/>
  <c r="AL31" i="47"/>
  <c r="AJ61" i="50"/>
  <c r="AI55" i="50"/>
  <c r="AL33" i="47"/>
  <c r="AI37" i="50"/>
  <c r="AL98" i="50"/>
  <c r="AK18" i="50"/>
  <c r="AJ43" i="50"/>
  <c r="AK47" i="47"/>
  <c r="AJ30" i="50"/>
  <c r="AC57" i="51"/>
  <c r="AC53" i="51"/>
  <c r="AK32" i="50"/>
  <c r="AD23" i="51"/>
  <c r="AH39" i="50"/>
  <c r="AB20" i="51"/>
  <c r="AL24" i="47"/>
  <c r="AH21" i="50"/>
  <c r="AI53" i="50"/>
  <c r="AJ97" i="50"/>
  <c r="AL67" i="50"/>
  <c r="AB89" i="51"/>
  <c r="AF65" i="51"/>
  <c r="AD19" i="51"/>
  <c r="AF79" i="51"/>
  <c r="AB58" i="51"/>
  <c r="AJ44" i="50"/>
  <c r="AI16" i="50"/>
  <c r="AK66" i="50"/>
  <c r="AH11" i="50"/>
  <c r="AB24" i="51"/>
  <c r="AJ62" i="50"/>
  <c r="AE99" i="51"/>
  <c r="AK68" i="47"/>
  <c r="AL56" i="47"/>
  <c r="AJ79" i="50"/>
  <c r="AC76" i="51"/>
  <c r="AD73" i="51"/>
  <c r="AC20" i="51"/>
  <c r="AL44" i="50"/>
  <c r="AE29" i="51"/>
  <c r="AK71" i="50"/>
  <c r="AI75" i="50"/>
  <c r="AK97" i="47"/>
  <c r="AF96" i="51"/>
  <c r="AD81" i="51"/>
  <c r="AI71" i="50"/>
  <c r="AH64" i="50"/>
  <c r="AL86" i="50"/>
  <c r="AH93" i="50"/>
  <c r="AC7" i="51"/>
  <c r="AK85" i="47"/>
  <c r="AK38" i="47"/>
  <c r="AF83" i="51"/>
  <c r="AB5" i="51"/>
  <c r="AF16" i="51"/>
  <c r="AK7" i="50"/>
  <c r="AH95" i="50"/>
  <c r="AL92" i="50"/>
  <c r="AC100" i="51"/>
  <c r="AE30" i="51"/>
  <c r="AI11" i="50"/>
  <c r="AL65" i="50"/>
  <c r="AH49" i="50"/>
  <c r="AC79" i="51"/>
  <c r="AL91" i="50"/>
  <c r="AJ101" i="50"/>
  <c r="AK53" i="47"/>
  <c r="AK43" i="47"/>
  <c r="AC58" i="51"/>
  <c r="AK54" i="47"/>
  <c r="AJ91" i="50"/>
  <c r="AL53" i="47"/>
  <c r="AL96" i="50"/>
  <c r="AL47" i="47"/>
  <c r="AF6" i="51"/>
  <c r="AK61" i="47"/>
  <c r="AI12" i="50"/>
  <c r="AL38" i="47"/>
  <c r="AF17" i="51"/>
  <c r="AK22" i="47"/>
  <c r="AK14" i="47"/>
  <c r="AL31" i="50"/>
  <c r="AD94" i="51"/>
  <c r="AE79" i="51"/>
  <c r="AL66" i="50"/>
  <c r="AD45" i="51"/>
  <c r="AI106" i="50"/>
  <c r="AK87" i="50"/>
  <c r="AL48" i="47"/>
  <c r="AF61" i="51"/>
  <c r="AL45" i="47"/>
  <c r="AC5" i="51"/>
  <c r="AH60" i="50"/>
  <c r="AE26" i="51"/>
  <c r="AD25" i="51"/>
  <c r="AE96" i="51"/>
  <c r="AC93" i="51"/>
  <c r="AK98" i="47"/>
  <c r="AE38" i="51"/>
  <c r="AC66" i="51"/>
  <c r="AK91" i="47"/>
  <c r="AE58" i="51"/>
  <c r="AC12" i="51"/>
  <c r="AK75" i="50"/>
  <c r="AB48" i="51"/>
  <c r="AL36" i="47"/>
  <c r="AB103" i="51"/>
  <c r="AD53" i="51"/>
  <c r="AJ26" i="50"/>
  <c r="AD91" i="51"/>
  <c r="AD56" i="51"/>
  <c r="AC90" i="51"/>
  <c r="AL83" i="50"/>
  <c r="AL69" i="50"/>
  <c r="AK49" i="47"/>
  <c r="AK11" i="50"/>
  <c r="AI46" i="50"/>
  <c r="AH84" i="50"/>
  <c r="AE8" i="51"/>
  <c r="AF44" i="51"/>
  <c r="AL26" i="50"/>
  <c r="AD36" i="51"/>
  <c r="AK99" i="47"/>
  <c r="AF77" i="51"/>
  <c r="AK17" i="50"/>
  <c r="AE39" i="51"/>
  <c r="AI92" i="50"/>
  <c r="AB68" i="51"/>
  <c r="AF11" i="51"/>
  <c r="AI104" i="50"/>
  <c r="AC25" i="51"/>
  <c r="AJ58" i="50"/>
  <c r="AL49" i="50"/>
  <c r="AH86" i="50"/>
  <c r="AI80" i="50"/>
  <c r="AD30" i="51"/>
  <c r="AJ93" i="50"/>
  <c r="AL5" i="47"/>
  <c r="AB98" i="51"/>
  <c r="AB33" i="51"/>
  <c r="AE60" i="51"/>
  <c r="AL15" i="47"/>
  <c r="AK91" i="50"/>
  <c r="AF66" i="51"/>
  <c r="AC13" i="51"/>
  <c r="AE98" i="51"/>
  <c r="AJ51" i="50"/>
  <c r="AC36" i="51"/>
  <c r="AH81" i="50"/>
  <c r="AD9" i="51"/>
  <c r="AK69" i="47"/>
  <c r="AD76" i="51"/>
  <c r="AH8" i="50"/>
  <c r="AJ98" i="50"/>
  <c r="AH57" i="50"/>
  <c r="AE12" i="51"/>
  <c r="AI38" i="50"/>
  <c r="AD100" i="51"/>
  <c r="AH53" i="50"/>
  <c r="AC103" i="51"/>
  <c r="AK81" i="47"/>
  <c r="AJ82" i="50"/>
  <c r="AE53" i="51"/>
  <c r="AK76" i="47"/>
  <c r="AD21" i="51"/>
  <c r="AK87" i="47"/>
  <c r="AE28" i="51"/>
  <c r="AD29" i="51"/>
  <c r="AH89" i="50"/>
  <c r="AH103" i="50"/>
  <c r="AH45" i="50"/>
  <c r="AI96" i="50"/>
  <c r="AH85" i="50"/>
  <c r="AD55" i="51"/>
  <c r="AC104" i="51"/>
  <c r="AC69" i="51"/>
  <c r="AF33" i="51"/>
  <c r="AL106" i="50"/>
  <c r="AC27" i="51"/>
  <c r="AK52" i="50"/>
  <c r="AB25" i="51"/>
  <c r="AH82" i="50"/>
  <c r="AK78" i="50"/>
  <c r="AE40" i="51"/>
  <c r="AL30" i="50"/>
  <c r="AE52" i="51"/>
  <c r="AC55" i="51"/>
  <c r="AK86" i="50"/>
  <c r="AB57" i="51"/>
  <c r="AK77" i="47"/>
  <c r="AC21" i="51"/>
  <c r="AD102" i="51"/>
  <c r="AB74" i="51"/>
  <c r="AK43" i="50"/>
  <c r="AF72" i="51"/>
  <c r="AK88" i="47"/>
  <c r="AK72" i="47"/>
  <c r="AI50" i="50"/>
  <c r="AJ94" i="50"/>
  <c r="AH10" i="50"/>
  <c r="AH52" i="50"/>
  <c r="AB8" i="51"/>
  <c r="AE41" i="51"/>
  <c r="AF19" i="51"/>
  <c r="AF42" i="51"/>
  <c r="AK55" i="47"/>
  <c r="AK51" i="47"/>
  <c r="AF22" i="51"/>
  <c r="AI87" i="50"/>
  <c r="AH66" i="50"/>
  <c r="AL70" i="50"/>
  <c r="AD59" i="51"/>
  <c r="AE16" i="51"/>
  <c r="AE72" i="51"/>
  <c r="AK60" i="47"/>
  <c r="AF14" i="51"/>
  <c r="AK44" i="47"/>
  <c r="AH33" i="50"/>
  <c r="AB36" i="51"/>
  <c r="AF25" i="51"/>
  <c r="AL37" i="47"/>
  <c r="AK26" i="50"/>
  <c r="AB63" i="51"/>
  <c r="AK18" i="47"/>
  <c r="AH77" i="50"/>
  <c r="AL40" i="50"/>
  <c r="AL78" i="50"/>
  <c r="AJ46" i="50"/>
  <c r="AH94" i="50"/>
  <c r="AC54" i="51"/>
  <c r="AK79" i="50"/>
  <c r="AE78" i="51"/>
  <c r="AK38" i="50"/>
  <c r="AD11" i="51"/>
  <c r="AE36" i="51"/>
  <c r="AE46" i="51"/>
  <c r="AK25" i="47"/>
  <c r="AC9" i="51"/>
  <c r="AH99" i="50"/>
  <c r="AD50" i="51"/>
  <c r="AH62" i="50"/>
  <c r="AL17" i="50"/>
  <c r="AH76" i="50"/>
  <c r="AL28" i="47"/>
  <c r="AC24" i="51"/>
  <c r="AF56" i="51"/>
  <c r="AJ47" i="50"/>
  <c r="AE56" i="51"/>
  <c r="AC92" i="51"/>
  <c r="AL42" i="50"/>
  <c r="AK62" i="47"/>
  <c r="AH7" i="50"/>
  <c r="AK94" i="47"/>
  <c r="AK67" i="47"/>
  <c r="AI79" i="50"/>
  <c r="AC50" i="51"/>
  <c r="AK31" i="50"/>
  <c r="AK97" i="50"/>
  <c r="AK82" i="47"/>
  <c r="AC31" i="51"/>
  <c r="AE42" i="51"/>
  <c r="AI22" i="50"/>
  <c r="AC59" i="51"/>
  <c r="AC26" i="51"/>
  <c r="AD86" i="51"/>
  <c r="AB65" i="51"/>
  <c r="AJ66" i="50"/>
  <c r="AD47" i="51"/>
  <c r="AH59" i="50"/>
  <c r="AJ27" i="50"/>
  <c r="AJ80" i="50"/>
  <c r="AF78" i="51"/>
  <c r="AL74" i="50"/>
  <c r="AH102" i="50"/>
  <c r="AJ83" i="50"/>
  <c r="AK68" i="50"/>
  <c r="AF99" i="51"/>
  <c r="AD39" i="51"/>
  <c r="AB52" i="51"/>
  <c r="AC39" i="51"/>
  <c r="AL84" i="50"/>
  <c r="AJ76" i="50"/>
  <c r="AF38" i="51"/>
  <c r="AK98" i="50"/>
  <c r="AH75" i="50"/>
  <c r="AF84" i="51"/>
  <c r="AL47" i="50"/>
  <c r="AL61" i="50"/>
  <c r="AC16" i="51"/>
  <c r="AD72" i="51"/>
  <c r="AF80" i="51"/>
  <c r="AF20" i="51"/>
  <c r="AF43" i="51"/>
  <c r="AE51" i="51"/>
  <c r="AF100" i="51"/>
  <c r="AK57" i="50"/>
  <c r="AH32" i="50"/>
  <c r="AF29" i="51"/>
  <c r="AK19" i="47"/>
  <c r="AL50" i="47"/>
  <c r="AL94" i="50"/>
  <c r="AH90" i="50"/>
  <c r="AL9" i="47"/>
  <c r="AF87" i="51"/>
  <c r="AE66" i="51"/>
  <c r="AF53" i="51"/>
  <c r="AL59" i="47"/>
  <c r="AH9" i="50"/>
  <c r="AB50" i="51"/>
  <c r="AK48" i="47"/>
  <c r="AK34" i="50"/>
  <c r="AH63" i="50"/>
  <c r="AJ10" i="50"/>
  <c r="AE25" i="51"/>
  <c r="AJ70" i="50"/>
  <c r="AB31" i="51"/>
  <c r="AL43" i="47"/>
  <c r="AE70" i="51"/>
  <c r="AE45" i="51"/>
  <c r="AH37" i="50"/>
  <c r="AC67" i="51"/>
  <c r="AH87" i="50"/>
  <c r="AB13" i="51"/>
  <c r="AJ49" i="50"/>
  <c r="AF81" i="51"/>
  <c r="AF21" i="51"/>
  <c r="AC46" i="51"/>
  <c r="AL18" i="50"/>
  <c r="AH18" i="50"/>
  <c r="AH46" i="50"/>
  <c r="AB99" i="51"/>
  <c r="AL80" i="50"/>
  <c r="AB7" i="51"/>
  <c r="AJ74" i="50"/>
  <c r="AI90" i="50"/>
  <c r="AC70" i="51"/>
  <c r="AF18" i="51"/>
  <c r="AL10" i="47"/>
  <c r="AB60" i="51"/>
  <c r="AL69" i="47"/>
  <c r="AL11" i="50"/>
  <c r="AK17" i="47"/>
  <c r="AK28" i="50"/>
  <c r="AD101" i="51"/>
  <c r="AK65" i="47"/>
  <c r="AF90" i="51"/>
  <c r="AK101" i="50"/>
  <c r="AE43" i="51"/>
  <c r="AL20" i="50"/>
  <c r="AH106" i="50"/>
  <c r="AJ16" i="50"/>
  <c r="AB102" i="51"/>
  <c r="AH35" i="50"/>
  <c r="AL63" i="47"/>
  <c r="AK56" i="50"/>
  <c r="AE32" i="51"/>
  <c r="AI91" i="50"/>
  <c r="AD89" i="51"/>
  <c r="AD37" i="51"/>
  <c r="AK23" i="47"/>
  <c r="AF85" i="51"/>
  <c r="AC71" i="51"/>
  <c r="AK21" i="50"/>
  <c r="AK84" i="47"/>
  <c r="AH36" i="50"/>
  <c r="AB21" i="51"/>
  <c r="AD6" i="51"/>
  <c r="AH80" i="50"/>
  <c r="AC95" i="51"/>
  <c r="AI35" i="50"/>
  <c r="AI18" i="50"/>
  <c r="AD28" i="51"/>
  <c r="AE44" i="51"/>
  <c r="AD51" i="51"/>
  <c r="AD17" i="51"/>
  <c r="AK20" i="47"/>
  <c r="AK86" i="47"/>
  <c r="AH101" i="50"/>
  <c r="AI84" i="50"/>
  <c r="AL7" i="47"/>
  <c r="AK102" i="47"/>
  <c r="AK95" i="47"/>
  <c r="AE87" i="51"/>
  <c r="AD88" i="51"/>
  <c r="AF98" i="51"/>
  <c r="AJ31" i="50"/>
  <c r="AK93" i="47"/>
  <c r="AF97" i="51"/>
  <c r="AC15" i="51"/>
  <c r="AI78" i="50"/>
  <c r="AD104" i="51"/>
  <c r="AH28" i="50"/>
  <c r="AH12" i="50"/>
  <c r="AC87" i="51"/>
  <c r="AL61" i="47"/>
  <c r="AJ52" i="50"/>
  <c r="AH74" i="50"/>
  <c r="AH96" i="50"/>
  <c r="AB46" i="51"/>
  <c r="AI59" i="50"/>
  <c r="AD41" i="51"/>
  <c r="AC52" i="51"/>
  <c r="AK42" i="47"/>
  <c r="AH20" i="50"/>
  <c r="AL8" i="47"/>
  <c r="AC96" i="51"/>
  <c r="AL34" i="47"/>
  <c r="AB100" i="51"/>
  <c r="AI85" i="50"/>
  <c r="AI98" i="50"/>
  <c r="AL19" i="47"/>
  <c r="AF49" i="51"/>
  <c r="AF34" i="51"/>
  <c r="AB79" i="51"/>
  <c r="AL28" i="50"/>
  <c r="AK48" i="50"/>
  <c r="AL14" i="50"/>
  <c r="AD40" i="51"/>
  <c r="AH40" i="50"/>
  <c r="AB88" i="51"/>
  <c r="AI14" i="50"/>
  <c r="AC77" i="51"/>
  <c r="AK16" i="50"/>
  <c r="AD7" i="51"/>
  <c r="AJ54" i="50"/>
  <c r="AE55" i="51"/>
  <c r="AK101" i="47"/>
  <c r="AL100" i="50"/>
  <c r="AK27" i="50"/>
  <c r="AF26" i="51"/>
  <c r="AD69" i="51"/>
  <c r="AK90" i="47"/>
  <c r="AK13" i="47"/>
  <c r="AB42" i="51"/>
  <c r="AF12" i="51"/>
  <c r="AE33" i="51"/>
  <c r="AC10" i="51"/>
  <c r="AH91" i="50"/>
  <c r="AL43" i="50"/>
  <c r="AK92" i="50"/>
  <c r="AI105" i="50"/>
  <c r="AK64" i="47"/>
  <c r="AF94" i="51"/>
  <c r="AE14" i="51"/>
  <c r="AL4" i="47"/>
  <c r="AF95" i="51"/>
  <c r="AF47" i="51"/>
  <c r="AE57" i="51"/>
  <c r="AD78" i="51"/>
  <c r="AL21" i="50"/>
  <c r="AH17" i="50"/>
  <c r="AC61" i="51"/>
  <c r="AL62" i="50"/>
  <c r="AF104" i="51"/>
  <c r="AJ77" i="50"/>
  <c r="AE80" i="51"/>
  <c r="AH16" i="50"/>
  <c r="AL59" i="50"/>
  <c r="AH58" i="50"/>
  <c r="AL12" i="50"/>
  <c r="AI100" i="50"/>
  <c r="AD79" i="51"/>
  <c r="AF5" i="51"/>
  <c r="AK40" i="47"/>
  <c r="AH71" i="50"/>
  <c r="AC97" i="51"/>
  <c r="AD49" i="51"/>
  <c r="AB86" i="51"/>
  <c r="AK89" i="47"/>
  <c r="AK5" i="47"/>
  <c r="AH27" i="50"/>
  <c r="AL39" i="50"/>
  <c r="AJ14" i="50"/>
  <c r="AD14" i="51"/>
  <c r="AI68" i="50"/>
  <c r="AE35" i="51"/>
  <c r="AK61" i="50"/>
  <c r="AB76" i="51"/>
  <c r="AL55" i="50"/>
  <c r="AB77" i="51"/>
  <c r="AK35" i="47"/>
  <c r="AK80" i="47"/>
  <c r="AK65" i="50"/>
  <c r="AB72" i="51"/>
  <c r="AK45" i="47"/>
  <c r="AB19" i="51"/>
  <c r="AE84" i="51"/>
  <c r="AL62" i="47"/>
  <c r="AK21" i="47"/>
  <c r="AL22" i="50"/>
  <c r="AD60" i="51"/>
  <c r="AE9" i="51"/>
  <c r="AK20" i="50"/>
  <c r="AF31" i="51"/>
  <c r="AI7" i="50"/>
  <c r="AF9" i="51"/>
  <c r="AL79" i="50"/>
  <c r="AH92" i="50"/>
  <c r="AL76" i="50"/>
  <c r="AB44" i="51"/>
  <c r="AF51" i="51"/>
  <c r="AD22" i="51"/>
  <c r="AH69" i="50"/>
  <c r="AC14" i="51"/>
  <c r="AD98" i="51"/>
  <c r="AD65" i="51"/>
  <c r="AI31" i="50"/>
  <c r="AH14" i="50"/>
  <c r="AK84" i="50"/>
  <c r="AK60" i="50"/>
  <c r="AL25" i="47"/>
  <c r="AK63" i="50"/>
  <c r="AF60" i="51"/>
  <c r="AE93" i="51"/>
  <c r="AE24" i="51"/>
  <c r="AB83" i="51"/>
  <c r="AI30" i="50"/>
  <c r="AJ64" i="50"/>
  <c r="AJ24" i="50"/>
  <c r="AH70" i="50"/>
  <c r="AC35" i="51"/>
  <c r="AJ69" i="50"/>
  <c r="AE37" i="51"/>
  <c r="AC72" i="51"/>
  <c r="AH105" i="50"/>
  <c r="AC62" i="51"/>
  <c r="AC99" i="51"/>
  <c r="AI101" i="50"/>
  <c r="AL26" i="47"/>
  <c r="AI23" i="50"/>
  <c r="AK46" i="47"/>
  <c r="AK106" i="50"/>
  <c r="AJ60" i="50"/>
  <c r="AK51" i="50"/>
  <c r="AL88" i="50"/>
  <c r="AI19" i="50"/>
  <c r="AB67" i="51"/>
  <c r="AB55" i="51"/>
  <c r="AH29" i="50"/>
  <c r="AC98" i="51"/>
  <c r="AL46" i="47"/>
  <c r="AL101" i="50"/>
  <c r="AI83" i="50"/>
  <c r="AE75" i="51"/>
  <c r="AB92" i="51"/>
  <c r="AK57" i="47"/>
  <c r="AI76" i="50"/>
  <c r="AL81" i="50"/>
  <c r="AB80" i="51"/>
  <c r="AD24" i="51"/>
  <c r="AH30" i="50"/>
  <c r="AF73" i="51"/>
  <c r="AH65" i="50"/>
  <c r="AK23" i="50"/>
  <c r="AL41" i="47"/>
  <c r="AK36" i="50"/>
  <c r="AI15" i="50"/>
  <c r="AB23" i="51"/>
  <c r="AB93" i="51"/>
  <c r="AC83" i="51"/>
  <c r="AD97" i="51"/>
  <c r="AK41" i="47"/>
  <c r="AI47" i="50"/>
  <c r="AE86" i="51"/>
  <c r="AK92" i="47"/>
  <c r="AK64" i="50"/>
  <c r="AH61" i="50"/>
  <c r="AI65" i="50"/>
  <c r="AK39" i="47"/>
  <c r="AE74" i="51"/>
  <c r="AH43" i="50"/>
  <c r="AK71" i="47"/>
  <c r="AE83" i="51"/>
  <c r="AH97" i="50"/>
  <c r="AC63" i="51"/>
  <c r="AI40" i="50"/>
  <c r="AJ105" i="50"/>
  <c r="AL85" i="50"/>
  <c r="AE77" i="51"/>
  <c r="AJ96" i="50"/>
  <c r="AJ32" i="50"/>
  <c r="AF50" i="51"/>
  <c r="AK53" i="50"/>
  <c r="AD103" i="51"/>
  <c r="AL13" i="47"/>
  <c r="AH78" i="50"/>
  <c r="AK103" i="50"/>
  <c r="AL35" i="47"/>
  <c r="AJ99" i="50"/>
  <c r="AK8" i="50"/>
  <c r="AD43" i="51"/>
  <c r="AC56" i="51"/>
  <c r="AE11" i="51"/>
  <c r="AE104" i="51"/>
  <c r="AK10" i="50"/>
  <c r="AD70" i="51"/>
  <c r="AJ8" i="50"/>
  <c r="AK34" i="47"/>
  <c r="AK82" i="50"/>
  <c r="AE54" i="51"/>
  <c r="AD93" i="51"/>
  <c r="AB9" i="51"/>
  <c r="AF23" i="51"/>
  <c r="AB96" i="51"/>
  <c r="AI10" i="50"/>
  <c r="AK22" i="50"/>
  <c r="AL71" i="50"/>
  <c r="AK8" i="47"/>
  <c r="AI29" i="50"/>
  <c r="AD5" i="51"/>
  <c r="AF70" i="51"/>
  <c r="AJ63" i="50"/>
  <c r="AF92" i="51"/>
  <c r="AK90" i="50"/>
  <c r="AB78" i="51"/>
  <c r="AL38" i="50"/>
  <c r="AJ88" i="50"/>
  <c r="AE10" i="51"/>
  <c r="AJ19" i="50"/>
  <c r="AJ55" i="50"/>
  <c r="AK69" i="50"/>
  <c r="AI60" i="50"/>
  <c r="AC64" i="51"/>
  <c r="AD96" i="51"/>
  <c r="AI44" i="50"/>
  <c r="AE90" i="51"/>
  <c r="AL19" i="50"/>
  <c r="AC22" i="51"/>
  <c r="AK15" i="47"/>
  <c r="AK26" i="47"/>
  <c r="AB53" i="51"/>
  <c r="AI62" i="50"/>
  <c r="AC6" i="51"/>
  <c r="AJ33" i="50"/>
  <c r="AI56" i="50"/>
  <c r="AF52" i="51"/>
  <c r="AL58" i="47"/>
  <c r="AL90" i="50"/>
  <c r="AL97" i="50"/>
  <c r="AD16" i="51"/>
  <c r="AD74" i="51"/>
  <c r="AD63" i="51"/>
  <c r="AB18" i="51"/>
  <c r="AK24" i="50"/>
  <c r="AB70" i="51"/>
  <c r="AL29" i="50"/>
  <c r="AB22" i="51"/>
  <c r="AK27" i="47"/>
  <c r="AK66" i="47"/>
  <c r="AL50" i="50"/>
  <c r="AL99" i="50"/>
  <c r="AK29" i="50"/>
  <c r="AK55" i="50"/>
  <c r="AI63" i="50"/>
  <c r="AK100" i="47"/>
  <c r="AL21" i="47"/>
  <c r="AJ102" i="50"/>
  <c r="AB87" i="51"/>
  <c r="AJ25" i="50"/>
  <c r="AE5" i="51"/>
  <c r="AF103" i="51"/>
  <c r="AF74" i="51"/>
  <c r="AL24" i="50"/>
  <c r="AL36" i="50"/>
  <c r="AJ20" i="50"/>
  <c r="AC33" i="51"/>
  <c r="AJ95" i="50"/>
  <c r="AB64" i="51"/>
  <c r="AH79" i="50"/>
  <c r="AK85" i="50"/>
  <c r="AK105" i="50"/>
  <c r="AE85" i="51"/>
  <c r="AJ89" i="50"/>
  <c r="AI88" i="50"/>
  <c r="AK49" i="50"/>
  <c r="AK10" i="47"/>
  <c r="AJ59" i="50"/>
  <c r="AJ39" i="50"/>
  <c r="AK70" i="50"/>
  <c r="AL30" i="47"/>
  <c r="AI34" i="50"/>
  <c r="AJ57" i="50"/>
  <c r="AB91" i="51"/>
  <c r="AL55" i="47"/>
  <c r="AJ56" i="50"/>
  <c r="AK93" i="50"/>
  <c r="AK96" i="50"/>
  <c r="AE23" i="51"/>
  <c r="AJ72" i="50"/>
  <c r="AL60" i="47"/>
  <c r="AL65" i="47"/>
  <c r="AL87" i="50"/>
  <c r="AB75" i="51"/>
  <c r="AJ28" i="50"/>
  <c r="AJ92" i="50"/>
  <c r="AD12" i="51"/>
  <c r="AF15" i="51"/>
  <c r="AK70" i="47"/>
  <c r="AB90" i="51"/>
  <c r="AD66" i="51"/>
  <c r="AC84" i="51"/>
  <c r="AE101" i="51"/>
  <c r="AC101" i="51"/>
  <c r="AB47" i="51"/>
  <c r="AB17" i="51"/>
  <c r="AH19" i="50"/>
  <c r="AK13" i="50"/>
  <c r="AK95" i="50"/>
  <c r="AK14" i="50"/>
  <c r="AH100" i="50"/>
  <c r="AK37" i="47"/>
  <c r="AB15" i="51"/>
  <c r="AC94" i="51"/>
  <c r="AH88" i="50"/>
  <c r="AC40" i="51"/>
  <c r="AJ35" i="50"/>
  <c r="AB81" i="51"/>
  <c r="AE92" i="51"/>
  <c r="AF40" i="51"/>
  <c r="AE68" i="51"/>
  <c r="AF30" i="51"/>
  <c r="AK24" i="47"/>
  <c r="AJ90" i="50"/>
  <c r="AK28" i="47"/>
  <c r="AE7" i="51"/>
  <c r="AH47" i="50"/>
  <c r="AJ36" i="50"/>
  <c r="AD46" i="51"/>
  <c r="AF88" i="51"/>
  <c r="AB56" i="51"/>
  <c r="AK40" i="50"/>
  <c r="AK6" i="47"/>
  <c r="AB30" i="51"/>
  <c r="AF24" i="51"/>
  <c r="AH73" i="50"/>
  <c r="AC28" i="51"/>
  <c r="AI73" i="50"/>
  <c r="AL48" i="50"/>
  <c r="AB26" i="51"/>
  <c r="AL51" i="47"/>
  <c r="AH98" i="50"/>
  <c r="AK73" i="50"/>
  <c r="AB51" i="51"/>
  <c r="AJ71" i="50"/>
  <c r="AJ21" i="50"/>
  <c r="AI39" i="50"/>
  <c r="AK83" i="47"/>
  <c r="AI69" i="50"/>
  <c r="AF57" i="51"/>
  <c r="AF62" i="51"/>
  <c r="AE31" i="51"/>
  <c r="AI26" i="50"/>
  <c r="AL58" i="50"/>
  <c r="AH50" i="50"/>
  <c r="AL29" i="47"/>
  <c r="AC81" i="51"/>
  <c r="AE27" i="51"/>
  <c r="AF48" i="51"/>
  <c r="AE22" i="51"/>
  <c r="AB6" i="51"/>
  <c r="AB73" i="51"/>
  <c r="AL72" i="50"/>
  <c r="AB71" i="51"/>
  <c r="AK35" i="50"/>
  <c r="AB12" i="51"/>
  <c r="AJ13" i="50"/>
  <c r="AH22" i="50"/>
  <c r="AD32" i="51"/>
  <c r="AD80" i="51"/>
  <c r="AK7" i="47"/>
  <c r="AD54" i="51"/>
  <c r="AK41" i="50"/>
  <c r="AL77" i="50"/>
  <c r="AC48" i="51"/>
  <c r="AL7" i="50"/>
  <c r="AC44" i="51"/>
  <c r="AI58" i="50"/>
  <c r="AE20" i="51"/>
  <c r="AH44" i="50"/>
  <c r="AL102" i="50"/>
  <c r="AD87" i="51"/>
  <c r="AK67" i="50"/>
  <c r="AD71" i="51"/>
  <c r="AJ81" i="50"/>
  <c r="AK50" i="50"/>
  <c r="AJ106" i="50"/>
  <c r="AF89" i="51"/>
  <c r="AI24" i="50"/>
  <c r="AL12" i="47"/>
  <c r="AF58" i="51"/>
  <c r="AB85" i="51"/>
  <c r="AJ85" i="50"/>
  <c r="AE71" i="51"/>
  <c r="AK39" i="50"/>
  <c r="AK75" i="47"/>
  <c r="AJ84" i="50"/>
  <c r="AE34" i="51"/>
  <c r="AF39" i="51"/>
  <c r="AK58" i="50"/>
  <c r="AF67" i="51"/>
  <c r="AL16" i="50"/>
  <c r="AF7" i="51"/>
  <c r="AB94" i="51"/>
  <c r="AK58" i="47"/>
  <c r="AB28" i="51"/>
  <c r="AE47" i="51"/>
  <c r="AL57" i="47"/>
  <c r="AK12" i="47"/>
  <c r="AL44" i="47"/>
  <c r="AL16" i="47"/>
  <c r="AI67" i="50"/>
  <c r="AF27" i="51"/>
  <c r="AC49" i="51"/>
  <c r="AB54" i="51"/>
  <c r="AJ37" i="50"/>
  <c r="AK19" i="50"/>
  <c r="AL34" i="50"/>
  <c r="AK11" i="47"/>
  <c r="AD26" i="51"/>
  <c r="AL27" i="47"/>
  <c r="AC30" i="51"/>
  <c r="AI64" i="50"/>
  <c r="AC89" i="51"/>
  <c r="AD58" i="51"/>
  <c r="AK102" i="50"/>
  <c r="AK88" i="50"/>
  <c r="AE81" i="51"/>
  <c r="AK54" i="50"/>
  <c r="AD44" i="51"/>
  <c r="AI82" i="50"/>
  <c r="AE48" i="51"/>
  <c r="AH38" i="50"/>
  <c r="AD15" i="51"/>
  <c r="AL51" i="50"/>
  <c r="AB14" i="51"/>
  <c r="AC32" i="51"/>
  <c r="AD57" i="51"/>
  <c r="AF55" i="51"/>
  <c r="AE97" i="51"/>
  <c r="AC11" i="51"/>
  <c r="AI66" i="50"/>
  <c r="AD82" i="51"/>
  <c r="AH23" i="50"/>
  <c r="AK29" i="47"/>
  <c r="AK74" i="50"/>
  <c r="AB97" i="51"/>
  <c r="AB32" i="51"/>
  <c r="AK33" i="47"/>
  <c r="AC37" i="51"/>
  <c r="AE89" i="51"/>
  <c r="AF32" i="51"/>
  <c r="AJ50" i="50"/>
  <c r="AE94" i="51"/>
  <c r="AL52" i="50"/>
  <c r="AL17" i="47"/>
  <c r="AI89" i="50"/>
  <c r="AC68" i="51"/>
  <c r="AL25" i="50"/>
  <c r="AE73" i="51"/>
  <c r="AL23" i="47"/>
  <c r="AJ65" i="50"/>
  <c r="AE102" i="51"/>
  <c r="AL20" i="47"/>
  <c r="AF10" i="51"/>
  <c r="AL9" i="50"/>
  <c r="AK79" i="47"/>
  <c r="AE95" i="51"/>
  <c r="AI42" i="50"/>
  <c r="AH68" i="50"/>
  <c r="AB49" i="51"/>
  <c r="AE21" i="51"/>
  <c r="AF82" i="51"/>
  <c r="AF28" i="51"/>
  <c r="AC38" i="51"/>
  <c r="AI25" i="50"/>
  <c r="AD10" i="51"/>
  <c r="AK104" i="50"/>
  <c r="AF36" i="51"/>
  <c r="AB66" i="51"/>
  <c r="AF54" i="51"/>
  <c r="AI27" i="50"/>
  <c r="AH34" i="50"/>
  <c r="AI97" i="50"/>
  <c r="AE13" i="51"/>
  <c r="AL23" i="50"/>
  <c r="AJ86" i="50"/>
  <c r="AI45" i="50"/>
  <c r="AC51" i="51"/>
  <c r="AD33" i="51"/>
  <c r="AK44" i="50"/>
  <c r="AE64" i="51"/>
  <c r="AK42" i="50"/>
  <c r="AJ78" i="50"/>
  <c r="AC23" i="51"/>
  <c r="AC75" i="51"/>
  <c r="AL60" i="50"/>
  <c r="AI8" i="50"/>
  <c r="AB62" i="51"/>
  <c r="AH72" i="50"/>
  <c r="AD27" i="51"/>
  <c r="AL6" i="47"/>
  <c r="AI36" i="50"/>
  <c r="AE50" i="51"/>
  <c r="AC88" i="51"/>
  <c r="AF102" i="51"/>
  <c r="AC78" i="51"/>
  <c r="AL54" i="50"/>
  <c r="AC45" i="51"/>
  <c r="AI95" i="50"/>
  <c r="AL13" i="50"/>
  <c r="AL73" i="50"/>
  <c r="AK73" i="47"/>
  <c r="AI54" i="50"/>
  <c r="AI32" i="50"/>
  <c r="AF35" i="51"/>
  <c r="AI93" i="50"/>
  <c r="AL104" i="50"/>
  <c r="AJ68" i="50"/>
  <c r="AF69" i="51"/>
  <c r="AB37" i="51"/>
  <c r="AD61" i="51"/>
  <c r="AJ53" i="50"/>
  <c r="AH67" i="50"/>
  <c r="AL49" i="47"/>
  <c r="AC80" i="51"/>
  <c r="AC43" i="51"/>
  <c r="AC85" i="51"/>
  <c r="AJ67" i="50"/>
  <c r="AI13" i="50"/>
  <c r="AF91" i="51"/>
  <c r="AH26" i="50"/>
  <c r="AL40" i="47"/>
  <c r="AC29" i="51"/>
  <c r="AL82" i="50"/>
  <c r="AJ73" i="50"/>
  <c r="AF46" i="51"/>
  <c r="AL45" i="50"/>
  <c r="AF13" i="51"/>
  <c r="AB10" i="51"/>
  <c r="AI86" i="50"/>
  <c r="AK33" i="50"/>
  <c r="AB61" i="51"/>
  <c r="AD64" i="51"/>
  <c r="AJ87" i="50"/>
  <c r="AL39" i="47"/>
  <c r="AL93" i="50"/>
  <c r="AB29" i="51"/>
  <c r="AL42" i="47"/>
  <c r="AL32" i="47"/>
  <c r="AC82" i="51"/>
  <c r="AH51" i="50"/>
  <c r="AK83" i="50"/>
  <c r="AE61" i="51"/>
  <c r="AH15" i="50"/>
  <c r="AD13" i="51"/>
  <c r="AB95" i="51"/>
  <c r="AJ7" i="50"/>
  <c r="AH24" i="50"/>
  <c r="AJ34" i="50"/>
  <c r="AD35" i="51"/>
  <c r="AD84" i="51"/>
  <c r="AK74" i="47"/>
  <c r="AJ38" i="50"/>
  <c r="AL89" i="50"/>
  <c r="AI57" i="50"/>
  <c r="AD52" i="51"/>
  <c r="AI21" i="50"/>
  <c r="AL64" i="50"/>
  <c r="AL15" i="50"/>
  <c r="AK16" i="47"/>
  <c r="AH83" i="50"/>
  <c r="AE18" i="51"/>
  <c r="AL53" i="50"/>
  <c r="AB35" i="51"/>
  <c r="AL37" i="50"/>
  <c r="AC19" i="51"/>
  <c r="AF8" i="51"/>
  <c r="AB34" i="51"/>
  <c r="AD95" i="51"/>
  <c r="AD77" i="51"/>
  <c r="AJ103" i="50"/>
  <c r="AL67" i="47"/>
  <c r="AI20" i="50"/>
  <c r="AK56" i="47"/>
  <c r="AF63" i="51"/>
  <c r="AJ104" i="50"/>
  <c r="AK47" i="50"/>
  <c r="AJ9" i="50"/>
  <c r="AL14" i="47"/>
  <c r="AF93" i="51"/>
  <c r="AH48" i="50"/>
  <c r="AL10" i="50"/>
  <c r="AD38" i="51"/>
  <c r="AD20" i="51"/>
  <c r="AH104" i="50"/>
  <c r="AB40" i="51"/>
  <c r="AF75" i="51"/>
  <c r="AI49" i="50"/>
  <c r="AL18" i="47"/>
  <c r="AJ22" i="50"/>
  <c r="AE49" i="51"/>
  <c r="AK32" i="47"/>
  <c r="AI61" i="50"/>
  <c r="AB27" i="51"/>
  <c r="AF86" i="51"/>
  <c r="AK76" i="50"/>
  <c r="AL46" i="50"/>
  <c r="AF41" i="51"/>
  <c r="AJ100" i="50"/>
  <c r="AI48" i="50"/>
  <c r="AL11" i="47"/>
  <c r="AK50" i="47"/>
  <c r="AK9" i="47"/>
  <c r="AK99" i="50"/>
  <c r="AJ45" i="50"/>
  <c r="AJ48" i="50"/>
  <c r="AI99" i="50"/>
  <c r="AK46" i="50"/>
  <c r="AC17" i="51"/>
  <c r="AE6" i="51"/>
  <c r="AF45" i="51"/>
  <c r="AJ42" i="50"/>
  <c r="AK94" i="50"/>
  <c r="AB41" i="51"/>
  <c r="AC8" i="51"/>
  <c r="AJ18" i="50"/>
  <c r="AJ12" i="50"/>
  <c r="AK62" i="50"/>
  <c r="AK77" i="50"/>
  <c r="AK96" i="47"/>
  <c r="AD42" i="51"/>
  <c r="AL66" i="47"/>
  <c r="AB38" i="51"/>
  <c r="AK31" i="47"/>
  <c r="AL22" i="47"/>
  <c r="AL56" i="50"/>
  <c r="AK45" i="50"/>
  <c r="AJ41" i="50"/>
  <c r="AD8" i="51"/>
  <c r="AC18" i="51"/>
  <c r="AE15" i="51"/>
  <c r="AE63" i="51"/>
  <c r="AF64" i="51"/>
  <c r="AC47" i="51"/>
  <c r="AH13" i="50"/>
  <c r="AL27" i="50"/>
  <c r="AK59" i="50"/>
  <c r="AH41" i="50"/>
  <c r="AE69" i="51"/>
  <c r="AK37" i="50"/>
  <c r="AK59" i="47"/>
  <c r="AL103" i="50"/>
  <c r="AK30" i="50"/>
  <c r="AD90" i="51"/>
  <c r="AL52" i="47"/>
  <c r="AI72" i="50"/>
  <c r="AI17" i="50"/>
  <c r="AD68" i="51"/>
  <c r="AC73" i="51"/>
  <c r="AJ40" i="50"/>
  <c r="AL68" i="47"/>
  <c r="AI94" i="50"/>
  <c r="AJ11" i="50"/>
  <c r="AE19" i="51"/>
  <c r="AK78" i="47"/>
  <c r="AF68" i="51"/>
  <c r="AI74" i="50"/>
  <c r="AC86" i="51"/>
  <c r="AE76" i="51"/>
  <c r="AH42" i="50"/>
  <c r="AL32" i="50"/>
  <c r="AC91" i="51"/>
  <c r="AE100" i="51"/>
  <c r="AK89" i="50"/>
  <c r="AJ29" i="50"/>
  <c r="AL63" i="50"/>
  <c r="AD62" i="51"/>
  <c r="AK63" i="47"/>
  <c r="AL95" i="50"/>
  <c r="AD83" i="51"/>
  <c r="AD67" i="51"/>
  <c r="AD99" i="51"/>
  <c r="AD48" i="51"/>
  <c r="AJ75" i="50"/>
  <c r="AK30" i="47"/>
  <c r="AH56" i="50"/>
  <c r="AI33" i="50"/>
  <c r="AE67" i="51"/>
  <c r="AC65" i="51"/>
  <c r="AH54" i="50"/>
  <c r="AI9" i="50"/>
  <c r="AH55" i="50"/>
  <c r="AB11" i="51"/>
  <c r="AK9" i="50"/>
  <c r="AI52" i="50"/>
  <c r="AC34" i="51"/>
  <c r="AL54" i="47"/>
  <c r="AD75" i="51"/>
  <c r="AL35" i="50"/>
  <c r="AE17" i="51"/>
  <c r="AE103" i="51"/>
  <c r="AM10" i="47" l="1"/>
  <c r="AM99" i="47"/>
  <c r="AM28" i="47"/>
  <c r="AM42" i="47"/>
  <c r="AM24" i="47"/>
  <c r="AM48" i="47"/>
  <c r="AM30" i="47"/>
  <c r="AM71" i="47"/>
  <c r="AM38" i="47"/>
  <c r="AM4" i="47"/>
  <c r="AM85" i="47"/>
  <c r="AM44" i="47"/>
  <c r="AM75" i="47"/>
  <c r="AM64" i="47"/>
  <c r="AM39" i="47"/>
  <c r="AM73" i="47"/>
  <c r="AM52" i="47"/>
  <c r="AM60" i="47"/>
  <c r="AM21" i="47"/>
  <c r="AM13" i="47"/>
  <c r="AM46" i="47"/>
  <c r="AM90" i="47"/>
  <c r="AM19" i="47"/>
  <c r="AM92" i="47"/>
  <c r="AM70" i="47"/>
  <c r="AM8" i="47"/>
  <c r="AM97" i="47"/>
  <c r="AM83" i="47"/>
  <c r="AM74" i="47"/>
  <c r="AM32" i="47"/>
  <c r="AM41" i="47"/>
  <c r="AM101" i="47"/>
  <c r="AM84" i="47"/>
  <c r="AM14" i="47"/>
  <c r="AM51" i="47"/>
  <c r="AM103" i="47"/>
  <c r="AM22" i="47"/>
  <c r="AM56" i="47"/>
  <c r="AM49" i="47"/>
  <c r="AM55" i="47"/>
  <c r="AM45" i="47"/>
  <c r="AM9" i="47"/>
  <c r="AM87" i="47"/>
  <c r="AM6" i="47"/>
  <c r="AM93" i="47"/>
  <c r="AM11" i="47"/>
  <c r="AM100" i="47"/>
  <c r="AM76" i="47"/>
  <c r="AM96" i="47"/>
  <c r="AM50" i="47"/>
  <c r="AM59" i="47"/>
  <c r="AM61" i="47"/>
  <c r="AM26" i="47"/>
  <c r="AM25" i="47"/>
  <c r="AM5" i="47"/>
  <c r="AM16" i="47"/>
  <c r="AM81" i="47"/>
  <c r="AM47" i="47"/>
  <c r="AM15" i="47"/>
  <c r="AM80" i="47"/>
  <c r="AM23" i="47"/>
  <c r="AM89" i="47"/>
  <c r="AM68" i="47"/>
  <c r="AM95" i="47"/>
  <c r="AM82" i="47"/>
  <c r="AM102" i="47"/>
  <c r="AM35" i="47"/>
  <c r="AM37" i="47"/>
  <c r="AM63" i="47"/>
  <c r="AM66" i="47"/>
  <c r="AM72" i="47"/>
  <c r="AM27" i="47"/>
  <c r="AM54" i="47"/>
  <c r="AM88" i="47"/>
  <c r="AM65" i="47"/>
  <c r="AM78" i="47"/>
  <c r="AM31" i="47"/>
  <c r="AM43" i="47"/>
  <c r="AM86" i="47"/>
  <c r="AM12" i="47"/>
  <c r="AM53" i="47"/>
  <c r="AM67" i="47"/>
  <c r="AM20" i="47"/>
  <c r="AM57" i="47"/>
  <c r="AM94" i="47"/>
  <c r="AM91" i="47"/>
  <c r="AM7" i="47"/>
  <c r="AM29" i="47"/>
  <c r="AM69" i="47"/>
  <c r="AM62" i="47"/>
  <c r="AM77" i="47"/>
  <c r="AM58" i="47"/>
  <c r="AM17" i="47"/>
  <c r="AM79" i="47"/>
  <c r="AM34" i="47"/>
  <c r="AM40" i="47"/>
  <c r="AM98" i="47"/>
  <c r="AM36" i="47"/>
  <c r="AM18" i="47"/>
  <c r="AM33" i="47"/>
  <c r="AJ38" i="98"/>
  <c r="AX39" i="101" s="1"/>
  <c r="AC39" i="98"/>
  <c r="AK39" i="98" s="1"/>
  <c r="AY40" i="101" s="1"/>
  <c r="AD39" i="98"/>
  <c r="AL39" i="98" s="1"/>
  <c r="AZ40" i="101" s="1"/>
  <c r="AB39" i="98"/>
  <c r="AJ39" i="98" s="1"/>
  <c r="AX40" i="101" s="1"/>
  <c r="AE39" i="98"/>
  <c r="AM39" i="98" s="1"/>
  <c r="BA40" i="101" s="1"/>
  <c r="AA39" i="98"/>
  <c r="AI39" i="98" s="1"/>
  <c r="AW40" i="101" s="1"/>
  <c r="AD40" i="98" l="1"/>
  <c r="AL40" i="98" s="1"/>
  <c r="AZ41" i="101" s="1"/>
  <c r="AB40" i="98"/>
  <c r="AJ40" i="98" s="1"/>
  <c r="AX41" i="101" s="1"/>
  <c r="AE40" i="98"/>
  <c r="AM40" i="98" s="1"/>
  <c r="BA41" i="101" s="1"/>
  <c r="AC40" i="98"/>
  <c r="AK40" i="98" s="1"/>
  <c r="AY41" i="101" s="1"/>
  <c r="AA40" i="98"/>
  <c r="AI40" i="98" s="1"/>
  <c r="AW41" i="101" s="1"/>
  <c r="AD41" i="98" l="1"/>
  <c r="AL41" i="98" s="1"/>
  <c r="AZ42" i="101" s="1"/>
  <c r="AC41" i="98"/>
  <c r="AK41" i="98" s="1"/>
  <c r="AY42" i="101" s="1"/>
  <c r="AB41" i="98"/>
  <c r="AJ41" i="98" s="1"/>
  <c r="AX42" i="101" s="1"/>
  <c r="AA41" i="98"/>
  <c r="AI41" i="98" s="1"/>
  <c r="AW42" i="101" s="1"/>
  <c r="AE41" i="98"/>
  <c r="AM41" i="98" s="1"/>
  <c r="BA42" i="101" s="1"/>
  <c r="AB42" i="98" l="1"/>
  <c r="AJ42" i="98" s="1"/>
  <c r="AX43" i="101" s="1"/>
  <c r="AD42" i="98"/>
  <c r="AL42" i="98" s="1"/>
  <c r="AZ43" i="101" s="1"/>
  <c r="AC42" i="98"/>
  <c r="AK42" i="98" s="1"/>
  <c r="AY43" i="101" s="1"/>
  <c r="AA42" i="98"/>
  <c r="AI42" i="98" s="1"/>
  <c r="AW43" i="101" s="1"/>
  <c r="AE42" i="98"/>
  <c r="AM42" i="98" s="1"/>
  <c r="BA43" i="101" s="1"/>
  <c r="AD43" i="98" l="1"/>
  <c r="AL43" i="98" s="1"/>
  <c r="AZ44" i="101" s="1"/>
  <c r="AB43" i="98"/>
  <c r="AJ43" i="98" s="1"/>
  <c r="AX44" i="101" s="1"/>
  <c r="AE43" i="98"/>
  <c r="AM43" i="98" s="1"/>
  <c r="BA44" i="101" s="1"/>
  <c r="AC43" i="98"/>
  <c r="AK43" i="98" s="1"/>
  <c r="AY44" i="101" s="1"/>
  <c r="AA43" i="98"/>
  <c r="AI43" i="98" s="1"/>
  <c r="AW44" i="101" s="1"/>
  <c r="Y141" i="109"/>
  <c r="Y142" i="109"/>
  <c r="W92" i="109"/>
  <c r="Z159" i="109"/>
  <c r="Y118" i="109"/>
  <c r="Z168" i="109"/>
  <c r="Z46" i="109"/>
  <c r="AA32" i="109"/>
  <c r="X152" i="109"/>
  <c r="Y21" i="109"/>
  <c r="Z50" i="109"/>
  <c r="Z27" i="109"/>
  <c r="Y79" i="109"/>
  <c r="W79" i="109"/>
  <c r="AA31" i="109"/>
  <c r="W161" i="109"/>
  <c r="Y14" i="109"/>
  <c r="Y24" i="109"/>
  <c r="W135" i="109"/>
  <c r="AA152" i="109"/>
  <c r="Y48" i="109"/>
  <c r="AA87" i="109"/>
  <c r="W85" i="109"/>
  <c r="Y80" i="109"/>
  <c r="AA60" i="109"/>
  <c r="Z36" i="109"/>
  <c r="Z25" i="109"/>
  <c r="Z162" i="109"/>
  <c r="Y168" i="109"/>
  <c r="Y122" i="109"/>
  <c r="AA33" i="109"/>
  <c r="X53" i="109"/>
  <c r="X95" i="109"/>
  <c r="X76" i="109"/>
  <c r="Y172" i="109"/>
  <c r="Z126" i="109"/>
  <c r="AA41" i="109"/>
  <c r="Y129" i="109"/>
  <c r="W138" i="109"/>
  <c r="Z63" i="109"/>
  <c r="W69" i="109"/>
  <c r="W91" i="109"/>
  <c r="AA36" i="109"/>
  <c r="AA140" i="109"/>
  <c r="AA155" i="109"/>
  <c r="X60" i="109"/>
  <c r="X107" i="109"/>
  <c r="AA107" i="109"/>
  <c r="Y111" i="109"/>
  <c r="W119" i="109"/>
  <c r="W153" i="109"/>
  <c r="Y113" i="109"/>
  <c r="AA77" i="109"/>
  <c r="W132" i="109"/>
  <c r="W52" i="109"/>
  <c r="X170" i="109"/>
  <c r="X111" i="109"/>
  <c r="W104" i="109"/>
  <c r="Y95" i="109"/>
  <c r="Y22" i="109"/>
  <c r="W155" i="109"/>
  <c r="W14" i="109"/>
  <c r="X115" i="109"/>
  <c r="Y148" i="109"/>
  <c r="W142" i="109"/>
  <c r="Y28" i="109"/>
  <c r="Y62" i="109"/>
  <c r="Y15" i="109"/>
  <c r="W167" i="109"/>
  <c r="AA116" i="109"/>
  <c r="Z131" i="109"/>
  <c r="AA122" i="109"/>
  <c r="W33" i="109"/>
  <c r="Y132" i="109"/>
  <c r="Y165" i="109"/>
  <c r="AA143" i="109"/>
  <c r="W71" i="109"/>
  <c r="Y45" i="109"/>
  <c r="X90" i="109"/>
  <c r="AA17" i="109"/>
  <c r="X85" i="109"/>
  <c r="Z109" i="109"/>
  <c r="W50" i="109"/>
  <c r="W130" i="109"/>
  <c r="Y93" i="109"/>
  <c r="X147" i="109"/>
  <c r="Y153" i="109"/>
  <c r="AA49" i="109"/>
  <c r="X80" i="109"/>
  <c r="X123" i="109"/>
  <c r="AA148" i="109"/>
  <c r="W15" i="109"/>
  <c r="AA88" i="109"/>
  <c r="AA46" i="109"/>
  <c r="X41" i="109"/>
  <c r="W100" i="109"/>
  <c r="Y119" i="109"/>
  <c r="Y130" i="109"/>
  <c r="W31" i="109"/>
  <c r="Z84" i="109"/>
  <c r="W25" i="109"/>
  <c r="Z76" i="109"/>
  <c r="AA141" i="109"/>
  <c r="AA26" i="109"/>
  <c r="AA120" i="109"/>
  <c r="Z21" i="109"/>
  <c r="Z34" i="109"/>
  <c r="X155" i="109"/>
  <c r="X79" i="109"/>
  <c r="AA162" i="109"/>
  <c r="AA113" i="109"/>
  <c r="Z32" i="109"/>
  <c r="X17" i="109"/>
  <c r="Z148" i="109"/>
  <c r="W22" i="109"/>
  <c r="Z39" i="109"/>
  <c r="Y155" i="109"/>
  <c r="X36" i="109"/>
  <c r="W99" i="109"/>
  <c r="Y37" i="109"/>
  <c r="X28" i="109"/>
  <c r="X151" i="109"/>
  <c r="Z114" i="109"/>
  <c r="X50" i="109"/>
  <c r="W90" i="109"/>
  <c r="Y99" i="109"/>
  <c r="W141" i="109"/>
  <c r="X143" i="109"/>
  <c r="W61" i="109"/>
  <c r="W72" i="109"/>
  <c r="X122" i="109"/>
  <c r="X127" i="109"/>
  <c r="Y126" i="109"/>
  <c r="Y43" i="109"/>
  <c r="X69" i="109"/>
  <c r="Z80" i="109"/>
  <c r="AA65" i="109"/>
  <c r="X165" i="109"/>
  <c r="X77" i="109"/>
  <c r="X34" i="109"/>
  <c r="W152" i="109"/>
  <c r="W114" i="109"/>
  <c r="Y54" i="109"/>
  <c r="AA45" i="109"/>
  <c r="Y41" i="109"/>
  <c r="Y74" i="109"/>
  <c r="Y112" i="109"/>
  <c r="Z119" i="109"/>
  <c r="X117" i="109"/>
  <c r="Y82" i="109"/>
  <c r="AA121" i="109"/>
  <c r="Y86" i="109"/>
  <c r="X83" i="109"/>
  <c r="X118" i="109"/>
  <c r="X49" i="109"/>
  <c r="Z96" i="109"/>
  <c r="Z57" i="109"/>
  <c r="Y32" i="109"/>
  <c r="W112" i="109"/>
  <c r="Z95" i="109"/>
  <c r="Z132" i="109"/>
  <c r="AA119" i="109"/>
  <c r="X59" i="109"/>
  <c r="W56" i="109"/>
  <c r="Y18" i="109"/>
  <c r="Z158" i="109"/>
  <c r="Z90" i="109"/>
  <c r="Z103" i="109"/>
  <c r="Y92" i="109"/>
  <c r="Y167" i="109"/>
  <c r="W140" i="109"/>
  <c r="W122" i="109"/>
  <c r="X159" i="109"/>
  <c r="Z166" i="109"/>
  <c r="X114" i="109"/>
  <c r="X73" i="109"/>
  <c r="W24" i="109"/>
  <c r="X150" i="109"/>
  <c r="AA35" i="109"/>
  <c r="AA145" i="109"/>
  <c r="AA24" i="109"/>
  <c r="Y49" i="109"/>
  <c r="X116" i="109"/>
  <c r="Z116" i="109"/>
  <c r="X25" i="109"/>
  <c r="Z43" i="109"/>
  <c r="W63" i="109"/>
  <c r="AA96" i="109"/>
  <c r="Z53" i="109"/>
  <c r="Z164" i="109"/>
  <c r="AA166" i="109"/>
  <c r="X128" i="109"/>
  <c r="W16" i="109"/>
  <c r="X78" i="109"/>
  <c r="Z161" i="109"/>
  <c r="AA172" i="109"/>
  <c r="X146" i="109"/>
  <c r="Z105" i="109"/>
  <c r="Z102" i="109"/>
  <c r="X104" i="109"/>
  <c r="W44" i="109"/>
  <c r="Y27" i="109"/>
  <c r="Z130" i="109"/>
  <c r="AA71" i="109"/>
  <c r="X68" i="109"/>
  <c r="W143" i="109"/>
  <c r="Y104" i="109"/>
  <c r="X131" i="109"/>
  <c r="W134" i="109"/>
  <c r="AH20" i="108" a="1"/>
  <c r="AH100" i="108" a="1"/>
  <c r="Y40" i="109"/>
  <c r="Z106" i="109"/>
  <c r="Z113" i="109"/>
  <c r="W96" i="109"/>
  <c r="W13" i="109"/>
  <c r="AA117" i="109"/>
  <c r="W67" i="109"/>
  <c r="X141" i="109"/>
  <c r="AA69" i="109"/>
  <c r="Z138" i="109"/>
  <c r="Y25" i="109"/>
  <c r="X98" i="109"/>
  <c r="AA81" i="109"/>
  <c r="W76" i="109"/>
  <c r="X32" i="109"/>
  <c r="Z169" i="109"/>
  <c r="Y20" i="109"/>
  <c r="W59" i="109"/>
  <c r="Z45" i="109"/>
  <c r="W32" i="109"/>
  <c r="W23" i="109"/>
  <c r="W139" i="109"/>
  <c r="AA163" i="109"/>
  <c r="X71" i="109"/>
  <c r="Y96" i="109"/>
  <c r="AA48" i="109"/>
  <c r="AA130" i="109"/>
  <c r="Y70" i="109"/>
  <c r="W75" i="109"/>
  <c r="X72" i="109"/>
  <c r="X70" i="109"/>
  <c r="Y136" i="109"/>
  <c r="Y30" i="109"/>
  <c r="Y83" i="109"/>
  <c r="Z115" i="109"/>
  <c r="AA51" i="109"/>
  <c r="X120" i="109"/>
  <c r="W116" i="109"/>
  <c r="AA153" i="109"/>
  <c r="AA137" i="109"/>
  <c r="X142" i="109"/>
  <c r="AA158" i="109"/>
  <c r="Z135" i="109"/>
  <c r="Y46" i="109"/>
  <c r="Y59" i="109"/>
  <c r="Z120" i="109"/>
  <c r="W151" i="109"/>
  <c r="W108" i="109"/>
  <c r="Y152" i="109"/>
  <c r="W64" i="109"/>
  <c r="Y151" i="109"/>
  <c r="X113" i="109"/>
  <c r="W81" i="109"/>
  <c r="AA34" i="109"/>
  <c r="AH46" i="108" a="1"/>
  <c r="AH22" i="108" a="1"/>
  <c r="Z29" i="109"/>
  <c r="X102" i="109"/>
  <c r="AA27" i="109"/>
  <c r="AA111" i="109"/>
  <c r="X44" i="109"/>
  <c r="Z13" i="109"/>
  <c r="W145" i="109"/>
  <c r="Z156" i="109"/>
  <c r="Y36" i="109"/>
  <c r="AA67" i="109"/>
  <c r="W87" i="109"/>
  <c r="AA93" i="109"/>
  <c r="Z167" i="109"/>
  <c r="W117" i="109"/>
  <c r="X75" i="109"/>
  <c r="Y90" i="109"/>
  <c r="W169" i="109"/>
  <c r="AA57" i="109"/>
  <c r="Z68" i="109"/>
  <c r="Z149" i="109"/>
  <c r="Z67" i="109"/>
  <c r="X39" i="109"/>
  <c r="Z127" i="109"/>
  <c r="W57" i="109"/>
  <c r="X87" i="109"/>
  <c r="AA28" i="109"/>
  <c r="W98" i="109"/>
  <c r="AA90" i="109"/>
  <c r="Z117" i="109"/>
  <c r="Y77" i="109"/>
  <c r="Y58" i="109"/>
  <c r="Y120" i="109"/>
  <c r="Z59" i="109"/>
  <c r="Y23" i="109"/>
  <c r="Y134" i="109"/>
  <c r="W46" i="109"/>
  <c r="Y68" i="109"/>
  <c r="X154" i="109"/>
  <c r="Y150" i="109"/>
  <c r="X97" i="109"/>
  <c r="Z140" i="109"/>
  <c r="W159" i="109"/>
  <c r="Z41" i="109"/>
  <c r="Z107" i="109"/>
  <c r="X82" i="109"/>
  <c r="AA22" i="109"/>
  <c r="Z20" i="109"/>
  <c r="Z87" i="109"/>
  <c r="Z82" i="109"/>
  <c r="W77" i="109"/>
  <c r="Y106" i="109"/>
  <c r="AA101" i="109"/>
  <c r="Z147" i="109"/>
  <c r="X138" i="109"/>
  <c r="Y13" i="109"/>
  <c r="AA89" i="109"/>
  <c r="W129" i="109"/>
  <c r="Z37" i="109"/>
  <c r="Y72" i="109"/>
  <c r="Z78" i="109"/>
  <c r="X18" i="109"/>
  <c r="Y44" i="109"/>
  <c r="W20" i="109"/>
  <c r="Y64" i="109"/>
  <c r="W171" i="109"/>
  <c r="Y56" i="109"/>
  <c r="Z58" i="109"/>
  <c r="AA134" i="109"/>
  <c r="AA164" i="109"/>
  <c r="X169" i="109"/>
  <c r="W156" i="109"/>
  <c r="Y88" i="109"/>
  <c r="Y138" i="109"/>
  <c r="X45" i="109"/>
  <c r="X94" i="109"/>
  <c r="W84" i="109"/>
  <c r="X93" i="109"/>
  <c r="Y63" i="109"/>
  <c r="W144" i="109"/>
  <c r="Y144" i="109"/>
  <c r="Y158" i="109"/>
  <c r="Z172" i="109"/>
  <c r="W48" i="109"/>
  <c r="W148" i="109"/>
  <c r="W133" i="109"/>
  <c r="AH44" i="108" s="1" a="1"/>
  <c r="AA161" i="109"/>
  <c r="X23" i="109"/>
  <c r="W94" i="109"/>
  <c r="W19" i="109"/>
  <c r="W40" i="109"/>
  <c r="X42" i="109"/>
  <c r="Z155" i="109"/>
  <c r="AA56" i="109"/>
  <c r="AA64" i="109"/>
  <c r="X126" i="109"/>
  <c r="W168" i="109"/>
  <c r="AH129" i="108" s="1" a="1"/>
  <c r="Z145" i="109"/>
  <c r="Z60" i="109"/>
  <c r="X40" i="109"/>
  <c r="X139" i="109"/>
  <c r="Y17" i="109"/>
  <c r="W86" i="109"/>
  <c r="X121" i="109"/>
  <c r="AA23" i="109"/>
  <c r="AA170" i="109"/>
  <c r="W125" i="109"/>
  <c r="AA30" i="109"/>
  <c r="Z94" i="109"/>
  <c r="Z55" i="109"/>
  <c r="AH25" i="108" a="1"/>
  <c r="AA156" i="109"/>
  <c r="W43" i="109"/>
  <c r="AA142" i="109"/>
  <c r="X106" i="109"/>
  <c r="Y162" i="109"/>
  <c r="X37" i="109"/>
  <c r="Y73" i="109"/>
  <c r="AA72" i="109"/>
  <c r="Y51" i="109"/>
  <c r="Y169" i="109"/>
  <c r="Y94" i="109"/>
  <c r="AA94" i="109"/>
  <c r="Z89" i="109"/>
  <c r="Y65" i="109"/>
  <c r="X105" i="109"/>
  <c r="X56" i="109"/>
  <c r="W97" i="109"/>
  <c r="Y75" i="109"/>
  <c r="Z70" i="109"/>
  <c r="W137" i="109"/>
  <c r="AH123" i="108" s="1" a="1"/>
  <c r="Z56" i="109"/>
  <c r="W35" i="109"/>
  <c r="Z160" i="109"/>
  <c r="Z136" i="109"/>
  <c r="Z54" i="109"/>
  <c r="AA109" i="109"/>
  <c r="Y60" i="109"/>
  <c r="X100" i="109"/>
  <c r="Z77" i="109"/>
  <c r="Y89" i="109"/>
  <c r="AA149" i="109"/>
  <c r="Z40" i="109"/>
  <c r="AA160" i="109"/>
  <c r="X172" i="109"/>
  <c r="Z69" i="109"/>
  <c r="W120" i="109"/>
  <c r="AA85" i="109"/>
  <c r="AH63" i="108" a="1"/>
  <c r="X171" i="109"/>
  <c r="Z139" i="109"/>
  <c r="Y164" i="109"/>
  <c r="AA138" i="109"/>
  <c r="AA18" i="109"/>
  <c r="Z30" i="109"/>
  <c r="AA15" i="109"/>
  <c r="AA50" i="109"/>
  <c r="X162" i="109"/>
  <c r="Z143" i="109"/>
  <c r="Y124" i="109"/>
  <c r="AA55" i="109"/>
  <c r="X26" i="109"/>
  <c r="W103" i="109"/>
  <c r="AA43" i="109"/>
  <c r="X110" i="109"/>
  <c r="Y145" i="109"/>
  <c r="W131" i="109"/>
  <c r="AH51" i="108" a="1"/>
  <c r="Z16" i="109"/>
  <c r="Z18" i="109"/>
  <c r="W101" i="109"/>
  <c r="Y137" i="109"/>
  <c r="Y171" i="109"/>
  <c r="X74" i="109"/>
  <c r="X124" i="109"/>
  <c r="Y147" i="109"/>
  <c r="X149" i="109"/>
  <c r="Z51" i="109"/>
  <c r="AA103" i="109"/>
  <c r="X91" i="109"/>
  <c r="X31" i="109"/>
  <c r="W157" i="109"/>
  <c r="X161" i="109"/>
  <c r="Z129" i="109"/>
  <c r="Y103" i="109"/>
  <c r="Z14" i="109"/>
  <c r="Y50" i="109"/>
  <c r="X48" i="109"/>
  <c r="Z28" i="109"/>
  <c r="Z151" i="109"/>
  <c r="Z97" i="109"/>
  <c r="Y139" i="109"/>
  <c r="Z74" i="109"/>
  <c r="W18" i="109"/>
  <c r="AA126" i="109"/>
  <c r="Y66" i="109"/>
  <c r="Y38" i="109"/>
  <c r="Z122" i="109"/>
  <c r="X35" i="109"/>
  <c r="AA39" i="109"/>
  <c r="AA128" i="109"/>
  <c r="W53" i="109"/>
  <c r="Y34" i="109"/>
  <c r="AA154" i="109"/>
  <c r="AA133" i="109"/>
  <c r="W128" i="109"/>
  <c r="AA76" i="109"/>
  <c r="X51" i="109"/>
  <c r="Y57" i="109"/>
  <c r="Y160" i="109"/>
  <c r="AA47" i="109"/>
  <c r="Z33" i="109"/>
  <c r="X54" i="109"/>
  <c r="X133" i="109"/>
  <c r="W73" i="109"/>
  <c r="Y128" i="109"/>
  <c r="X92" i="109"/>
  <c r="Z88" i="109"/>
  <c r="W21" i="109"/>
  <c r="X112" i="109"/>
  <c r="AA52" i="109"/>
  <c r="AA78" i="109"/>
  <c r="AH103" i="108" a="1"/>
  <c r="AH96" i="108" a="1"/>
  <c r="W38" i="109"/>
  <c r="X167" i="109"/>
  <c r="W102" i="109"/>
  <c r="W78" i="109"/>
  <c r="X160" i="109"/>
  <c r="Z52" i="109"/>
  <c r="X119" i="109"/>
  <c r="AA127" i="109"/>
  <c r="X166" i="109"/>
  <c r="Y109" i="109"/>
  <c r="Z71" i="109"/>
  <c r="X46" i="109"/>
  <c r="AA131" i="109"/>
  <c r="W123" i="109"/>
  <c r="AH120" i="108" s="1" a="1"/>
  <c r="AA108" i="109"/>
  <c r="AA58" i="109"/>
  <c r="Y19" i="109"/>
  <c r="Y161" i="109"/>
  <c r="X96" i="109"/>
  <c r="AA129" i="109"/>
  <c r="Y97" i="109"/>
  <c r="Y107" i="109"/>
  <c r="Z72" i="109"/>
  <c r="X15" i="109"/>
  <c r="Z17" i="109"/>
  <c r="AA54" i="109"/>
  <c r="X27" i="109"/>
  <c r="X99" i="109"/>
  <c r="W107" i="109"/>
  <c r="AA100" i="109"/>
  <c r="X163" i="109"/>
  <c r="Z171" i="109"/>
  <c r="Z44" i="109"/>
  <c r="W124" i="109"/>
  <c r="Y91" i="109"/>
  <c r="AA147" i="109"/>
  <c r="AA19" i="109"/>
  <c r="AA125" i="109"/>
  <c r="W27" i="109"/>
  <c r="W93" i="109"/>
  <c r="AH97" i="108" a="1"/>
  <c r="W42" i="109"/>
  <c r="W154" i="109"/>
  <c r="Y157" i="109"/>
  <c r="Z85" i="109"/>
  <c r="W29" i="109"/>
  <c r="Y35" i="109"/>
  <c r="Z91" i="109"/>
  <c r="Z61" i="109"/>
  <c r="X24" i="109"/>
  <c r="X33" i="109"/>
  <c r="AH16" i="108" a="1"/>
  <c r="AH89" i="108" a="1"/>
  <c r="AH122" i="108" a="1"/>
  <c r="AH116" i="108" a="1"/>
  <c r="AH18" i="108" a="1"/>
  <c r="Z137" i="109"/>
  <c r="Z79" i="109"/>
  <c r="AH19" i="108" a="1"/>
  <c r="Y69" i="109"/>
  <c r="X86" i="109"/>
  <c r="AA139" i="109"/>
  <c r="Y67" i="109"/>
  <c r="Z98" i="109"/>
  <c r="AA37" i="109"/>
  <c r="AA14" i="109"/>
  <c r="AA79" i="109"/>
  <c r="X144" i="109"/>
  <c r="W149" i="109"/>
  <c r="X63" i="109"/>
  <c r="Z124" i="109"/>
  <c r="X14" i="109"/>
  <c r="Y166" i="109"/>
  <c r="W110" i="109"/>
  <c r="X61" i="109"/>
  <c r="W26" i="109"/>
  <c r="W68" i="109"/>
  <c r="W55" i="109"/>
  <c r="Y102" i="109"/>
  <c r="Z125" i="109"/>
  <c r="W51" i="109"/>
  <c r="Z26" i="109"/>
  <c r="X19" i="109"/>
  <c r="X88" i="109"/>
  <c r="X103" i="109"/>
  <c r="X38" i="109"/>
  <c r="W170" i="109"/>
  <c r="X164" i="109"/>
  <c r="Z83" i="109"/>
  <c r="X43" i="109"/>
  <c r="Z73" i="109"/>
  <c r="W28" i="109"/>
  <c r="W166" i="109"/>
  <c r="X47" i="109"/>
  <c r="X125" i="109"/>
  <c r="X22" i="109"/>
  <c r="AA102" i="109"/>
  <c r="W45" i="109"/>
  <c r="AH77" i="108" a="1"/>
  <c r="AH42" i="108" a="1"/>
  <c r="AA146" i="109"/>
  <c r="AA80" i="109"/>
  <c r="W17" i="109"/>
  <c r="Y170" i="109"/>
  <c r="X21" i="109"/>
  <c r="W39" i="109"/>
  <c r="Z42" i="109"/>
  <c r="Z86" i="109"/>
  <c r="W127" i="109"/>
  <c r="AA115" i="109"/>
  <c r="AA132" i="109"/>
  <c r="Y84" i="109"/>
  <c r="AH37" i="108" a="1"/>
  <c r="AA114" i="109"/>
  <c r="Y123" i="109"/>
  <c r="Z165" i="109"/>
  <c r="Y61" i="109"/>
  <c r="W105" i="109"/>
  <c r="Z22" i="109"/>
  <c r="AA59" i="109"/>
  <c r="AA75" i="109"/>
  <c r="W126" i="109"/>
  <c r="Y110" i="109"/>
  <c r="Y114" i="109"/>
  <c r="Z133" i="109"/>
  <c r="Z144" i="109"/>
  <c r="AA73" i="109"/>
  <c r="AA21" i="109"/>
  <c r="W60" i="109"/>
  <c r="Z15" i="109"/>
  <c r="AA61" i="109"/>
  <c r="AA99" i="109"/>
  <c r="Y55" i="109"/>
  <c r="Z118" i="109"/>
  <c r="W88" i="109"/>
  <c r="Z153" i="109"/>
  <c r="W49" i="109"/>
  <c r="Y105" i="109"/>
  <c r="AA167" i="109"/>
  <c r="Y39" i="109"/>
  <c r="W109" i="109"/>
  <c r="AA124" i="109"/>
  <c r="X84" i="109"/>
  <c r="Z24" i="109"/>
  <c r="Z38" i="109"/>
  <c r="W65" i="109"/>
  <c r="AA169" i="109"/>
  <c r="AA40" i="109"/>
  <c r="W163" i="109"/>
  <c r="W82" i="109"/>
  <c r="Y33" i="109"/>
  <c r="X67" i="109"/>
  <c r="Z110" i="109"/>
  <c r="Y156" i="109"/>
  <c r="Z157" i="109"/>
  <c r="Y87" i="109"/>
  <c r="AH36" i="108" a="1"/>
  <c r="AA62" i="109"/>
  <c r="AA98" i="109"/>
  <c r="AA53" i="109"/>
  <c r="AA112" i="109"/>
  <c r="AA159" i="109"/>
  <c r="X153" i="109"/>
  <c r="AA110" i="109"/>
  <c r="X64" i="109"/>
  <c r="Z66" i="109"/>
  <c r="Y76" i="109"/>
  <c r="AH70" i="108" a="1"/>
  <c r="AH38" i="108" a="1"/>
  <c r="AH98" i="108" a="1"/>
  <c r="W164" i="109"/>
  <c r="Y159" i="109"/>
  <c r="X81" i="109"/>
  <c r="AH85" i="108" a="1"/>
  <c r="W106" i="109"/>
  <c r="AA84" i="109"/>
  <c r="Z141" i="109"/>
  <c r="X89" i="109"/>
  <c r="Y131" i="109"/>
  <c r="Z19" i="109"/>
  <c r="W89" i="109"/>
  <c r="X132" i="109"/>
  <c r="AA38" i="109"/>
  <c r="W147" i="109"/>
  <c r="X16" i="109"/>
  <c r="W58" i="109"/>
  <c r="W70" i="109"/>
  <c r="Y85" i="109"/>
  <c r="X148" i="109"/>
  <c r="X65" i="109"/>
  <c r="AA95" i="109"/>
  <c r="Z100" i="109"/>
  <c r="X52" i="109"/>
  <c r="AA42" i="109"/>
  <c r="Z121" i="109"/>
  <c r="W158" i="109"/>
  <c r="W111" i="109"/>
  <c r="AA135" i="109"/>
  <c r="AA13" i="109"/>
  <c r="X30" i="109"/>
  <c r="Y117" i="109"/>
  <c r="W83" i="109"/>
  <c r="AA63" i="109"/>
  <c r="Z48" i="109"/>
  <c r="W115" i="109"/>
  <c r="Z75" i="109"/>
  <c r="X135" i="109"/>
  <c r="Z23" i="109"/>
  <c r="X158" i="109"/>
  <c r="Y52" i="109"/>
  <c r="Z170" i="109"/>
  <c r="Y81" i="109"/>
  <c r="Y98" i="109"/>
  <c r="Z154" i="109"/>
  <c r="Y140" i="109"/>
  <c r="Z146" i="109"/>
  <c r="Z134" i="109"/>
  <c r="AA97" i="109"/>
  <c r="AA171" i="109"/>
  <c r="X62" i="109"/>
  <c r="X109" i="109"/>
  <c r="W146" i="109"/>
  <c r="AH43" i="108" a="1"/>
  <c r="AH114" i="108" a="1"/>
  <c r="AH74" i="108" a="1"/>
  <c r="Z142" i="109"/>
  <c r="AH48" i="108" a="1"/>
  <c r="AH72" i="108" a="1"/>
  <c r="Z150" i="109"/>
  <c r="AA68" i="109"/>
  <c r="AA151" i="109"/>
  <c r="X20" i="109"/>
  <c r="AH71" i="108" a="1"/>
  <c r="X168" i="109"/>
  <c r="AA106" i="109"/>
  <c r="W66" i="109"/>
  <c r="AA144" i="109"/>
  <c r="Z31" i="109"/>
  <c r="Y143" i="109"/>
  <c r="X134" i="109"/>
  <c r="Z93" i="109"/>
  <c r="X129" i="109"/>
  <c r="Y115" i="109"/>
  <c r="AA82" i="109"/>
  <c r="W74" i="109"/>
  <c r="AA29" i="109"/>
  <c r="W80" i="109"/>
  <c r="AA25" i="109"/>
  <c r="AA92" i="109"/>
  <c r="X66" i="109"/>
  <c r="AA86" i="109"/>
  <c r="X101" i="109"/>
  <c r="W62" i="109"/>
  <c r="AA105" i="109"/>
  <c r="Y29" i="109"/>
  <c r="W121" i="109"/>
  <c r="Z62" i="109"/>
  <c r="AA20" i="109"/>
  <c r="W172" i="109"/>
  <c r="Y16" i="109"/>
  <c r="Y108" i="109"/>
  <c r="AA157" i="109"/>
  <c r="W37" i="109"/>
  <c r="AH125" i="108" a="1"/>
  <c r="Z47" i="109"/>
  <c r="AA118" i="109"/>
  <c r="Z152" i="109"/>
  <c r="W41" i="109"/>
  <c r="Z49" i="109"/>
  <c r="W36" i="109"/>
  <c r="AA150" i="109"/>
  <c r="AH58" i="108" a="1"/>
  <c r="AA168" i="109"/>
  <c r="Y146" i="109"/>
  <c r="Z101" i="109"/>
  <c r="Y47" i="109"/>
  <c r="Y127" i="109"/>
  <c r="X145" i="109"/>
  <c r="X140" i="109"/>
  <c r="AH94" i="108" a="1"/>
  <c r="W113" i="109"/>
  <c r="X58" i="109"/>
  <c r="AH90" i="108" a="1"/>
  <c r="X137" i="109"/>
  <c r="AH26" i="108" a="1"/>
  <c r="AH126" i="108" a="1"/>
  <c r="AH124" i="108" a="1"/>
  <c r="AA104" i="109"/>
  <c r="Y26" i="109"/>
  <c r="Y78" i="109"/>
  <c r="W30" i="109"/>
  <c r="W162" i="109"/>
  <c r="Y53" i="109"/>
  <c r="Y101" i="109"/>
  <c r="Z108" i="109"/>
  <c r="W165" i="109"/>
  <c r="X156" i="109"/>
  <c r="Z64" i="109"/>
  <c r="Z112" i="109"/>
  <c r="Y135" i="109"/>
  <c r="Z163" i="109"/>
  <c r="Z128" i="109"/>
  <c r="AA123" i="109"/>
  <c r="Y100" i="109"/>
  <c r="AA70" i="109"/>
  <c r="Y121" i="109"/>
  <c r="X157" i="109"/>
  <c r="W160" i="109"/>
  <c r="W136" i="109"/>
  <c r="X13" i="109"/>
  <c r="Z111" i="109"/>
  <c r="AA165" i="109"/>
  <c r="X130" i="109"/>
  <c r="W95" i="109"/>
  <c r="W118" i="109"/>
  <c r="Y42" i="109"/>
  <c r="X136" i="109"/>
  <c r="Y116" i="109"/>
  <c r="W34" i="109"/>
  <c r="Z99" i="109"/>
  <c r="Z123" i="109"/>
  <c r="W54" i="109"/>
  <c r="Y163" i="109"/>
  <c r="Z92" i="109"/>
  <c r="X55" i="109"/>
  <c r="Z104" i="109"/>
  <c r="Y133" i="109"/>
  <c r="X108" i="109"/>
  <c r="Z35" i="109"/>
  <c r="AA74" i="109"/>
  <c r="AA136" i="109"/>
  <c r="AA66" i="109"/>
  <c r="Y31" i="109"/>
  <c r="W150" i="109"/>
  <c r="Y149" i="109"/>
  <c r="AA83" i="109"/>
  <c r="X57" i="109"/>
  <c r="Y154" i="109"/>
  <c r="AA44" i="109"/>
  <c r="AH33" i="108" a="1"/>
  <c r="AA91" i="109"/>
  <c r="Z65" i="109"/>
  <c r="Y71" i="109"/>
  <c r="AH113" i="108" a="1"/>
  <c r="AH7" i="108" a="1"/>
  <c r="AH45" i="108" a="1"/>
  <c r="Z81" i="109"/>
  <c r="Y125" i="109"/>
  <c r="W47" i="109"/>
  <c r="X29" i="109"/>
  <c r="AA16" i="109"/>
  <c r="AH35" i="108" a="1"/>
  <c r="AH87" i="108" a="1"/>
  <c r="AH61" i="108" a="1"/>
  <c r="AH11" i="108" a="1"/>
  <c r="AH115" i="108" a="1"/>
  <c r="AH23" i="108" a="1"/>
  <c r="AH49" i="108" a="1"/>
  <c r="AH111" i="108" a="1"/>
  <c r="AH12" i="108" a="1"/>
  <c r="AH64" i="108" a="1"/>
  <c r="AH91" i="108" a="1"/>
  <c r="AH39" i="108" a="1"/>
  <c r="AH13" i="108" a="1"/>
  <c r="AH117" i="108" a="1"/>
  <c r="AH62" i="108" a="1"/>
  <c r="AH88" i="108" a="1"/>
  <c r="AH10" i="108" a="1"/>
  <c r="AH69" i="108" a="1"/>
  <c r="AH95" i="108" a="1"/>
  <c r="AH17" i="108" a="1"/>
  <c r="AH121" i="108" a="1"/>
  <c r="AH34" i="108" a="1"/>
  <c r="AH60" i="108" a="1"/>
  <c r="AH8" i="108" a="1"/>
  <c r="AH86" i="108" a="1"/>
  <c r="AH47" i="108" a="1"/>
  <c r="AH99" i="108" a="1"/>
  <c r="AH73" i="108" a="1"/>
  <c r="AH101" i="108" a="1"/>
  <c r="AH127" i="108" a="1"/>
  <c r="AH110" i="108" a="1"/>
  <c r="AH84" i="108" a="1"/>
  <c r="AH32" i="108" a="1"/>
  <c r="AH130" i="108" a="1"/>
  <c r="AH104" i="108" a="1"/>
  <c r="AH78" i="108" a="1"/>
  <c r="AH52" i="108" a="1"/>
  <c r="AH14" i="108" a="1"/>
  <c r="AH92" i="108" a="1"/>
  <c r="AH40" i="108" a="1"/>
  <c r="AH118" i="108" a="1"/>
  <c r="AH24" i="108" a="1"/>
  <c r="AH50" i="108" a="1"/>
  <c r="AH128" i="108" a="1"/>
  <c r="AH76" i="108" a="1"/>
  <c r="AH102" i="108" a="1"/>
  <c r="AH41" i="108" a="1"/>
  <c r="AH119" i="108" a="1"/>
  <c r="AH93" i="108" a="1"/>
  <c r="AH15" i="108" a="1"/>
  <c r="AH67" i="108" a="1"/>
  <c r="AH22" i="108" l="1"/>
  <c r="AH100" i="108"/>
  <c r="AH69" i="108"/>
  <c r="AH95" i="108"/>
  <c r="AH121" i="108"/>
  <c r="AH17" i="108"/>
  <c r="AH98" i="108"/>
  <c r="AH124" i="108"/>
  <c r="AH72" i="108"/>
  <c r="AH38" i="108"/>
  <c r="AH12" i="108"/>
  <c r="AH116" i="108"/>
  <c r="AH64" i="108"/>
  <c r="AH91" i="108"/>
  <c r="AH14" i="108"/>
  <c r="AH92" i="108"/>
  <c r="AH40" i="108"/>
  <c r="AH118" i="108"/>
  <c r="AH62" i="108"/>
  <c r="AH88" i="108"/>
  <c r="AH10" i="108"/>
  <c r="AH19" i="108"/>
  <c r="AH45" i="108"/>
  <c r="AH126" i="108"/>
  <c r="AH48" i="108"/>
  <c r="AH70" i="108"/>
  <c r="AH18" i="108"/>
  <c r="AH122" i="108"/>
  <c r="AH96" i="108"/>
  <c r="AH60" i="108"/>
  <c r="AH8" i="108"/>
  <c r="AH86" i="108"/>
  <c r="AH76" i="108"/>
  <c r="AH102" i="108"/>
  <c r="AH39" i="108"/>
  <c r="AH13" i="108"/>
  <c r="AH117" i="108"/>
  <c r="AH85" i="108"/>
  <c r="AH7" i="108"/>
  <c r="AH26" i="108"/>
  <c r="AH130" i="108"/>
  <c r="AH104" i="108"/>
  <c r="AH37" i="108"/>
  <c r="AH89" i="108"/>
  <c r="AH103" i="108"/>
  <c r="AH51" i="108"/>
  <c r="AH25" i="108"/>
  <c r="AH129" i="108"/>
  <c r="AH46" i="108"/>
  <c r="AH20" i="108"/>
  <c r="AH87" i="108"/>
  <c r="AH61" i="108"/>
  <c r="AH16" i="108"/>
  <c r="AH50" i="108"/>
  <c r="AH78" i="108"/>
  <c r="AH74" i="108"/>
  <c r="AH11" i="108"/>
  <c r="AH111" i="108"/>
  <c r="AH90" i="108"/>
  <c r="AH114" i="108"/>
  <c r="AH43" i="108"/>
  <c r="AH93" i="108"/>
  <c r="AH84" i="108"/>
  <c r="AH115" i="108"/>
  <c r="AH33" i="108"/>
  <c r="AH15" i="108"/>
  <c r="AH49" i="108"/>
  <c r="AH94" i="108"/>
  <c r="AH44" i="108"/>
  <c r="AH52" i="108"/>
  <c r="AH128" i="108"/>
  <c r="AH123" i="108"/>
  <c r="AH47" i="108"/>
  <c r="AH119" i="108"/>
  <c r="AH24" i="108"/>
  <c r="AH36" i="108"/>
  <c r="AH42" i="108"/>
  <c r="AH97" i="108"/>
  <c r="AH127" i="108"/>
  <c r="AH34" i="108"/>
  <c r="AH77" i="108"/>
  <c r="AH58" i="108"/>
  <c r="AH63" i="108"/>
  <c r="AH120" i="108"/>
  <c r="AH23" i="108"/>
  <c r="AH101" i="108"/>
  <c r="AH32" i="108"/>
  <c r="AH99" i="108"/>
  <c r="AH125" i="108"/>
  <c r="AH110" i="108"/>
  <c r="AH35" i="108"/>
  <c r="AH67" i="108"/>
  <c r="AH71" i="108"/>
  <c r="AH113" i="108"/>
  <c r="AH41" i="108"/>
  <c r="AH73" i="108"/>
  <c r="AD44" i="98"/>
  <c r="AL44" i="98" s="1"/>
  <c r="AZ45" i="101" s="1"/>
  <c r="AB44" i="98"/>
  <c r="AJ44" i="98" s="1"/>
  <c r="AX45" i="101" s="1"/>
  <c r="AC44" i="98"/>
  <c r="AK44" i="98" s="1"/>
  <c r="AY45" i="101" s="1"/>
  <c r="AA44" i="98"/>
  <c r="AI44" i="98" s="1"/>
  <c r="AW45" i="101" s="1"/>
  <c r="AE44" i="98"/>
  <c r="AM44" i="98" s="1"/>
  <c r="BA45" i="101" s="1"/>
  <c r="AH66" i="108" a="1"/>
  <c r="AH75" i="108" a="1"/>
  <c r="AI84" i="108" a="1"/>
  <c r="AH9" i="108" a="1"/>
  <c r="AH59" i="108" a="1"/>
  <c r="AH68" i="108" a="1"/>
  <c r="AH21" i="108" a="1"/>
  <c r="AH65" i="108" a="1"/>
  <c r="AH6" i="108"/>
  <c r="AH112" i="108" a="1"/>
  <c r="AI110" i="108" a="1"/>
  <c r="AI32" i="108" a="1"/>
  <c r="AI58" i="108" a="1"/>
  <c r="AH21" i="108" l="1"/>
  <c r="AH59" i="108"/>
  <c r="AH9" i="108"/>
  <c r="AH75" i="108"/>
  <c r="AH66" i="108"/>
  <c r="AI110" i="108"/>
  <c r="U121" i="97" s="1"/>
  <c r="AH112" i="108"/>
  <c r="AH65" i="108"/>
  <c r="AH68" i="108"/>
  <c r="AI58" i="108"/>
  <c r="AI84" i="108"/>
  <c r="U95" i="97" s="1"/>
  <c r="AI32" i="108"/>
  <c r="U43" i="97" s="1"/>
  <c r="U69" i="97"/>
  <c r="S6" i="103"/>
  <c r="AE45" i="98"/>
  <c r="AM45" i="98" s="1"/>
  <c r="BA46" i="101" s="1"/>
  <c r="AD45" i="98"/>
  <c r="AL45" i="98" s="1"/>
  <c r="AZ46" i="101" s="1"/>
  <c r="AC45" i="98"/>
  <c r="AK45" i="98" s="1"/>
  <c r="AY46" i="101" s="1"/>
  <c r="AB45" i="98"/>
  <c r="AJ45" i="98" s="1"/>
  <c r="AX46" i="101" s="1"/>
  <c r="AA45" i="98"/>
  <c r="AI45" i="98" s="1"/>
  <c r="AW46" i="101" s="1"/>
  <c r="AI6" i="108"/>
  <c r="AJ110" i="108" a="1"/>
  <c r="AJ84" i="108" a="1"/>
  <c r="AJ58" i="108" a="1"/>
  <c r="AJ32" i="108" a="1"/>
  <c r="AJ6" i="108" a="1"/>
  <c r="AJ6" i="108" l="1"/>
  <c r="U17" i="97"/>
  <c r="AJ84" i="108"/>
  <c r="AJ58" i="108"/>
  <c r="AJ32" i="108"/>
  <c r="AJ110" i="108"/>
  <c r="R6" i="103"/>
  <c r="CV4" i="101"/>
  <c r="CV6" i="101"/>
  <c r="CV7" i="101"/>
  <c r="CV8" i="101"/>
  <c r="CV9" i="101"/>
  <c r="CV10" i="101"/>
  <c r="CV11" i="101"/>
  <c r="CV12" i="101"/>
  <c r="CV13" i="101"/>
  <c r="CV14" i="101"/>
  <c r="CV15" i="101"/>
  <c r="CV16" i="101"/>
  <c r="CV17" i="101"/>
  <c r="CV18" i="101"/>
  <c r="CV19" i="101"/>
  <c r="AB46" i="98"/>
  <c r="AJ46" i="98" s="1"/>
  <c r="AX47" i="101" s="1"/>
  <c r="AE46" i="98"/>
  <c r="AM46" i="98" s="1"/>
  <c r="BA47" i="101" s="1"/>
  <c r="AD46" i="98"/>
  <c r="AL46" i="98" s="1"/>
  <c r="AZ47" i="101" s="1"/>
  <c r="AC46" i="98"/>
  <c r="AK46" i="98" s="1"/>
  <c r="AY47" i="101" s="1"/>
  <c r="AA46" i="98"/>
  <c r="AI46" i="98" s="1"/>
  <c r="AW47" i="101" s="1"/>
  <c r="Q6" i="99"/>
  <c r="T17" i="97"/>
  <c r="AG6" i="108" s="1"/>
  <c r="U6" i="99"/>
  <c r="T6" i="99"/>
  <c r="P6" i="99"/>
  <c r="S17" i="97"/>
  <c r="AF6" i="108" s="1"/>
  <c r="N6" i="103" l="1"/>
  <c r="AJ6" i="103" s="1"/>
  <c r="O6" i="103"/>
  <c r="AD47" i="98"/>
  <c r="AL47" i="98" s="1"/>
  <c r="AZ48" i="101" s="1"/>
  <c r="AC47" i="98"/>
  <c r="AK47" i="98" s="1"/>
  <c r="AY48" i="101" s="1"/>
  <c r="AB47" i="98"/>
  <c r="AJ47" i="98" s="1"/>
  <c r="AX48" i="101" s="1"/>
  <c r="AE47" i="98"/>
  <c r="AM47" i="98" s="1"/>
  <c r="BA48" i="101" s="1"/>
  <c r="AA47" i="98"/>
  <c r="AI47" i="98" s="1"/>
  <c r="AW48" i="101" s="1"/>
  <c r="V6" i="103" l="1"/>
  <c r="AK6" i="103"/>
  <c r="M17" i="97"/>
  <c r="P6" i="103"/>
  <c r="R6" i="99"/>
  <c r="N6" i="99"/>
  <c r="L6" i="103" s="1"/>
  <c r="Q17" i="97"/>
  <c r="AD6" i="108" s="1"/>
  <c r="AD48" i="98"/>
  <c r="AL48" i="98" s="1"/>
  <c r="AZ49" i="101" s="1"/>
  <c r="AC48" i="98"/>
  <c r="AK48" i="98" s="1"/>
  <c r="AY49" i="101" s="1"/>
  <c r="AB48" i="98"/>
  <c r="AJ48" i="98" s="1"/>
  <c r="AX49" i="101" s="1"/>
  <c r="AE48" i="98"/>
  <c r="AM48" i="98" s="1"/>
  <c r="BA49" i="101" s="1"/>
  <c r="AA48" i="98"/>
  <c r="AI48" i="98" s="1"/>
  <c r="AW49" i="101" s="1"/>
  <c r="W6" i="103"/>
  <c r="N6" i="110"/>
  <c r="Z6" i="108" l="1"/>
  <c r="AH6" i="103"/>
  <c r="T6" i="103"/>
  <c r="AD49" i="98" l="1"/>
  <c r="AL49" i="98" s="1"/>
  <c r="AZ50" i="101" s="1"/>
  <c r="AB49" i="98"/>
  <c r="AJ49" i="98" s="1"/>
  <c r="AX50" i="101" s="1"/>
  <c r="AE49" i="98"/>
  <c r="AM49" i="98" s="1"/>
  <c r="BA50" i="101" s="1"/>
  <c r="AC49" i="98"/>
  <c r="AK49" i="98" s="1"/>
  <c r="AY50" i="101" s="1"/>
  <c r="AA49" i="98"/>
  <c r="AI49" i="98" s="1"/>
  <c r="AW50" i="101" s="1"/>
  <c r="BC49" i="101" l="1"/>
  <c r="BC36" i="101"/>
  <c r="BC40" i="101"/>
  <c r="BC26" i="101"/>
  <c r="BC33" i="101"/>
  <c r="BC15" i="101"/>
  <c r="BC20" i="101"/>
  <c r="BC34" i="101"/>
  <c r="BC19" i="101"/>
  <c r="BC12" i="101"/>
  <c r="BC6" i="101"/>
  <c r="BC29" i="101"/>
  <c r="BC23" i="101"/>
  <c r="BC43" i="101"/>
  <c r="BC14" i="101"/>
  <c r="BC30" i="101"/>
  <c r="BC22" i="101"/>
  <c r="BC28" i="101"/>
  <c r="BC11" i="101"/>
  <c r="BC16" i="101"/>
  <c r="BC47" i="101"/>
  <c r="BC8" i="101"/>
  <c r="BC38" i="101"/>
  <c r="BC46" i="101"/>
  <c r="BC45" i="101"/>
  <c r="BC27" i="101"/>
  <c r="BC21" i="101"/>
  <c r="BC9" i="101"/>
  <c r="BC35" i="101"/>
  <c r="BC13" i="101"/>
  <c r="BC31" i="101"/>
  <c r="BC7" i="101"/>
  <c r="BC41" i="101"/>
  <c r="BC44" i="101"/>
  <c r="BC32" i="101"/>
  <c r="BC48" i="101"/>
  <c r="BC25" i="101"/>
  <c r="BC24" i="101"/>
  <c r="BC42" i="101"/>
  <c r="BC18" i="101"/>
  <c r="BC10" i="101"/>
  <c r="BC17" i="101"/>
  <c r="BC39" i="101"/>
  <c r="BC37" i="101"/>
  <c r="AD50" i="98"/>
  <c r="AL50" i="98" s="1"/>
  <c r="AZ51" i="101" s="1"/>
  <c r="AC50" i="98"/>
  <c r="AK50" i="98" s="1"/>
  <c r="AY51" i="101" s="1"/>
  <c r="AA50" i="98"/>
  <c r="AI50" i="98" s="1"/>
  <c r="AW51" i="101" s="1"/>
  <c r="AB50" i="98"/>
  <c r="AJ50" i="98" s="1"/>
  <c r="AX51" i="101" s="1"/>
  <c r="AE50" i="98"/>
  <c r="AM50" i="98" s="1"/>
  <c r="BA51" i="101" s="1"/>
  <c r="BC50" i="101"/>
  <c r="BC51" i="101" l="1"/>
  <c r="AB51" i="98"/>
  <c r="AJ51" i="98" s="1"/>
  <c r="AX52" i="101" s="1"/>
  <c r="AC51" i="98"/>
  <c r="AK51" i="98" s="1"/>
  <c r="AY52" i="101" s="1"/>
  <c r="AD51" i="98"/>
  <c r="AL51" i="98" s="1"/>
  <c r="AZ52" i="101" s="1"/>
  <c r="AE51" i="98"/>
  <c r="AM51" i="98" s="1"/>
  <c r="BA52" i="101" s="1"/>
  <c r="AA51" i="98"/>
  <c r="AI51" i="98" s="1"/>
  <c r="AW52" i="101" s="1"/>
  <c r="AD52" i="98" l="1"/>
  <c r="AL52" i="98" s="1"/>
  <c r="AZ53" i="101" s="1"/>
  <c r="AA52" i="98"/>
  <c r="AI52" i="98" s="1"/>
  <c r="AW53" i="101" s="1"/>
  <c r="AB52" i="98"/>
  <c r="AJ52" i="98" s="1"/>
  <c r="AX53" i="101" s="1"/>
  <c r="AE52" i="98"/>
  <c r="AM52" i="98" s="1"/>
  <c r="BA53" i="101" s="1"/>
  <c r="AC52" i="98"/>
  <c r="AK52" i="98" s="1"/>
  <c r="AY53" i="101" s="1"/>
  <c r="BC52" i="101"/>
  <c r="BC53" i="101" l="1"/>
  <c r="AD53" i="98"/>
  <c r="AL53" i="98" s="1"/>
  <c r="AZ54" i="101" s="1"/>
  <c r="AC53" i="98"/>
  <c r="AK53" i="98" s="1"/>
  <c r="AY54" i="101" s="1"/>
  <c r="AB53" i="98"/>
  <c r="AJ53" i="98" s="1"/>
  <c r="AX54" i="101" s="1"/>
  <c r="AE53" i="98"/>
  <c r="AM53" i="98" s="1"/>
  <c r="BA54" i="101" s="1"/>
  <c r="AA53" i="98"/>
  <c r="AI53" i="98" s="1"/>
  <c r="AW54" i="101" s="1"/>
  <c r="AE54" i="98" l="1"/>
  <c r="AM54" i="98" s="1"/>
  <c r="BA55" i="101" s="1"/>
  <c r="AC54" i="98"/>
  <c r="AK54" i="98" s="1"/>
  <c r="AY55" i="101" s="1"/>
  <c r="AB54" i="98"/>
  <c r="AJ54" i="98" s="1"/>
  <c r="AX55" i="101" s="1"/>
  <c r="AA54" i="98"/>
  <c r="AI54" i="98" s="1"/>
  <c r="AW55" i="101" s="1"/>
  <c r="AD54" i="98"/>
  <c r="AL54" i="98" s="1"/>
  <c r="AZ55" i="101" s="1"/>
  <c r="BC54" i="101"/>
  <c r="BC55" i="101" l="1"/>
  <c r="AB55" i="98"/>
  <c r="AJ55" i="98" s="1"/>
  <c r="AX56" i="101" s="1"/>
  <c r="AE55" i="98"/>
  <c r="AM55" i="98" s="1"/>
  <c r="BA56" i="101" s="1"/>
  <c r="AC55" i="98"/>
  <c r="AK55" i="98" s="1"/>
  <c r="AY56" i="101" s="1"/>
  <c r="AD55" i="98"/>
  <c r="AL55" i="98" s="1"/>
  <c r="AZ56" i="101" s="1"/>
  <c r="AA55" i="98"/>
  <c r="AI55" i="98" s="1"/>
  <c r="AW56" i="101" s="1"/>
  <c r="AD56" i="98" l="1"/>
  <c r="AL56" i="98" s="1"/>
  <c r="AZ57" i="101" s="1"/>
  <c r="AC56" i="98"/>
  <c r="AK56" i="98" s="1"/>
  <c r="AY57" i="101" s="1"/>
  <c r="AB56" i="98"/>
  <c r="AJ56" i="98" s="1"/>
  <c r="AX57" i="101" s="1"/>
  <c r="AE56" i="98"/>
  <c r="AM56" i="98" s="1"/>
  <c r="BA57" i="101" s="1"/>
  <c r="AA56" i="98"/>
  <c r="AI56" i="98" s="1"/>
  <c r="AW57" i="101" s="1"/>
  <c r="BC56" i="101" l="1"/>
  <c r="AC57" i="98"/>
  <c r="AK57" i="98" s="1"/>
  <c r="AY58" i="101" s="1"/>
  <c r="AD57" i="98"/>
  <c r="AL57" i="98" s="1"/>
  <c r="AZ58" i="101" s="1"/>
  <c r="AB57" i="98"/>
  <c r="AJ57" i="98" s="1"/>
  <c r="AX58" i="101" s="1"/>
  <c r="AE57" i="98"/>
  <c r="AM57" i="98" s="1"/>
  <c r="BA58" i="101" s="1"/>
  <c r="AA57" i="98"/>
  <c r="AI57" i="98" s="1"/>
  <c r="AW58" i="101" s="1"/>
  <c r="BC57" i="101" l="1"/>
  <c r="AD58" i="98"/>
  <c r="AL58" i="98" s="1"/>
  <c r="AZ59" i="101" s="1"/>
  <c r="AB58" i="98"/>
  <c r="AJ58" i="98" s="1"/>
  <c r="AX59" i="101" s="1"/>
  <c r="AE58" i="98"/>
  <c r="AM58" i="98" s="1"/>
  <c r="BA59" i="101" s="1"/>
  <c r="AC58" i="98"/>
  <c r="AK58" i="98" s="1"/>
  <c r="AY59" i="101" s="1"/>
  <c r="AA58" i="98"/>
  <c r="AI58" i="98" s="1"/>
  <c r="AW59" i="101" s="1"/>
  <c r="BC58" i="101" l="1"/>
  <c r="AB59" i="98"/>
  <c r="AJ59" i="98" s="1"/>
  <c r="AX60" i="101" s="1"/>
  <c r="AD59" i="98"/>
  <c r="AL59" i="98" s="1"/>
  <c r="AZ60" i="101" s="1"/>
  <c r="AC59" i="98"/>
  <c r="AK59" i="98" s="1"/>
  <c r="AY60" i="101" s="1"/>
  <c r="AE59" i="98"/>
  <c r="AM59" i="98" s="1"/>
  <c r="BA60" i="101" s="1"/>
  <c r="AA59" i="98"/>
  <c r="AI59" i="98" s="1"/>
  <c r="AW60" i="101" s="1"/>
  <c r="BC59" i="101" l="1"/>
  <c r="AD60" i="98"/>
  <c r="AL60" i="98" s="1"/>
  <c r="AZ61" i="101" s="1"/>
  <c r="AB60" i="98"/>
  <c r="AJ60" i="98" s="1"/>
  <c r="AX61" i="101" s="1"/>
  <c r="AC60" i="98"/>
  <c r="AK60" i="98" s="1"/>
  <c r="AY61" i="101" s="1"/>
  <c r="AA60" i="98"/>
  <c r="AI60" i="98" s="1"/>
  <c r="AW61" i="101" s="1"/>
  <c r="AE60" i="98"/>
  <c r="AM60" i="98" s="1"/>
  <c r="BA61" i="101" s="1"/>
  <c r="BC60" i="101" l="1"/>
  <c r="AD61" i="98"/>
  <c r="AL61" i="98" s="1"/>
  <c r="AZ62" i="101" s="1"/>
  <c r="AB61" i="98"/>
  <c r="AJ61" i="98" s="1"/>
  <c r="AX62" i="101" s="1"/>
  <c r="AE61" i="98"/>
  <c r="AM61" i="98" s="1"/>
  <c r="BA62" i="101" s="1"/>
  <c r="AA61" i="98"/>
  <c r="AI61" i="98" s="1"/>
  <c r="AW62" i="101" s="1"/>
  <c r="AC61" i="98"/>
  <c r="AK61" i="98" s="1"/>
  <c r="AY62" i="101" s="1"/>
  <c r="BC61" i="101" l="1"/>
  <c r="AB62" i="98"/>
  <c r="AJ62" i="98" s="1"/>
  <c r="AX63" i="101" s="1"/>
  <c r="AD62" i="98"/>
  <c r="AL62" i="98" s="1"/>
  <c r="AZ63" i="101" s="1"/>
  <c r="AC62" i="98"/>
  <c r="AK62" i="98" s="1"/>
  <c r="AY63" i="101" s="1"/>
  <c r="AE62" i="98"/>
  <c r="AM62" i="98" s="1"/>
  <c r="BA63" i="101" s="1"/>
  <c r="AA62" i="98"/>
  <c r="AI62" i="98" s="1"/>
  <c r="AW63" i="101" s="1"/>
  <c r="BC62" i="101" l="1"/>
  <c r="AD63" i="98"/>
  <c r="AL63" i="98" s="1"/>
  <c r="AZ64" i="101" s="1"/>
  <c r="AE63" i="98"/>
  <c r="AM63" i="98" s="1"/>
  <c r="BA64" i="101" s="1"/>
  <c r="AC63" i="98"/>
  <c r="AK63" i="98" s="1"/>
  <c r="AY64" i="101" s="1"/>
  <c r="AB63" i="98"/>
  <c r="AJ63" i="98" s="1"/>
  <c r="AX64" i="101" s="1"/>
  <c r="AA63" i="98"/>
  <c r="AI63" i="98" s="1"/>
  <c r="AW64" i="101" s="1"/>
  <c r="BC63" i="101" l="1"/>
  <c r="AB64" i="98"/>
  <c r="AJ64" i="98" s="1"/>
  <c r="AX65" i="101" s="1"/>
  <c r="AE64" i="98"/>
  <c r="AM64" i="98" s="1"/>
  <c r="BA65" i="101" s="1"/>
  <c r="AC64" i="98"/>
  <c r="AK64" i="98" s="1"/>
  <c r="AY65" i="101" s="1"/>
  <c r="AA64" i="98"/>
  <c r="AI64" i="98" s="1"/>
  <c r="AW65" i="101" s="1"/>
  <c r="AD64" i="98"/>
  <c r="AL64" i="98" s="1"/>
  <c r="AZ65" i="101" s="1"/>
  <c r="AS68" i="105"/>
  <c r="AH116" i="105"/>
  <c r="N19" i="105"/>
  <c r="AS125" i="105"/>
  <c r="T107" i="105"/>
  <c r="K50" i="105"/>
  <c r="R119" i="105"/>
  <c r="O151" i="105"/>
  <c r="O80" i="105"/>
  <c r="AF63" i="105"/>
  <c r="AD120" i="105"/>
  <c r="S128" i="105"/>
  <c r="V102" i="105"/>
  <c r="AQ158" i="105"/>
  <c r="U62" i="105"/>
  <c r="V163" i="105"/>
  <c r="L92" i="105"/>
  <c r="AD59" i="105"/>
  <c r="V145" i="105"/>
  <c r="AD125" i="105"/>
  <c r="AD95" i="105"/>
  <c r="D107" i="97"/>
  <c r="K43" i="105"/>
  <c r="AF159" i="105"/>
  <c r="AI118" i="108" a="1"/>
  <c r="P56" i="96"/>
  <c r="AQ116" i="105"/>
  <c r="AI7" i="108" a="1"/>
  <c r="AF119" i="105"/>
  <c r="O154" i="105"/>
  <c r="P48" i="96"/>
  <c r="AG80" i="105"/>
  <c r="S124" i="105"/>
  <c r="V54" i="105"/>
  <c r="L15" i="105"/>
  <c r="N55" i="105"/>
  <c r="N120" i="105"/>
  <c r="AP134" i="105"/>
  <c r="AT159" i="105"/>
  <c r="AE135" i="105"/>
  <c r="O149" i="105"/>
  <c r="R124" i="105"/>
  <c r="M139" i="105"/>
  <c r="AS130" i="105"/>
  <c r="N115" i="105"/>
  <c r="M138" i="105"/>
  <c r="AS159" i="105"/>
  <c r="U145" i="105"/>
  <c r="N25" i="105"/>
  <c r="R123" i="105"/>
  <c r="AD119" i="105"/>
  <c r="AD80" i="105"/>
  <c r="O21" i="105"/>
  <c r="AF62" i="105"/>
  <c r="AP88" i="105"/>
  <c r="P83" i="96"/>
  <c r="M13" i="105"/>
  <c r="AD84" i="105"/>
  <c r="AQ63" i="105"/>
  <c r="AH90" i="105"/>
  <c r="V151" i="105"/>
  <c r="S156" i="105"/>
  <c r="AQ95" i="105"/>
  <c r="D49" i="97"/>
  <c r="O70" i="105"/>
  <c r="U152" i="105"/>
  <c r="AP83" i="105"/>
  <c r="T54" i="105"/>
  <c r="K9" i="105"/>
  <c r="T76" i="105"/>
  <c r="K157" i="105"/>
  <c r="K10" i="105"/>
  <c r="AS117" i="105"/>
  <c r="AD164" i="105"/>
  <c r="V157" i="105"/>
  <c r="AI91" i="108" a="1"/>
  <c r="U149" i="105"/>
  <c r="AE102" i="105"/>
  <c r="AI86" i="108" a="1"/>
  <c r="K75" i="105"/>
  <c r="U142" i="105"/>
  <c r="AT142" i="105"/>
  <c r="AH87" i="105"/>
  <c r="L61" i="105"/>
  <c r="AT152" i="105"/>
  <c r="AF96" i="105"/>
  <c r="L116" i="105"/>
  <c r="AE83" i="105"/>
  <c r="S95" i="105"/>
  <c r="AQ104" i="105"/>
  <c r="AT61" i="105"/>
  <c r="R99" i="105"/>
  <c r="L83" i="105"/>
  <c r="AQ52" i="105"/>
  <c r="AT123" i="105"/>
  <c r="N46" i="105"/>
  <c r="AT124" i="105"/>
  <c r="AT82" i="105"/>
  <c r="K163" i="105"/>
  <c r="V112" i="105"/>
  <c r="AG119" i="105"/>
  <c r="K63" i="105"/>
  <c r="AS84" i="105"/>
  <c r="AD54" i="105"/>
  <c r="N33" i="105"/>
  <c r="AT103" i="105"/>
  <c r="AD73" i="105"/>
  <c r="AE122" i="105"/>
  <c r="AH124" i="105"/>
  <c r="P107" i="96"/>
  <c r="AT145" i="105"/>
  <c r="K160" i="105"/>
  <c r="AH77" i="105"/>
  <c r="AS81" i="105"/>
  <c r="K51" i="105"/>
  <c r="AE71" i="105"/>
  <c r="M14" i="105"/>
  <c r="AP72" i="105"/>
  <c r="AQ109" i="105"/>
  <c r="R148" i="105"/>
  <c r="AG66" i="105"/>
  <c r="AH162" i="105"/>
  <c r="M82" i="105"/>
  <c r="R146" i="105"/>
  <c r="AP94" i="105"/>
  <c r="D25" i="97"/>
  <c r="O118" i="105"/>
  <c r="AG76" i="105"/>
  <c r="O12" i="105"/>
  <c r="N78" i="105"/>
  <c r="AH123" i="105"/>
  <c r="M81" i="105"/>
  <c r="M104" i="105"/>
  <c r="AF72" i="105"/>
  <c r="AE149" i="105"/>
  <c r="AE60" i="105"/>
  <c r="T110" i="105"/>
  <c r="V119" i="105"/>
  <c r="AF89" i="105"/>
  <c r="N96" i="105"/>
  <c r="AT102" i="105"/>
  <c r="AT164" i="105"/>
  <c r="N26" i="105"/>
  <c r="R157" i="105"/>
  <c r="N39" i="105"/>
  <c r="AI77" i="108" a="1"/>
  <c r="AR154" i="105"/>
  <c r="AF61" i="105"/>
  <c r="AQ93" i="105"/>
  <c r="AD155" i="105"/>
  <c r="AE104" i="105"/>
  <c r="N103" i="105"/>
  <c r="R84" i="105"/>
  <c r="AQ79" i="105"/>
  <c r="O91" i="105"/>
  <c r="D105" i="97"/>
  <c r="AD118" i="105"/>
  <c r="AR52" i="105"/>
  <c r="AQ78" i="105"/>
  <c r="AS76" i="105"/>
  <c r="S148" i="105"/>
  <c r="M77" i="105"/>
  <c r="AP131" i="105"/>
  <c r="AF57" i="105"/>
  <c r="S153" i="105"/>
  <c r="AQ156" i="105"/>
  <c r="T143" i="105"/>
  <c r="AF123" i="105"/>
  <c r="AD86" i="105"/>
  <c r="V127" i="105"/>
  <c r="U89" i="105"/>
  <c r="AG90" i="105"/>
  <c r="O140" i="105"/>
  <c r="N89" i="105"/>
  <c r="K31" i="105"/>
  <c r="N142" i="105"/>
  <c r="P97" i="96"/>
  <c r="AH141" i="105"/>
  <c r="N93" i="105"/>
  <c r="AQ132" i="105"/>
  <c r="AR120" i="105"/>
  <c r="M146" i="105"/>
  <c r="L129" i="105"/>
  <c r="N124" i="105"/>
  <c r="AS112" i="105"/>
  <c r="K159" i="105"/>
  <c r="AD69" i="105"/>
  <c r="V97" i="105"/>
  <c r="AE87" i="105"/>
  <c r="AH73" i="105"/>
  <c r="T64" i="105"/>
  <c r="N68" i="105"/>
  <c r="AI46" i="108" a="1"/>
  <c r="AT116" i="105"/>
  <c r="L57" i="105"/>
  <c r="O101" i="105"/>
  <c r="AR84" i="105"/>
  <c r="AP55" i="105"/>
  <c r="K166" i="105"/>
  <c r="AG129" i="105"/>
  <c r="AF54" i="105"/>
  <c r="R110" i="105"/>
  <c r="AH122" i="105"/>
  <c r="O158" i="105"/>
  <c r="T80" i="105"/>
  <c r="AS64" i="105"/>
  <c r="N52" i="105"/>
  <c r="K23" i="105"/>
  <c r="P101" i="96"/>
  <c r="AG138" i="105"/>
  <c r="AE106" i="105"/>
  <c r="U95" i="105"/>
  <c r="O139" i="105"/>
  <c r="AQ123" i="105"/>
  <c r="AT144" i="105"/>
  <c r="AG112" i="105"/>
  <c r="M22" i="105"/>
  <c r="M74" i="105"/>
  <c r="R147" i="105"/>
  <c r="T70" i="105"/>
  <c r="U106" i="105"/>
  <c r="AE70" i="105"/>
  <c r="U98" i="105"/>
  <c r="K40" i="105"/>
  <c r="AS102" i="105"/>
  <c r="AP58" i="105"/>
  <c r="AF97" i="105"/>
  <c r="R102" i="105"/>
  <c r="P51" i="96"/>
  <c r="V100" i="105"/>
  <c r="K106" i="105"/>
  <c r="AI89" i="108" a="1"/>
  <c r="T122" i="105"/>
  <c r="AQ152" i="105"/>
  <c r="AE144" i="105"/>
  <c r="U164" i="105"/>
  <c r="O113" i="105"/>
  <c r="N18" i="105"/>
  <c r="AI45" i="108" a="1"/>
  <c r="O64" i="105"/>
  <c r="P96" i="96"/>
  <c r="AP61" i="105"/>
  <c r="V60" i="105"/>
  <c r="K132" i="105"/>
  <c r="S79" i="105"/>
  <c r="AQ112" i="105"/>
  <c r="N94" i="105"/>
  <c r="R104" i="105"/>
  <c r="AP80" i="105"/>
  <c r="AT75" i="105"/>
  <c r="AE91" i="105"/>
  <c r="AS114" i="105"/>
  <c r="AQ66" i="105"/>
  <c r="AR53" i="105"/>
  <c r="AE56" i="105"/>
  <c r="T57" i="105"/>
  <c r="AT118" i="105"/>
  <c r="AS161" i="105"/>
  <c r="AH65" i="105"/>
  <c r="U97" i="105"/>
  <c r="AH101" i="105"/>
  <c r="AF147" i="105"/>
  <c r="AR103" i="105"/>
  <c r="P26" i="96"/>
  <c r="T91" i="105"/>
  <c r="O8" i="105"/>
  <c r="M11" i="105"/>
  <c r="S54" i="105"/>
  <c r="P47" i="96"/>
  <c r="AR123" i="105"/>
  <c r="V83" i="105"/>
  <c r="AH53" i="105"/>
  <c r="AT86" i="105"/>
  <c r="AS94" i="105"/>
  <c r="AE154" i="105"/>
  <c r="U156" i="105"/>
  <c r="N91" i="105"/>
  <c r="P22" i="96"/>
  <c r="N34" i="105"/>
  <c r="AF55" i="105"/>
  <c r="N56" i="105"/>
  <c r="N147" i="105"/>
  <c r="AR163" i="105"/>
  <c r="L140" i="105"/>
  <c r="N69" i="105"/>
  <c r="AS162" i="105"/>
  <c r="AE86" i="105"/>
  <c r="T95" i="105"/>
  <c r="AT114" i="105"/>
  <c r="AH96" i="105"/>
  <c r="AR150" i="105"/>
  <c r="M114" i="105"/>
  <c r="AQ58" i="105"/>
  <c r="K78" i="105"/>
  <c r="R72" i="105"/>
  <c r="K62" i="105"/>
  <c r="AR94" i="105"/>
  <c r="K146" i="105"/>
  <c r="D46" i="97"/>
  <c r="AG118" i="105"/>
  <c r="AQ121" i="105"/>
  <c r="AP79" i="105"/>
  <c r="AI21" i="108" a="1"/>
  <c r="N79" i="105"/>
  <c r="L128" i="105"/>
  <c r="S152" i="105"/>
  <c r="AS123" i="105"/>
  <c r="R160" i="105"/>
  <c r="AP136" i="105"/>
  <c r="K89" i="105"/>
  <c r="V117" i="105"/>
  <c r="AG91" i="105"/>
  <c r="AR68" i="105"/>
  <c r="AH55" i="105"/>
  <c r="P23" i="96"/>
  <c r="K96" i="105"/>
  <c r="L135" i="105"/>
  <c r="D108" i="97"/>
  <c r="S65" i="105"/>
  <c r="V165" i="105"/>
  <c r="AH134" i="105"/>
  <c r="T73" i="105"/>
  <c r="T104" i="105"/>
  <c r="AG94" i="105"/>
  <c r="O15" i="105"/>
  <c r="K154" i="105"/>
  <c r="AE164" i="105"/>
  <c r="AE118" i="105"/>
  <c r="U113" i="105"/>
  <c r="AG126" i="105"/>
  <c r="K145" i="105"/>
  <c r="V121" i="105"/>
  <c r="K127" i="105"/>
  <c r="AH132" i="105"/>
  <c r="L73" i="105"/>
  <c r="S147" i="105"/>
  <c r="V85" i="105"/>
  <c r="T162" i="105"/>
  <c r="D23" i="97"/>
  <c r="AP126" i="105"/>
  <c r="AE114" i="105"/>
  <c r="D130" i="97"/>
  <c r="AP146" i="105"/>
  <c r="T151" i="105"/>
  <c r="AQ74" i="105"/>
  <c r="K158" i="105"/>
  <c r="R95" i="105"/>
  <c r="N141" i="105"/>
  <c r="AP106" i="105"/>
  <c r="K140" i="105"/>
  <c r="O160" i="105"/>
  <c r="L95" i="105"/>
  <c r="AD83" i="105"/>
  <c r="R137" i="105"/>
  <c r="T99" i="105"/>
  <c r="S99" i="105"/>
  <c r="AI17" i="108" a="1"/>
  <c r="V67" i="105"/>
  <c r="W6" i="99"/>
  <c r="K114" i="105"/>
  <c r="AT127" i="105"/>
  <c r="AS74" i="105"/>
  <c r="U146" i="105"/>
  <c r="AG153" i="105"/>
  <c r="AF157" i="105"/>
  <c r="D104" i="97"/>
  <c r="V150" i="105"/>
  <c r="O74" i="105"/>
  <c r="AH127" i="105"/>
  <c r="AG127" i="105"/>
  <c r="M80" i="105"/>
  <c r="L141" i="105"/>
  <c r="N57" i="105"/>
  <c r="N62" i="105"/>
  <c r="K67" i="105"/>
  <c r="AF102" i="105"/>
  <c r="AS116" i="105"/>
  <c r="U81" i="105"/>
  <c r="N82" i="105"/>
  <c r="S117" i="105"/>
  <c r="L99" i="105"/>
  <c r="R88" i="105"/>
  <c r="T56" i="105"/>
  <c r="AQ129" i="105"/>
  <c r="M140" i="105"/>
  <c r="N11" i="105"/>
  <c r="P130" i="96"/>
  <c r="S104" i="105"/>
  <c r="AP157" i="105"/>
  <c r="M47" i="105"/>
  <c r="T77" i="105"/>
  <c r="T102" i="105"/>
  <c r="L14" i="105"/>
  <c r="O144" i="105"/>
  <c r="AQ53" i="105"/>
  <c r="AP89" i="105"/>
  <c r="AD152" i="105"/>
  <c r="AI122" i="108" a="1"/>
  <c r="AQ133" i="105"/>
  <c r="T109" i="105"/>
  <c r="D58" i="97"/>
  <c r="K164" i="105"/>
  <c r="L142" i="105"/>
  <c r="M137" i="105"/>
  <c r="AG101" i="105"/>
  <c r="AS93" i="105"/>
  <c r="O69" i="105"/>
  <c r="N162" i="105"/>
  <c r="N166" i="105"/>
  <c r="AQ146" i="105"/>
  <c r="AS137" i="105"/>
  <c r="O124" i="105"/>
  <c r="L162" i="105"/>
  <c r="AR92" i="105"/>
  <c r="AF143" i="105"/>
  <c r="AP86" i="105"/>
  <c r="L96" i="105"/>
  <c r="V139" i="105"/>
  <c r="AS135" i="105"/>
  <c r="V147" i="105"/>
  <c r="O25" i="105"/>
  <c r="D30" i="97"/>
  <c r="O95" i="105"/>
  <c r="D79" i="97"/>
  <c r="O97" i="105"/>
  <c r="AQ98" i="105"/>
  <c r="AP57" i="105"/>
  <c r="D125" i="97"/>
  <c r="AG109" i="105"/>
  <c r="AE119" i="105"/>
  <c r="AI11" i="108" a="1"/>
  <c r="AH137" i="105"/>
  <c r="AP154" i="105"/>
  <c r="AS107" i="105"/>
  <c r="AT162" i="105"/>
  <c r="V111" i="105"/>
  <c r="AR135" i="105"/>
  <c r="K99" i="105"/>
  <c r="D99" i="97"/>
  <c r="N161" i="105"/>
  <c r="N139" i="105"/>
  <c r="R71" i="105"/>
  <c r="L102" i="105"/>
  <c r="O40" i="105"/>
  <c r="AR136" i="105"/>
  <c r="V89" i="105"/>
  <c r="AR73" i="105"/>
  <c r="S109" i="105"/>
  <c r="L157" i="105"/>
  <c r="AQ82" i="105"/>
  <c r="AI85" i="108" a="1"/>
  <c r="AR106" i="105"/>
  <c r="T116" i="105"/>
  <c r="D72" i="97"/>
  <c r="AQ62" i="105"/>
  <c r="R142" i="105"/>
  <c r="AF146" i="105"/>
  <c r="N129" i="105"/>
  <c r="AE134" i="105"/>
  <c r="R93" i="105"/>
  <c r="L30" i="105"/>
  <c r="AE95" i="105"/>
  <c r="U116" i="105"/>
  <c r="M124" i="105"/>
  <c r="R112" i="105"/>
  <c r="AR164" i="105"/>
  <c r="AG58" i="105"/>
  <c r="AQ151" i="105"/>
  <c r="M21" i="105"/>
  <c r="L63" i="105"/>
  <c r="L69" i="105"/>
  <c r="O135" i="105"/>
  <c r="AT113" i="105"/>
  <c r="AP107" i="105"/>
  <c r="AE99" i="105"/>
  <c r="N149" i="105"/>
  <c r="T144" i="105"/>
  <c r="AG122" i="105"/>
  <c r="M36" i="105"/>
  <c r="U104" i="105"/>
  <c r="S166" i="105"/>
  <c r="AP132" i="105"/>
  <c r="O163" i="105"/>
  <c r="K72" i="105"/>
  <c r="AS56" i="105"/>
  <c r="M141" i="105"/>
  <c r="AD166" i="105"/>
  <c r="AT151" i="105"/>
  <c r="AH135" i="105"/>
  <c r="T78" i="105"/>
  <c r="V82" i="105"/>
  <c r="R67" i="105"/>
  <c r="L72" i="105"/>
  <c r="AR89" i="105"/>
  <c r="L12" i="105"/>
  <c r="O129" i="105"/>
  <c r="K60" i="105"/>
  <c r="AQ61" i="105"/>
  <c r="N90" i="105"/>
  <c r="R86" i="105"/>
  <c r="AR146" i="105"/>
  <c r="AI14" i="108" a="1"/>
  <c r="M34" i="105"/>
  <c r="AS85" i="105"/>
  <c r="K144" i="105"/>
  <c r="AT97" i="105"/>
  <c r="M39" i="105"/>
  <c r="AI115" i="108" a="1"/>
  <c r="AQ56" i="105"/>
  <c r="AR67" i="105"/>
  <c r="M40" i="105"/>
  <c r="O79" i="105"/>
  <c r="AD63" i="105"/>
  <c r="AR58" i="105"/>
  <c r="AS51" i="105"/>
  <c r="L120" i="105"/>
  <c r="M96" i="105"/>
  <c r="R144" i="105"/>
  <c r="AP155" i="105"/>
  <c r="L32" i="105"/>
  <c r="T59" i="105"/>
  <c r="AQ140" i="105"/>
  <c r="V110" i="105"/>
  <c r="AF165" i="105"/>
  <c r="AE140" i="105"/>
  <c r="L110" i="105"/>
  <c r="D78" i="97"/>
  <c r="AT63" i="105"/>
  <c r="AF141" i="105"/>
  <c r="AF153" i="105"/>
  <c r="K128" i="105"/>
  <c r="AG105" i="105"/>
  <c r="K55" i="105"/>
  <c r="N77" i="105"/>
  <c r="U128" i="105"/>
  <c r="AR138" i="105"/>
  <c r="AD58" i="105"/>
  <c r="AQ108" i="105"/>
  <c r="K22" i="105"/>
  <c r="K100" i="105"/>
  <c r="N133" i="105"/>
  <c r="AQ148" i="105"/>
  <c r="AI59" i="108" a="1"/>
  <c r="S149" i="105"/>
  <c r="O22" i="105"/>
  <c r="AP66" i="105"/>
  <c r="L105" i="105"/>
  <c r="L131" i="105"/>
  <c r="O145" i="105"/>
  <c r="N29" i="105"/>
  <c r="AI6" i="101"/>
  <c r="O117" i="105"/>
  <c r="AP96" i="105"/>
  <c r="P54" i="96"/>
  <c r="AD79" i="105"/>
  <c r="U53" i="105"/>
  <c r="AR85" i="105"/>
  <c r="AH140" i="105"/>
  <c r="K136" i="105"/>
  <c r="N31" i="105"/>
  <c r="AR78" i="105"/>
  <c r="AP130" i="105"/>
  <c r="AG154" i="105"/>
  <c r="AH69" i="105"/>
  <c r="AF107" i="105"/>
  <c r="AS164" i="105"/>
  <c r="O55" i="105"/>
  <c r="AF71" i="105"/>
  <c r="N163" i="105"/>
  <c r="AQ144" i="105"/>
  <c r="AH52" i="105"/>
  <c r="AH80" i="105"/>
  <c r="AI114" i="108" a="1"/>
  <c r="M119" i="105"/>
  <c r="U65" i="105"/>
  <c r="R161" i="105"/>
  <c r="U85" i="105"/>
  <c r="AF145" i="105"/>
  <c r="AS166" i="105"/>
  <c r="M79" i="105"/>
  <c r="N59" i="105"/>
  <c r="AP53" i="105"/>
  <c r="S89" i="105"/>
  <c r="AF82" i="105"/>
  <c r="D96" i="97"/>
  <c r="O141" i="105"/>
  <c r="AR102" i="105"/>
  <c r="AG116" i="105"/>
  <c r="AP141" i="105"/>
  <c r="R166" i="105"/>
  <c r="AG147" i="105"/>
  <c r="T105" i="105"/>
  <c r="N73" i="105"/>
  <c r="AI63" i="108" a="1"/>
  <c r="AD107" i="105"/>
  <c r="R79" i="105"/>
  <c r="L93" i="105"/>
  <c r="AH58" i="105"/>
  <c r="AR80" i="105"/>
  <c r="AQ160" i="105"/>
  <c r="K12" i="105"/>
  <c r="L145" i="105"/>
  <c r="AD74" i="105"/>
  <c r="AR76" i="105"/>
  <c r="O46" i="105"/>
  <c r="M103" i="105"/>
  <c r="S82" i="105"/>
  <c r="T94" i="105"/>
  <c r="AD72" i="105"/>
  <c r="S136" i="105"/>
  <c r="L146" i="105"/>
  <c r="AE163" i="105"/>
  <c r="N27" i="105"/>
  <c r="L48" i="105"/>
  <c r="AH84" i="105"/>
  <c r="AH145" i="105"/>
  <c r="T114" i="105"/>
  <c r="U124" i="105"/>
  <c r="AD71" i="105"/>
  <c r="D82" i="97"/>
  <c r="AF120" i="105"/>
  <c r="AI64" i="108" a="1"/>
  <c r="O39" i="105"/>
  <c r="AR96" i="105"/>
  <c r="AS83" i="105"/>
  <c r="AG161" i="105"/>
  <c r="L87" i="105"/>
  <c r="AS142" i="105"/>
  <c r="AS103" i="105"/>
  <c r="V51" i="105"/>
  <c r="AH102" i="105"/>
  <c r="AG75" i="105"/>
  <c r="U110" i="105"/>
  <c r="U74" i="105"/>
  <c r="U90" i="105"/>
  <c r="D77" i="97"/>
  <c r="S112" i="105"/>
  <c r="R128" i="105"/>
  <c r="K85" i="105"/>
  <c r="T164" i="105"/>
  <c r="L88" i="105"/>
  <c r="D110" i="97"/>
  <c r="R154" i="105"/>
  <c r="AG62" i="105"/>
  <c r="M148" i="105"/>
  <c r="T160" i="105"/>
  <c r="P125" i="96"/>
  <c r="AQ139" i="105"/>
  <c r="AP140" i="105"/>
  <c r="AR65" i="105"/>
  <c r="V77" i="105"/>
  <c r="AG142" i="105"/>
  <c r="M123" i="105"/>
  <c r="U160" i="105"/>
  <c r="AR74" i="105"/>
  <c r="L163" i="105"/>
  <c r="V153" i="105"/>
  <c r="AQ126" i="105"/>
  <c r="AI43" i="108" a="1"/>
  <c r="AH114" i="105"/>
  <c r="M70" i="105"/>
  <c r="R61" i="105"/>
  <c r="R94" i="105"/>
  <c r="AD159" i="105"/>
  <c r="S135" i="105"/>
  <c r="D73" i="97"/>
  <c r="D133" i="97"/>
  <c r="N76" i="105"/>
  <c r="D29" i="97"/>
  <c r="L40" i="105"/>
  <c r="R66" i="105"/>
  <c r="P69" i="96"/>
  <c r="M71" i="105"/>
  <c r="N66" i="105"/>
  <c r="AD161" i="105"/>
  <c r="L138" i="105"/>
  <c r="T157" i="105"/>
  <c r="AP82" i="105"/>
  <c r="AE157" i="105"/>
  <c r="AF125" i="105"/>
  <c r="N24" i="105"/>
  <c r="AH62" i="105"/>
  <c r="AD92" i="105"/>
  <c r="K66" i="105"/>
  <c r="AG149" i="105"/>
  <c r="AF144" i="105"/>
  <c r="AD109" i="105"/>
  <c r="T85" i="105"/>
  <c r="R114" i="105"/>
  <c r="R55" i="105"/>
  <c r="K104" i="105"/>
  <c r="U79" i="105"/>
  <c r="V90" i="105"/>
  <c r="M108" i="105"/>
  <c r="M20" i="105"/>
  <c r="AH115" i="105"/>
  <c r="V141" i="105"/>
  <c r="AP65" i="105"/>
  <c r="AP70" i="105"/>
  <c r="R117" i="105"/>
  <c r="AQ138" i="105"/>
  <c r="S67" i="105"/>
  <c r="L24" i="105"/>
  <c r="S158" i="105"/>
  <c r="R80" i="105"/>
  <c r="R158" i="105"/>
  <c r="AD147" i="105"/>
  <c r="N146" i="105"/>
  <c r="AD162" i="105"/>
  <c r="K13" i="105"/>
  <c r="R130" i="105"/>
  <c r="L91" i="105"/>
  <c r="M78" i="105"/>
  <c r="S86" i="105"/>
  <c r="AH150" i="105"/>
  <c r="N112" i="105"/>
  <c r="AI119" i="108" a="1"/>
  <c r="L113" i="105"/>
  <c r="AS147" i="105"/>
  <c r="U130" i="105"/>
  <c r="T127" i="105"/>
  <c r="V84" i="105"/>
  <c r="L144" i="105"/>
  <c r="S110" i="105"/>
  <c r="AE155" i="105"/>
  <c r="P76" i="96"/>
  <c r="V105" i="105"/>
  <c r="AF103" i="105"/>
  <c r="AE58" i="105"/>
  <c r="V79" i="105"/>
  <c r="T58" i="105"/>
  <c r="L52" i="105"/>
  <c r="O24" i="105"/>
  <c r="S107" i="105"/>
  <c r="AQ102" i="105"/>
  <c r="L160" i="105"/>
  <c r="AP63" i="105"/>
  <c r="AQ161" i="105"/>
  <c r="AG141" i="105"/>
  <c r="M42" i="105"/>
  <c r="AD156" i="105"/>
  <c r="AG144" i="105"/>
  <c r="AD70" i="105"/>
  <c r="AS136" i="105"/>
  <c r="AD138" i="105"/>
  <c r="M122" i="105"/>
  <c r="P58" i="96"/>
  <c r="O85" i="105"/>
  <c r="D128" i="97"/>
  <c r="U59" i="105"/>
  <c r="AT121" i="105"/>
  <c r="AR101" i="105"/>
  <c r="AT70" i="105"/>
  <c r="K111" i="105"/>
  <c r="AI100" i="108" a="1"/>
  <c r="AF154" i="105"/>
  <c r="D56" i="97"/>
  <c r="P45" i="96"/>
  <c r="D71" i="97"/>
  <c r="S134" i="105"/>
  <c r="AH67" i="105"/>
  <c r="L85" i="105"/>
  <c r="S116" i="105"/>
  <c r="AP138" i="105"/>
  <c r="AP112" i="105"/>
  <c r="K65" i="105"/>
  <c r="AS165" i="105"/>
  <c r="AQ85" i="105"/>
  <c r="T55" i="105"/>
  <c r="AI36" i="108" a="1"/>
  <c r="V81" i="105"/>
  <c r="O162" i="105"/>
  <c r="M115" i="105"/>
  <c r="O83" i="105"/>
  <c r="AG100" i="105"/>
  <c r="AH86" i="105"/>
  <c r="AG128" i="105"/>
  <c r="AI19" i="108" a="1"/>
  <c r="AR66" i="105"/>
  <c r="AE81" i="105"/>
  <c r="R139" i="105"/>
  <c r="AG130" i="105"/>
  <c r="AE79" i="105"/>
  <c r="O73" i="105"/>
  <c r="K115" i="105"/>
  <c r="N158" i="105"/>
  <c r="P102" i="96"/>
  <c r="AF98" i="105"/>
  <c r="M76" i="105"/>
  <c r="V159" i="105"/>
  <c r="AH91" i="105"/>
  <c r="AP114" i="105"/>
  <c r="U148" i="105"/>
  <c r="AQ117" i="105"/>
  <c r="D53" i="97"/>
  <c r="S71" i="105"/>
  <c r="AQ71" i="105"/>
  <c r="O125" i="105"/>
  <c r="AF51" i="105"/>
  <c r="AH51" i="105"/>
  <c r="N64" i="105"/>
  <c r="AS157" i="105"/>
  <c r="AI124" i="108" a="1"/>
  <c r="U52" i="105"/>
  <c r="AQ166" i="105"/>
  <c r="D135" i="97"/>
  <c r="U107" i="105"/>
  <c r="K24" i="105"/>
  <c r="AR91" i="105"/>
  <c r="AH100" i="105"/>
  <c r="AE136" i="105"/>
  <c r="S59" i="105"/>
  <c r="M158" i="105"/>
  <c r="P82" i="96"/>
  <c r="AF77" i="105"/>
  <c r="AI22" i="108" a="1"/>
  <c r="AR144" i="105"/>
  <c r="V130" i="105"/>
  <c r="D101" i="97"/>
  <c r="M142" i="105"/>
  <c r="AF105" i="105"/>
  <c r="V115" i="105"/>
  <c r="AT154" i="105"/>
  <c r="AT72" i="105"/>
  <c r="S123" i="105"/>
  <c r="U162" i="105"/>
  <c r="R155" i="105"/>
  <c r="AS61" i="105"/>
  <c r="K142" i="105"/>
  <c r="N71" i="105"/>
  <c r="AR141" i="105"/>
  <c r="R81" i="105"/>
  <c r="AS106" i="105"/>
  <c r="AG113" i="105"/>
  <c r="K29" i="105"/>
  <c r="O56" i="105"/>
  <c r="U83" i="105"/>
  <c r="AP148" i="105"/>
  <c r="O122" i="105"/>
  <c r="AD129" i="105"/>
  <c r="AQ124" i="105"/>
  <c r="D81" i="97"/>
  <c r="P123" i="96"/>
  <c r="AP64" i="105"/>
  <c r="S150" i="105"/>
  <c r="V70" i="105"/>
  <c r="T92" i="105"/>
  <c r="AP111" i="105"/>
  <c r="AP142" i="105"/>
  <c r="P84" i="96"/>
  <c r="AI127" i="108" a="1"/>
  <c r="S142" i="105"/>
  <c r="AE130" i="105"/>
  <c r="M151" i="105"/>
  <c r="N7" i="105"/>
  <c r="S61" i="105"/>
  <c r="T117" i="105"/>
  <c r="O18" i="105"/>
  <c r="M156" i="105"/>
  <c r="O156" i="105"/>
  <c r="R132" i="105"/>
  <c r="N144" i="105"/>
  <c r="K87" i="105"/>
  <c r="AQ159" i="105"/>
  <c r="AG87" i="105"/>
  <c r="AG166" i="105"/>
  <c r="AG99" i="105"/>
  <c r="U77" i="105"/>
  <c r="S157" i="105"/>
  <c r="K20" i="105"/>
  <c r="AT51" i="105"/>
  <c r="M135" i="105"/>
  <c r="V166" i="105"/>
  <c r="AH138" i="105"/>
  <c r="P78" i="96"/>
  <c r="AF76" i="105"/>
  <c r="AQ81" i="105"/>
  <c r="AR82" i="105"/>
  <c r="N131" i="105"/>
  <c r="T158" i="105"/>
  <c r="V62" i="105"/>
  <c r="M101" i="105"/>
  <c r="M162" i="105"/>
  <c r="AQ64" i="105"/>
  <c r="AH85" i="105"/>
  <c r="AH104" i="105"/>
  <c r="R136" i="105"/>
  <c r="AF69" i="105"/>
  <c r="U133" i="105"/>
  <c r="O100" i="105"/>
  <c r="L100" i="105"/>
  <c r="AG158" i="105"/>
  <c r="U88" i="105"/>
  <c r="O57" i="105"/>
  <c r="P29" i="96"/>
  <c r="M32" i="105"/>
  <c r="AD133" i="105"/>
  <c r="T150" i="105"/>
  <c r="AT161" i="105"/>
  <c r="K25" i="105"/>
  <c r="L35" i="105"/>
  <c r="D70" i="97"/>
  <c r="S160" i="105"/>
  <c r="T72" i="105"/>
  <c r="AP152" i="105"/>
  <c r="R111" i="105"/>
  <c r="V78" i="105"/>
  <c r="V124" i="105"/>
  <c r="O107" i="105"/>
  <c r="K26" i="105"/>
  <c r="V98" i="105"/>
  <c r="AD85" i="105"/>
  <c r="AF135" i="105"/>
  <c r="AT88" i="105"/>
  <c r="O53" i="105"/>
  <c r="R64" i="105"/>
  <c r="AE53" i="105"/>
  <c r="AF66" i="105"/>
  <c r="L84" i="105"/>
  <c r="R140" i="105"/>
  <c r="AI72" i="108" a="1"/>
  <c r="K74" i="105"/>
  <c r="K38" i="105"/>
  <c r="AF79" i="105"/>
  <c r="P103" i="96"/>
  <c r="U144" i="105"/>
  <c r="D121" i="97"/>
  <c r="AR128" i="105"/>
  <c r="AT53" i="105"/>
  <c r="O59" i="105"/>
  <c r="T159" i="105"/>
  <c r="AS99" i="105"/>
  <c r="AE142" i="105"/>
  <c r="M7" i="105"/>
  <c r="V137" i="105"/>
  <c r="V58" i="105"/>
  <c r="R141" i="105"/>
  <c r="T123" i="105"/>
  <c r="AE67" i="105"/>
  <c r="AP163" i="105"/>
  <c r="AQ150" i="105"/>
  <c r="K80" i="105"/>
  <c r="AT92" i="105"/>
  <c r="AG145" i="105"/>
  <c r="M67" i="105"/>
  <c r="L60" i="105"/>
  <c r="AT163" i="105"/>
  <c r="N102" i="105"/>
  <c r="AS124" i="105"/>
  <c r="M45" i="105"/>
  <c r="L56" i="105"/>
  <c r="K17" i="105"/>
  <c r="O106" i="105"/>
  <c r="AF138" i="105"/>
  <c r="V72" i="105"/>
  <c r="AT112" i="105"/>
  <c r="M61" i="105"/>
  <c r="M154" i="105"/>
  <c r="AD157" i="105"/>
  <c r="S90" i="105"/>
  <c r="D32" i="97"/>
  <c r="T83" i="105"/>
  <c r="N164" i="105"/>
  <c r="AQ57" i="105"/>
  <c r="AQ76" i="105"/>
  <c r="K28" i="105"/>
  <c r="AQ103" i="105"/>
  <c r="AT60" i="105"/>
  <c r="K7" i="105"/>
  <c r="AS53" i="105"/>
  <c r="AD105" i="105"/>
  <c r="T100" i="105"/>
  <c r="AQ130" i="105"/>
  <c r="AI8" i="108" a="1"/>
  <c r="AI18" i="108" a="1"/>
  <c r="T67" i="105"/>
  <c r="T149" i="105"/>
  <c r="R126" i="105"/>
  <c r="AG65" i="105"/>
  <c r="AE64" i="105"/>
  <c r="AR93" i="105"/>
  <c r="AH75" i="105"/>
  <c r="O146" i="105"/>
  <c r="N88" i="105"/>
  <c r="AT89" i="105"/>
  <c r="AG165" i="105"/>
  <c r="AT104" i="105"/>
  <c r="R152" i="105"/>
  <c r="P70" i="96"/>
  <c r="L132" i="105"/>
  <c r="S53" i="105"/>
  <c r="V129" i="105"/>
  <c r="AP150" i="105"/>
  <c r="K8" i="105"/>
  <c r="K47" i="105"/>
  <c r="L107" i="105"/>
  <c r="M73" i="105"/>
  <c r="AP78" i="105"/>
  <c r="AP76" i="105"/>
  <c r="AR131" i="105"/>
  <c r="AI68" i="108" a="1"/>
  <c r="AP147" i="105"/>
  <c r="AQ107" i="105"/>
  <c r="S81" i="105"/>
  <c r="AG63" i="105"/>
  <c r="R108" i="105"/>
  <c r="D44" i="97"/>
  <c r="R134" i="105"/>
  <c r="O78" i="105"/>
  <c r="P105" i="96"/>
  <c r="AT135" i="105"/>
  <c r="O103" i="105"/>
  <c r="R54" i="105"/>
  <c r="AT80" i="105"/>
  <c r="AD154" i="105"/>
  <c r="O75" i="105"/>
  <c r="K42" i="105"/>
  <c r="V55" i="105"/>
  <c r="AG52" i="105"/>
  <c r="T146" i="105"/>
  <c r="P124" i="96"/>
  <c r="O16" i="105"/>
  <c r="K121" i="105"/>
  <c r="K151" i="105"/>
  <c r="O87" i="105"/>
  <c r="R77" i="105"/>
  <c r="AG81" i="105"/>
  <c r="T113" i="105"/>
  <c r="U115" i="105"/>
  <c r="AT101" i="105"/>
  <c r="D27" i="97"/>
  <c r="T137" i="105"/>
  <c r="M28" i="105"/>
  <c r="AT131" i="105"/>
  <c r="K116" i="105"/>
  <c r="O63" i="105"/>
  <c r="N116" i="105"/>
  <c r="P21" i="96"/>
  <c r="AI97" i="108" a="1"/>
  <c r="AE59" i="105"/>
  <c r="AE152" i="105"/>
  <c r="AR137" i="105"/>
  <c r="U147" i="105"/>
  <c r="L50" i="105"/>
  <c r="AG163" i="105"/>
  <c r="AT120" i="105"/>
  <c r="U135" i="105"/>
  <c r="AP109" i="105"/>
  <c r="D22" i="97"/>
  <c r="M38" i="105"/>
  <c r="AP121" i="105"/>
  <c r="U84" i="105"/>
  <c r="K110" i="105"/>
  <c r="D31" i="97"/>
  <c r="S119" i="105"/>
  <c r="N54" i="105"/>
  <c r="S73" i="105"/>
  <c r="AT107" i="105"/>
  <c r="O138" i="105"/>
  <c r="P108" i="96"/>
  <c r="S77" i="105"/>
  <c r="K109" i="105"/>
  <c r="V138" i="105"/>
  <c r="N8" i="105"/>
  <c r="AP74" i="105"/>
  <c r="AQ77" i="105"/>
  <c r="AT110" i="105"/>
  <c r="R164" i="105"/>
  <c r="AG115" i="105"/>
  <c r="P100" i="96"/>
  <c r="D26" i="97"/>
  <c r="AR112" i="105"/>
  <c r="AP67" i="105"/>
  <c r="U108" i="105"/>
  <c r="S58" i="105"/>
  <c r="AP91" i="105"/>
  <c r="AH92" i="105"/>
  <c r="AQ91" i="105"/>
  <c r="AS87" i="105"/>
  <c r="L10" i="105"/>
  <c r="AG131" i="105"/>
  <c r="O104" i="105"/>
  <c r="AG82" i="105"/>
  <c r="N35" i="105"/>
  <c r="N152" i="105"/>
  <c r="R68" i="105"/>
  <c r="K147" i="105"/>
  <c r="L66" i="105"/>
  <c r="AT94" i="105"/>
  <c r="M127" i="105"/>
  <c r="AQ136" i="105"/>
  <c r="M128" i="105"/>
  <c r="N84" i="105"/>
  <c r="U66" i="105"/>
  <c r="AE165" i="105"/>
  <c r="N80" i="105"/>
  <c r="AF92" i="105"/>
  <c r="O109" i="105"/>
  <c r="AP97" i="105"/>
  <c r="AS158" i="105"/>
  <c r="AD104" i="105"/>
  <c r="S146" i="105"/>
  <c r="AE145" i="105"/>
  <c r="U54" i="105"/>
  <c r="N165" i="105"/>
  <c r="AE52" i="105"/>
  <c r="S102" i="105"/>
  <c r="L137" i="105"/>
  <c r="AE108" i="105"/>
  <c r="AT83" i="105"/>
  <c r="O127" i="105"/>
  <c r="AE57" i="105"/>
  <c r="L117" i="105"/>
  <c r="P79" i="96"/>
  <c r="AQ100" i="105"/>
  <c r="V149" i="105"/>
  <c r="AQ154" i="105"/>
  <c r="M55" i="105"/>
  <c r="AI67" i="108" a="1"/>
  <c r="O102" i="105"/>
  <c r="AS110" i="105"/>
  <c r="V136" i="105"/>
  <c r="AF156" i="105"/>
  <c r="AI104" i="108" a="1"/>
  <c r="AR98" i="105"/>
  <c r="AS52" i="105"/>
  <c r="R56" i="105"/>
  <c r="N154" i="105"/>
  <c r="O47" i="105"/>
  <c r="N97" i="105"/>
  <c r="R125" i="105"/>
  <c r="O32" i="105"/>
  <c r="AS155" i="105"/>
  <c r="N153" i="105"/>
  <c r="L28" i="105"/>
  <c r="M100" i="105"/>
  <c r="M107" i="105"/>
  <c r="V164" i="105"/>
  <c r="AH54" i="105"/>
  <c r="D51" i="97"/>
  <c r="AD91" i="105"/>
  <c r="N67" i="105"/>
  <c r="AT77" i="105"/>
  <c r="M72" i="105"/>
  <c r="M161" i="105"/>
  <c r="AH110" i="105"/>
  <c r="AI10" i="108" a="1"/>
  <c r="T124" i="105"/>
  <c r="U157" i="105"/>
  <c r="AG123" i="105"/>
  <c r="R59" i="105"/>
  <c r="AT99" i="105"/>
  <c r="AH6" i="101"/>
  <c r="L136" i="105"/>
  <c r="R107" i="105"/>
  <c r="M48" i="105"/>
  <c r="M153" i="105"/>
  <c r="O133" i="105"/>
  <c r="AI102" i="108" a="1"/>
  <c r="AG83" i="105"/>
  <c r="V132" i="105"/>
  <c r="V134" i="105"/>
  <c r="M54" i="105"/>
  <c r="N48" i="105"/>
  <c r="D45" i="97"/>
  <c r="AF67" i="105"/>
  <c r="AR60" i="105"/>
  <c r="AE158" i="105"/>
  <c r="AF132" i="105"/>
  <c r="AF112" i="105"/>
  <c r="S56" i="105"/>
  <c r="N20" i="105"/>
  <c r="V88" i="105"/>
  <c r="AR104" i="105"/>
  <c r="AI74" i="108" a="1"/>
  <c r="L7" i="105"/>
  <c r="AH106" i="105"/>
  <c r="K77" i="105"/>
  <c r="AP110" i="105"/>
  <c r="O36" i="105"/>
  <c r="AF110" i="105"/>
  <c r="AD128" i="105"/>
  <c r="K81" i="105"/>
  <c r="AF78" i="105"/>
  <c r="AD141" i="105"/>
  <c r="M37" i="105"/>
  <c r="AH118" i="105"/>
  <c r="K120" i="105"/>
  <c r="AP85" i="105"/>
  <c r="P74" i="96"/>
  <c r="K98" i="105"/>
  <c r="U125" i="105"/>
  <c r="AF75" i="105"/>
  <c r="AR88" i="105"/>
  <c r="AS69" i="105"/>
  <c r="M75" i="105"/>
  <c r="T135" i="105"/>
  <c r="L38" i="105"/>
  <c r="AQ84" i="105"/>
  <c r="R105" i="105"/>
  <c r="V107" i="105"/>
  <c r="M144" i="105"/>
  <c r="AF81" i="105"/>
  <c r="AF87" i="105"/>
  <c r="U163" i="105"/>
  <c r="AR158" i="105"/>
  <c r="AR159" i="105"/>
  <c r="AQ149" i="105"/>
  <c r="K141" i="105"/>
  <c r="V140" i="105"/>
  <c r="M49" i="105"/>
  <c r="AE124" i="105"/>
  <c r="S92" i="105"/>
  <c r="T111" i="105"/>
  <c r="AI111" i="108" a="1"/>
  <c r="V155" i="105"/>
  <c r="AF116" i="105"/>
  <c r="M56" i="105"/>
  <c r="K123" i="105"/>
  <c r="K59" i="105"/>
  <c r="AT55" i="105"/>
  <c r="AR147" i="105"/>
  <c r="P17" i="96"/>
  <c r="AT105" i="105"/>
  <c r="AF139" i="105"/>
  <c r="N104" i="105"/>
  <c r="M97" i="105"/>
  <c r="AE62" i="105"/>
  <c r="AI75" i="108" a="1"/>
  <c r="AG57" i="105"/>
  <c r="L122" i="105"/>
  <c r="AH112" i="105"/>
  <c r="M50" i="105"/>
  <c r="N123" i="105"/>
  <c r="M129" i="105"/>
  <c r="AD160" i="105"/>
  <c r="AS65" i="105"/>
  <c r="U140" i="105"/>
  <c r="N65" i="105"/>
  <c r="K70" i="105"/>
  <c r="AD94" i="105"/>
  <c r="K71" i="105"/>
  <c r="R57" i="105"/>
  <c r="AE111" i="105"/>
  <c r="O148" i="105"/>
  <c r="N16" i="105"/>
  <c r="AS111" i="105"/>
  <c r="T136" i="105"/>
  <c r="S106" i="105"/>
  <c r="AI126" i="108" a="1"/>
  <c r="AP52" i="105"/>
  <c r="O19" i="105"/>
  <c r="L115" i="105"/>
  <c r="AS138" i="105"/>
  <c r="V104" i="105"/>
  <c r="AH103" i="105"/>
  <c r="K107" i="105"/>
  <c r="U70" i="105"/>
  <c r="R165" i="105"/>
  <c r="AS70" i="105"/>
  <c r="AE74" i="105"/>
  <c r="AP54" i="105"/>
  <c r="AG55" i="105"/>
  <c r="AQ69" i="105"/>
  <c r="D109" i="97"/>
  <c r="T148" i="105"/>
  <c r="O114" i="105"/>
  <c r="K118" i="105"/>
  <c r="D47" i="97"/>
  <c r="R113" i="105"/>
  <c r="AH107" i="105"/>
  <c r="AF106" i="105"/>
  <c r="AF95" i="105"/>
  <c r="AF134" i="105"/>
  <c r="AP101" i="105"/>
  <c r="T71" i="105"/>
  <c r="AP92" i="105"/>
  <c r="L42" i="105"/>
  <c r="AI34" i="108" a="1"/>
  <c r="N101" i="105"/>
  <c r="N121" i="105"/>
  <c r="T68" i="105"/>
  <c r="K162" i="105"/>
  <c r="AI125" i="108" a="1"/>
  <c r="AH163" i="105"/>
  <c r="N138" i="105"/>
  <c r="M143" i="105"/>
  <c r="AR143" i="105"/>
  <c r="T126" i="105"/>
  <c r="O11" i="105"/>
  <c r="AS139" i="105"/>
  <c r="K139" i="105"/>
  <c r="P98" i="96"/>
  <c r="AI88" i="108" a="1"/>
  <c r="AE156" i="105"/>
  <c r="AP166" i="105"/>
  <c r="AP115" i="105"/>
  <c r="AE131" i="105"/>
  <c r="AR55" i="105"/>
  <c r="L80" i="105"/>
  <c r="AH83" i="105"/>
  <c r="AH121" i="105"/>
  <c r="AQ147" i="105"/>
  <c r="S96" i="105"/>
  <c r="T134" i="105"/>
  <c r="R60" i="105"/>
  <c r="AG71" i="105"/>
  <c r="AR86" i="105"/>
  <c r="AQ86" i="105"/>
  <c r="L78" i="105"/>
  <c r="AP73" i="105"/>
  <c r="U78" i="105"/>
  <c r="S144" i="105"/>
  <c r="AD65" i="105"/>
  <c r="AD108" i="105"/>
  <c r="P127" i="96"/>
  <c r="AR121" i="105"/>
  <c r="AH63" i="105"/>
  <c r="T129" i="105"/>
  <c r="L58" i="105"/>
  <c r="N132" i="105"/>
  <c r="R63" i="105"/>
  <c r="U141" i="105"/>
  <c r="AD158" i="105"/>
  <c r="AI129" i="108" a="1"/>
  <c r="M105" i="105"/>
  <c r="AI66" i="108" a="1"/>
  <c r="U122" i="105"/>
  <c r="U73" i="105"/>
  <c r="O112" i="105"/>
  <c r="N105" i="105"/>
  <c r="M113" i="105"/>
  <c r="O72" i="105"/>
  <c r="K11" i="105"/>
  <c r="N156" i="105"/>
  <c r="D80" i="97"/>
  <c r="P72" i="96"/>
  <c r="N44" i="105"/>
  <c r="P95" i="96"/>
  <c r="AF131" i="105"/>
  <c r="V128" i="105"/>
  <c r="N15" i="105"/>
  <c r="AG89" i="105"/>
  <c r="K122" i="105"/>
  <c r="O23" i="105"/>
  <c r="AI25" i="108" a="1"/>
  <c r="AS80" i="105"/>
  <c r="M111" i="105"/>
  <c r="U68" i="105"/>
  <c r="V122" i="105"/>
  <c r="AI121" i="108" a="1"/>
  <c r="V93" i="105"/>
  <c r="AI87" i="108" a="1"/>
  <c r="AS140" i="105"/>
  <c r="O20" i="105"/>
  <c r="AF127" i="105"/>
  <c r="N32" i="105"/>
  <c r="AR142" i="105"/>
  <c r="V148" i="105"/>
  <c r="AE166" i="105"/>
  <c r="R76" i="105"/>
  <c r="M106" i="105"/>
  <c r="AG98" i="105"/>
  <c r="M8" i="105"/>
  <c r="AH88" i="105"/>
  <c r="AD57" i="105"/>
  <c r="U129" i="105"/>
  <c r="AH148" i="105"/>
  <c r="O88" i="105"/>
  <c r="O92" i="105"/>
  <c r="P132" i="96"/>
  <c r="AS98" i="105"/>
  <c r="AD131" i="105"/>
  <c r="AR151" i="105"/>
  <c r="AD142" i="105"/>
  <c r="R70" i="105"/>
  <c r="AS59" i="105"/>
  <c r="L26" i="105"/>
  <c r="AG150" i="105"/>
  <c r="M136" i="105"/>
  <c r="AQ94" i="105"/>
  <c r="N145" i="105"/>
  <c r="V120" i="105"/>
  <c r="AT150" i="105"/>
  <c r="O126" i="105"/>
  <c r="AE126" i="105"/>
  <c r="N95" i="105"/>
  <c r="L148" i="105"/>
  <c r="AT81" i="105"/>
  <c r="V160" i="105"/>
  <c r="L65" i="105"/>
  <c r="O152" i="105"/>
  <c r="K152" i="105"/>
  <c r="U126" i="105"/>
  <c r="P31" i="96"/>
  <c r="U100" i="105"/>
  <c r="R106" i="105"/>
  <c r="AD53" i="105"/>
  <c r="O29" i="105"/>
  <c r="AP68" i="105"/>
  <c r="P50" i="96"/>
  <c r="L29" i="105"/>
  <c r="L51" i="105"/>
  <c r="R151" i="105"/>
  <c r="AQ164" i="105"/>
  <c r="T103" i="105"/>
  <c r="AF128" i="105"/>
  <c r="AD103" i="105"/>
  <c r="AD124" i="105"/>
  <c r="AT117" i="105"/>
  <c r="V86" i="105"/>
  <c r="T141" i="105"/>
  <c r="AP161" i="105"/>
  <c r="AI44" i="108" a="1"/>
  <c r="AS72" i="105"/>
  <c r="P44" i="96"/>
  <c r="AD111" i="105"/>
  <c r="AP93" i="105"/>
  <c r="K130" i="105"/>
  <c r="U131" i="105"/>
  <c r="AD135" i="105"/>
  <c r="O116" i="105"/>
  <c r="AG131" i="96" s="1"/>
  <c r="U67" i="105"/>
  <c r="O14" i="105"/>
  <c r="O143" i="105"/>
  <c r="AP116" i="105"/>
  <c r="AH93" i="105"/>
  <c r="AT106" i="105"/>
  <c r="AQ67" i="105"/>
  <c r="AH68" i="105"/>
  <c r="N140" i="105"/>
  <c r="AE146" i="105"/>
  <c r="T120" i="105"/>
  <c r="L124" i="105"/>
  <c r="N117" i="105"/>
  <c r="M120" i="105"/>
  <c r="O66" i="105"/>
  <c r="AP113" i="105"/>
  <c r="AD123" i="105"/>
  <c r="AD140" i="105"/>
  <c r="U138" i="105"/>
  <c r="R149" i="105"/>
  <c r="AG156" i="105"/>
  <c r="AP59" i="105"/>
  <c r="M15" i="105"/>
  <c r="AF101" i="105"/>
  <c r="U134" i="105"/>
  <c r="T96" i="105"/>
  <c r="N17" i="105"/>
  <c r="N83" i="105"/>
  <c r="AS90" i="105"/>
  <c r="P134" i="96"/>
  <c r="L74" i="105"/>
  <c r="K83" i="105"/>
  <c r="AG60" i="105"/>
  <c r="AP117" i="105"/>
  <c r="AQ83" i="105"/>
  <c r="AF53" i="105"/>
  <c r="M159" i="105"/>
  <c r="AH160" i="105"/>
  <c r="U150" i="105"/>
  <c r="K101" i="105"/>
  <c r="L17" i="105"/>
  <c r="AT69" i="105"/>
  <c r="N86" i="105"/>
  <c r="O110" i="105"/>
  <c r="AG159" i="105"/>
  <c r="AS75" i="105"/>
  <c r="K137" i="105"/>
  <c r="AT133" i="105"/>
  <c r="O33" i="105"/>
  <c r="P46" i="96"/>
  <c r="AS119" i="105"/>
  <c r="AP62" i="105"/>
  <c r="V53" i="105"/>
  <c r="AF85" i="105"/>
  <c r="S51" i="105"/>
  <c r="AH94" i="105"/>
  <c r="P19" i="96"/>
  <c r="AE159" i="105"/>
  <c r="T79" i="105"/>
  <c r="AE110" i="105"/>
  <c r="N111" i="105"/>
  <c r="AS62" i="105"/>
  <c r="AT148" i="105"/>
  <c r="AE116" i="105"/>
  <c r="AF70" i="105"/>
  <c r="T133" i="105"/>
  <c r="AG61" i="105"/>
  <c r="R131" i="105"/>
  <c r="L108" i="105"/>
  <c r="AD144" i="105"/>
  <c r="AP81" i="105"/>
  <c r="L49" i="105"/>
  <c r="AP159" i="105"/>
  <c r="O120" i="105"/>
  <c r="O44" i="105"/>
  <c r="AH158" i="105"/>
  <c r="S114" i="105"/>
  <c r="AT136" i="105"/>
  <c r="V94" i="105"/>
  <c r="AS86" i="105"/>
  <c r="K14" i="105"/>
  <c r="AF93" i="105"/>
  <c r="M84" i="105"/>
  <c r="T101" i="105"/>
  <c r="T138" i="105"/>
  <c r="L106" i="105"/>
  <c r="S100" i="105"/>
  <c r="AT138" i="105"/>
  <c r="O86" i="105"/>
  <c r="S69" i="105"/>
  <c r="AT76" i="105"/>
  <c r="N150" i="105"/>
  <c r="AD149" i="105"/>
  <c r="L27" i="105"/>
  <c r="N128" i="105"/>
  <c r="AD82" i="105"/>
  <c r="AR118" i="105"/>
  <c r="S155" i="105"/>
  <c r="K21" i="105"/>
  <c r="M53" i="105"/>
  <c r="AP100" i="105"/>
  <c r="R118" i="105"/>
  <c r="AP153" i="105"/>
  <c r="AQ73" i="105"/>
  <c r="AS154" i="105"/>
  <c r="D17" i="97"/>
  <c r="AD51" i="105"/>
  <c r="N72" i="105"/>
  <c r="AG132" i="105"/>
  <c r="M31" i="105"/>
  <c r="AE153" i="105"/>
  <c r="R98" i="105"/>
  <c r="AH56" i="105"/>
  <c r="AF83" i="105"/>
  <c r="K105" i="105"/>
  <c r="V114" i="105"/>
  <c r="K32" i="105"/>
  <c r="AT115" i="105"/>
  <c r="AS128" i="105"/>
  <c r="AQ55" i="105"/>
  <c r="AH125" i="105"/>
  <c r="M10" i="105"/>
  <c r="AI76" i="108" a="1"/>
  <c r="R92" i="105"/>
  <c r="R89" i="105"/>
  <c r="T119" i="105"/>
  <c r="L156" i="105"/>
  <c r="U143" i="105"/>
  <c r="AI12" i="108" a="1"/>
  <c r="AT111" i="105"/>
  <c r="O153" i="105"/>
  <c r="K84" i="105"/>
  <c r="AH61" i="105"/>
  <c r="AD61" i="105"/>
  <c r="AI33" i="108" a="1"/>
  <c r="AR116" i="105"/>
  <c r="AE127" i="105"/>
  <c r="AD75" i="105"/>
  <c r="K103" i="105"/>
  <c r="S125" i="105"/>
  <c r="L41" i="105"/>
  <c r="AG79" i="105"/>
  <c r="R133" i="105"/>
  <c r="K129" i="105"/>
  <c r="S118" i="105"/>
  <c r="M17" i="105"/>
  <c r="K49" i="105"/>
  <c r="AI23" i="108" a="1"/>
  <c r="M29" i="105"/>
  <c r="O159" i="105"/>
  <c r="N109" i="105"/>
  <c r="U55" i="105"/>
  <c r="AG92" i="105"/>
  <c r="AR160" i="105"/>
  <c r="L103" i="105"/>
  <c r="U161" i="105"/>
  <c r="AR139" i="105"/>
  <c r="AH147" i="105"/>
  <c r="AS163" i="105"/>
  <c r="AT137" i="105"/>
  <c r="AI50" i="108" a="1"/>
  <c r="AI130" i="108" a="1"/>
  <c r="AT54" i="105"/>
  <c r="L143" i="105"/>
  <c r="AP151" i="105"/>
  <c r="K102" i="105"/>
  <c r="AF117" i="105"/>
  <c r="AF121" i="105"/>
  <c r="AR157" i="105"/>
  <c r="S75" i="105"/>
  <c r="AG117" i="105"/>
  <c r="AP133" i="105"/>
  <c r="P20" i="96"/>
  <c r="K119" i="105"/>
  <c r="AS77" i="105"/>
  <c r="AT141" i="105"/>
  <c r="AH81" i="105"/>
  <c r="S154" i="105"/>
  <c r="AT52" i="105"/>
  <c r="L161" i="105"/>
  <c r="AG67" i="105"/>
  <c r="M116" i="105"/>
  <c r="N42" i="105"/>
  <c r="K155" i="105"/>
  <c r="N130" i="105"/>
  <c r="AT160" i="105"/>
  <c r="O54" i="105"/>
  <c r="T86" i="105"/>
  <c r="AP149" i="105"/>
  <c r="AQ153" i="105"/>
  <c r="M155" i="105"/>
  <c r="N60" i="105"/>
  <c r="AP156" i="105"/>
  <c r="S145" i="105"/>
  <c r="R145" i="105"/>
  <c r="U76" i="105"/>
  <c r="AH151" i="105"/>
  <c r="U69" i="105"/>
  <c r="K16" i="105"/>
  <c r="K90" i="105"/>
  <c r="AR166" i="105"/>
  <c r="P128" i="96"/>
  <c r="M57" i="105"/>
  <c r="M160" i="105"/>
  <c r="R135" i="105"/>
  <c r="U137" i="105"/>
  <c r="AF151" i="105"/>
  <c r="S94" i="105"/>
  <c r="V59" i="105"/>
  <c r="D124" i="97"/>
  <c r="U58" i="105"/>
  <c r="U132" i="105"/>
  <c r="AP120" i="105"/>
  <c r="R163" i="105"/>
  <c r="AG115" i="96"/>
  <c r="M90" i="105"/>
  <c r="AT109" i="105"/>
  <c r="AH165" i="105"/>
  <c r="AT66" i="105"/>
  <c r="AQ165" i="105"/>
  <c r="V65" i="105"/>
  <c r="AS160" i="105"/>
  <c r="AG68" i="105"/>
  <c r="AS66" i="105"/>
  <c r="AF111" i="105"/>
  <c r="AE141" i="105"/>
  <c r="AQ111" i="105"/>
  <c r="AI117" i="108" a="1"/>
  <c r="L119" i="105"/>
  <c r="N53" i="105"/>
  <c r="AR161" i="105"/>
  <c r="V64" i="105"/>
  <c r="AP122" i="105"/>
  <c r="N10" i="105"/>
  <c r="AG155" i="105"/>
  <c r="AD89" i="105"/>
  <c r="AT165" i="105"/>
  <c r="AI112" i="108" a="1"/>
  <c r="M110" i="105"/>
  <c r="U139" i="105"/>
  <c r="N126" i="105"/>
  <c r="S151" i="105"/>
  <c r="AR70" i="105"/>
  <c r="L9" i="105"/>
  <c r="T60" i="105"/>
  <c r="S78" i="105"/>
  <c r="O81" i="105"/>
  <c r="AE89" i="105"/>
  <c r="AE84" i="105"/>
  <c r="M63" i="105"/>
  <c r="N98" i="105"/>
  <c r="AQ60" i="105"/>
  <c r="U99" i="105"/>
  <c r="U151" i="105"/>
  <c r="AF113" i="105"/>
  <c r="AR114" i="105"/>
  <c r="AS141" i="105"/>
  <c r="AI120" i="108" a="1"/>
  <c r="AP104" i="105"/>
  <c r="AG86" i="105"/>
  <c r="AQ128" i="105"/>
  <c r="AT128" i="105"/>
  <c r="AR134" i="105"/>
  <c r="AR124" i="105"/>
  <c r="AH57" i="105"/>
  <c r="AF84" i="105"/>
  <c r="O82" i="105"/>
  <c r="V92" i="105"/>
  <c r="AT79" i="105"/>
  <c r="AG107" i="105"/>
  <c r="S62" i="105"/>
  <c r="AR148" i="105"/>
  <c r="U136" i="105"/>
  <c r="AH59" i="105"/>
  <c r="AT157" i="105"/>
  <c r="V66" i="105"/>
  <c r="N21" i="105"/>
  <c r="AD153" i="105"/>
  <c r="R100" i="105"/>
  <c r="AD130" i="105"/>
  <c r="AR79" i="105"/>
  <c r="M86" i="105"/>
  <c r="V144" i="105"/>
  <c r="L158" i="105"/>
  <c r="U154" i="105"/>
  <c r="N85" i="105"/>
  <c r="AD143" i="105"/>
  <c r="U61" i="105"/>
  <c r="AR113" i="105"/>
  <c r="AR69" i="105"/>
  <c r="M43" i="105"/>
  <c r="AD101" i="105"/>
  <c r="N75" i="105"/>
  <c r="AD146" i="105"/>
  <c r="AE54" i="105"/>
  <c r="AE115" i="105"/>
  <c r="N137" i="105"/>
  <c r="S161" i="105"/>
  <c r="AF118" i="105"/>
  <c r="AG103" i="105"/>
  <c r="AE120" i="105"/>
  <c r="O42" i="105"/>
  <c r="AE94" i="105"/>
  <c r="K124" i="105"/>
  <c r="AS144" i="105"/>
  <c r="AP87" i="105"/>
  <c r="N43" i="105"/>
  <c r="AD62" i="105"/>
  <c r="R150" i="105"/>
  <c r="U94" i="105"/>
  <c r="K34" i="105"/>
  <c r="O7" i="105"/>
  <c r="AE128" i="105"/>
  <c r="O58" i="105"/>
  <c r="N136" i="105"/>
  <c r="V95" i="105"/>
  <c r="R159" i="105"/>
  <c r="N40" i="105"/>
  <c r="N36" i="105"/>
  <c r="AG136" i="105"/>
  <c r="P52" i="96"/>
  <c r="M149" i="105"/>
  <c r="O108" i="105"/>
  <c r="P121" i="96"/>
  <c r="AS54" i="105"/>
  <c r="U165" i="105"/>
  <c r="O121" i="105"/>
  <c r="L77" i="105"/>
  <c r="AP90" i="105"/>
  <c r="M164" i="105"/>
  <c r="AD68" i="105"/>
  <c r="AS118" i="105"/>
  <c r="T118" i="105"/>
  <c r="M99" i="105"/>
  <c r="AS73" i="105"/>
  <c r="AD56" i="105"/>
  <c r="K165" i="105"/>
  <c r="U92" i="105"/>
  <c r="S130" i="105"/>
  <c r="P43" i="96"/>
  <c r="AG95" i="105"/>
  <c r="AQ54" i="105"/>
  <c r="R69" i="105"/>
  <c r="K57" i="105"/>
  <c r="AD66" i="105"/>
  <c r="AP75" i="105"/>
  <c r="R58" i="105"/>
  <c r="AS67" i="105"/>
  <c r="AE88" i="105"/>
  <c r="U93" i="105"/>
  <c r="AE66" i="105"/>
  <c r="L36" i="105"/>
  <c r="AG74" i="105"/>
  <c r="K76" i="105"/>
  <c r="N107" i="105"/>
  <c r="T51" i="105"/>
  <c r="D75" i="97"/>
  <c r="AG56" i="105"/>
  <c r="T155" i="105"/>
  <c r="AD113" i="105"/>
  <c r="V123" i="105"/>
  <c r="V71" i="105"/>
  <c r="U119" i="105"/>
  <c r="AD78" i="105"/>
  <c r="AI49" i="108" a="1"/>
  <c r="AD117" i="105"/>
  <c r="L112" i="105"/>
  <c r="L19" i="105"/>
  <c r="AG143" i="105"/>
  <c r="AH72" i="105"/>
  <c r="T93" i="105"/>
  <c r="AI47" i="108" a="1"/>
  <c r="AH161" i="105"/>
  <c r="AF133" i="105"/>
  <c r="AH98" i="105"/>
  <c r="AP99" i="105"/>
  <c r="AP162" i="105"/>
  <c r="AH155" i="105"/>
  <c r="S60" i="105"/>
  <c r="V61" i="105"/>
  <c r="L118" i="105"/>
  <c r="AQ120" i="105"/>
  <c r="S111" i="105"/>
  <c r="AT166" i="105"/>
  <c r="S66" i="105"/>
  <c r="D98" i="97"/>
  <c r="K27" i="105"/>
  <c r="AR127" i="105"/>
  <c r="K82" i="105"/>
  <c r="AG20" i="96" s="1"/>
  <c r="R116" i="105"/>
  <c r="AS134" i="105"/>
  <c r="S105" i="105"/>
  <c r="AF109" i="105"/>
  <c r="O166" i="105"/>
  <c r="R129" i="105"/>
  <c r="S68" i="105"/>
  <c r="AF64" i="105"/>
  <c r="L90" i="105"/>
  <c r="AG137" i="105"/>
  <c r="AR95" i="105"/>
  <c r="P49" i="96"/>
  <c r="AG135" i="105"/>
  <c r="O35" i="105"/>
  <c r="AD163" i="105"/>
  <c r="AE148" i="105"/>
  <c r="AE129" i="105"/>
  <c r="AG146" i="105"/>
  <c r="O119" i="105"/>
  <c r="AD165" i="105"/>
  <c r="M166" i="105"/>
  <c r="AG89" i="96" s="1"/>
  <c r="AH119" i="105"/>
  <c r="L104" i="105"/>
  <c r="AT84" i="105"/>
  <c r="AE160" i="105"/>
  <c r="L64" i="105"/>
  <c r="AG93" i="105"/>
  <c r="AF6" i="101"/>
  <c r="AS113" i="105"/>
  <c r="M52" i="105"/>
  <c r="O96" i="105"/>
  <c r="AG127" i="96" s="1"/>
  <c r="AP98" i="105"/>
  <c r="M18" i="105"/>
  <c r="AH79" i="105"/>
  <c r="AR111" i="105"/>
  <c r="T152" i="105"/>
  <c r="AT140" i="105"/>
  <c r="AI103" i="108" a="1"/>
  <c r="L150" i="105"/>
  <c r="V106" i="105"/>
  <c r="AQ99" i="105"/>
  <c r="K153" i="105"/>
  <c r="AF56" i="105"/>
  <c r="L139" i="105"/>
  <c r="AT68" i="105"/>
  <c r="AG108" i="105"/>
  <c r="AI128" i="108" a="1"/>
  <c r="M19" i="105"/>
  <c r="K134" i="105"/>
  <c r="L125" i="105"/>
  <c r="K92" i="105"/>
  <c r="AF90" i="105"/>
  <c r="AR115" i="105"/>
  <c r="L44" i="105"/>
  <c r="D129" i="97"/>
  <c r="U121" i="105"/>
  <c r="T74" i="105"/>
  <c r="AG71" i="96"/>
  <c r="AR87" i="105"/>
  <c r="AR72" i="105"/>
  <c r="O48" i="105"/>
  <c r="AH146" i="105"/>
  <c r="R87" i="105"/>
  <c r="T98" i="105"/>
  <c r="AR153" i="105"/>
  <c r="S52" i="105"/>
  <c r="L76" i="105"/>
  <c r="M65" i="105"/>
  <c r="AI37" i="108" a="1"/>
  <c r="AF158" i="105"/>
  <c r="N106" i="105"/>
  <c r="R97" i="105"/>
  <c r="N49" i="105"/>
  <c r="AG96" i="105"/>
  <c r="AD100" i="105"/>
  <c r="AF114" i="105"/>
  <c r="AI93" i="108" a="1"/>
  <c r="AG88" i="105"/>
  <c r="AT95" i="105"/>
  <c r="N37" i="105"/>
  <c r="T128" i="105"/>
  <c r="M102" i="105"/>
  <c r="AG76" i="96" s="1"/>
  <c r="AR90" i="105"/>
  <c r="AG48" i="96"/>
  <c r="AF52" i="105"/>
  <c r="M117" i="105"/>
  <c r="AD81" i="105"/>
  <c r="AS122" i="105"/>
  <c r="N148" i="105"/>
  <c r="L20" i="105"/>
  <c r="AP165" i="105"/>
  <c r="AF99" i="105"/>
  <c r="AR107" i="105"/>
  <c r="L130" i="105"/>
  <c r="K35" i="105"/>
  <c r="L89" i="105"/>
  <c r="M165" i="105"/>
  <c r="AS88" i="105"/>
  <c r="AG133" i="105"/>
  <c r="AI113" i="108" a="1"/>
  <c r="M131" i="105"/>
  <c r="K135" i="105"/>
  <c r="N122" i="105"/>
  <c r="N100" i="105"/>
  <c r="AG84" i="105"/>
  <c r="T66" i="105"/>
  <c r="V133" i="105"/>
  <c r="AH95" i="105"/>
  <c r="M51" i="105"/>
  <c r="S115" i="105"/>
  <c r="V57" i="105"/>
  <c r="D48" i="97"/>
  <c r="M126" i="105"/>
  <c r="L34" i="105"/>
  <c r="S70" i="105"/>
  <c r="AT57" i="105"/>
  <c r="AF129" i="105"/>
  <c r="K150" i="105"/>
  <c r="AP102" i="105"/>
  <c r="O155" i="105"/>
  <c r="L23" i="105"/>
  <c r="L25" i="105"/>
  <c r="V96" i="105"/>
  <c r="V99" i="105"/>
  <c r="AG139" i="105"/>
  <c r="T154" i="105"/>
  <c r="AE100" i="105"/>
  <c r="AQ88" i="105"/>
  <c r="AG31" i="96"/>
  <c r="AD110" i="105"/>
  <c r="AE69" i="105"/>
  <c r="AS105" i="105"/>
  <c r="AS121" i="105"/>
  <c r="U117" i="105"/>
  <c r="AG88" i="96"/>
  <c r="AF160" i="105"/>
  <c r="M64" i="105"/>
  <c r="R156" i="105"/>
  <c r="AG97" i="96"/>
  <c r="AE143" i="105"/>
  <c r="V52" i="105"/>
  <c r="L134" i="105"/>
  <c r="AS151" i="105"/>
  <c r="AD127" i="105"/>
  <c r="AH128" i="105"/>
  <c r="O134" i="105"/>
  <c r="S63" i="105"/>
  <c r="AG57" i="96"/>
  <c r="N155" i="105"/>
  <c r="AR130" i="105"/>
  <c r="P28" i="96"/>
  <c r="O9" i="105"/>
  <c r="U57" i="105"/>
  <c r="S129" i="105"/>
  <c r="L127" i="105"/>
  <c r="AG140" i="105"/>
  <c r="AE103" i="105"/>
  <c r="U51" i="105"/>
  <c r="AR125" i="105"/>
  <c r="R153" i="105"/>
  <c r="T163" i="105"/>
  <c r="AE137" i="105"/>
  <c r="AE133" i="105"/>
  <c r="D50" i="97"/>
  <c r="AG102" i="105"/>
  <c r="AT155" i="105"/>
  <c r="K149" i="105"/>
  <c r="AT147" i="105"/>
  <c r="U120" i="105"/>
  <c r="AR152" i="105"/>
  <c r="AT87" i="105"/>
  <c r="K36" i="105"/>
  <c r="AF148" i="105"/>
  <c r="AG37" i="96"/>
  <c r="O99" i="105"/>
  <c r="AT158" i="105"/>
  <c r="P99" i="96"/>
  <c r="AF152" i="105"/>
  <c r="M109" i="105"/>
  <c r="K48" i="105"/>
  <c r="AH74" i="105"/>
  <c r="L11" i="105"/>
  <c r="AT98" i="105"/>
  <c r="AG77" i="96"/>
  <c r="AI26" i="108" a="1"/>
  <c r="P18" i="96"/>
  <c r="K19" i="105"/>
  <c r="M132" i="105"/>
  <c r="AE65" i="105"/>
  <c r="N28" i="105"/>
  <c r="AI98" i="108" a="1"/>
  <c r="T165" i="105"/>
  <c r="T156" i="105"/>
  <c r="N30" i="105"/>
  <c r="AH105" i="105"/>
  <c r="AH139" i="105"/>
  <c r="AS89" i="105"/>
  <c r="N23" i="105"/>
  <c r="AE123" i="105"/>
  <c r="M134" i="105"/>
  <c r="AF166" i="105"/>
  <c r="P27" i="96"/>
  <c r="S98" i="105"/>
  <c r="V101" i="105"/>
  <c r="AQ59" i="105"/>
  <c r="S163" i="105"/>
  <c r="AI20" i="108" a="1"/>
  <c r="AR108" i="105"/>
  <c r="AR105" i="105"/>
  <c r="V118" i="105"/>
  <c r="AD139" i="105"/>
  <c r="AE125" i="105"/>
  <c r="O28" i="105"/>
  <c r="AG125" i="96"/>
  <c r="AT90" i="105"/>
  <c r="AG110" i="105"/>
  <c r="AH120" i="105"/>
  <c r="P104" i="96"/>
  <c r="AF68" i="105"/>
  <c r="L67" i="105"/>
  <c r="U103" i="105"/>
  <c r="AP143" i="105"/>
  <c r="AD88" i="105"/>
  <c r="R85" i="105"/>
  <c r="V73" i="105"/>
  <c r="AG104" i="105"/>
  <c r="AP51" i="105"/>
  <c r="O161" i="105"/>
  <c r="M27" i="105"/>
  <c r="O130" i="105"/>
  <c r="AG95" i="96"/>
  <c r="AR62" i="105"/>
  <c r="AG121" i="105"/>
  <c r="AI92" i="108" a="1"/>
  <c r="L111" i="105"/>
  <c r="AQ110" i="105"/>
  <c r="AG157" i="105"/>
  <c r="O77" i="105"/>
  <c r="V135" i="105"/>
  <c r="AT149" i="105"/>
  <c r="R122" i="105"/>
  <c r="D76" i="97"/>
  <c r="AT56" i="105"/>
  <c r="P136" i="96"/>
  <c r="AE80" i="105"/>
  <c r="AI24" i="108" a="1"/>
  <c r="AI96" i="108" a="1"/>
  <c r="AS131" i="105"/>
  <c r="AQ89" i="105"/>
  <c r="AE96" i="105"/>
  <c r="N127" i="105"/>
  <c r="S88" i="105"/>
  <c r="S121" i="105"/>
  <c r="AE112" i="105"/>
  <c r="O27" i="105"/>
  <c r="AS109" i="105"/>
  <c r="P30" i="96"/>
  <c r="AQ142" i="105"/>
  <c r="K86" i="105"/>
  <c r="R103" i="105"/>
  <c r="T69" i="105"/>
  <c r="AH129" i="105"/>
  <c r="AT78" i="105"/>
  <c r="AE68" i="105"/>
  <c r="M95" i="105"/>
  <c r="AQ101" i="105"/>
  <c r="R109" i="105"/>
  <c r="R65" i="105"/>
  <c r="AG128" i="96"/>
  <c r="AD64" i="105"/>
  <c r="AG121" i="96"/>
  <c r="K44" i="105"/>
  <c r="P24" i="96"/>
  <c r="AG69" i="96"/>
  <c r="M24" i="105"/>
  <c r="AG81" i="96"/>
  <c r="AG133" i="96"/>
  <c r="AP125" i="105"/>
  <c r="AS78" i="105"/>
  <c r="T147" i="105"/>
  <c r="AS129" i="105"/>
  <c r="AH97" i="105"/>
  <c r="U80" i="105"/>
  <c r="O71" i="105"/>
  <c r="AG78" i="105"/>
  <c r="O67" i="105"/>
  <c r="O157" i="105"/>
  <c r="D106" i="97"/>
  <c r="AQ119" i="105"/>
  <c r="D122" i="97"/>
  <c r="R91" i="105"/>
  <c r="AG33" i="96"/>
  <c r="AQ92" i="105"/>
  <c r="L86" i="105"/>
  <c r="S122" i="105"/>
  <c r="AG43" i="96"/>
  <c r="AG51" i="105"/>
  <c r="AG44" i="96"/>
  <c r="AR156" i="105"/>
  <c r="AH64" i="105"/>
  <c r="AG132" i="96"/>
  <c r="L37" i="105"/>
  <c r="AG106" i="105"/>
  <c r="AG61" i="96"/>
  <c r="AH70" i="105"/>
  <c r="V125" i="105"/>
  <c r="AR100" i="105"/>
  <c r="N143" i="105"/>
  <c r="AD114" i="105"/>
  <c r="U101" i="105"/>
  <c r="K39" i="105"/>
  <c r="AE72" i="105"/>
  <c r="L68" i="105"/>
  <c r="AT156" i="105"/>
  <c r="AP137" i="105"/>
  <c r="AI35" i="108" a="1"/>
  <c r="R51" i="105"/>
  <c r="R121" i="105"/>
  <c r="AE76" i="105"/>
  <c r="AI73" i="108" a="1"/>
  <c r="M59" i="105"/>
  <c r="V75" i="105"/>
  <c r="AG148" i="105"/>
  <c r="S165" i="105"/>
  <c r="L97" i="105"/>
  <c r="AG49" i="96" s="1"/>
  <c r="AF91" i="105"/>
  <c r="AG111" i="105"/>
  <c r="O37" i="105"/>
  <c r="M33" i="105"/>
  <c r="AG19" i="96"/>
  <c r="AT153" i="105"/>
  <c r="AG69" i="105"/>
  <c r="AE92" i="105"/>
  <c r="T140" i="105"/>
  <c r="M30" i="105"/>
  <c r="AP145" i="105"/>
  <c r="N58" i="105"/>
  <c r="AS143" i="105"/>
  <c r="AS57" i="105"/>
  <c r="AF161" i="105"/>
  <c r="AH109" i="105"/>
  <c r="S76" i="105"/>
  <c r="M157" i="105"/>
  <c r="AG34" i="96"/>
  <c r="AS108" i="105"/>
  <c r="L18" i="105"/>
  <c r="AH142" i="105"/>
  <c r="AH130" i="105"/>
  <c r="M69" i="105"/>
  <c r="AS60" i="105"/>
  <c r="O38" i="105"/>
  <c r="P135" i="96"/>
  <c r="AE107" i="105"/>
  <c r="V113" i="105"/>
  <c r="L151" i="105"/>
  <c r="N13" i="105"/>
  <c r="L62" i="105"/>
  <c r="AG72" i="105"/>
  <c r="N14" i="105"/>
  <c r="D52" i="97"/>
  <c r="AT58" i="105"/>
  <c r="V87" i="105"/>
  <c r="AS101" i="105"/>
  <c r="K117" i="105"/>
  <c r="AQ75" i="105"/>
  <c r="U87" i="105"/>
  <c r="U105" i="105"/>
  <c r="AS95" i="105"/>
  <c r="N12" i="105"/>
  <c r="T142" i="105"/>
  <c r="AR132" i="105"/>
  <c r="N119" i="105"/>
  <c r="N50" i="105"/>
  <c r="AI65" i="108" a="1"/>
  <c r="S127" i="105"/>
  <c r="AS146" i="105"/>
  <c r="L82" i="105"/>
  <c r="S120" i="105"/>
  <c r="AF122" i="105"/>
  <c r="M66" i="105"/>
  <c r="K97" i="105"/>
  <c r="AP69" i="105"/>
  <c r="R73" i="105"/>
  <c r="M150" i="105"/>
  <c r="V162" i="105"/>
  <c r="AS58" i="105"/>
  <c r="V76" i="105"/>
  <c r="U72" i="105"/>
  <c r="K46" i="105"/>
  <c r="AS92" i="105"/>
  <c r="K88" i="105"/>
  <c r="D84" i="97"/>
  <c r="AF124" i="105"/>
  <c r="M58" i="105"/>
  <c r="N114" i="105"/>
  <c r="AG84" i="96"/>
  <c r="O51" i="105"/>
  <c r="M133" i="105"/>
  <c r="O45" i="105"/>
  <c r="R78" i="105"/>
  <c r="AS71" i="105"/>
  <c r="L13" i="105"/>
  <c r="AG73" i="105"/>
  <c r="AG114" i="105"/>
  <c r="AH111" i="105"/>
  <c r="R52" i="105"/>
  <c r="M87" i="105"/>
  <c r="AG105" i="96"/>
  <c r="T81" i="105"/>
  <c r="AS63" i="105"/>
  <c r="AT67" i="105"/>
  <c r="M85" i="105"/>
  <c r="AE101" i="105"/>
  <c r="T90" i="105"/>
  <c r="L152" i="105"/>
  <c r="AD136" i="105"/>
  <c r="AE113" i="105"/>
  <c r="U118" i="105"/>
  <c r="U166" i="105"/>
  <c r="L59" i="105"/>
  <c r="L159" i="105"/>
  <c r="M41" i="105"/>
  <c r="AH143" i="105"/>
  <c r="U75" i="105"/>
  <c r="R53" i="105"/>
  <c r="O30" i="105"/>
  <c r="O43" i="105"/>
  <c r="AF115" i="105"/>
  <c r="AG96" i="96"/>
  <c r="AH117" i="105"/>
  <c r="AH156" i="105"/>
  <c r="AH89" i="105"/>
  <c r="AE61" i="105"/>
  <c r="AI123" i="108" a="1"/>
  <c r="L121" i="105"/>
  <c r="AG141" i="96"/>
  <c r="AF94" i="105"/>
  <c r="AF104" i="105"/>
  <c r="S83" i="105"/>
  <c r="O94" i="105"/>
  <c r="AG24" i="96"/>
  <c r="O65" i="105"/>
  <c r="M23" i="105"/>
  <c r="U153" i="105"/>
  <c r="L154" i="105"/>
  <c r="AH153" i="105"/>
  <c r="AG52" i="96"/>
  <c r="U158" i="105"/>
  <c r="AP135" i="105"/>
  <c r="AI62" i="108" a="1"/>
  <c r="T125" i="105"/>
  <c r="AP128" i="105"/>
  <c r="D97" i="97"/>
  <c r="U56" i="105"/>
  <c r="AF130" i="105"/>
  <c r="M35" i="105"/>
  <c r="AR129" i="105"/>
  <c r="L164" i="105"/>
  <c r="AE73" i="105"/>
  <c r="AT126" i="105"/>
  <c r="AD98" i="105"/>
  <c r="AQ87" i="105"/>
  <c r="AI41" i="108" a="1"/>
  <c r="AS55" i="105"/>
  <c r="AG114" i="96"/>
  <c r="AG54" i="105"/>
  <c r="N99" i="105"/>
  <c r="N22" i="105"/>
  <c r="AG18" i="96"/>
  <c r="AT143" i="105"/>
  <c r="AG126" i="96"/>
  <c r="AQ137" i="105"/>
  <c r="AT73" i="105"/>
  <c r="S87" i="105"/>
  <c r="D127" i="97"/>
  <c r="AG85" i="105"/>
  <c r="AG25" i="96"/>
  <c r="M68" i="105"/>
  <c r="V142" i="105"/>
  <c r="K18" i="105"/>
  <c r="AS97" i="105"/>
  <c r="T153" i="105"/>
  <c r="U63" i="105"/>
  <c r="D19" i="97"/>
  <c r="AQ125" i="105"/>
  <c r="AF137" i="105"/>
  <c r="L39" i="105"/>
  <c r="AP127" i="105"/>
  <c r="N134" i="105"/>
  <c r="AT130" i="105"/>
  <c r="L16" i="105"/>
  <c r="S103" i="105"/>
  <c r="T115" i="105"/>
  <c r="U96" i="105"/>
  <c r="AQ72" i="105"/>
  <c r="N9" i="105"/>
  <c r="AD97" i="105"/>
  <c r="N92" i="105"/>
  <c r="AI94" i="108" a="1"/>
  <c r="AT100" i="105"/>
  <c r="AD151" i="105"/>
  <c r="AP56" i="105"/>
  <c r="AD93" i="105"/>
  <c r="AQ97" i="105"/>
  <c r="R127" i="105"/>
  <c r="AD52" i="105"/>
  <c r="N81" i="105"/>
  <c r="AG98" i="96" s="1"/>
  <c r="T130" i="105"/>
  <c r="S55" i="105"/>
  <c r="T63" i="105"/>
  <c r="M44" i="105"/>
  <c r="AE98" i="105"/>
  <c r="R62" i="105"/>
  <c r="S80" i="105"/>
  <c r="M26" i="105"/>
  <c r="R74" i="105"/>
  <c r="U159" i="105"/>
  <c r="AS132" i="105"/>
  <c r="AQ143" i="105"/>
  <c r="K93" i="105"/>
  <c r="AG125" i="105"/>
  <c r="P106" i="96"/>
  <c r="K79" i="105"/>
  <c r="AI78" i="108" a="1"/>
  <c r="S140" i="105"/>
  <c r="M60" i="105"/>
  <c r="AS153" i="105"/>
  <c r="BT6" i="101"/>
  <c r="M152" i="105"/>
  <c r="AG86" i="96" s="1"/>
  <c r="AE97" i="105"/>
  <c r="M125" i="105"/>
  <c r="L165" i="105"/>
  <c r="AT146" i="105"/>
  <c r="P55" i="96"/>
  <c r="L98" i="105"/>
  <c r="AG162" i="105"/>
  <c r="AG106" i="96"/>
  <c r="AE93" i="105"/>
  <c r="AG138" i="96"/>
  <c r="AQ145" i="105"/>
  <c r="AD67" i="105"/>
  <c r="AF59" i="105"/>
  <c r="D18" i="97"/>
  <c r="AD112" i="105"/>
  <c r="AI40" i="108" a="1"/>
  <c r="AD60" i="105"/>
  <c r="T61" i="105"/>
  <c r="M163" i="105"/>
  <c r="AQ80" i="105"/>
  <c r="AS133" i="105"/>
  <c r="L101" i="105"/>
  <c r="K45" i="105"/>
  <c r="O164" i="105"/>
  <c r="L22" i="105"/>
  <c r="S108" i="105"/>
  <c r="U127" i="105"/>
  <c r="O131" i="105"/>
  <c r="V131" i="105"/>
  <c r="O115" i="105"/>
  <c r="L47" i="105"/>
  <c r="AQ131" i="105"/>
  <c r="U60" i="105"/>
  <c r="V154" i="105"/>
  <c r="T88" i="105"/>
  <c r="AR63" i="105"/>
  <c r="T108" i="105"/>
  <c r="K37" i="105"/>
  <c r="AD126" i="105"/>
  <c r="K41" i="105"/>
  <c r="AG50" i="96"/>
  <c r="AS127" i="105"/>
  <c r="AI42" i="108" a="1"/>
  <c r="D100" i="97"/>
  <c r="D102" i="97"/>
  <c r="AR64" i="105"/>
  <c r="R101" i="105"/>
  <c r="V69" i="105"/>
  <c r="AE75" i="105"/>
  <c r="AR56" i="105"/>
  <c r="S138" i="105"/>
  <c r="K30" i="105"/>
  <c r="AQ127" i="105"/>
  <c r="AH71" i="105"/>
  <c r="D123" i="97"/>
  <c r="AQ70" i="105"/>
  <c r="P109" i="96"/>
  <c r="AD90" i="105"/>
  <c r="P71" i="96"/>
  <c r="AE139" i="105"/>
  <c r="AR119" i="105"/>
  <c r="R96" i="105"/>
  <c r="K64" i="105"/>
  <c r="K69" i="105"/>
  <c r="V146" i="105"/>
  <c r="O90" i="105"/>
  <c r="AT96" i="105"/>
  <c r="AD77" i="105"/>
  <c r="AH144" i="105"/>
  <c r="AD102" i="105"/>
  <c r="T145" i="105"/>
  <c r="AP108" i="105"/>
  <c r="T84" i="105"/>
  <c r="AG53" i="96"/>
  <c r="AG56" i="96"/>
  <c r="AF140" i="105"/>
  <c r="AT71" i="105"/>
  <c r="AT62" i="105"/>
  <c r="D103" i="97"/>
  <c r="AG102" i="96"/>
  <c r="D54" i="97"/>
  <c r="O132" i="105"/>
  <c r="AG134" i="96" s="1"/>
  <c r="O60" i="105"/>
  <c r="AS115" i="105"/>
  <c r="M147" i="105"/>
  <c r="AG85" i="96" s="1"/>
  <c r="AT134" i="105"/>
  <c r="AQ106" i="105"/>
  <c r="O123" i="105"/>
  <c r="AG152" i="105"/>
  <c r="AE117" i="105"/>
  <c r="O111" i="105"/>
  <c r="AG130" i="96" s="1"/>
  <c r="AT132" i="105"/>
  <c r="D57" i="97"/>
  <c r="T131" i="105"/>
  <c r="P80" i="96"/>
  <c r="AD96" i="105"/>
  <c r="O61" i="105"/>
  <c r="N113" i="105"/>
  <c r="T65" i="105"/>
  <c r="S133" i="105"/>
  <c r="AR109" i="105"/>
  <c r="AH133" i="105"/>
  <c r="AE162" i="105"/>
  <c r="AG139" i="96"/>
  <c r="L54" i="105"/>
  <c r="AS148" i="105"/>
  <c r="O50" i="105"/>
  <c r="AQ115" i="105"/>
  <c r="P57" i="96"/>
  <c r="O68" i="105"/>
  <c r="AH164" i="105"/>
  <c r="AR117" i="105"/>
  <c r="AE90" i="105"/>
  <c r="AD137" i="105"/>
  <c r="K125" i="105"/>
  <c r="M112" i="105"/>
  <c r="M25" i="105"/>
  <c r="K91" i="105"/>
  <c r="AI9" i="108" a="1"/>
  <c r="L147" i="105"/>
  <c r="AG59" i="96" s="1"/>
  <c r="M91" i="105"/>
  <c r="S164" i="105"/>
  <c r="D55" i="97"/>
  <c r="P126" i="96"/>
  <c r="S141" i="105"/>
  <c r="U64" i="105"/>
  <c r="AS79" i="105"/>
  <c r="AE77" i="105"/>
  <c r="O147" i="105"/>
  <c r="P131" i="96"/>
  <c r="N125" i="105"/>
  <c r="AG82" i="96"/>
  <c r="M93" i="105"/>
  <c r="AG62" i="96"/>
  <c r="L21" i="105"/>
  <c r="AE105" i="105"/>
  <c r="AR165" i="105"/>
  <c r="AG32" i="96"/>
  <c r="T82" i="105"/>
  <c r="L153" i="105"/>
  <c r="AH76" i="105"/>
  <c r="V156" i="105"/>
  <c r="O136" i="105"/>
  <c r="K156" i="105"/>
  <c r="AF142" i="105"/>
  <c r="AG110" i="96"/>
  <c r="AT122" i="105"/>
  <c r="L75" i="105"/>
  <c r="T166" i="105"/>
  <c r="L81" i="105"/>
  <c r="AG46" i="96" s="1"/>
  <c r="O165" i="105"/>
  <c r="AP144" i="105"/>
  <c r="K112" i="105"/>
  <c r="AG26" i="96" s="1"/>
  <c r="P133" i="96"/>
  <c r="AP118" i="105"/>
  <c r="U114" i="105"/>
  <c r="AP60" i="105"/>
  <c r="AG51" i="96"/>
  <c r="AS104" i="105"/>
  <c r="K33" i="105"/>
  <c r="L109" i="105"/>
  <c r="D131" i="97"/>
  <c r="AS91" i="105"/>
  <c r="AR133" i="105"/>
  <c r="M46" i="105"/>
  <c r="D136" i="97"/>
  <c r="AG164" i="105"/>
  <c r="AH157" i="105"/>
  <c r="K53" i="105"/>
  <c r="AT74" i="105"/>
  <c r="U123" i="105"/>
  <c r="AF88" i="105"/>
  <c r="S91" i="105"/>
  <c r="AT129" i="105"/>
  <c r="AH66" i="105"/>
  <c r="O98" i="105"/>
  <c r="K143" i="105"/>
  <c r="V80" i="105"/>
  <c r="S162" i="105"/>
  <c r="O41" i="105"/>
  <c r="AH166" i="105"/>
  <c r="M94" i="105"/>
  <c r="AG97" i="105"/>
  <c r="N108" i="105"/>
  <c r="AH126" i="105"/>
  <c r="U71" i="105"/>
  <c r="AF164" i="105"/>
  <c r="M88" i="105"/>
  <c r="U109" i="105"/>
  <c r="D20" i="97"/>
  <c r="V126" i="105"/>
  <c r="AG59" i="105"/>
  <c r="N70" i="105"/>
  <c r="AT64" i="105"/>
  <c r="T106" i="105"/>
  <c r="AG124" i="105"/>
  <c r="AF74" i="105"/>
  <c r="K94" i="105"/>
  <c r="AP124" i="105"/>
  <c r="AE138" i="105"/>
  <c r="M98" i="105"/>
  <c r="AQ134" i="105"/>
  <c r="M16" i="105"/>
  <c r="AP139" i="105"/>
  <c r="AT91" i="105"/>
  <c r="AQ96" i="105"/>
  <c r="S85" i="105"/>
  <c r="K61" i="105"/>
  <c r="AG151" i="105"/>
  <c r="K73" i="105"/>
  <c r="AH154" i="105"/>
  <c r="AH82" i="105"/>
  <c r="AQ68" i="105"/>
  <c r="P77" i="96"/>
  <c r="N135" i="105"/>
  <c r="AT93" i="105"/>
  <c r="AE150" i="105"/>
  <c r="AF65" i="105"/>
  <c r="AQ105" i="105"/>
  <c r="AT65" i="105"/>
  <c r="AS145" i="105"/>
  <c r="T52" i="105"/>
  <c r="T97" i="105"/>
  <c r="V68" i="105"/>
  <c r="P25" i="96"/>
  <c r="P53" i="96"/>
  <c r="L166" i="105"/>
  <c r="AQ114" i="105"/>
  <c r="V158" i="105"/>
  <c r="M89" i="105"/>
  <c r="AG45" i="96"/>
  <c r="V63" i="105"/>
  <c r="D126" i="97"/>
  <c r="AP103" i="105"/>
  <c r="AQ141" i="105"/>
  <c r="O26" i="105"/>
  <c r="M130" i="105"/>
  <c r="S97" i="105"/>
  <c r="R90" i="105"/>
  <c r="AG134" i="105"/>
  <c r="AH159" i="105"/>
  <c r="N51" i="105"/>
  <c r="AR149" i="105"/>
  <c r="AR145" i="105"/>
  <c r="U155" i="105"/>
  <c r="D21" i="97"/>
  <c r="T75" i="105"/>
  <c r="U102" i="105"/>
  <c r="O13" i="105"/>
  <c r="S84" i="105"/>
  <c r="AR122" i="105"/>
  <c r="AE85" i="105"/>
  <c r="AP105" i="105"/>
  <c r="AF100" i="105"/>
  <c r="AR54" i="105"/>
  <c r="AF155" i="105"/>
  <c r="AG109" i="96"/>
  <c r="AG140" i="96"/>
  <c r="AD122" i="105"/>
  <c r="S126" i="105"/>
  <c r="AF163" i="105"/>
  <c r="O84" i="105"/>
  <c r="AT108" i="105"/>
  <c r="AS149" i="105"/>
  <c r="R82" i="105"/>
  <c r="V109" i="105"/>
  <c r="AI15" i="108" a="1"/>
  <c r="AG122" i="96"/>
  <c r="AE121" i="105"/>
  <c r="AG60" i="96"/>
  <c r="AR97" i="105"/>
  <c r="AF86" i="105"/>
  <c r="AR99" i="105"/>
  <c r="AI116" i="108" a="1"/>
  <c r="K113" i="105"/>
  <c r="R138" i="105"/>
  <c r="S72" i="105"/>
  <c r="K52" i="105"/>
  <c r="AP95" i="105"/>
  <c r="D83" i="97"/>
  <c r="K54" i="105"/>
  <c r="L43" i="105"/>
  <c r="S139" i="105"/>
  <c r="S137" i="105"/>
  <c r="O128" i="105"/>
  <c r="V152" i="105"/>
  <c r="AG70" i="105"/>
  <c r="M9" i="105"/>
  <c r="AF150" i="105"/>
  <c r="AR81" i="105"/>
  <c r="AD134" i="105"/>
  <c r="AI90" i="108" a="1"/>
  <c r="AF136" i="105"/>
  <c r="AR140" i="105"/>
  <c r="K58" i="105"/>
  <c r="AQ65" i="105"/>
  <c r="L79" i="105"/>
  <c r="M121" i="105"/>
  <c r="AI39" i="108" a="1"/>
  <c r="AP164" i="105"/>
  <c r="AP71" i="105"/>
  <c r="N118" i="105"/>
  <c r="AE55" i="105"/>
  <c r="D69" i="97"/>
  <c r="AR126" i="105"/>
  <c r="AQ163" i="105"/>
  <c r="D43" i="97"/>
  <c r="N61" i="105"/>
  <c r="AS152" i="105"/>
  <c r="AD116" i="105"/>
  <c r="V108" i="105"/>
  <c r="AI95" i="108" a="1"/>
  <c r="O52" i="105"/>
  <c r="AG47" i="96"/>
  <c r="N41" i="105"/>
  <c r="R120" i="105"/>
  <c r="K95" i="105"/>
  <c r="AP77" i="105"/>
  <c r="AQ51" i="105"/>
  <c r="AQ135" i="105"/>
  <c r="AD115" i="105"/>
  <c r="AG22" i="96"/>
  <c r="N63" i="105"/>
  <c r="AQ157" i="105"/>
  <c r="V103" i="105"/>
  <c r="V56" i="105"/>
  <c r="O89" i="105"/>
  <c r="AR57" i="105"/>
  <c r="AR75" i="105"/>
  <c r="K161" i="105"/>
  <c r="AG36" i="96" s="1"/>
  <c r="AG27" i="96"/>
  <c r="AG63" i="96"/>
  <c r="AH99" i="105"/>
  <c r="AT125" i="105"/>
  <c r="O137" i="105"/>
  <c r="AG135" i="96" s="1"/>
  <c r="S101" i="105"/>
  <c r="S143" i="105"/>
  <c r="N151" i="105"/>
  <c r="AP129" i="105"/>
  <c r="U112" i="105"/>
  <c r="U82" i="105"/>
  <c r="AH136" i="105"/>
  <c r="U91" i="105"/>
  <c r="M12" i="105"/>
  <c r="AE109" i="105"/>
  <c r="L31" i="105"/>
  <c r="K133" i="105"/>
  <c r="S159" i="105"/>
  <c r="V143" i="105"/>
  <c r="AI52" i="108" a="1"/>
  <c r="AI101" i="108" a="1"/>
  <c r="AS126" i="105"/>
  <c r="M62" i="105"/>
  <c r="K126" i="105"/>
  <c r="AG29" i="96" s="1"/>
  <c r="AE132" i="105"/>
  <c r="K68" i="105"/>
  <c r="AQ155" i="105"/>
  <c r="O76" i="105"/>
  <c r="AG123" i="96" s="1"/>
  <c r="N38" i="105"/>
  <c r="N159" i="105"/>
  <c r="AR61" i="105"/>
  <c r="AQ90" i="105"/>
  <c r="K108" i="105"/>
  <c r="AD99" i="105"/>
  <c r="AP158" i="105"/>
  <c r="U86" i="105"/>
  <c r="T89" i="105"/>
  <c r="T121" i="105"/>
  <c r="L149" i="105"/>
  <c r="O34" i="105"/>
  <c r="M83" i="105"/>
  <c r="O105" i="105"/>
  <c r="AG58" i="96"/>
  <c r="N160" i="105"/>
  <c r="S132" i="105"/>
  <c r="AP119" i="105"/>
  <c r="AH78" i="105"/>
  <c r="AQ118" i="105"/>
  <c r="L53" i="105"/>
  <c r="AG104" i="96"/>
  <c r="T112" i="105"/>
  <c r="O62" i="105"/>
  <c r="AI13" i="108" a="1"/>
  <c r="O93" i="105"/>
  <c r="AE151" i="105"/>
  <c r="AE78" i="105"/>
  <c r="L155" i="105"/>
  <c r="K138" i="105"/>
  <c r="L133" i="105"/>
  <c r="AT85" i="105"/>
  <c r="AD106" i="105"/>
  <c r="AH149" i="105"/>
  <c r="AQ162" i="105"/>
  <c r="N47" i="105"/>
  <c r="N157" i="105"/>
  <c r="D74" i="97"/>
  <c r="AG21" i="96"/>
  <c r="AG80" i="96"/>
  <c r="L55" i="105"/>
  <c r="N87" i="105"/>
  <c r="AF80" i="105"/>
  <c r="AQ122" i="105"/>
  <c r="M92" i="105"/>
  <c r="S93" i="105"/>
  <c r="AR83" i="105"/>
  <c r="L33" i="105"/>
  <c r="O17" i="105"/>
  <c r="P129" i="96"/>
  <c r="R83" i="105"/>
  <c r="AD55" i="105"/>
  <c r="AS150" i="105"/>
  <c r="AR155" i="105"/>
  <c r="L45" i="105"/>
  <c r="AI38" i="108" a="1"/>
  <c r="AP123" i="105"/>
  <c r="AT139" i="105"/>
  <c r="AR162" i="105"/>
  <c r="U111" i="105"/>
  <c r="AI60" i="108" a="1"/>
  <c r="N74" i="105"/>
  <c r="AD145" i="105"/>
  <c r="P75" i="96"/>
  <c r="AD121" i="105"/>
  <c r="L114" i="105"/>
  <c r="P73" i="96"/>
  <c r="AG101" i="96"/>
  <c r="R162" i="105"/>
  <c r="K56" i="105"/>
  <c r="R75" i="105"/>
  <c r="T139" i="105"/>
  <c r="D134" i="97"/>
  <c r="AR71" i="105"/>
  <c r="AS96" i="105"/>
  <c r="D28" i="97"/>
  <c r="AT59" i="105"/>
  <c r="S131" i="105"/>
  <c r="AG75" i="96"/>
  <c r="AR51" i="105"/>
  <c r="AF73" i="105"/>
  <c r="AH60" i="105"/>
  <c r="L94" i="105"/>
  <c r="AG112" i="96"/>
  <c r="AH131" i="105"/>
  <c r="AR77" i="105"/>
  <c r="AQ113" i="105"/>
  <c r="V116" i="105"/>
  <c r="AS156" i="105"/>
  <c r="P110" i="96"/>
  <c r="AG53" i="105"/>
  <c r="AH108" i="105"/>
  <c r="K148" i="105"/>
  <c r="AI70" i="108" a="1"/>
  <c r="T53" i="105"/>
  <c r="L123" i="105"/>
  <c r="AD87" i="105"/>
  <c r="AI51" i="108" a="1"/>
  <c r="AI61" i="108" a="1"/>
  <c r="M145" i="105"/>
  <c r="AD150" i="105"/>
  <c r="M118" i="105"/>
  <c r="AF108" i="105"/>
  <c r="D24" i="97"/>
  <c r="V161" i="105"/>
  <c r="T132" i="105"/>
  <c r="R143" i="105"/>
  <c r="P32" i="96"/>
  <c r="K131" i="105"/>
  <c r="AG30" i="96" s="1"/>
  <c r="AH113" i="105"/>
  <c r="AE51" i="105"/>
  <c r="O10" i="105"/>
  <c r="AD148" i="105"/>
  <c r="O49" i="105"/>
  <c r="AG77" i="105"/>
  <c r="AE82" i="105"/>
  <c r="O142" i="105"/>
  <c r="AG136" i="96" s="1"/>
  <c r="AG108" i="96"/>
  <c r="AF162" i="105"/>
  <c r="K15" i="105"/>
  <c r="L8" i="105"/>
  <c r="AE161" i="105"/>
  <c r="AP84" i="105"/>
  <c r="P81" i="96"/>
  <c r="AI48" i="108" a="1"/>
  <c r="AS100" i="105"/>
  <c r="AG79" i="96"/>
  <c r="V91" i="105"/>
  <c r="AG64" i="105"/>
  <c r="L71" i="105"/>
  <c r="AD132" i="105"/>
  <c r="AS120" i="105"/>
  <c r="AR59" i="105"/>
  <c r="AG124" i="96"/>
  <c r="AH152" i="105"/>
  <c r="O150" i="105"/>
  <c r="AG28" i="96"/>
  <c r="O31" i="105"/>
  <c r="AF149" i="105"/>
  <c r="T62" i="105"/>
  <c r="L46" i="105"/>
  <c r="AP160" i="105"/>
  <c r="AF60" i="105"/>
  <c r="P122" i="96"/>
  <c r="S113" i="105"/>
  <c r="AF58" i="105"/>
  <c r="AD76" i="105"/>
  <c r="AT119" i="105"/>
  <c r="S57" i="105"/>
  <c r="AG129" i="96"/>
  <c r="AR110" i="105"/>
  <c r="D95" i="97"/>
  <c r="S64" i="105"/>
  <c r="AI99" i="108" a="1"/>
  <c r="D132" i="97"/>
  <c r="L70" i="105"/>
  <c r="AI16" i="108" a="1"/>
  <c r="AG160" i="105"/>
  <c r="T161" i="105"/>
  <c r="AS82" i="105"/>
  <c r="V74" i="105"/>
  <c r="AI71" i="108" a="1"/>
  <c r="AE147" i="105"/>
  <c r="N110" i="105"/>
  <c r="AF126" i="105"/>
  <c r="L126" i="105"/>
  <c r="S74" i="105"/>
  <c r="AG99" i="96"/>
  <c r="AG100" i="96"/>
  <c r="AE63" i="105"/>
  <c r="T87" i="105"/>
  <c r="AI69" i="108" a="1"/>
  <c r="N45" i="105"/>
  <c r="AG120" i="105"/>
  <c r="R115" i="105"/>
  <c r="AG54" i="96"/>
  <c r="AG83" i="96"/>
  <c r="AG55" i="96"/>
  <c r="AG107" i="96"/>
  <c r="AG111" i="96"/>
  <c r="AG70" i="96"/>
  <c r="AG35" i="96"/>
  <c r="AG17" i="96"/>
  <c r="AG113" i="96"/>
  <c r="AG87" i="96"/>
  <c r="AG137" i="96"/>
  <c r="AI69" i="108" l="1"/>
  <c r="AI71" i="108"/>
  <c r="AI16" i="108"/>
  <c r="Q121" i="108"/>
  <c r="AI99" i="108"/>
  <c r="E112" i="107"/>
  <c r="AI48" i="108"/>
  <c r="E71" i="107"/>
  <c r="E22" i="107"/>
  <c r="Q13" i="108"/>
  <c r="AI61" i="108"/>
  <c r="AI51" i="108"/>
  <c r="AI70" i="108"/>
  <c r="E100" i="107"/>
  <c r="Q17" i="108"/>
  <c r="Q123" i="108"/>
  <c r="E63" i="107"/>
  <c r="E65" i="107"/>
  <c r="AI60" i="108"/>
  <c r="AI38" i="108"/>
  <c r="E119" i="107"/>
  <c r="Q63" i="108"/>
  <c r="AI13" i="108"/>
  <c r="AI101" i="108"/>
  <c r="AI52" i="108"/>
  <c r="AI95" i="108"/>
  <c r="AI39" i="108"/>
  <c r="AI90" i="108"/>
  <c r="Q72" i="108"/>
  <c r="AI116" i="108"/>
  <c r="AI15" i="108"/>
  <c r="Q10" i="108"/>
  <c r="Q115" i="108"/>
  <c r="E43" i="107"/>
  <c r="E15" i="107"/>
  <c r="E67" i="107"/>
  <c r="Q9" i="108"/>
  <c r="Q125" i="108"/>
  <c r="Q120" i="108"/>
  <c r="E123" i="107"/>
  <c r="E121" i="107"/>
  <c r="E116" i="107"/>
  <c r="Q44" i="108"/>
  <c r="AI9" i="108"/>
  <c r="E47" i="107"/>
  <c r="E70" i="107"/>
  <c r="Q46" i="108"/>
  <c r="Q43" i="108"/>
  <c r="Q92" i="108"/>
  <c r="E61" i="107"/>
  <c r="E99" i="107"/>
  <c r="Q91" i="108"/>
  <c r="Q89" i="108"/>
  <c r="AI42" i="108"/>
  <c r="AI40" i="108"/>
  <c r="Q7" i="108"/>
  <c r="E45" i="107"/>
  <c r="AI78" i="108"/>
  <c r="E96" i="107"/>
  <c r="AI94" i="108"/>
  <c r="Q8" i="108"/>
  <c r="Q116" i="108"/>
  <c r="AI41" i="108"/>
  <c r="Q86" i="108"/>
  <c r="AI62" i="108"/>
  <c r="AI123" i="108"/>
  <c r="Q73" i="108"/>
  <c r="AI65" i="108"/>
  <c r="Q41" i="108"/>
  <c r="E125" i="107"/>
  <c r="AI73" i="108"/>
  <c r="AI35" i="108"/>
  <c r="Q95" i="108"/>
  <c r="E14" i="107"/>
  <c r="E20" i="107"/>
  <c r="AI96" i="108"/>
  <c r="AI24" i="108"/>
  <c r="E126" i="107"/>
  <c r="Q65" i="108"/>
  <c r="AI92" i="108"/>
  <c r="E94" i="107"/>
  <c r="AI20" i="108"/>
  <c r="E17" i="107"/>
  <c r="AI98" i="108"/>
  <c r="E8" i="107"/>
  <c r="AI26" i="108"/>
  <c r="E89" i="107"/>
  <c r="Q39" i="108"/>
  <c r="E18" i="107"/>
  <c r="Q37" i="108"/>
  <c r="AI113" i="108"/>
  <c r="AI93" i="108"/>
  <c r="AI37" i="108"/>
  <c r="Q118" i="108"/>
  <c r="AI128" i="108"/>
  <c r="AI103" i="108"/>
  <c r="U114" i="97" s="1"/>
  <c r="E39" i="107"/>
  <c r="Q87" i="108"/>
  <c r="AI47" i="108"/>
  <c r="AI49" i="108"/>
  <c r="Q64" i="108"/>
  <c r="E33" i="107"/>
  <c r="E111" i="107"/>
  <c r="E42" i="107"/>
  <c r="AI120" i="108"/>
  <c r="AI112" i="108"/>
  <c r="AI117" i="108"/>
  <c r="E118" i="107"/>
  <c r="E10" i="107"/>
  <c r="AI130" i="108"/>
  <c r="AI50" i="108"/>
  <c r="U61" i="97" s="1"/>
  <c r="AI23" i="108"/>
  <c r="U34" i="97" s="1"/>
  <c r="AI33" i="108"/>
  <c r="AI12" i="108"/>
  <c r="AI76" i="108"/>
  <c r="E9" i="107"/>
  <c r="E36" i="107"/>
  <c r="E124" i="107"/>
  <c r="E34" i="107"/>
  <c r="AI44" i="108"/>
  <c r="E40" i="107"/>
  <c r="E21" i="107"/>
  <c r="E122" i="107"/>
  <c r="AI87" i="108"/>
  <c r="AI121" i="108"/>
  <c r="AI25" i="108"/>
  <c r="E85" i="107"/>
  <c r="E62" i="107"/>
  <c r="Q69" i="108"/>
  <c r="AI66" i="108"/>
  <c r="AI129" i="108"/>
  <c r="E117" i="107"/>
  <c r="AI88" i="108"/>
  <c r="E88" i="107"/>
  <c r="AI125" i="108"/>
  <c r="AI34" i="108"/>
  <c r="Q36" i="108"/>
  <c r="Q98" i="108"/>
  <c r="AI126" i="108"/>
  <c r="AI75" i="108"/>
  <c r="E7" i="107"/>
  <c r="AI111" i="108"/>
  <c r="E64" i="107"/>
  <c r="AI74" i="108"/>
  <c r="Q34" i="108"/>
  <c r="AI102" i="108"/>
  <c r="AI10" i="108"/>
  <c r="Q40" i="108"/>
  <c r="AI104" i="108"/>
  <c r="AI67" i="108"/>
  <c r="E69" i="107"/>
  <c r="Q15" i="108"/>
  <c r="E90" i="107"/>
  <c r="E98" i="107"/>
  <c r="Q20" i="108"/>
  <c r="Q11" i="108"/>
  <c r="AI97" i="108"/>
  <c r="E11" i="107"/>
  <c r="Q16" i="108"/>
  <c r="E114" i="107"/>
  <c r="E95" i="107"/>
  <c r="AI68" i="108"/>
  <c r="E60" i="107"/>
  <c r="AI18" i="108"/>
  <c r="AI8" i="108"/>
  <c r="Q21" i="108"/>
  <c r="E93" i="107"/>
  <c r="AI72" i="108"/>
  <c r="E19" i="107"/>
  <c r="E68" i="107"/>
  <c r="AI127" i="108"/>
  <c r="E74" i="107"/>
  <c r="E113" i="107"/>
  <c r="Q70" i="108"/>
  <c r="Q90" i="108"/>
  <c r="AI22" i="108"/>
  <c r="E72" i="107"/>
  <c r="Q124" i="108"/>
  <c r="AI124" i="108"/>
  <c r="Q42" i="108"/>
  <c r="E92" i="107"/>
  <c r="AI19" i="108"/>
  <c r="AI36" i="108"/>
  <c r="Q60" i="108"/>
  <c r="E35" i="107"/>
  <c r="Q45" i="108"/>
  <c r="AI100" i="108"/>
  <c r="Q117" i="108"/>
  <c r="E48" i="107"/>
  <c r="E66" i="107"/>
  <c r="AI119" i="108"/>
  <c r="E59" i="107"/>
  <c r="Q18" i="108"/>
  <c r="Q122" i="108"/>
  <c r="Q62" i="108"/>
  <c r="AI43" i="108"/>
  <c r="E115" i="107"/>
  <c r="Q99" i="108"/>
  <c r="Q66" i="108"/>
  <c r="AI64" i="108"/>
  <c r="Q71" i="108"/>
  <c r="AI63" i="108"/>
  <c r="AI114" i="108"/>
  <c r="E44" i="107"/>
  <c r="AI59" i="108"/>
  <c r="Q67" i="108"/>
  <c r="AI115" i="108"/>
  <c r="AI14" i="108"/>
  <c r="Q61" i="108"/>
  <c r="AI85" i="108"/>
  <c r="AK100" i="96"/>
  <c r="AJ100" i="96"/>
  <c r="AI100" i="96"/>
  <c r="AH100" i="96"/>
  <c r="AI99" i="96"/>
  <c r="AJ99" i="96"/>
  <c r="AH99" i="96"/>
  <c r="AK99" i="96"/>
  <c r="Q84" i="108"/>
  <c r="J95" i="97"/>
  <c r="AJ129" i="96"/>
  <c r="AI129" i="96"/>
  <c r="AK129" i="96"/>
  <c r="AH129" i="96"/>
  <c r="AI28" i="96"/>
  <c r="AH28" i="96"/>
  <c r="AJ28" i="96"/>
  <c r="AK28" i="96"/>
  <c r="AK124" i="96"/>
  <c r="AI124" i="96"/>
  <c r="AJ124" i="96"/>
  <c r="AH124" i="96"/>
  <c r="AK79" i="96"/>
  <c r="AH79" i="96"/>
  <c r="AJ79" i="96"/>
  <c r="AI79" i="96"/>
  <c r="AK108" i="96"/>
  <c r="AJ108" i="96"/>
  <c r="AI108" i="96"/>
  <c r="AH108" i="96"/>
  <c r="AJ150" i="105"/>
  <c r="AJ136" i="105"/>
  <c r="AJ127" i="105"/>
  <c r="AJ68" i="105"/>
  <c r="AJ93" i="105"/>
  <c r="AJ69" i="105"/>
  <c r="AJ67" i="105"/>
  <c r="AJ132" i="105"/>
  <c r="AJ117" i="105"/>
  <c r="AJ143" i="105"/>
  <c r="AJ106" i="105"/>
  <c r="AJ142" i="105"/>
  <c r="AJ79" i="105"/>
  <c r="AJ87" i="105"/>
  <c r="AJ114" i="105"/>
  <c r="AJ154" i="105"/>
  <c r="AJ52" i="105"/>
  <c r="AJ62" i="105"/>
  <c r="AJ70" i="105"/>
  <c r="AJ116" i="105"/>
  <c r="AJ121" i="105"/>
  <c r="AJ66" i="105"/>
  <c r="AJ164" i="105"/>
  <c r="AJ76" i="105"/>
  <c r="AJ156" i="105"/>
  <c r="AJ59" i="105"/>
  <c r="AJ137" i="105"/>
  <c r="AJ159" i="105"/>
  <c r="AJ158" i="105"/>
  <c r="AJ134" i="105"/>
  <c r="AJ103" i="105"/>
  <c r="AJ57" i="105"/>
  <c r="AJ80" i="105"/>
  <c r="AJ95" i="105"/>
  <c r="AJ89" i="105"/>
  <c r="AJ139" i="105"/>
  <c r="AJ84" i="105"/>
  <c r="AJ141" i="105"/>
  <c r="AJ58" i="105"/>
  <c r="AJ75" i="105"/>
  <c r="AJ90" i="105"/>
  <c r="AJ130" i="105"/>
  <c r="AJ109" i="105"/>
  <c r="AJ128" i="105"/>
  <c r="AJ155" i="105"/>
  <c r="AJ163" i="105"/>
  <c r="AJ118" i="105"/>
  <c r="AJ148" i="105"/>
  <c r="AJ146" i="105"/>
  <c r="AJ125" i="105"/>
  <c r="AJ123" i="105"/>
  <c r="AJ96" i="105"/>
  <c r="AJ92" i="105"/>
  <c r="AJ78" i="105"/>
  <c r="AJ133" i="105"/>
  <c r="AJ115" i="105"/>
  <c r="AJ86" i="105"/>
  <c r="AJ147" i="105"/>
  <c r="AJ140" i="105"/>
  <c r="AJ153" i="105"/>
  <c r="AJ54" i="105"/>
  <c r="AJ113" i="105"/>
  <c r="AJ145" i="105"/>
  <c r="AJ122" i="105"/>
  <c r="AJ165" i="105"/>
  <c r="AJ138" i="105"/>
  <c r="AJ161" i="105"/>
  <c r="AJ65" i="105"/>
  <c r="AJ63" i="105"/>
  <c r="AJ71" i="105"/>
  <c r="AJ72" i="105"/>
  <c r="AJ82" i="105"/>
  <c r="AJ102" i="105"/>
  <c r="AJ160" i="105"/>
  <c r="AJ100" i="105"/>
  <c r="AJ85" i="105"/>
  <c r="AJ124" i="105"/>
  <c r="AJ77" i="105"/>
  <c r="AJ60" i="105"/>
  <c r="AJ120" i="105"/>
  <c r="AJ94" i="105"/>
  <c r="AJ108" i="105"/>
  <c r="AJ105" i="105"/>
  <c r="AJ112" i="105"/>
  <c r="AJ88" i="105"/>
  <c r="AJ131" i="105"/>
  <c r="AJ104" i="105"/>
  <c r="AJ74" i="105"/>
  <c r="AJ91" i="105"/>
  <c r="AJ129" i="105"/>
  <c r="AJ126" i="105"/>
  <c r="AJ152" i="105"/>
  <c r="AJ56" i="105"/>
  <c r="AJ98" i="105"/>
  <c r="AJ64" i="105"/>
  <c r="AJ166" i="105"/>
  <c r="AJ149" i="105"/>
  <c r="AJ144" i="105"/>
  <c r="AJ81" i="105"/>
  <c r="AJ157" i="105"/>
  <c r="AJ83" i="105"/>
  <c r="AJ55" i="105"/>
  <c r="AJ110" i="105"/>
  <c r="AJ99" i="105"/>
  <c r="AJ73" i="105"/>
  <c r="AJ107" i="105"/>
  <c r="AJ162" i="105"/>
  <c r="AJ151" i="105"/>
  <c r="AJ101" i="105"/>
  <c r="AJ97" i="105"/>
  <c r="AJ135" i="105"/>
  <c r="AJ119" i="105"/>
  <c r="AJ51" i="105"/>
  <c r="AJ111" i="105"/>
  <c r="AJ61" i="105"/>
  <c r="AJ53" i="105"/>
  <c r="AH112" i="96"/>
  <c r="AI112" i="96"/>
  <c r="AK112" i="96"/>
  <c r="AJ112" i="96"/>
  <c r="AW121" i="105"/>
  <c r="AW62" i="105"/>
  <c r="AW81" i="105"/>
  <c r="AW131" i="105"/>
  <c r="AW91" i="105"/>
  <c r="AW138" i="105"/>
  <c r="AW92" i="105"/>
  <c r="AW141" i="105"/>
  <c r="AW159" i="105"/>
  <c r="AW94" i="105"/>
  <c r="AW55" i="105"/>
  <c r="AW157" i="105"/>
  <c r="AW140" i="105"/>
  <c r="AW145" i="105"/>
  <c r="AW147" i="105"/>
  <c r="AW115" i="105"/>
  <c r="AW71" i="105"/>
  <c r="AW132" i="105"/>
  <c r="AW104" i="105"/>
  <c r="AW95" i="105"/>
  <c r="AW67" i="105"/>
  <c r="AW166" i="105"/>
  <c r="AW80" i="105"/>
  <c r="AW164" i="105"/>
  <c r="AW74" i="105"/>
  <c r="AW160" i="105"/>
  <c r="AW96" i="105"/>
  <c r="AW150" i="105"/>
  <c r="AW82" i="105"/>
  <c r="AW72" i="105"/>
  <c r="AW69" i="105"/>
  <c r="AW56" i="105"/>
  <c r="AW78" i="105"/>
  <c r="AW61" i="105"/>
  <c r="AW118" i="105"/>
  <c r="AW110" i="105"/>
  <c r="AW130" i="105"/>
  <c r="AW144" i="105"/>
  <c r="AW153" i="105"/>
  <c r="AW97" i="105"/>
  <c r="AW114" i="105"/>
  <c r="AW87" i="105"/>
  <c r="AW162" i="105"/>
  <c r="AW155" i="105"/>
  <c r="AW116" i="105"/>
  <c r="AW64" i="105"/>
  <c r="AW85" i="105"/>
  <c r="AW120" i="105"/>
  <c r="AW57" i="105"/>
  <c r="AW79" i="105"/>
  <c r="AW146" i="105"/>
  <c r="AW68" i="105"/>
  <c r="AW125" i="105"/>
  <c r="AW161" i="105"/>
  <c r="AW60" i="105"/>
  <c r="AW139" i="105"/>
  <c r="AW127" i="105"/>
  <c r="AW126" i="105"/>
  <c r="AW65" i="105"/>
  <c r="AW101" i="105"/>
  <c r="AW66" i="105"/>
  <c r="AW53" i="105"/>
  <c r="AW142" i="105"/>
  <c r="AW84" i="105"/>
  <c r="AW134" i="105"/>
  <c r="AW119" i="105"/>
  <c r="AW129" i="105"/>
  <c r="AW113" i="105"/>
  <c r="AW124" i="105"/>
  <c r="AW98" i="105"/>
  <c r="AW52" i="105"/>
  <c r="AW99" i="105"/>
  <c r="AW73" i="105"/>
  <c r="AW51" i="105"/>
  <c r="AW152" i="105"/>
  <c r="AW106" i="105"/>
  <c r="AW137" i="105"/>
  <c r="AW128" i="105"/>
  <c r="AW122" i="105"/>
  <c r="AW111" i="105"/>
  <c r="AW158" i="105"/>
  <c r="AW58" i="105"/>
  <c r="AW89" i="105"/>
  <c r="AW135" i="105"/>
  <c r="AW117" i="105"/>
  <c r="AW107" i="105"/>
  <c r="AW149" i="105"/>
  <c r="AW103" i="105"/>
  <c r="AW76" i="105"/>
  <c r="AW54" i="105"/>
  <c r="AW151" i="105"/>
  <c r="AW136" i="105"/>
  <c r="AW93" i="105"/>
  <c r="AW90" i="105"/>
  <c r="AW123" i="105"/>
  <c r="AW86" i="105"/>
  <c r="AW156" i="105"/>
  <c r="AW105" i="105"/>
  <c r="AW133" i="105"/>
  <c r="AW102" i="105"/>
  <c r="AW100" i="105"/>
  <c r="AW143" i="105"/>
  <c r="AW165" i="105"/>
  <c r="AW77" i="105"/>
  <c r="AW112" i="105"/>
  <c r="AW88" i="105"/>
  <c r="AW154" i="105"/>
  <c r="AW70" i="105"/>
  <c r="AW59" i="105"/>
  <c r="AW148" i="105"/>
  <c r="AW63" i="105"/>
  <c r="AW108" i="105"/>
  <c r="AW109" i="105"/>
  <c r="AW75" i="105"/>
  <c r="AW163" i="105"/>
  <c r="AW83" i="105"/>
  <c r="AJ75" i="96"/>
  <c r="AI75" i="96"/>
  <c r="AH75" i="96"/>
  <c r="AK75" i="96"/>
  <c r="AI101" i="96"/>
  <c r="AJ101" i="96"/>
  <c r="AH101" i="96"/>
  <c r="AK101" i="96"/>
  <c r="AJ80" i="96"/>
  <c r="AH80" i="96"/>
  <c r="AK80" i="96"/>
  <c r="AI80" i="96"/>
  <c r="AH21" i="96"/>
  <c r="AJ21" i="96"/>
  <c r="AK21" i="96"/>
  <c r="AI21" i="96"/>
  <c r="AH104" i="96"/>
  <c r="AJ104" i="96"/>
  <c r="AI104" i="96"/>
  <c r="AK104" i="96"/>
  <c r="AK58" i="96"/>
  <c r="AJ58" i="96"/>
  <c r="AH58" i="96"/>
  <c r="AI58" i="96"/>
  <c r="AI123" i="96"/>
  <c r="AJ123" i="96"/>
  <c r="AK123" i="96"/>
  <c r="AH123" i="96"/>
  <c r="AI63" i="96"/>
  <c r="AK63" i="96"/>
  <c r="AJ63" i="96"/>
  <c r="AH63" i="96"/>
  <c r="AK27" i="96"/>
  <c r="AI27" i="96"/>
  <c r="AH27" i="96"/>
  <c r="AJ27" i="96"/>
  <c r="AI22" i="96"/>
  <c r="AJ22" i="96"/>
  <c r="AK22" i="96"/>
  <c r="AH22" i="96"/>
  <c r="AV143" i="105"/>
  <c r="AV116" i="105"/>
  <c r="AV164" i="105"/>
  <c r="AV64" i="105"/>
  <c r="AV100" i="105"/>
  <c r="AV58" i="105"/>
  <c r="AV108" i="105"/>
  <c r="AV121" i="105"/>
  <c r="AV109" i="105"/>
  <c r="AV57" i="105"/>
  <c r="AV156" i="105"/>
  <c r="AV84" i="105"/>
  <c r="AV85" i="105"/>
  <c r="AV118" i="105"/>
  <c r="AV70" i="105"/>
  <c r="AV124" i="105"/>
  <c r="AV159" i="105"/>
  <c r="AV157" i="105"/>
  <c r="AV152" i="105"/>
  <c r="AV131" i="105"/>
  <c r="AV166" i="105"/>
  <c r="AV127" i="105"/>
  <c r="AV136" i="105"/>
  <c r="AV60" i="105"/>
  <c r="AV125" i="105"/>
  <c r="AV91" i="105"/>
  <c r="AV99" i="105"/>
  <c r="AV95" i="105"/>
  <c r="AV92" i="105"/>
  <c r="AV150" i="105"/>
  <c r="AV52" i="105"/>
  <c r="AV145" i="105"/>
  <c r="AV110" i="105"/>
  <c r="AV98" i="105"/>
  <c r="AV74" i="105"/>
  <c r="AV149" i="105"/>
  <c r="AV93" i="105"/>
  <c r="AV120" i="105"/>
  <c r="AV56" i="105"/>
  <c r="AV112" i="105"/>
  <c r="AV114" i="105"/>
  <c r="AV75" i="105"/>
  <c r="AV62" i="105"/>
  <c r="AV128" i="105"/>
  <c r="AV105" i="105"/>
  <c r="AV106" i="105"/>
  <c r="AV88" i="105"/>
  <c r="AV73" i="105"/>
  <c r="AV160" i="105"/>
  <c r="AV67" i="105"/>
  <c r="AV63" i="105"/>
  <c r="AV151" i="105"/>
  <c r="AV61" i="105"/>
  <c r="AV65" i="105"/>
  <c r="AV54" i="105"/>
  <c r="AV165" i="105"/>
  <c r="AV141" i="105"/>
  <c r="AV96" i="105"/>
  <c r="AV77" i="105"/>
  <c r="AV59" i="105"/>
  <c r="AV66" i="105"/>
  <c r="AV140" i="105"/>
  <c r="AV132" i="105"/>
  <c r="AV53" i="105"/>
  <c r="AV163" i="105"/>
  <c r="AV142" i="105"/>
  <c r="AV115" i="105"/>
  <c r="AV122" i="105"/>
  <c r="AV81" i="105"/>
  <c r="AV83" i="105"/>
  <c r="AV101" i="105"/>
  <c r="AV119" i="105"/>
  <c r="AV71" i="105"/>
  <c r="AV155" i="105"/>
  <c r="AV69" i="105"/>
  <c r="AV117" i="105"/>
  <c r="AV90" i="105"/>
  <c r="AV113" i="105"/>
  <c r="AV82" i="105"/>
  <c r="AV102" i="105"/>
  <c r="AV148" i="105"/>
  <c r="AV87" i="105"/>
  <c r="AV123" i="105"/>
  <c r="AV144" i="105"/>
  <c r="AV68" i="105"/>
  <c r="AV80" i="105"/>
  <c r="AV51" i="105"/>
  <c r="AV139" i="105"/>
  <c r="AV158" i="105"/>
  <c r="AV94" i="105"/>
  <c r="AV86" i="105"/>
  <c r="AV111" i="105"/>
  <c r="AV133" i="105"/>
  <c r="AV161" i="105"/>
  <c r="AV126" i="105"/>
  <c r="AV97" i="105"/>
  <c r="AV55" i="105"/>
  <c r="AV104" i="105"/>
  <c r="AV107" i="105"/>
  <c r="AV137" i="105"/>
  <c r="AV79" i="105"/>
  <c r="AV146" i="105"/>
  <c r="AV153" i="105"/>
  <c r="AV129" i="105"/>
  <c r="AV147" i="105"/>
  <c r="AV76" i="105"/>
  <c r="AV103" i="105"/>
  <c r="AV89" i="105"/>
  <c r="AV130" i="105"/>
  <c r="AV134" i="105"/>
  <c r="AV162" i="105"/>
  <c r="AV72" i="105"/>
  <c r="AV154" i="105"/>
  <c r="AV135" i="105"/>
  <c r="AV78" i="105"/>
  <c r="AV138" i="105"/>
  <c r="AI47" i="96"/>
  <c r="AK47" i="96"/>
  <c r="AH47" i="96"/>
  <c r="AJ47" i="96"/>
  <c r="J43" i="97"/>
  <c r="Q32" i="108"/>
  <c r="J69" i="97"/>
  <c r="W58" i="108" s="1"/>
  <c r="Q58" i="108"/>
  <c r="AI60" i="96"/>
  <c r="AH60" i="96"/>
  <c r="AJ60" i="96"/>
  <c r="AK60" i="96"/>
  <c r="AI122" i="96"/>
  <c r="AH122" i="96"/>
  <c r="AJ122" i="96"/>
  <c r="AK122" i="96"/>
  <c r="AH140" i="96"/>
  <c r="AK140" i="96"/>
  <c r="AJ140" i="96"/>
  <c r="AI140" i="96"/>
  <c r="AJ109" i="96"/>
  <c r="AI109" i="96"/>
  <c r="AK109" i="96"/>
  <c r="AH109" i="96"/>
  <c r="AK45" i="96"/>
  <c r="AI45" i="96"/>
  <c r="AH45" i="96"/>
  <c r="AJ45" i="96"/>
  <c r="AH135" i="96"/>
  <c r="AK135" i="96"/>
  <c r="AI135" i="96"/>
  <c r="AJ135" i="96"/>
  <c r="AI51" i="96"/>
  <c r="AJ51" i="96"/>
  <c r="AH51" i="96"/>
  <c r="AK51" i="96"/>
  <c r="AK110" i="96"/>
  <c r="AH110" i="96"/>
  <c r="AI110" i="96"/>
  <c r="AJ110" i="96"/>
  <c r="AK36" i="96"/>
  <c r="AJ36" i="96"/>
  <c r="AI36" i="96"/>
  <c r="AH36" i="96"/>
  <c r="AH29" i="96"/>
  <c r="AK29" i="96"/>
  <c r="AJ29" i="96"/>
  <c r="AI29" i="96"/>
  <c r="AK32" i="96"/>
  <c r="AJ32" i="96"/>
  <c r="AI32" i="96"/>
  <c r="AH32" i="96"/>
  <c r="AK62" i="96"/>
  <c r="AJ62" i="96"/>
  <c r="AI62" i="96"/>
  <c r="AH62" i="96"/>
  <c r="AJ82" i="96"/>
  <c r="AK82" i="96"/>
  <c r="AH82" i="96"/>
  <c r="AI82" i="96"/>
  <c r="AH139" i="96"/>
  <c r="AI139" i="96"/>
  <c r="AK139" i="96"/>
  <c r="AJ139" i="96"/>
  <c r="AJ102" i="96"/>
  <c r="AH102" i="96"/>
  <c r="AI102" i="96"/>
  <c r="AK102" i="96"/>
  <c r="AJ56" i="96"/>
  <c r="AI56" i="96"/>
  <c r="AH56" i="96"/>
  <c r="AK56" i="96"/>
  <c r="AJ53" i="96"/>
  <c r="AH53" i="96"/>
  <c r="AK53" i="96"/>
  <c r="AI53" i="96"/>
  <c r="AK30" i="96"/>
  <c r="AI30" i="96"/>
  <c r="AH30" i="96"/>
  <c r="AJ30" i="96"/>
  <c r="J123" i="97"/>
  <c r="Q112" i="108"/>
  <c r="AI50" i="96"/>
  <c r="AK50" i="96"/>
  <c r="AJ50" i="96"/>
  <c r="AH50" i="96"/>
  <c r="AK138" i="96"/>
  <c r="AH138" i="96"/>
  <c r="AI138" i="96"/>
  <c r="AJ138" i="96"/>
  <c r="AK106" i="96"/>
  <c r="AJ106" i="96"/>
  <c r="AI106" i="96"/>
  <c r="AH106" i="96"/>
  <c r="AH25" i="96"/>
  <c r="AK25" i="96"/>
  <c r="AI25" i="96"/>
  <c r="AJ25" i="96"/>
  <c r="AH126" i="96"/>
  <c r="AK126" i="96"/>
  <c r="AJ126" i="96"/>
  <c r="AI126" i="96"/>
  <c r="AH18" i="96"/>
  <c r="AJ18" i="96"/>
  <c r="AK18" i="96"/>
  <c r="AI18" i="96"/>
  <c r="AK114" i="96"/>
  <c r="AH114" i="96"/>
  <c r="AJ114" i="96"/>
  <c r="AI114" i="96"/>
  <c r="AK134" i="96"/>
  <c r="AH134" i="96"/>
  <c r="AJ134" i="96"/>
  <c r="AI134" i="96"/>
  <c r="AI52" i="96"/>
  <c r="AJ52" i="96"/>
  <c r="AK52" i="96"/>
  <c r="AH52" i="96"/>
  <c r="AI24" i="96"/>
  <c r="AH24" i="96"/>
  <c r="AK24" i="96"/>
  <c r="AJ24" i="96"/>
  <c r="AK141" i="96"/>
  <c r="AI141" i="96"/>
  <c r="AJ141" i="96"/>
  <c r="AH141" i="96"/>
  <c r="AH96" i="96"/>
  <c r="AK96" i="96"/>
  <c r="AI96" i="96"/>
  <c r="AJ96" i="96"/>
  <c r="AI105" i="96"/>
  <c r="AK105" i="96"/>
  <c r="AJ105" i="96"/>
  <c r="AH105" i="96"/>
  <c r="AH84" i="96"/>
  <c r="AK84" i="96"/>
  <c r="AJ84" i="96"/>
  <c r="AI84" i="96"/>
  <c r="AH46" i="96"/>
  <c r="AI46" i="96"/>
  <c r="AJ46" i="96"/>
  <c r="AK46" i="96"/>
  <c r="AH34" i="96"/>
  <c r="AI34" i="96"/>
  <c r="AK34" i="96"/>
  <c r="AJ34" i="96"/>
  <c r="AH19" i="96"/>
  <c r="AK19" i="96"/>
  <c r="AJ19" i="96"/>
  <c r="AI19" i="96"/>
  <c r="W117" i="105"/>
  <c r="W135" i="105"/>
  <c r="W88" i="105"/>
  <c r="W51" i="105"/>
  <c r="W64" i="105"/>
  <c r="W86" i="105"/>
  <c r="W156" i="105"/>
  <c r="W90" i="105"/>
  <c r="W153" i="105"/>
  <c r="W157" i="105"/>
  <c r="W85" i="105"/>
  <c r="W120" i="105"/>
  <c r="W128" i="105"/>
  <c r="W87" i="105"/>
  <c r="W152" i="105"/>
  <c r="W136" i="105"/>
  <c r="W160" i="105"/>
  <c r="W75" i="105"/>
  <c r="W100" i="105"/>
  <c r="W80" i="105"/>
  <c r="W54" i="105"/>
  <c r="W69" i="105"/>
  <c r="W52" i="105"/>
  <c r="W133" i="105"/>
  <c r="W139" i="105"/>
  <c r="W94" i="105"/>
  <c r="W98" i="105"/>
  <c r="W165" i="105"/>
  <c r="W73" i="105"/>
  <c r="W91" i="105"/>
  <c r="W65" i="105"/>
  <c r="W71" i="105"/>
  <c r="W110" i="105"/>
  <c r="W102" i="105"/>
  <c r="W53" i="105"/>
  <c r="W164" i="105"/>
  <c r="W59" i="105"/>
  <c r="W116" i="105"/>
  <c r="W161" i="105"/>
  <c r="W106" i="105"/>
  <c r="W162" i="105"/>
  <c r="W99" i="105"/>
  <c r="W101" i="105"/>
  <c r="W138" i="105"/>
  <c r="W104" i="105"/>
  <c r="W60" i="105"/>
  <c r="W132" i="105"/>
  <c r="W142" i="105"/>
  <c r="W151" i="105"/>
  <c r="W81" i="105"/>
  <c r="W61" i="105"/>
  <c r="W149" i="105"/>
  <c r="W143" i="105"/>
  <c r="W108" i="105"/>
  <c r="W82" i="105"/>
  <c r="W96" i="105"/>
  <c r="W77" i="105"/>
  <c r="W79" i="105"/>
  <c r="W66" i="105"/>
  <c r="W145" i="105"/>
  <c r="W144" i="105"/>
  <c r="W159" i="105"/>
  <c r="W62" i="105"/>
  <c r="W111" i="105"/>
  <c r="W124" i="105"/>
  <c r="W70" i="105"/>
  <c r="W131" i="105"/>
  <c r="W118" i="105"/>
  <c r="W76" i="105"/>
  <c r="W67" i="105"/>
  <c r="W83" i="105"/>
  <c r="W63" i="105"/>
  <c r="W68" i="105"/>
  <c r="W112" i="105"/>
  <c r="W127" i="105"/>
  <c r="W114" i="105"/>
  <c r="W155" i="105"/>
  <c r="W115" i="105"/>
  <c r="W97" i="105"/>
  <c r="W72" i="105"/>
  <c r="W154" i="105"/>
  <c r="W146" i="105"/>
  <c r="W163" i="105"/>
  <c r="W125" i="105"/>
  <c r="W137" i="105"/>
  <c r="W95" i="105"/>
  <c r="W150" i="105"/>
  <c r="W107" i="105"/>
  <c r="W166" i="105"/>
  <c r="W141" i="105"/>
  <c r="W122" i="105"/>
  <c r="W109" i="105"/>
  <c r="W57" i="105"/>
  <c r="W89" i="105"/>
  <c r="W147" i="105"/>
  <c r="W121" i="105"/>
  <c r="W84" i="105"/>
  <c r="W78" i="105"/>
  <c r="W123" i="105"/>
  <c r="W103" i="105"/>
  <c r="W148" i="105"/>
  <c r="W129" i="105"/>
  <c r="W56" i="105"/>
  <c r="W105" i="105"/>
  <c r="W134" i="105"/>
  <c r="W58" i="105"/>
  <c r="W158" i="105"/>
  <c r="W126" i="105"/>
  <c r="W140" i="105"/>
  <c r="W113" i="105"/>
  <c r="W93" i="105"/>
  <c r="W119" i="105"/>
  <c r="W130" i="105"/>
  <c r="W74" i="105"/>
  <c r="W55" i="105"/>
  <c r="W92" i="105"/>
  <c r="AK61" i="96"/>
  <c r="AH61" i="96"/>
  <c r="AI61" i="96"/>
  <c r="AJ61" i="96"/>
  <c r="AI132" i="96"/>
  <c r="AH132" i="96"/>
  <c r="AJ132" i="96"/>
  <c r="AK132" i="96"/>
  <c r="AI44" i="96"/>
  <c r="AH44" i="96"/>
  <c r="AJ44" i="96"/>
  <c r="AK44" i="96"/>
  <c r="AL141" i="105"/>
  <c r="AL86" i="105"/>
  <c r="AL66" i="105"/>
  <c r="AL126" i="105"/>
  <c r="AL89" i="105"/>
  <c r="AL105" i="105"/>
  <c r="AL159" i="105"/>
  <c r="AL99" i="105"/>
  <c r="AL60" i="105"/>
  <c r="AL139" i="105"/>
  <c r="AL95" i="105"/>
  <c r="AL148" i="105"/>
  <c r="AL131" i="105"/>
  <c r="AL81" i="105"/>
  <c r="AL108" i="105"/>
  <c r="AL123" i="105"/>
  <c r="AL114" i="105"/>
  <c r="AL74" i="105"/>
  <c r="AL104" i="105"/>
  <c r="AL157" i="105"/>
  <c r="AL96" i="105"/>
  <c r="AL90" i="105"/>
  <c r="AL110" i="105"/>
  <c r="AL84" i="105"/>
  <c r="AL142" i="105"/>
  <c r="AL138" i="105"/>
  <c r="AL145" i="105"/>
  <c r="AL162" i="105"/>
  <c r="AL53" i="105"/>
  <c r="AL158" i="105"/>
  <c r="AL112" i="105"/>
  <c r="AL77" i="105"/>
  <c r="AL135" i="105"/>
  <c r="AL164" i="105"/>
  <c r="AL154" i="105"/>
  <c r="AL61" i="105"/>
  <c r="AL161" i="105"/>
  <c r="AL124" i="105"/>
  <c r="AL121" i="105"/>
  <c r="AL160" i="105"/>
  <c r="AL115" i="105"/>
  <c r="AL92" i="105"/>
  <c r="AL128" i="105"/>
  <c r="AL134" i="105"/>
  <c r="AL101" i="105"/>
  <c r="AL120" i="105"/>
  <c r="AL129" i="105"/>
  <c r="AL65" i="105"/>
  <c r="AL147" i="105"/>
  <c r="AL146" i="105"/>
  <c r="AL70" i="105"/>
  <c r="AL118" i="105"/>
  <c r="AL55" i="105"/>
  <c r="AL166" i="105"/>
  <c r="AL109" i="105"/>
  <c r="AL73" i="105"/>
  <c r="AL82" i="105"/>
  <c r="AL103" i="105"/>
  <c r="AL133" i="105"/>
  <c r="AL111" i="105"/>
  <c r="AL137" i="105"/>
  <c r="AL152" i="105"/>
  <c r="AL58" i="105"/>
  <c r="AL62" i="105"/>
  <c r="AL119" i="105"/>
  <c r="AL71" i="105"/>
  <c r="AL156" i="105"/>
  <c r="AL76" i="105"/>
  <c r="AL56" i="105"/>
  <c r="AL59" i="105"/>
  <c r="AL149" i="105"/>
  <c r="AL72" i="105"/>
  <c r="AL144" i="105"/>
  <c r="AL69" i="105"/>
  <c r="AL150" i="105"/>
  <c r="AL116" i="105"/>
  <c r="AL107" i="105"/>
  <c r="AL136" i="105"/>
  <c r="AL63" i="105"/>
  <c r="AL94" i="105"/>
  <c r="AL83" i="105"/>
  <c r="AL88" i="105"/>
  <c r="AL143" i="105"/>
  <c r="AL163" i="105"/>
  <c r="AL106" i="105"/>
  <c r="AL153" i="105"/>
  <c r="AL52" i="105"/>
  <c r="AL130" i="105"/>
  <c r="AL51" i="105"/>
  <c r="AL64" i="105"/>
  <c r="AL102" i="105"/>
  <c r="AL122" i="105"/>
  <c r="AL100" i="105"/>
  <c r="AL93" i="105"/>
  <c r="AL68" i="105"/>
  <c r="AL85" i="105"/>
  <c r="AL127" i="105"/>
  <c r="AL78" i="105"/>
  <c r="AL79" i="105"/>
  <c r="AL75" i="105"/>
  <c r="AL80" i="105"/>
  <c r="AL97" i="105"/>
  <c r="AL67" i="105"/>
  <c r="AL98" i="105"/>
  <c r="AL132" i="105"/>
  <c r="AL155" i="105"/>
  <c r="AL113" i="105"/>
  <c r="AL91" i="105"/>
  <c r="AL165" i="105"/>
  <c r="AL140" i="105"/>
  <c r="AL151" i="105"/>
  <c r="AL57" i="105"/>
  <c r="AL125" i="105"/>
  <c r="AL87" i="105"/>
  <c r="AL54" i="105"/>
  <c r="AL117" i="105"/>
  <c r="AJ43" i="96"/>
  <c r="AK43" i="96"/>
  <c r="AH43" i="96"/>
  <c r="AI43" i="96"/>
  <c r="AJ130" i="96"/>
  <c r="AI130" i="96"/>
  <c r="AH130" i="96"/>
  <c r="AK130" i="96"/>
  <c r="AJ33" i="96"/>
  <c r="AI33" i="96"/>
  <c r="AH33" i="96"/>
  <c r="AK33" i="96"/>
  <c r="Q111" i="108"/>
  <c r="J122" i="97"/>
  <c r="AH133" i="96"/>
  <c r="AJ133" i="96"/>
  <c r="AK133" i="96"/>
  <c r="AI133" i="96"/>
  <c r="AI81" i="96"/>
  <c r="AH81" i="96"/>
  <c r="AJ81" i="96"/>
  <c r="AK81" i="96"/>
  <c r="AH69" i="96"/>
  <c r="AJ69" i="96"/>
  <c r="AK69" i="96"/>
  <c r="AI69" i="96"/>
  <c r="AK121" i="96"/>
  <c r="AI121" i="96"/>
  <c r="AH121" i="96"/>
  <c r="AJ121" i="96"/>
  <c r="AK128" i="96"/>
  <c r="AH128" i="96"/>
  <c r="AJ128" i="96"/>
  <c r="AI128" i="96"/>
  <c r="AJ95" i="96"/>
  <c r="AH95" i="96"/>
  <c r="AK95" i="96"/>
  <c r="AI95" i="96"/>
  <c r="AU146" i="105"/>
  <c r="AU84" i="105"/>
  <c r="AU113" i="105"/>
  <c r="AU59" i="105"/>
  <c r="AU74" i="105"/>
  <c r="AU147" i="105"/>
  <c r="AU94" i="105"/>
  <c r="AU148" i="105"/>
  <c r="AU136" i="105"/>
  <c r="AU76" i="105"/>
  <c r="AU83" i="105"/>
  <c r="AU54" i="105"/>
  <c r="AU109" i="105"/>
  <c r="AU151" i="105"/>
  <c r="AU125" i="105"/>
  <c r="AU97" i="105"/>
  <c r="AU70" i="105"/>
  <c r="AU112" i="105"/>
  <c r="AU130" i="105"/>
  <c r="AU165" i="105"/>
  <c r="AU61" i="105"/>
  <c r="AU73" i="105"/>
  <c r="AU107" i="105"/>
  <c r="AU105" i="105"/>
  <c r="AU154" i="105"/>
  <c r="AU164" i="105"/>
  <c r="AU126" i="105"/>
  <c r="AU100" i="105"/>
  <c r="AU150" i="105"/>
  <c r="AU128" i="105"/>
  <c r="AU58" i="105"/>
  <c r="AU56" i="105"/>
  <c r="AU64" i="105"/>
  <c r="AU104" i="105"/>
  <c r="AU142" i="105"/>
  <c r="AU99" i="105"/>
  <c r="AU68" i="105"/>
  <c r="AU159" i="105"/>
  <c r="AU87" i="105"/>
  <c r="AU81" i="105"/>
  <c r="AU103" i="105"/>
  <c r="AU67" i="105"/>
  <c r="AU95" i="105"/>
  <c r="AU161" i="105"/>
  <c r="AU143" i="105"/>
  <c r="AU53" i="105"/>
  <c r="AU102" i="105"/>
  <c r="AU77" i="105"/>
  <c r="AU106" i="105"/>
  <c r="AU52" i="105"/>
  <c r="AU157" i="105"/>
  <c r="AU133" i="105"/>
  <c r="AU111" i="105"/>
  <c r="AU93" i="105"/>
  <c r="AU91" i="105"/>
  <c r="AU124" i="105"/>
  <c r="AU134" i="105"/>
  <c r="AU132" i="105"/>
  <c r="AU123" i="105"/>
  <c r="AU57" i="105"/>
  <c r="AU90" i="105"/>
  <c r="AU156" i="105"/>
  <c r="AU89" i="105"/>
  <c r="AU158" i="105"/>
  <c r="AU92" i="105"/>
  <c r="AU139" i="105"/>
  <c r="AU96" i="105"/>
  <c r="AU80" i="105"/>
  <c r="AU79" i="105"/>
  <c r="AU78" i="105"/>
  <c r="AU62" i="105"/>
  <c r="AU155" i="105"/>
  <c r="AU162" i="105"/>
  <c r="AU116" i="105"/>
  <c r="AU153" i="105"/>
  <c r="AU145" i="105"/>
  <c r="AU135" i="105"/>
  <c r="AU51" i="105"/>
  <c r="AU63" i="105"/>
  <c r="AU149" i="105"/>
  <c r="AU115" i="105"/>
  <c r="AU121" i="105"/>
  <c r="AU131" i="105"/>
  <c r="AU86" i="105"/>
  <c r="AU120" i="105"/>
  <c r="AU141" i="105"/>
  <c r="AU127" i="105"/>
  <c r="AU85" i="105"/>
  <c r="AU69" i="105"/>
  <c r="AU166" i="105"/>
  <c r="AU60" i="105"/>
  <c r="AU110" i="105"/>
  <c r="AU98" i="105"/>
  <c r="AU66" i="105"/>
  <c r="AU163" i="105"/>
  <c r="AU108" i="105"/>
  <c r="AU71" i="105"/>
  <c r="AU88" i="105"/>
  <c r="AU140" i="105"/>
  <c r="AU82" i="105"/>
  <c r="AU144" i="105"/>
  <c r="AU75" i="105"/>
  <c r="AU160" i="105"/>
  <c r="AU101" i="105"/>
  <c r="AU118" i="105"/>
  <c r="AU129" i="105"/>
  <c r="AU122" i="105"/>
  <c r="AU114" i="105"/>
  <c r="AU138" i="105"/>
  <c r="AU72" i="105"/>
  <c r="AU117" i="105"/>
  <c r="AU55" i="105"/>
  <c r="AU152" i="105"/>
  <c r="AU65" i="105"/>
  <c r="AU119" i="105"/>
  <c r="AU137" i="105"/>
  <c r="AH85" i="96"/>
  <c r="AJ85" i="96"/>
  <c r="AI85" i="96"/>
  <c r="AK85" i="96"/>
  <c r="AK98" i="96"/>
  <c r="AI98" i="96"/>
  <c r="AJ98" i="96"/>
  <c r="AH98" i="96"/>
  <c r="AI125" i="96"/>
  <c r="AH125" i="96"/>
  <c r="AJ125" i="96"/>
  <c r="AK125" i="96"/>
  <c r="AH59" i="96"/>
  <c r="AI59" i="96"/>
  <c r="AK59" i="96"/>
  <c r="AJ59" i="96"/>
  <c r="AH77" i="96"/>
  <c r="AK77" i="96"/>
  <c r="AI77" i="96"/>
  <c r="AJ77" i="96"/>
  <c r="AK136" i="96"/>
  <c r="AJ136" i="96"/>
  <c r="AI136" i="96"/>
  <c r="AH136" i="96"/>
  <c r="AJ37" i="96"/>
  <c r="AI37" i="96"/>
  <c r="AH37" i="96"/>
  <c r="AK37" i="96"/>
  <c r="Z106" i="105"/>
  <c r="Z134" i="105"/>
  <c r="Z53" i="105"/>
  <c r="Z118" i="105"/>
  <c r="Z148" i="105"/>
  <c r="Z103" i="105"/>
  <c r="Z153" i="105"/>
  <c r="Z105" i="105"/>
  <c r="Z140" i="105"/>
  <c r="Z98" i="105"/>
  <c r="Z164" i="105"/>
  <c r="Z91" i="105"/>
  <c r="Z85" i="105"/>
  <c r="Z115" i="105"/>
  <c r="Z87" i="105"/>
  <c r="Z71" i="105"/>
  <c r="Z154" i="105"/>
  <c r="Z63" i="105"/>
  <c r="Z93" i="105"/>
  <c r="Z69" i="105"/>
  <c r="Z59" i="105"/>
  <c r="Z83" i="105"/>
  <c r="Z104" i="105"/>
  <c r="Z84" i="105"/>
  <c r="Z54" i="105"/>
  <c r="Z160" i="105"/>
  <c r="Z131" i="105"/>
  <c r="Z139" i="105"/>
  <c r="Z88" i="105"/>
  <c r="Z163" i="105"/>
  <c r="Z72" i="105"/>
  <c r="Z64" i="105"/>
  <c r="Z157" i="105"/>
  <c r="Z155" i="105"/>
  <c r="Z124" i="105"/>
  <c r="Z127" i="105"/>
  <c r="Z144" i="105"/>
  <c r="Z94" i="105"/>
  <c r="Z117" i="105"/>
  <c r="Z56" i="105"/>
  <c r="Z158" i="105"/>
  <c r="Z62" i="105"/>
  <c r="Z123" i="105"/>
  <c r="Z96" i="105"/>
  <c r="Z76" i="105"/>
  <c r="Z135" i="105"/>
  <c r="Z81" i="105"/>
  <c r="Z120" i="105"/>
  <c r="Z121" i="105"/>
  <c r="Z55" i="105"/>
  <c r="Z156" i="105"/>
  <c r="Z146" i="105"/>
  <c r="Z159" i="105"/>
  <c r="Z116" i="105"/>
  <c r="Z82" i="105"/>
  <c r="Z61" i="105"/>
  <c r="Z51" i="105"/>
  <c r="Z102" i="105"/>
  <c r="Z101" i="105"/>
  <c r="Z141" i="105"/>
  <c r="Z92" i="105"/>
  <c r="Z110" i="105"/>
  <c r="Z65" i="105"/>
  <c r="Z90" i="105"/>
  <c r="Z125" i="105"/>
  <c r="Z70" i="105"/>
  <c r="Z89" i="105"/>
  <c r="Z142" i="105"/>
  <c r="Z79" i="105"/>
  <c r="Z138" i="105"/>
  <c r="Z80" i="105"/>
  <c r="Z147" i="105"/>
  <c r="Z150" i="105"/>
  <c r="Z165" i="105"/>
  <c r="Z143" i="105"/>
  <c r="Z129" i="105"/>
  <c r="Z73" i="105"/>
  <c r="Z114" i="105"/>
  <c r="Z97" i="105"/>
  <c r="Z119" i="105"/>
  <c r="Z128" i="105"/>
  <c r="Z130" i="105"/>
  <c r="Z133" i="105"/>
  <c r="Z126" i="105"/>
  <c r="Z66" i="105"/>
  <c r="Z77" i="105"/>
  <c r="Z162" i="105"/>
  <c r="Z78" i="105"/>
  <c r="Z57" i="105"/>
  <c r="Z151" i="105"/>
  <c r="Z111" i="105"/>
  <c r="Z107" i="105"/>
  <c r="Z152" i="105"/>
  <c r="Z113" i="105"/>
  <c r="Z132" i="105"/>
  <c r="Z166" i="105"/>
  <c r="Z149" i="105"/>
  <c r="Z58" i="105"/>
  <c r="Z161" i="105"/>
  <c r="Z52" i="105"/>
  <c r="Z108" i="105"/>
  <c r="Z136" i="105"/>
  <c r="Z112" i="105"/>
  <c r="Z100" i="105"/>
  <c r="Z60" i="105"/>
  <c r="Z137" i="105"/>
  <c r="Z67" i="105"/>
  <c r="Z122" i="105"/>
  <c r="Z109" i="105"/>
  <c r="Z74" i="105"/>
  <c r="Z86" i="105"/>
  <c r="Z99" i="105"/>
  <c r="Z95" i="105"/>
  <c r="Z145" i="105"/>
  <c r="Z68" i="105"/>
  <c r="Z75" i="105"/>
  <c r="AJ49" i="96"/>
  <c r="AH49" i="96"/>
  <c r="AK49" i="96"/>
  <c r="AI49" i="96"/>
  <c r="AK86" i="96"/>
  <c r="AI86" i="96"/>
  <c r="AJ86" i="96"/>
  <c r="AH86" i="96"/>
  <c r="AH57" i="96"/>
  <c r="AI57" i="96"/>
  <c r="AK57" i="96"/>
  <c r="AJ57" i="96"/>
  <c r="AJ97" i="96"/>
  <c r="AK97" i="96"/>
  <c r="AI97" i="96"/>
  <c r="AH97" i="96"/>
  <c r="AH26" i="96"/>
  <c r="AI26" i="96"/>
  <c r="AJ26" i="96"/>
  <c r="AK26" i="96"/>
  <c r="AJ88" i="96"/>
  <c r="AH88" i="96"/>
  <c r="AI88" i="96"/>
  <c r="AK88" i="96"/>
  <c r="AJ31" i="96"/>
  <c r="AK31" i="96"/>
  <c r="AH31" i="96"/>
  <c r="AI31" i="96"/>
  <c r="AI48" i="96"/>
  <c r="AK48" i="96"/>
  <c r="AH48" i="96"/>
  <c r="AJ48" i="96"/>
  <c r="AJ71" i="96"/>
  <c r="AK71" i="96"/>
  <c r="AI71" i="96"/>
  <c r="AH71" i="96"/>
  <c r="Y74" i="105"/>
  <c r="Y108" i="105"/>
  <c r="Y125" i="105"/>
  <c r="Y106" i="105"/>
  <c r="Y58" i="105"/>
  <c r="Y144" i="105"/>
  <c r="Y91" i="105"/>
  <c r="Y156" i="105"/>
  <c r="Y88" i="105"/>
  <c r="Y102" i="105"/>
  <c r="Y158" i="105"/>
  <c r="Y136" i="105"/>
  <c r="Y159" i="105"/>
  <c r="Y110" i="105"/>
  <c r="Y79" i="105"/>
  <c r="Y141" i="105"/>
  <c r="Y155" i="105"/>
  <c r="Y68" i="105"/>
  <c r="Y124" i="105"/>
  <c r="Y98" i="105"/>
  <c r="Y148" i="105"/>
  <c r="Y73" i="105"/>
  <c r="Y118" i="105"/>
  <c r="Y56" i="105"/>
  <c r="Y162" i="105"/>
  <c r="Y146" i="105"/>
  <c r="Y122" i="105"/>
  <c r="Y92" i="105"/>
  <c r="Y57" i="105"/>
  <c r="Y84" i="105"/>
  <c r="Y66" i="105"/>
  <c r="Y145" i="105"/>
  <c r="Y137" i="105"/>
  <c r="Y100" i="105"/>
  <c r="Y157" i="105"/>
  <c r="Y128" i="105"/>
  <c r="Y152" i="105"/>
  <c r="Y161" i="105"/>
  <c r="Y96" i="105"/>
  <c r="Y160" i="105"/>
  <c r="Y150" i="105"/>
  <c r="Y95" i="105"/>
  <c r="Y76" i="105"/>
  <c r="Y132" i="105"/>
  <c r="Y112" i="105"/>
  <c r="Y133" i="105"/>
  <c r="Y69" i="105"/>
  <c r="Y59" i="105"/>
  <c r="Y130" i="105"/>
  <c r="Y77" i="105"/>
  <c r="Y71" i="105"/>
  <c r="Y99" i="105"/>
  <c r="Y103" i="105"/>
  <c r="Y82" i="105"/>
  <c r="Y97" i="105"/>
  <c r="Y119" i="105"/>
  <c r="Y101" i="105"/>
  <c r="Y131" i="105"/>
  <c r="Y163" i="105"/>
  <c r="Y166" i="105"/>
  <c r="Y143" i="105"/>
  <c r="Y64" i="105"/>
  <c r="Y117" i="105"/>
  <c r="Y135" i="105"/>
  <c r="Y139" i="105"/>
  <c r="Y149" i="105"/>
  <c r="Y165" i="105"/>
  <c r="Y60" i="105"/>
  <c r="Y109" i="105"/>
  <c r="Y85" i="105"/>
  <c r="Y123" i="105"/>
  <c r="Y67" i="105"/>
  <c r="Y153" i="105"/>
  <c r="Y115" i="105"/>
  <c r="Y72" i="105"/>
  <c r="Y147" i="105"/>
  <c r="Y86" i="105"/>
  <c r="Y70" i="105"/>
  <c r="Y140" i="105"/>
  <c r="Y107" i="105"/>
  <c r="Y154" i="105"/>
  <c r="Y63" i="105"/>
  <c r="Y52" i="105"/>
  <c r="Y113" i="105"/>
  <c r="Y65" i="105"/>
  <c r="Y62" i="105"/>
  <c r="Y116" i="105"/>
  <c r="Y53" i="105"/>
  <c r="Y105" i="105"/>
  <c r="Y54" i="105"/>
  <c r="Y83" i="105"/>
  <c r="Y89" i="105"/>
  <c r="Y80" i="105"/>
  <c r="Y87" i="105"/>
  <c r="Y78" i="105"/>
  <c r="Y127" i="105"/>
  <c r="Y93" i="105"/>
  <c r="Y55" i="105"/>
  <c r="Y114" i="105"/>
  <c r="Y94" i="105"/>
  <c r="Y75" i="105"/>
  <c r="Y120" i="105"/>
  <c r="Y129" i="105"/>
  <c r="Y121" i="105"/>
  <c r="Y164" i="105"/>
  <c r="Y126" i="105"/>
  <c r="Y151" i="105"/>
  <c r="Y104" i="105"/>
  <c r="Y111" i="105"/>
  <c r="Y61" i="105"/>
  <c r="Y134" i="105"/>
  <c r="Y81" i="105"/>
  <c r="Y138" i="105"/>
  <c r="Y51" i="105"/>
  <c r="Y90" i="105"/>
  <c r="Y142" i="105"/>
  <c r="AK115" i="96"/>
  <c r="AI115" i="96"/>
  <c r="AH115" i="96"/>
  <c r="AJ115" i="96"/>
  <c r="AH89" i="96"/>
  <c r="AJ89" i="96"/>
  <c r="AI89" i="96"/>
  <c r="AK89" i="96"/>
  <c r="Q113" i="108"/>
  <c r="J124" i="97"/>
  <c r="AI142" i="105"/>
  <c r="AI101" i="105"/>
  <c r="AI61" i="105"/>
  <c r="AI135" i="105"/>
  <c r="AI83" i="105"/>
  <c r="AI85" i="105"/>
  <c r="AI95" i="105"/>
  <c r="AI53" i="105"/>
  <c r="AI111" i="105"/>
  <c r="AI127" i="105"/>
  <c r="AI107" i="105"/>
  <c r="AI65" i="105"/>
  <c r="AI75" i="105"/>
  <c r="AI87" i="105"/>
  <c r="AI140" i="105"/>
  <c r="AI141" i="105"/>
  <c r="AI80" i="105"/>
  <c r="AI58" i="105"/>
  <c r="AI144" i="105"/>
  <c r="AI59" i="105"/>
  <c r="AI158" i="105"/>
  <c r="AI161" i="105"/>
  <c r="AI73" i="105"/>
  <c r="AI143" i="105"/>
  <c r="AI55" i="105"/>
  <c r="AI108" i="105"/>
  <c r="AI78" i="105"/>
  <c r="AI149" i="105"/>
  <c r="AI57" i="105"/>
  <c r="AI74" i="105"/>
  <c r="AI102" i="105"/>
  <c r="AI63" i="105"/>
  <c r="AI91" i="105"/>
  <c r="AI110" i="105"/>
  <c r="AI77" i="105"/>
  <c r="AI70" i="105"/>
  <c r="AI124" i="105"/>
  <c r="AI120" i="105"/>
  <c r="AI103" i="105"/>
  <c r="AI130" i="105"/>
  <c r="AI136" i="105"/>
  <c r="AI88" i="105"/>
  <c r="AI97" i="105"/>
  <c r="AI93" i="105"/>
  <c r="AI134" i="105"/>
  <c r="AI94" i="105"/>
  <c r="AI99" i="105"/>
  <c r="AI160" i="105"/>
  <c r="AI98" i="105"/>
  <c r="AI113" i="105"/>
  <c r="AI82" i="105"/>
  <c r="AI164" i="105"/>
  <c r="AI123" i="105"/>
  <c r="AI152" i="105"/>
  <c r="AI56" i="105"/>
  <c r="AI118" i="105"/>
  <c r="AI125" i="105"/>
  <c r="AI71" i="105"/>
  <c r="AI122" i="105"/>
  <c r="AI156" i="105"/>
  <c r="AI131" i="105"/>
  <c r="AI157" i="105"/>
  <c r="AI76" i="105"/>
  <c r="AI62" i="105"/>
  <c r="AI69" i="105"/>
  <c r="AI64" i="105"/>
  <c r="AI100" i="105"/>
  <c r="AI68" i="105"/>
  <c r="AI96" i="105"/>
  <c r="AI60" i="105"/>
  <c r="AI146" i="105"/>
  <c r="AI163" i="105"/>
  <c r="AI132" i="105"/>
  <c r="AI81" i="105"/>
  <c r="AI159" i="105"/>
  <c r="AI51" i="105"/>
  <c r="AI137" i="105"/>
  <c r="AI139" i="105"/>
  <c r="AI72" i="105"/>
  <c r="AI145" i="105"/>
  <c r="AI67" i="105"/>
  <c r="AI84" i="105"/>
  <c r="AI121" i="105"/>
  <c r="AI115" i="105"/>
  <c r="AI109" i="105"/>
  <c r="AI126" i="105"/>
  <c r="AI154" i="105"/>
  <c r="AI54" i="105"/>
  <c r="AI138" i="105"/>
  <c r="AI106" i="105"/>
  <c r="AI133" i="105"/>
  <c r="AI119" i="105"/>
  <c r="AI162" i="105"/>
  <c r="AI148" i="105"/>
  <c r="AI155" i="105"/>
  <c r="AI52" i="105"/>
  <c r="AI114" i="105"/>
  <c r="AI128" i="105"/>
  <c r="AI66" i="105"/>
  <c r="AI129" i="105"/>
  <c r="AI165" i="105"/>
  <c r="AI90" i="105"/>
  <c r="AI147" i="105"/>
  <c r="AI89" i="105"/>
  <c r="AI117" i="105"/>
  <c r="AI92" i="105"/>
  <c r="AI104" i="105"/>
  <c r="AI116" i="105"/>
  <c r="AI86" i="105"/>
  <c r="AI151" i="105"/>
  <c r="AI105" i="105"/>
  <c r="AI166" i="105"/>
  <c r="AI79" i="105"/>
  <c r="AI153" i="105"/>
  <c r="AI112" i="105"/>
  <c r="AI150" i="105"/>
  <c r="Q6" i="108"/>
  <c r="J17" i="97"/>
  <c r="X127" i="105"/>
  <c r="X115" i="105"/>
  <c r="X82" i="105"/>
  <c r="X69" i="105"/>
  <c r="X104" i="105"/>
  <c r="X91" i="105"/>
  <c r="X85" i="105"/>
  <c r="X96" i="105"/>
  <c r="X53" i="105"/>
  <c r="X90" i="105"/>
  <c r="X151" i="105"/>
  <c r="X81" i="105"/>
  <c r="X141" i="105"/>
  <c r="X79" i="105"/>
  <c r="X166" i="105"/>
  <c r="X60" i="105"/>
  <c r="X136" i="105"/>
  <c r="X61" i="105"/>
  <c r="X155" i="105"/>
  <c r="X64" i="105"/>
  <c r="X94" i="105"/>
  <c r="X65" i="105"/>
  <c r="X119" i="105"/>
  <c r="X87" i="105"/>
  <c r="X149" i="105"/>
  <c r="X89" i="105"/>
  <c r="X132" i="105"/>
  <c r="X120" i="105"/>
  <c r="X63" i="105"/>
  <c r="X162" i="105"/>
  <c r="X67" i="105"/>
  <c r="X111" i="105"/>
  <c r="X139" i="105"/>
  <c r="X102" i="105"/>
  <c r="X57" i="105"/>
  <c r="X103" i="105"/>
  <c r="X126" i="105"/>
  <c r="X66" i="105"/>
  <c r="X62" i="105"/>
  <c r="X100" i="105"/>
  <c r="X71" i="105"/>
  <c r="X165" i="105"/>
  <c r="X73" i="105"/>
  <c r="X138" i="105"/>
  <c r="X78" i="105"/>
  <c r="X143" i="105"/>
  <c r="X156" i="105"/>
  <c r="X75" i="105"/>
  <c r="X86" i="105"/>
  <c r="X124" i="105"/>
  <c r="X97" i="105"/>
  <c r="X142" i="105"/>
  <c r="X154" i="105"/>
  <c r="X58" i="105"/>
  <c r="X157" i="105"/>
  <c r="X113" i="105"/>
  <c r="X129" i="105"/>
  <c r="X114" i="105"/>
  <c r="X56" i="105"/>
  <c r="X144" i="105"/>
  <c r="X68" i="105"/>
  <c r="X74" i="105"/>
  <c r="X77" i="105"/>
  <c r="X153" i="105"/>
  <c r="X106" i="105"/>
  <c r="X137" i="105"/>
  <c r="X101" i="105"/>
  <c r="X128" i="105"/>
  <c r="X152" i="105"/>
  <c r="X109" i="105"/>
  <c r="X145" i="105"/>
  <c r="X76" i="105"/>
  <c r="X72" i="105"/>
  <c r="X160" i="105"/>
  <c r="X55" i="105"/>
  <c r="X70" i="105"/>
  <c r="X95" i="105"/>
  <c r="X116" i="105"/>
  <c r="X84" i="105"/>
  <c r="X92" i="105"/>
  <c r="X150" i="105"/>
  <c r="X159" i="105"/>
  <c r="X140" i="105"/>
  <c r="X146" i="105"/>
  <c r="X158" i="105"/>
  <c r="X51" i="105"/>
  <c r="X131" i="105"/>
  <c r="X135" i="105"/>
  <c r="X80" i="105"/>
  <c r="X147" i="105"/>
  <c r="X107" i="105"/>
  <c r="X108" i="105"/>
  <c r="X93" i="105"/>
  <c r="X163" i="105"/>
  <c r="X54" i="105"/>
  <c r="X125" i="105"/>
  <c r="X110" i="105"/>
  <c r="X164" i="105"/>
  <c r="X88" i="105"/>
  <c r="X123" i="105"/>
  <c r="X122" i="105"/>
  <c r="X83" i="105"/>
  <c r="X118" i="105"/>
  <c r="X105" i="105"/>
  <c r="X59" i="105"/>
  <c r="X121" i="105"/>
  <c r="X134" i="105"/>
  <c r="X130" i="105"/>
  <c r="X98" i="105"/>
  <c r="X99" i="105"/>
  <c r="X117" i="105"/>
  <c r="X133" i="105"/>
  <c r="X148" i="105"/>
  <c r="X161" i="105"/>
  <c r="X52" i="105"/>
  <c r="X112" i="105"/>
  <c r="AI20" i="96"/>
  <c r="AH20" i="96"/>
  <c r="AJ20" i="96"/>
  <c r="AK20" i="96"/>
  <c r="J44" i="97"/>
  <c r="Q33" i="108"/>
  <c r="Q110" i="108"/>
  <c r="J121" i="97"/>
  <c r="J70" i="97"/>
  <c r="Q59" i="108"/>
  <c r="AY61" i="105"/>
  <c r="AY62" i="105"/>
  <c r="AY118" i="105"/>
  <c r="AY123" i="105"/>
  <c r="AY166" i="105"/>
  <c r="AY75" i="105"/>
  <c r="AY91" i="105"/>
  <c r="AY165" i="105"/>
  <c r="AY78" i="105"/>
  <c r="AY114" i="105"/>
  <c r="AY85" i="105"/>
  <c r="AY102" i="105"/>
  <c r="AY57" i="105"/>
  <c r="AY52" i="105"/>
  <c r="AY73" i="105"/>
  <c r="AY155" i="105"/>
  <c r="AY66" i="105"/>
  <c r="AY111" i="105"/>
  <c r="AY96" i="105"/>
  <c r="AY53" i="105"/>
  <c r="AY143" i="105"/>
  <c r="AY103" i="105"/>
  <c r="AY144" i="105"/>
  <c r="AY142" i="105"/>
  <c r="AY151" i="105"/>
  <c r="AY128" i="105"/>
  <c r="AY58" i="105"/>
  <c r="AY159" i="105"/>
  <c r="AY160" i="105"/>
  <c r="AY79" i="105"/>
  <c r="AY163" i="105"/>
  <c r="AY67" i="105"/>
  <c r="AY92" i="105"/>
  <c r="AY89" i="105"/>
  <c r="AY90" i="105"/>
  <c r="AY55" i="105"/>
  <c r="AY129" i="105"/>
  <c r="AY60" i="105"/>
  <c r="AY131" i="105"/>
  <c r="AY101" i="105"/>
  <c r="AY120" i="105"/>
  <c r="AY154" i="105"/>
  <c r="AY157" i="105"/>
  <c r="AY145" i="105"/>
  <c r="AY135" i="105"/>
  <c r="AY109" i="105"/>
  <c r="AY137" i="105"/>
  <c r="AY156" i="105"/>
  <c r="AY110" i="105"/>
  <c r="AY138" i="105"/>
  <c r="AY116" i="105"/>
  <c r="AY149" i="105"/>
  <c r="AY148" i="105"/>
  <c r="AY99" i="105"/>
  <c r="AY121" i="105"/>
  <c r="AY112" i="105"/>
  <c r="AY153" i="105"/>
  <c r="AY93" i="105"/>
  <c r="AY69" i="105"/>
  <c r="AY119" i="105"/>
  <c r="AY127" i="105"/>
  <c r="AY132" i="105"/>
  <c r="AY98" i="105"/>
  <c r="AY51" i="105"/>
  <c r="AY140" i="105"/>
  <c r="AY87" i="105"/>
  <c r="AY108" i="105"/>
  <c r="AY65" i="105"/>
  <c r="AY107" i="105"/>
  <c r="AY106" i="105"/>
  <c r="AY126" i="105"/>
  <c r="AY134" i="105"/>
  <c r="AY113" i="105"/>
  <c r="AY64" i="105"/>
  <c r="AY146" i="105"/>
  <c r="AY150" i="105"/>
  <c r="AY100" i="105"/>
  <c r="AY105" i="105"/>
  <c r="AY136" i="105"/>
  <c r="AY86" i="105"/>
  <c r="AY152" i="105"/>
  <c r="AY82" i="105"/>
  <c r="AY104" i="105"/>
  <c r="AY115" i="105"/>
  <c r="AY56" i="105"/>
  <c r="AY141" i="105"/>
  <c r="AY147" i="105"/>
  <c r="AY72" i="105"/>
  <c r="AY161" i="105"/>
  <c r="AY125" i="105"/>
  <c r="AY130" i="105"/>
  <c r="AY97" i="105"/>
  <c r="AY84" i="105"/>
  <c r="AY59" i="105"/>
  <c r="AY158" i="105"/>
  <c r="AY70" i="105"/>
  <c r="AY95" i="105"/>
  <c r="AY80" i="105"/>
  <c r="AY63" i="105"/>
  <c r="AY124" i="105"/>
  <c r="AY88" i="105"/>
  <c r="AY83" i="105"/>
  <c r="AY68" i="105"/>
  <c r="AY164" i="105"/>
  <c r="AY139" i="105"/>
  <c r="AY94" i="105"/>
  <c r="AY76" i="105"/>
  <c r="AY81" i="105"/>
  <c r="AY133" i="105"/>
  <c r="AY71" i="105"/>
  <c r="AY54" i="105"/>
  <c r="AY117" i="105"/>
  <c r="AY122" i="105"/>
  <c r="AY74" i="105"/>
  <c r="AY162" i="105"/>
  <c r="AY77" i="105"/>
  <c r="AM100" i="105"/>
  <c r="AM104" i="105"/>
  <c r="AM123" i="105"/>
  <c r="AM79" i="105"/>
  <c r="AM105" i="105"/>
  <c r="AM82" i="105"/>
  <c r="AM92" i="105"/>
  <c r="AM141" i="105"/>
  <c r="AM81" i="105"/>
  <c r="AM114" i="105"/>
  <c r="AM70" i="105"/>
  <c r="AM95" i="105"/>
  <c r="AM110" i="105"/>
  <c r="AM67" i="105"/>
  <c r="AM120" i="105"/>
  <c r="AM138" i="105"/>
  <c r="AM98" i="105"/>
  <c r="AM64" i="105"/>
  <c r="AM108" i="105"/>
  <c r="AM162" i="105"/>
  <c r="AM53" i="105"/>
  <c r="AM51" i="105"/>
  <c r="AM115" i="105"/>
  <c r="AM90" i="105"/>
  <c r="AM87" i="105"/>
  <c r="AM76" i="105"/>
  <c r="AM130" i="105"/>
  <c r="AM84" i="105"/>
  <c r="AM158" i="105"/>
  <c r="AM91" i="105"/>
  <c r="AM126" i="105"/>
  <c r="AM155" i="105"/>
  <c r="AM157" i="105"/>
  <c r="AM94" i="105"/>
  <c r="AM80" i="105"/>
  <c r="AM68" i="105"/>
  <c r="AM142" i="105"/>
  <c r="AM88" i="105"/>
  <c r="AM148" i="105"/>
  <c r="AM166" i="105"/>
  <c r="AM145" i="105"/>
  <c r="AM131" i="105"/>
  <c r="AM116" i="105"/>
  <c r="AM143" i="105"/>
  <c r="AM133" i="105"/>
  <c r="AM128" i="105"/>
  <c r="AM77" i="105"/>
  <c r="AM63" i="105"/>
  <c r="AM135" i="105"/>
  <c r="AM72" i="105"/>
  <c r="AM93" i="105"/>
  <c r="AM65" i="105"/>
  <c r="AM144" i="105"/>
  <c r="AM62" i="105"/>
  <c r="AM69" i="105"/>
  <c r="AM99" i="105"/>
  <c r="AM118" i="105"/>
  <c r="AM125" i="105"/>
  <c r="AM73" i="105"/>
  <c r="AM75" i="105"/>
  <c r="AM139" i="105"/>
  <c r="AM112" i="105"/>
  <c r="AM140" i="105"/>
  <c r="AM97" i="105"/>
  <c r="AM107" i="105"/>
  <c r="AM56" i="105"/>
  <c r="AM160" i="105"/>
  <c r="AM154" i="105"/>
  <c r="AM86" i="105"/>
  <c r="AM129" i="105"/>
  <c r="AM103" i="105"/>
  <c r="AM147" i="105"/>
  <c r="AM102" i="105"/>
  <c r="AM159" i="105"/>
  <c r="AM96" i="105"/>
  <c r="AM119" i="105"/>
  <c r="AM83" i="105"/>
  <c r="AM132" i="105"/>
  <c r="AM101" i="105"/>
  <c r="AM78" i="105"/>
  <c r="AM55" i="105"/>
  <c r="AM58" i="105"/>
  <c r="AM165" i="105"/>
  <c r="AM150" i="105"/>
  <c r="AM54" i="105"/>
  <c r="AM151" i="105"/>
  <c r="AM59" i="105"/>
  <c r="AM153" i="105"/>
  <c r="AM85" i="105"/>
  <c r="AM146" i="105"/>
  <c r="AM109" i="105"/>
  <c r="AM57" i="105"/>
  <c r="AM137" i="105"/>
  <c r="AM164" i="105"/>
  <c r="AM60" i="105"/>
  <c r="AM136" i="105"/>
  <c r="AM124" i="105"/>
  <c r="AM113" i="105"/>
  <c r="AM106" i="105"/>
  <c r="AM61" i="105"/>
  <c r="AM111" i="105"/>
  <c r="AM121" i="105"/>
  <c r="AM149" i="105"/>
  <c r="AM122" i="105"/>
  <c r="AM134" i="105"/>
  <c r="AM127" i="105"/>
  <c r="AM89" i="105"/>
  <c r="AM66" i="105"/>
  <c r="AM152" i="105"/>
  <c r="AM52" i="105"/>
  <c r="AM156" i="105"/>
  <c r="AM74" i="105"/>
  <c r="AM71" i="105"/>
  <c r="AM161" i="105"/>
  <c r="AM163" i="105"/>
  <c r="AM117" i="105"/>
  <c r="AK74" i="105"/>
  <c r="AK130" i="105"/>
  <c r="AK89" i="105"/>
  <c r="AK121" i="105"/>
  <c r="AK99" i="105"/>
  <c r="AK155" i="105"/>
  <c r="AK96" i="105"/>
  <c r="AK78" i="105"/>
  <c r="AK140" i="105"/>
  <c r="AK146" i="105"/>
  <c r="AK60" i="105"/>
  <c r="AK152" i="105"/>
  <c r="AK98" i="105"/>
  <c r="AK143" i="105"/>
  <c r="AK54" i="105"/>
  <c r="AK75" i="105"/>
  <c r="AK93" i="105"/>
  <c r="AK159" i="105"/>
  <c r="AK156" i="105"/>
  <c r="AK65" i="105"/>
  <c r="AK88" i="105"/>
  <c r="AK86" i="105"/>
  <c r="AK77" i="105"/>
  <c r="AK105" i="105"/>
  <c r="AK126" i="105"/>
  <c r="AK64" i="105"/>
  <c r="AK81" i="105"/>
  <c r="AK142" i="105"/>
  <c r="AK66" i="105"/>
  <c r="AK157" i="105"/>
  <c r="AK97" i="105"/>
  <c r="AK149" i="105"/>
  <c r="AK57" i="105"/>
  <c r="AK91" i="105"/>
  <c r="AK118" i="105"/>
  <c r="AK58" i="105"/>
  <c r="AK71" i="105"/>
  <c r="AK101" i="105"/>
  <c r="AK72" i="105"/>
  <c r="AK82" i="105"/>
  <c r="AK115" i="105"/>
  <c r="AK151" i="105"/>
  <c r="AK67" i="105"/>
  <c r="AK90" i="105"/>
  <c r="AK53" i="105"/>
  <c r="AK109" i="105"/>
  <c r="AK84" i="105"/>
  <c r="AK131" i="105"/>
  <c r="AK95" i="105"/>
  <c r="AK129" i="105"/>
  <c r="AK83" i="105"/>
  <c r="AK94" i="105"/>
  <c r="AK134" i="105"/>
  <c r="AK62" i="105"/>
  <c r="AK80" i="105"/>
  <c r="AK100" i="105"/>
  <c r="AK128" i="105"/>
  <c r="AK148" i="105"/>
  <c r="AK165" i="105"/>
  <c r="AK87" i="105"/>
  <c r="AK162" i="105"/>
  <c r="AK136" i="105"/>
  <c r="AK160" i="105"/>
  <c r="AK144" i="105"/>
  <c r="AK125" i="105"/>
  <c r="AK63" i="105"/>
  <c r="AK164" i="105"/>
  <c r="AK103" i="105"/>
  <c r="AK139" i="105"/>
  <c r="AK161" i="105"/>
  <c r="AK92" i="105"/>
  <c r="AK135" i="105"/>
  <c r="AK76" i="105"/>
  <c r="AK138" i="105"/>
  <c r="AK59" i="105"/>
  <c r="AK108" i="105"/>
  <c r="AK133" i="105"/>
  <c r="AK107" i="105"/>
  <c r="AK113" i="105"/>
  <c r="AK79" i="105"/>
  <c r="AK68" i="105"/>
  <c r="AK117" i="105"/>
  <c r="AK55" i="105"/>
  <c r="AK137" i="105"/>
  <c r="AK69" i="105"/>
  <c r="AK116" i="105"/>
  <c r="AK124" i="105"/>
  <c r="AK127" i="105"/>
  <c r="AK111" i="105"/>
  <c r="AK166" i="105"/>
  <c r="AK123" i="105"/>
  <c r="AK56" i="105"/>
  <c r="AK145" i="105"/>
  <c r="AK153" i="105"/>
  <c r="AK73" i="105"/>
  <c r="AK158" i="105"/>
  <c r="AK122" i="105"/>
  <c r="AK112" i="105"/>
  <c r="AK163" i="105"/>
  <c r="AK147" i="105"/>
  <c r="AK104" i="105"/>
  <c r="AK52" i="105"/>
  <c r="AK120" i="105"/>
  <c r="AK154" i="105"/>
  <c r="AK70" i="105"/>
  <c r="AK114" i="105"/>
  <c r="AK110" i="105"/>
  <c r="AK85" i="105"/>
  <c r="AK132" i="105"/>
  <c r="AK141" i="105"/>
  <c r="AK119" i="105"/>
  <c r="AK102" i="105"/>
  <c r="AK51" i="105"/>
  <c r="AK150" i="105"/>
  <c r="AK106" i="105"/>
  <c r="AK61" i="105"/>
  <c r="AI131" i="96"/>
  <c r="AK131" i="96"/>
  <c r="AJ131" i="96"/>
  <c r="AH131" i="96"/>
  <c r="AA131" i="105"/>
  <c r="AA130" i="105"/>
  <c r="AA52" i="105"/>
  <c r="AA151" i="105"/>
  <c r="AA110" i="105"/>
  <c r="AA84" i="105"/>
  <c r="AA118" i="105"/>
  <c r="AA88" i="105"/>
  <c r="AA70" i="105"/>
  <c r="AA78" i="105"/>
  <c r="AA86" i="105"/>
  <c r="AA82" i="105"/>
  <c r="AA123" i="105"/>
  <c r="AA154" i="105"/>
  <c r="AA65" i="105"/>
  <c r="AA93" i="105"/>
  <c r="AA114" i="105"/>
  <c r="AA90" i="105"/>
  <c r="AA158" i="105"/>
  <c r="AA107" i="105"/>
  <c r="AA55" i="105"/>
  <c r="AA150" i="105"/>
  <c r="AA91" i="105"/>
  <c r="AA72" i="105"/>
  <c r="AA58" i="105"/>
  <c r="AA112" i="105"/>
  <c r="AA134" i="105"/>
  <c r="AA153" i="105"/>
  <c r="AA155" i="105"/>
  <c r="AA146" i="105"/>
  <c r="AA63" i="105"/>
  <c r="AA116" i="105"/>
  <c r="AA79" i="105"/>
  <c r="AA120" i="105"/>
  <c r="AA163" i="105"/>
  <c r="AA54" i="105"/>
  <c r="AA92" i="105"/>
  <c r="AA71" i="105"/>
  <c r="AA133" i="105"/>
  <c r="AA111" i="105"/>
  <c r="AA68" i="105"/>
  <c r="AA136" i="105"/>
  <c r="AA166" i="105"/>
  <c r="AA162" i="105"/>
  <c r="AA99" i="105"/>
  <c r="AA73" i="105"/>
  <c r="AA109" i="105"/>
  <c r="AA102" i="105"/>
  <c r="AA165" i="105"/>
  <c r="AA101" i="105"/>
  <c r="AA106" i="105"/>
  <c r="AA62" i="105"/>
  <c r="AA56" i="105"/>
  <c r="AA87" i="105"/>
  <c r="AA125" i="105"/>
  <c r="AA97" i="105"/>
  <c r="AA157" i="105"/>
  <c r="AA142" i="105"/>
  <c r="AA53" i="105"/>
  <c r="AA127" i="105"/>
  <c r="AA75" i="105"/>
  <c r="AA149" i="105"/>
  <c r="AA113" i="105"/>
  <c r="AA69" i="105"/>
  <c r="AA94" i="105"/>
  <c r="AA115" i="105"/>
  <c r="AA67" i="105"/>
  <c r="AA59" i="105"/>
  <c r="AA80" i="105"/>
  <c r="AA83" i="105"/>
  <c r="AA96" i="105"/>
  <c r="AA159" i="105"/>
  <c r="AA57" i="105"/>
  <c r="AA164" i="105"/>
  <c r="AA98" i="105"/>
  <c r="AA66" i="105"/>
  <c r="AA64" i="105"/>
  <c r="AA126" i="105"/>
  <c r="AA100" i="105"/>
  <c r="AA77" i="105"/>
  <c r="AA140" i="105"/>
  <c r="AA51" i="105"/>
  <c r="AA139" i="105"/>
  <c r="AA122" i="105"/>
  <c r="AA138" i="105"/>
  <c r="AA95" i="105"/>
  <c r="AA105" i="105"/>
  <c r="AA85" i="105"/>
  <c r="AA89" i="105"/>
  <c r="AA144" i="105"/>
  <c r="AA137" i="105"/>
  <c r="AA119" i="105"/>
  <c r="AA117" i="105"/>
  <c r="AA74" i="105"/>
  <c r="AA108" i="105"/>
  <c r="AA156" i="105"/>
  <c r="AA152" i="105"/>
  <c r="AA132" i="105"/>
  <c r="AA121" i="105"/>
  <c r="AA135" i="105"/>
  <c r="AA161" i="105"/>
  <c r="AA143" i="105"/>
  <c r="AA60" i="105"/>
  <c r="AA128" i="105"/>
  <c r="AA148" i="105"/>
  <c r="AA141" i="105"/>
  <c r="AA76" i="105"/>
  <c r="AA104" i="105"/>
  <c r="AA124" i="105"/>
  <c r="AA81" i="105"/>
  <c r="AA129" i="105"/>
  <c r="AA61" i="105"/>
  <c r="AA103" i="105"/>
  <c r="AA147" i="105"/>
  <c r="AA145" i="105"/>
  <c r="AA160" i="105"/>
  <c r="AK127" i="96"/>
  <c r="AI127" i="96"/>
  <c r="AJ127" i="96"/>
  <c r="AH127" i="96"/>
  <c r="Q85" i="108"/>
  <c r="J96" i="97"/>
  <c r="AX146" i="105"/>
  <c r="AX84" i="105"/>
  <c r="AX138" i="105"/>
  <c r="AX90" i="105"/>
  <c r="AX82" i="105"/>
  <c r="AX96" i="105"/>
  <c r="AX154" i="105"/>
  <c r="AX107" i="105"/>
  <c r="AX150" i="105"/>
  <c r="AX80" i="105"/>
  <c r="AX62" i="105"/>
  <c r="AX128" i="105"/>
  <c r="AX60" i="105"/>
  <c r="AX140" i="105"/>
  <c r="AX66" i="105"/>
  <c r="AX102" i="105"/>
  <c r="AX83" i="105"/>
  <c r="AX103" i="105"/>
  <c r="AX156" i="105"/>
  <c r="AX148" i="105"/>
  <c r="AX149" i="105"/>
  <c r="AX155" i="105"/>
  <c r="AX143" i="105"/>
  <c r="AX105" i="105"/>
  <c r="AX53" i="105"/>
  <c r="AX127" i="105"/>
  <c r="AX95" i="105"/>
  <c r="AX71" i="105"/>
  <c r="AX160" i="105"/>
  <c r="AX94" i="105"/>
  <c r="AX116" i="105"/>
  <c r="AX76" i="105"/>
  <c r="AX97" i="105"/>
  <c r="AX64" i="105"/>
  <c r="AX86" i="105"/>
  <c r="AX133" i="105"/>
  <c r="AX100" i="105"/>
  <c r="AX78" i="105"/>
  <c r="AX56" i="105"/>
  <c r="AX129" i="105"/>
  <c r="AX51" i="105"/>
  <c r="AX110" i="105"/>
  <c r="AX141" i="105"/>
  <c r="AX115" i="105"/>
  <c r="AX54" i="105"/>
  <c r="AX74" i="105"/>
  <c r="AX163" i="105"/>
  <c r="AX126" i="105"/>
  <c r="AX79" i="105"/>
  <c r="AX69" i="105"/>
  <c r="AX58" i="105"/>
  <c r="AX55" i="105"/>
  <c r="AX131" i="105"/>
  <c r="AX124" i="105"/>
  <c r="AX137" i="105"/>
  <c r="AX87" i="105"/>
  <c r="AX61" i="105"/>
  <c r="AX89" i="105"/>
  <c r="AX152" i="105"/>
  <c r="AX162" i="105"/>
  <c r="AX151" i="105"/>
  <c r="AX98" i="105"/>
  <c r="AX109" i="105"/>
  <c r="AX88" i="105"/>
  <c r="AX63" i="105"/>
  <c r="AX77" i="105"/>
  <c r="AX112" i="105"/>
  <c r="AX59" i="105"/>
  <c r="AX81" i="105"/>
  <c r="AX144" i="105"/>
  <c r="AX93" i="105"/>
  <c r="AX121" i="105"/>
  <c r="AX135" i="105"/>
  <c r="AX166" i="105"/>
  <c r="AX92" i="105"/>
  <c r="AX104" i="105"/>
  <c r="AX142" i="105"/>
  <c r="AX130" i="105"/>
  <c r="AX101" i="105"/>
  <c r="AX57" i="105"/>
  <c r="AX111" i="105"/>
  <c r="AX91" i="105"/>
  <c r="AX106" i="105"/>
  <c r="AX65" i="105"/>
  <c r="AX119" i="105"/>
  <c r="AX122" i="105"/>
  <c r="AX164" i="105"/>
  <c r="AX68" i="105"/>
  <c r="AX73" i="105"/>
  <c r="AX161" i="105"/>
  <c r="AX108" i="105"/>
  <c r="AX153" i="105"/>
  <c r="AX139" i="105"/>
  <c r="AX158" i="105"/>
  <c r="AX114" i="105"/>
  <c r="AX72" i="105"/>
  <c r="AX134" i="105"/>
  <c r="AX75" i="105"/>
  <c r="AX157" i="105"/>
  <c r="AX145" i="105"/>
  <c r="AX125" i="105"/>
  <c r="AX147" i="105"/>
  <c r="AX136" i="105"/>
  <c r="AX123" i="105"/>
  <c r="AX165" i="105"/>
  <c r="AX120" i="105"/>
  <c r="AX99" i="105"/>
  <c r="AX67" i="105"/>
  <c r="AX132" i="105"/>
  <c r="AX159" i="105"/>
  <c r="AX118" i="105"/>
  <c r="AX70" i="105"/>
  <c r="AX113" i="105"/>
  <c r="AX117" i="105"/>
  <c r="AX52" i="105"/>
  <c r="AX85" i="105"/>
  <c r="AH76" i="96"/>
  <c r="AK76" i="96"/>
  <c r="AI76" i="96"/>
  <c r="AJ76" i="96"/>
  <c r="Q88" i="108"/>
  <c r="AI11" i="108"/>
  <c r="Q114" i="108"/>
  <c r="Q68" i="108"/>
  <c r="Q19" i="108"/>
  <c r="Q47" i="108"/>
  <c r="AI122" i="108"/>
  <c r="E120" i="107"/>
  <c r="Q93" i="108"/>
  <c r="AI17" i="108"/>
  <c r="Q119" i="108"/>
  <c r="Q12" i="108"/>
  <c r="Q97" i="108"/>
  <c r="E13" i="107"/>
  <c r="AI21" i="108"/>
  <c r="Q35" i="108"/>
  <c r="E12" i="107"/>
  <c r="E37" i="107"/>
  <c r="E16" i="107"/>
  <c r="E86" i="107"/>
  <c r="AI45" i="108"/>
  <c r="AI89" i="108"/>
  <c r="E41" i="107"/>
  <c r="E91" i="107"/>
  <c r="AI46" i="108"/>
  <c r="E87" i="107"/>
  <c r="Q94" i="108"/>
  <c r="AI77" i="108"/>
  <c r="Q14" i="108"/>
  <c r="E97" i="107"/>
  <c r="AI86" i="108"/>
  <c r="AI91" i="108"/>
  <c r="Q38" i="108"/>
  <c r="E73" i="107"/>
  <c r="E38" i="107"/>
  <c r="AI7" i="108"/>
  <c r="E46" i="107"/>
  <c r="AI118" i="108"/>
  <c r="Q96" i="108"/>
  <c r="AI107" i="96"/>
  <c r="AJ107" i="96"/>
  <c r="AH107" i="96"/>
  <c r="AK107" i="96"/>
  <c r="AJ111" i="96"/>
  <c r="AI111" i="96"/>
  <c r="AH111" i="96"/>
  <c r="AK111" i="96"/>
  <c r="AH54" i="96"/>
  <c r="AK54" i="96"/>
  <c r="AJ54" i="96"/>
  <c r="AI54" i="96"/>
  <c r="AK87" i="96"/>
  <c r="AH87" i="96"/>
  <c r="AJ87" i="96"/>
  <c r="AI87" i="96"/>
  <c r="AI83" i="96"/>
  <c r="AJ83" i="96"/>
  <c r="AK83" i="96"/>
  <c r="AH83" i="96"/>
  <c r="AH17" i="96"/>
  <c r="AI17" i="96"/>
  <c r="AK17" i="96"/>
  <c r="AJ17" i="96"/>
  <c r="AJ137" i="96"/>
  <c r="AH137" i="96"/>
  <c r="AK137" i="96"/>
  <c r="AI137" i="96"/>
  <c r="AI113" i="96"/>
  <c r="AJ113" i="96"/>
  <c r="AK113" i="96"/>
  <c r="AH113" i="96"/>
  <c r="AI55" i="96"/>
  <c r="AJ55" i="96"/>
  <c r="AH55" i="96"/>
  <c r="AK55" i="96"/>
  <c r="AH35" i="96"/>
  <c r="AJ35" i="96"/>
  <c r="AK35" i="96"/>
  <c r="AI35" i="96"/>
  <c r="AK70" i="96"/>
  <c r="AJ70" i="96"/>
  <c r="AI70" i="96"/>
  <c r="AH70" i="96"/>
  <c r="U80" i="97"/>
  <c r="U50" i="97"/>
  <c r="U24" i="97"/>
  <c r="U22" i="97"/>
  <c r="U122" i="97"/>
  <c r="U31" i="97"/>
  <c r="U113" i="97"/>
  <c r="U54" i="97"/>
  <c r="U97" i="97"/>
  <c r="U49" i="97"/>
  <c r="U106" i="97"/>
  <c r="R96" i="97"/>
  <c r="AE85" i="108" s="1"/>
  <c r="W85" i="108"/>
  <c r="U48" i="97"/>
  <c r="U115" i="97"/>
  <c r="U46" i="97"/>
  <c r="U18" i="97"/>
  <c r="U96" i="97"/>
  <c r="Q6" i="103"/>
  <c r="R17" i="97"/>
  <c r="U45" i="97"/>
  <c r="U136" i="97"/>
  <c r="U135" i="97"/>
  <c r="U19" i="97"/>
  <c r="U124" i="97"/>
  <c r="U59" i="97"/>
  <c r="U133" i="97"/>
  <c r="U58" i="97"/>
  <c r="U35" i="97"/>
  <c r="U37" i="97"/>
  <c r="U89" i="97"/>
  <c r="BC64" i="101"/>
  <c r="AD65" i="98"/>
  <c r="AL65" i="98" s="1"/>
  <c r="AZ66" i="101" s="1"/>
  <c r="AC65" i="98"/>
  <c r="AK65" i="98" s="1"/>
  <c r="AY66" i="101" s="1"/>
  <c r="AB65" i="98"/>
  <c r="AJ65" i="98" s="1"/>
  <c r="AX66" i="101" s="1"/>
  <c r="AE65" i="98"/>
  <c r="AM65" i="98" s="1"/>
  <c r="BA66" i="101" s="1"/>
  <c r="AA65" i="98"/>
  <c r="AI65" i="98" s="1"/>
  <c r="AW66" i="101" s="1"/>
  <c r="AJ21" i="108" a="1"/>
  <c r="AJ86" i="108" a="1"/>
  <c r="AJ91" i="108" a="1"/>
  <c r="AJ11" i="108" a="1"/>
  <c r="AJ7" i="108" a="1"/>
  <c r="AJ45" i="108" a="1"/>
  <c r="AJ89" i="108" a="1"/>
  <c r="AJ118" i="108" a="1"/>
  <c r="AJ122" i="108" a="1"/>
  <c r="AJ46" i="108" a="1"/>
  <c r="AJ17" i="108" a="1"/>
  <c r="AJ77" i="108" a="1"/>
  <c r="AJ69" i="108" a="1"/>
  <c r="AJ41" i="108" a="1"/>
  <c r="AJ24" i="108" a="1"/>
  <c r="AG103" i="96"/>
  <c r="AJ87" i="108" a="1"/>
  <c r="AJ75" i="108" a="1"/>
  <c r="AJ71" i="108" a="1"/>
  <c r="AJ37" i="108" a="1"/>
  <c r="AJ121" i="108" a="1"/>
  <c r="AJ97" i="108" a="1"/>
  <c r="AJ59" i="108" a="1"/>
  <c r="AJ16" i="108" a="1"/>
  <c r="AJ60" i="108" a="1"/>
  <c r="AJ62" i="108" a="1"/>
  <c r="AJ130" i="108" a="1"/>
  <c r="AJ25" i="108" a="1"/>
  <c r="AJ111" i="108" a="1"/>
  <c r="AG6" i="101"/>
  <c r="AJ114" i="108" a="1"/>
  <c r="AJ38" i="108" a="1"/>
  <c r="AJ123" i="108" a="1"/>
  <c r="AJ92" i="108" a="1"/>
  <c r="AJ128" i="108" a="1"/>
  <c r="AJ50" i="108" a="1"/>
  <c r="AJ119" i="108" a="1"/>
  <c r="AJ115" i="108" a="1"/>
  <c r="AJ99" i="108" a="1"/>
  <c r="AG73" i="96"/>
  <c r="AJ103" i="108" a="1"/>
  <c r="AJ23" i="108" a="1"/>
  <c r="AJ74" i="108" a="1"/>
  <c r="AJ22" i="108" a="1"/>
  <c r="AJ14" i="108" a="1"/>
  <c r="AJ20" i="108" a="1"/>
  <c r="AJ33" i="108" a="1"/>
  <c r="AJ48" i="108" a="1"/>
  <c r="AJ13" i="108" a="1"/>
  <c r="AG23" i="96"/>
  <c r="AJ12" i="108" a="1"/>
  <c r="AJ66" i="108" a="1"/>
  <c r="AJ102" i="108" a="1"/>
  <c r="AJ68" i="108" a="1"/>
  <c r="AJ85" i="108" a="1"/>
  <c r="AJ101" i="108" a="1"/>
  <c r="AJ42" i="108" a="1"/>
  <c r="AJ65" i="108" a="1"/>
  <c r="AJ98" i="108" a="1"/>
  <c r="AJ47" i="108" a="1"/>
  <c r="AJ76" i="108" a="1"/>
  <c r="AJ129" i="108" a="1"/>
  <c r="AJ10" i="108" a="1"/>
  <c r="AJ124" i="108" a="1"/>
  <c r="AJ52" i="108" a="1"/>
  <c r="AJ40" i="108" a="1"/>
  <c r="AJ49" i="108" a="1"/>
  <c r="AJ18" i="108" a="1"/>
  <c r="AJ43" i="108" a="1"/>
  <c r="AJ117" i="108" a="1"/>
  <c r="AJ95" i="108" a="1"/>
  <c r="AJ26" i="108" a="1"/>
  <c r="AJ88" i="108" a="1"/>
  <c r="AJ104" i="108" a="1"/>
  <c r="AJ8" i="108" a="1"/>
  <c r="AJ126" i="108" a="1"/>
  <c r="AJ61" i="108" a="1"/>
  <c r="AJ39" i="108" a="1"/>
  <c r="AJ73" i="108" a="1"/>
  <c r="AJ67" i="108" a="1"/>
  <c r="AJ19" i="108" a="1"/>
  <c r="AG72" i="96"/>
  <c r="AJ96" i="108" a="1"/>
  <c r="AJ51" i="108" a="1"/>
  <c r="AJ90" i="108" a="1"/>
  <c r="AG74" i="96"/>
  <c r="AJ78" i="108" a="1"/>
  <c r="AJ35" i="108" a="1"/>
  <c r="AJ125" i="108" a="1"/>
  <c r="AJ36" i="108" a="1"/>
  <c r="AJ93" i="108" a="1"/>
  <c r="AJ70" i="108" a="1"/>
  <c r="AJ9" i="108" a="1"/>
  <c r="AJ44" i="108" a="1"/>
  <c r="AJ34" i="108" a="1"/>
  <c r="AJ72" i="108" a="1"/>
  <c r="AJ64" i="108" a="1"/>
  <c r="AJ116" i="108" a="1"/>
  <c r="AG78" i="96"/>
  <c r="AJ94" i="108" a="1"/>
  <c r="AJ120" i="108" a="1"/>
  <c r="AJ100" i="108" a="1"/>
  <c r="AJ15" i="108" a="1"/>
  <c r="AJ113" i="108" a="1"/>
  <c r="AJ112" i="108" a="1"/>
  <c r="AJ63" i="108" a="1"/>
  <c r="AJ127" i="108" a="1"/>
  <c r="R69" i="97" l="1"/>
  <c r="AE58" i="108" s="1"/>
  <c r="AQ69" i="96"/>
  <c r="AJ77" i="108"/>
  <c r="AJ17" i="108"/>
  <c r="AJ46" i="108"/>
  <c r="AJ122" i="108"/>
  <c r="AJ118" i="108"/>
  <c r="AJ89" i="108"/>
  <c r="AJ45" i="108"/>
  <c r="AJ7" i="108"/>
  <c r="AJ11" i="108"/>
  <c r="AJ91" i="108"/>
  <c r="AJ86" i="108"/>
  <c r="AJ21" i="108"/>
  <c r="U88" i="97"/>
  <c r="U28" i="97"/>
  <c r="U57" i="97"/>
  <c r="U129" i="97"/>
  <c r="U100" i="97"/>
  <c r="U56" i="97"/>
  <c r="U102" i="97"/>
  <c r="U32" i="97"/>
  <c r="AJ127" i="108"/>
  <c r="AJ63" i="108"/>
  <c r="AJ112" i="108"/>
  <c r="AJ113" i="108"/>
  <c r="AJ15" i="108"/>
  <c r="AJ100" i="108"/>
  <c r="AJ120" i="108"/>
  <c r="AJ94" i="108"/>
  <c r="AJ116" i="108"/>
  <c r="AJ64" i="108"/>
  <c r="AJ72" i="108"/>
  <c r="AJ34" i="108"/>
  <c r="AJ44" i="108"/>
  <c r="AJ9" i="108"/>
  <c r="AJ70" i="108"/>
  <c r="AJ93" i="108"/>
  <c r="AJ36" i="108"/>
  <c r="AJ125" i="108"/>
  <c r="AJ35" i="108"/>
  <c r="AJ78" i="108"/>
  <c r="AJ90" i="108"/>
  <c r="AJ51" i="108"/>
  <c r="AJ96" i="108"/>
  <c r="AJ19" i="108"/>
  <c r="AJ67" i="108"/>
  <c r="AJ73" i="108"/>
  <c r="AJ39" i="108"/>
  <c r="AJ61" i="108"/>
  <c r="AJ126" i="108"/>
  <c r="AJ8" i="108"/>
  <c r="AJ104" i="108"/>
  <c r="AJ78" i="96"/>
  <c r="AI78" i="96"/>
  <c r="AH78" i="96"/>
  <c r="AK78" i="96"/>
  <c r="AJ74" i="96"/>
  <c r="AH74" i="96"/>
  <c r="AK74" i="96"/>
  <c r="AI74" i="96"/>
  <c r="AJ88" i="108"/>
  <c r="AJ26" i="108"/>
  <c r="AJ95" i="108"/>
  <c r="AJ117" i="108"/>
  <c r="AJ43" i="108"/>
  <c r="AJ18" i="108"/>
  <c r="AJ49" i="108"/>
  <c r="AJ40" i="108"/>
  <c r="AJ52" i="108"/>
  <c r="AJ124" i="108"/>
  <c r="AJ10" i="108"/>
  <c r="AJ129" i="108"/>
  <c r="AJ76" i="108"/>
  <c r="AJ47" i="108"/>
  <c r="AJ98" i="108"/>
  <c r="AJ65" i="108"/>
  <c r="AJ42" i="108"/>
  <c r="AJ101" i="108"/>
  <c r="AJ85" i="108"/>
  <c r="AJ68" i="108"/>
  <c r="AJ102" i="108"/>
  <c r="AJ66" i="108"/>
  <c r="AJ12" i="108"/>
  <c r="AK23" i="96"/>
  <c r="AI23" i="96"/>
  <c r="AJ23" i="96"/>
  <c r="AH23" i="96"/>
  <c r="AJ13" i="108"/>
  <c r="AJ48" i="108"/>
  <c r="AJ33" i="108"/>
  <c r="AJ20" i="108"/>
  <c r="AJ14" i="108"/>
  <c r="AJ22" i="108"/>
  <c r="AJ74" i="108"/>
  <c r="AJ23" i="108"/>
  <c r="AJ103" i="108"/>
  <c r="AK73" i="96"/>
  <c r="AH73" i="96"/>
  <c r="AJ73" i="96"/>
  <c r="AI73" i="96"/>
  <c r="AJ99" i="108"/>
  <c r="AJ115" i="108"/>
  <c r="AJ119" i="108"/>
  <c r="AJ50" i="108"/>
  <c r="AJ128" i="108"/>
  <c r="AJ92" i="108"/>
  <c r="AJ123" i="108"/>
  <c r="AJ38" i="108"/>
  <c r="AJ114" i="108"/>
  <c r="AJ111" i="108"/>
  <c r="AJ25" i="108"/>
  <c r="AJ130" i="108"/>
  <c r="AJ62" i="108"/>
  <c r="AJ60" i="108"/>
  <c r="AJ16" i="108"/>
  <c r="AJ59" i="108"/>
  <c r="AJ97" i="108"/>
  <c r="AJ121" i="108"/>
  <c r="AJ37" i="108"/>
  <c r="AJ71" i="108"/>
  <c r="AJ75" i="108"/>
  <c r="AJ87" i="108"/>
  <c r="AI103" i="96"/>
  <c r="AH103" i="96"/>
  <c r="AK103" i="96"/>
  <c r="AJ103" i="96"/>
  <c r="AJ24" i="108"/>
  <c r="AJ41" i="108"/>
  <c r="AJ69" i="108"/>
  <c r="U138" i="97"/>
  <c r="U74" i="97"/>
  <c r="U123" i="97"/>
  <c r="U26" i="97"/>
  <c r="U131" i="97"/>
  <c r="U105" i="97"/>
  <c r="U127" i="97"/>
  <c r="U75" i="97"/>
  <c r="U83" i="97"/>
  <c r="U55" i="97"/>
  <c r="U20" i="97"/>
  <c r="U81" i="97"/>
  <c r="U104" i="97"/>
  <c r="U47" i="97"/>
  <c r="U101" i="97"/>
  <c r="U62" i="97"/>
  <c r="U107" i="97"/>
  <c r="U30" i="97"/>
  <c r="U78" i="97"/>
  <c r="U84" i="97"/>
  <c r="U72" i="97"/>
  <c r="U137" i="97"/>
  <c r="U99" i="97"/>
  <c r="U128" i="97"/>
  <c r="U29" i="97"/>
  <c r="U60" i="97"/>
  <c r="U51" i="97"/>
  <c r="U63" i="97"/>
  <c r="U111" i="97"/>
  <c r="U21" i="97"/>
  <c r="U140" i="97"/>
  <c r="U87" i="97"/>
  <c r="U109" i="97"/>
  <c r="U76" i="97"/>
  <c r="U53" i="97"/>
  <c r="U112" i="97"/>
  <c r="U79" i="97"/>
  <c r="U77" i="97"/>
  <c r="U23" i="97"/>
  <c r="U44" i="97"/>
  <c r="U25" i="97"/>
  <c r="U33" i="97"/>
  <c r="U85" i="97"/>
  <c r="U110" i="97"/>
  <c r="U126" i="97"/>
  <c r="U130" i="97"/>
  <c r="U139" i="97"/>
  <c r="U103" i="97"/>
  <c r="U134" i="97"/>
  <c r="U125" i="97"/>
  <c r="U36" i="97"/>
  <c r="U141" i="97"/>
  <c r="U73" i="97"/>
  <c r="U71" i="97"/>
  <c r="U27" i="97"/>
  <c r="U70" i="97"/>
  <c r="U108" i="97"/>
  <c r="U132" i="97"/>
  <c r="U82" i="97"/>
  <c r="U86" i="97"/>
  <c r="U98" i="97"/>
  <c r="U52" i="97"/>
  <c r="AI72" i="96"/>
  <c r="AJ72" i="96"/>
  <c r="AH72" i="96"/>
  <c r="AK72" i="96"/>
  <c r="R70" i="97"/>
  <c r="AE59" i="108" s="1"/>
  <c r="W59" i="108"/>
  <c r="W110" i="108"/>
  <c r="AQ121" i="96"/>
  <c r="R121" i="97"/>
  <c r="AE110" i="108" s="1"/>
  <c r="W33" i="108"/>
  <c r="R44" i="97"/>
  <c r="AE33" i="108" s="1"/>
  <c r="W6" i="108"/>
  <c r="S6" i="99"/>
  <c r="V6" i="99" s="1"/>
  <c r="AY6" i="103" s="1"/>
  <c r="AQ17" i="96"/>
  <c r="O6" i="99"/>
  <c r="M6" i="103" s="1"/>
  <c r="U6" i="103" s="1"/>
  <c r="R124" i="97"/>
  <c r="AE113" i="108" s="1"/>
  <c r="W113" i="108"/>
  <c r="W111" i="108"/>
  <c r="R122" i="97"/>
  <c r="AE111" i="108" s="1"/>
  <c r="R123" i="97"/>
  <c r="AE112" i="108" s="1"/>
  <c r="W112" i="108"/>
  <c r="AQ43" i="96"/>
  <c r="R43" i="97"/>
  <c r="AE32" i="108" s="1"/>
  <c r="W32" i="108"/>
  <c r="W84" i="108"/>
  <c r="R95" i="97"/>
  <c r="AE84" i="108" s="1"/>
  <c r="AQ95" i="96"/>
  <c r="AJ6" i="101"/>
  <c r="AE6" i="108"/>
  <c r="BC65" i="101"/>
  <c r="AC66" i="98"/>
  <c r="AK66" i="98" s="1"/>
  <c r="AY67" i="101" s="1"/>
  <c r="AB66" i="98"/>
  <c r="AJ66" i="98" s="1"/>
  <c r="AX67" i="101" s="1"/>
  <c r="AD66" i="98"/>
  <c r="AL66" i="98" s="1"/>
  <c r="AZ67" i="101" s="1"/>
  <c r="AE66" i="98"/>
  <c r="AM66" i="98" s="1"/>
  <c r="BA67" i="101" s="1"/>
  <c r="AA66" i="98"/>
  <c r="AI66" i="98" s="1"/>
  <c r="AW67" i="101" s="1"/>
  <c r="AN20" i="101"/>
  <c r="AN41" i="101"/>
  <c r="AN44" i="101"/>
  <c r="AN49" i="101"/>
  <c r="AN24" i="101"/>
  <c r="AN21" i="101"/>
  <c r="AN35" i="101"/>
  <c r="AN37" i="101"/>
  <c r="AN36" i="101"/>
  <c r="AN25" i="101"/>
  <c r="AN29" i="101"/>
  <c r="AN30" i="101"/>
  <c r="AN18" i="101"/>
  <c r="AN9" i="101"/>
  <c r="AN45" i="101"/>
  <c r="AN33" i="101"/>
  <c r="AN50" i="101"/>
  <c r="AN51" i="101"/>
  <c r="AN47" i="101"/>
  <c r="AN27" i="101"/>
  <c r="AN14" i="101"/>
  <c r="AN54" i="101"/>
  <c r="AN8" i="101"/>
  <c r="AN10" i="101"/>
  <c r="AN38" i="101"/>
  <c r="AN7" i="101"/>
  <c r="AN34" i="101"/>
  <c r="AN40" i="101"/>
  <c r="AN43" i="101"/>
  <c r="AN52" i="101"/>
  <c r="AN16" i="101"/>
  <c r="AN17" i="101"/>
  <c r="AN22" i="101"/>
  <c r="AN46" i="101"/>
  <c r="AN13" i="101"/>
  <c r="AN39" i="101"/>
  <c r="AN32" i="101"/>
  <c r="AN48" i="101"/>
  <c r="AN42" i="101"/>
  <c r="AN19" i="101"/>
  <c r="AN12" i="101"/>
  <c r="AN15" i="101"/>
  <c r="AN26" i="101"/>
  <c r="AN6" i="101"/>
  <c r="AN53" i="101"/>
  <c r="AN23" i="101"/>
  <c r="AN28" i="101"/>
  <c r="AN31" i="101"/>
  <c r="AN11" i="101"/>
  <c r="G111" i="107"/>
  <c r="K111" i="107"/>
  <c r="BF29" i="103"/>
  <c r="BF54" i="103"/>
  <c r="BF9" i="103"/>
  <c r="BF21" i="103"/>
  <c r="BF7" i="103"/>
  <c r="BF19" i="103"/>
  <c r="BF20" i="103"/>
  <c r="BF51" i="103"/>
  <c r="BF6" i="103"/>
  <c r="BF31" i="103"/>
  <c r="BF24" i="103"/>
  <c r="BF49" i="103"/>
  <c r="BF46" i="103"/>
  <c r="BF44" i="103"/>
  <c r="BF43" i="103"/>
  <c r="BF17" i="103"/>
  <c r="BF37" i="103"/>
  <c r="BF34" i="103"/>
  <c r="BF18" i="103"/>
  <c r="BF30" i="103"/>
  <c r="BF15" i="103"/>
  <c r="BF40" i="103"/>
  <c r="BF36" i="103"/>
  <c r="BF16" i="103"/>
  <c r="BF22" i="103"/>
  <c r="BF45" i="103"/>
  <c r="BF41" i="103"/>
  <c r="BF14" i="103"/>
  <c r="BF23" i="103"/>
  <c r="BF13" i="103"/>
  <c r="BF53" i="103"/>
  <c r="BF28" i="103"/>
  <c r="BF42" i="103"/>
  <c r="BF12" i="103"/>
  <c r="BF47" i="103"/>
  <c r="BF25" i="103"/>
  <c r="BF48" i="103"/>
  <c r="BF39" i="103"/>
  <c r="BF38" i="103"/>
  <c r="BF8" i="103"/>
  <c r="BF35" i="103"/>
  <c r="BF11" i="103"/>
  <c r="BF50" i="103"/>
  <c r="BF32" i="103"/>
  <c r="BF27" i="103"/>
  <c r="BF26" i="103"/>
  <c r="BF52" i="103"/>
  <c r="BF33" i="103"/>
  <c r="BF10" i="103"/>
  <c r="K7" i="107"/>
  <c r="G7" i="107"/>
  <c r="K33" i="107"/>
  <c r="G33" i="107"/>
  <c r="G85" i="107"/>
  <c r="K85" i="107"/>
  <c r="G59" i="107"/>
  <c r="K59" i="107"/>
  <c r="AI6" i="103" l="1"/>
  <c r="N17" i="97"/>
  <c r="BG11" i="101"/>
  <c r="BG38" i="101"/>
  <c r="BG43" i="101"/>
  <c r="BG13" i="101"/>
  <c r="BG30" i="101"/>
  <c r="BG46" i="101"/>
  <c r="BG48" i="101"/>
  <c r="BG22" i="101"/>
  <c r="BG40" i="101"/>
  <c r="BG8" i="101"/>
  <c r="BG37" i="101"/>
  <c r="BG50" i="101"/>
  <c r="BG29" i="101"/>
  <c r="BG35" i="101"/>
  <c r="BG44" i="101"/>
  <c r="BG9" i="101"/>
  <c r="BG31" i="101"/>
  <c r="BG19" i="101"/>
  <c r="BG53" i="101"/>
  <c r="BG49" i="101"/>
  <c r="BG10" i="101"/>
  <c r="BG42" i="101"/>
  <c r="BG32" i="101"/>
  <c r="BG17" i="101"/>
  <c r="BG34" i="101"/>
  <c r="BG54" i="101"/>
  <c r="BG51" i="101"/>
  <c r="BG33" i="101"/>
  <c r="BG25" i="101"/>
  <c r="BG21" i="101"/>
  <c r="BG41" i="101"/>
  <c r="BG52" i="101"/>
  <c r="BG28" i="101"/>
  <c r="BG18" i="101"/>
  <c r="BG6" i="101"/>
  <c r="BG26" i="101"/>
  <c r="BG15" i="101"/>
  <c r="BG12" i="101"/>
  <c r="BG39" i="101"/>
  <c r="BG16" i="101"/>
  <c r="BG7" i="101"/>
  <c r="BG14" i="101"/>
  <c r="BG47" i="101"/>
  <c r="BG45" i="101"/>
  <c r="BG36" i="101"/>
  <c r="BG24" i="101"/>
  <c r="BG20" i="101"/>
  <c r="BG27" i="101"/>
  <c r="BG23" i="101"/>
  <c r="BC66" i="101"/>
  <c r="AD67" i="98"/>
  <c r="AL67" i="98" s="1"/>
  <c r="AZ68" i="101" s="1"/>
  <c r="AB67" i="98"/>
  <c r="AJ67" i="98" s="1"/>
  <c r="AX68" i="101" s="1"/>
  <c r="AE67" i="98"/>
  <c r="AM67" i="98" s="1"/>
  <c r="BA68" i="101" s="1"/>
  <c r="AC67" i="98"/>
  <c r="AK67" i="98" s="1"/>
  <c r="AY68" i="101" s="1"/>
  <c r="AA67" i="98"/>
  <c r="AI67" i="98" s="1"/>
  <c r="AW68" i="101" s="1"/>
  <c r="O6" i="110"/>
  <c r="X6" i="99"/>
  <c r="BU6" i="101"/>
  <c r="AA6" i="108" l="1"/>
  <c r="BC67" i="101"/>
  <c r="AB68" i="98"/>
  <c r="AJ68" i="98" s="1"/>
  <c r="AX69" i="101" s="1"/>
  <c r="AD68" i="98"/>
  <c r="AL68" i="98" s="1"/>
  <c r="AZ69" i="101" s="1"/>
  <c r="AC68" i="98"/>
  <c r="AK68" i="98" s="1"/>
  <c r="AY69" i="101" s="1"/>
  <c r="AA68" i="98"/>
  <c r="AI68" i="98" s="1"/>
  <c r="AW69" i="101" s="1"/>
  <c r="AE68" i="98"/>
  <c r="AM68" i="98" s="1"/>
  <c r="BA69" i="101" s="1"/>
  <c r="BC68" i="101" l="1"/>
  <c r="AD69" i="98"/>
  <c r="AL69" i="98" s="1"/>
  <c r="AZ70" i="101" s="1"/>
  <c r="AB69" i="98"/>
  <c r="AJ69" i="98" s="1"/>
  <c r="AX70" i="101" s="1"/>
  <c r="AC69" i="98"/>
  <c r="AK69" i="98" s="1"/>
  <c r="AY70" i="101" s="1"/>
  <c r="AE69" i="98"/>
  <c r="AM69" i="98" s="1"/>
  <c r="BA70" i="101" s="1"/>
  <c r="AA69" i="98"/>
  <c r="AI69" i="98" s="1"/>
  <c r="AW70" i="101" s="1"/>
  <c r="BC69" i="101" l="1"/>
  <c r="AD70" i="98"/>
  <c r="AL70" i="98" s="1"/>
  <c r="AZ71" i="101" s="1"/>
  <c r="AA70" i="98"/>
  <c r="AI70" i="98" s="1"/>
  <c r="AW71" i="101" s="1"/>
  <c r="AC70" i="98"/>
  <c r="AK70" i="98" s="1"/>
  <c r="AY71" i="101" s="1"/>
  <c r="AB70" i="98"/>
  <c r="AJ70" i="98" s="1"/>
  <c r="AX71" i="101" s="1"/>
  <c r="AE70" i="98"/>
  <c r="AM70" i="98" s="1"/>
  <c r="BA71" i="101" s="1"/>
  <c r="BC70" i="101" l="1"/>
  <c r="AD71" i="98"/>
  <c r="AL71" i="98" s="1"/>
  <c r="AZ72" i="101" s="1"/>
  <c r="AC71" i="98"/>
  <c r="AK71" i="98" s="1"/>
  <c r="AY72" i="101" s="1"/>
  <c r="AE71" i="98"/>
  <c r="AM71" i="98" s="1"/>
  <c r="BA72" i="101" s="1"/>
  <c r="AB71" i="98"/>
  <c r="AJ71" i="98" s="1"/>
  <c r="AX72" i="101" s="1"/>
  <c r="AA71" i="98"/>
  <c r="AI71" i="98" s="1"/>
  <c r="AW72" i="101" s="1"/>
  <c r="BC71" i="101" l="1"/>
  <c r="AE72" i="98"/>
  <c r="AM72" i="98" s="1"/>
  <c r="BA73" i="101" s="1"/>
  <c r="AC72" i="98"/>
  <c r="AK72" i="98" s="1"/>
  <c r="AY73" i="101" s="1"/>
  <c r="AB72" i="98"/>
  <c r="AJ72" i="98" s="1"/>
  <c r="AX73" i="101" s="1"/>
  <c r="AD72" i="98"/>
  <c r="AL72" i="98" s="1"/>
  <c r="AZ73" i="101" s="1"/>
  <c r="AA72" i="98"/>
  <c r="AI72" i="98" s="1"/>
  <c r="AW73" i="101" s="1"/>
  <c r="BC72" i="101" l="1"/>
  <c r="AB73" i="98"/>
  <c r="AJ73" i="98" s="1"/>
  <c r="AX74" i="101" s="1"/>
  <c r="AE73" i="98"/>
  <c r="AM73" i="98" s="1"/>
  <c r="BA74" i="101" s="1"/>
  <c r="AC73" i="98"/>
  <c r="AK73" i="98" s="1"/>
  <c r="AY74" i="101" s="1"/>
  <c r="AA73" i="98"/>
  <c r="AI73" i="98" s="1"/>
  <c r="AW74" i="101" s="1"/>
  <c r="AD73" i="98"/>
  <c r="AL73" i="98" s="1"/>
  <c r="AZ74" i="101" s="1"/>
  <c r="BC73" i="101" l="1"/>
  <c r="AD74" i="98"/>
  <c r="AL74" i="98" s="1"/>
  <c r="AZ75" i="101" s="1"/>
  <c r="AC74" i="98"/>
  <c r="AK74" i="98" s="1"/>
  <c r="AY75" i="101" s="1"/>
  <c r="AB74" i="98"/>
  <c r="AJ74" i="98" s="1"/>
  <c r="AX75" i="101" s="1"/>
  <c r="AE74" i="98"/>
  <c r="AM74" i="98" s="1"/>
  <c r="BA75" i="101" s="1"/>
  <c r="AA74" i="98"/>
  <c r="AI74" i="98" s="1"/>
  <c r="AW75" i="101" s="1"/>
  <c r="BC74" i="101" l="1"/>
  <c r="AC75" i="98"/>
  <c r="AK75" i="98" s="1"/>
  <c r="AY76" i="101" s="1"/>
  <c r="AB75" i="98"/>
  <c r="AJ75" i="98" s="1"/>
  <c r="AX76" i="101" s="1"/>
  <c r="AE75" i="98"/>
  <c r="AM75" i="98" s="1"/>
  <c r="BA76" i="101" s="1"/>
  <c r="AD75" i="98"/>
  <c r="AL75" i="98" s="1"/>
  <c r="AZ76" i="101" s="1"/>
  <c r="AA75" i="98"/>
  <c r="AI75" i="98" s="1"/>
  <c r="AW76" i="101" s="1"/>
  <c r="BC75" i="101" l="1"/>
  <c r="AD76" i="98"/>
  <c r="AL76" i="98" s="1"/>
  <c r="AZ77" i="101" s="1"/>
  <c r="AB76" i="98"/>
  <c r="AJ76" i="98" s="1"/>
  <c r="AX77" i="101" s="1"/>
  <c r="AE76" i="98"/>
  <c r="AM76" i="98" s="1"/>
  <c r="BA77" i="101" s="1"/>
  <c r="AC76" i="98"/>
  <c r="AK76" i="98" s="1"/>
  <c r="AY77" i="101" s="1"/>
  <c r="AA76" i="98"/>
  <c r="AI76" i="98" s="1"/>
  <c r="AW77" i="101" s="1"/>
  <c r="BC76" i="101" l="1"/>
  <c r="AB77" i="98"/>
  <c r="AJ77" i="98" s="1"/>
  <c r="AX78" i="101" s="1"/>
  <c r="AD77" i="98"/>
  <c r="AL77" i="98" s="1"/>
  <c r="AZ78" i="101" s="1"/>
  <c r="AC77" i="98"/>
  <c r="AK77" i="98" s="1"/>
  <c r="AY78" i="101" s="1"/>
  <c r="AA77" i="98"/>
  <c r="AI77" i="98" s="1"/>
  <c r="AW78" i="101" s="1"/>
  <c r="AE77" i="98"/>
  <c r="AM77" i="98" s="1"/>
  <c r="BA78" i="101" s="1"/>
  <c r="BC77" i="101" l="1"/>
  <c r="AB78" i="98"/>
  <c r="AJ78" i="98" s="1"/>
  <c r="AX79" i="101" s="1"/>
  <c r="AD78" i="98"/>
  <c r="AL78" i="98" s="1"/>
  <c r="AZ79" i="101" s="1"/>
  <c r="AC78" i="98"/>
  <c r="AK78" i="98" s="1"/>
  <c r="AY79" i="101" s="1"/>
  <c r="AE78" i="98"/>
  <c r="AM78" i="98" s="1"/>
  <c r="BA79" i="101" s="1"/>
  <c r="AA78" i="98"/>
  <c r="AI78" i="98" s="1"/>
  <c r="AW79" i="101" s="1"/>
  <c r="BC78" i="101" l="1"/>
  <c r="AD79" i="98"/>
  <c r="AL79" i="98" s="1"/>
  <c r="AZ80" i="101" s="1"/>
  <c r="AA79" i="98"/>
  <c r="AI79" i="98" s="1"/>
  <c r="AW80" i="101" s="1"/>
  <c r="AB79" i="98"/>
  <c r="AJ79" i="98" s="1"/>
  <c r="AX80" i="101" s="1"/>
  <c r="AE79" i="98"/>
  <c r="AM79" i="98" s="1"/>
  <c r="BA80" i="101" s="1"/>
  <c r="AC79" i="98"/>
  <c r="AK79" i="98" s="1"/>
  <c r="AY80" i="101" s="1"/>
  <c r="BC79" i="101" l="1"/>
  <c r="AD80" i="98"/>
  <c r="AL80" i="98" s="1"/>
  <c r="AZ81" i="101" s="1"/>
  <c r="AC80" i="98"/>
  <c r="AK80" i="98" s="1"/>
  <c r="AY81" i="101" s="1"/>
  <c r="AB80" i="98"/>
  <c r="AJ80" i="98" s="1"/>
  <c r="AX81" i="101" s="1"/>
  <c r="AA80" i="98"/>
  <c r="AI80" i="98" s="1"/>
  <c r="AW81" i="101" s="1"/>
  <c r="AE80" i="98"/>
  <c r="AM80" i="98" s="1"/>
  <c r="BA81" i="101" s="1"/>
  <c r="BC80" i="101" l="1"/>
  <c r="AE81" i="98"/>
  <c r="AM81" i="98" s="1"/>
  <c r="BA82" i="101" s="1"/>
  <c r="AC81" i="98"/>
  <c r="AK81" i="98" s="1"/>
  <c r="AY82" i="101" s="1"/>
  <c r="AD81" i="98"/>
  <c r="AL81" i="98" s="1"/>
  <c r="AZ82" i="101" s="1"/>
  <c r="AB81" i="98"/>
  <c r="AJ81" i="98" s="1"/>
  <c r="AX82" i="101" s="1"/>
  <c r="AA81" i="98"/>
  <c r="AI81" i="98" s="1"/>
  <c r="AW82" i="101" s="1"/>
  <c r="BC81" i="101" l="1"/>
  <c r="AB82" i="98"/>
  <c r="AJ82" i="98" s="1"/>
  <c r="AX83" i="101" s="1"/>
  <c r="AE82" i="98"/>
  <c r="AM82" i="98" s="1"/>
  <c r="BA83" i="101" s="1"/>
  <c r="AD82" i="98"/>
  <c r="AL82" i="98" s="1"/>
  <c r="AZ83" i="101" s="1"/>
  <c r="AC82" i="98"/>
  <c r="AK82" i="98" s="1"/>
  <c r="AY83" i="101" s="1"/>
  <c r="AA82" i="98"/>
  <c r="AI82" i="98" s="1"/>
  <c r="AW83" i="101" s="1"/>
  <c r="BC82" i="101" l="1"/>
  <c r="AD83" i="98"/>
  <c r="AL83" i="98" s="1"/>
  <c r="AZ84" i="101" s="1"/>
  <c r="AC83" i="98"/>
  <c r="AK83" i="98" s="1"/>
  <c r="AY84" i="101" s="1"/>
  <c r="AE83" i="98"/>
  <c r="AM83" i="98" s="1"/>
  <c r="BA84" i="101" s="1"/>
  <c r="AA83" i="98"/>
  <c r="AI83" i="98" s="1"/>
  <c r="AW84" i="101" s="1"/>
  <c r="AB83" i="98"/>
  <c r="AJ83" i="98" s="1"/>
  <c r="AX84" i="101" s="1"/>
  <c r="BC83" i="101" l="1"/>
  <c r="AD84" i="98"/>
  <c r="AL84" i="98" s="1"/>
  <c r="AZ85" i="101" s="1"/>
  <c r="AC84" i="98"/>
  <c r="AK84" i="98" s="1"/>
  <c r="AY85" i="101" s="1"/>
  <c r="AB84" i="98"/>
  <c r="AJ84" i="98" s="1"/>
  <c r="AX85" i="101" s="1"/>
  <c r="AE84" i="98"/>
  <c r="AM84" i="98" s="1"/>
  <c r="BA85" i="101" s="1"/>
  <c r="AA84" i="98"/>
  <c r="AI84" i="98" s="1"/>
  <c r="AW85" i="101" s="1"/>
  <c r="BC84" i="101" l="1"/>
  <c r="AD85" i="98"/>
  <c r="AL85" i="98" s="1"/>
  <c r="AZ86" i="101" s="1"/>
  <c r="AB85" i="98"/>
  <c r="AJ85" i="98" s="1"/>
  <c r="AX86" i="101" s="1"/>
  <c r="AE85" i="98"/>
  <c r="AM85" i="98" s="1"/>
  <c r="BA86" i="101" s="1"/>
  <c r="AC85" i="98"/>
  <c r="AK85" i="98" s="1"/>
  <c r="AY86" i="101" s="1"/>
  <c r="AA85" i="98"/>
  <c r="AI85" i="98" s="1"/>
  <c r="AW86" i="101" s="1"/>
  <c r="BC85" i="101" l="1"/>
  <c r="AD86" i="98"/>
  <c r="AL86" i="98" s="1"/>
  <c r="AZ87" i="101" s="1"/>
  <c r="AC86" i="98"/>
  <c r="AK86" i="98" s="1"/>
  <c r="AY87" i="101" s="1"/>
  <c r="AB86" i="98"/>
  <c r="AJ86" i="98" s="1"/>
  <c r="AX87" i="101" s="1"/>
  <c r="AA86" i="98"/>
  <c r="AI86" i="98" s="1"/>
  <c r="AW87" i="101" s="1"/>
  <c r="AE86" i="98"/>
  <c r="AM86" i="98" s="1"/>
  <c r="BA87" i="101" s="1"/>
  <c r="BC86" i="101" l="1"/>
  <c r="AB87" i="98"/>
  <c r="AJ87" i="98" s="1"/>
  <c r="AX88" i="101" s="1"/>
  <c r="AC87" i="98"/>
  <c r="AK87" i="98" s="1"/>
  <c r="AY88" i="101" s="1"/>
  <c r="AD87" i="98"/>
  <c r="AL87" i="98" s="1"/>
  <c r="AZ88" i="101" s="1"/>
  <c r="AA87" i="98"/>
  <c r="AI87" i="98" s="1"/>
  <c r="AW88" i="101" s="1"/>
  <c r="AE87" i="98"/>
  <c r="AM87" i="98" s="1"/>
  <c r="BA88" i="101" s="1"/>
  <c r="BC87" i="101" l="1"/>
  <c r="AD88" i="98"/>
  <c r="AL88" i="98" s="1"/>
  <c r="AZ89" i="101" s="1"/>
  <c r="AA88" i="98"/>
  <c r="AI88" i="98" s="1"/>
  <c r="AW89" i="101" s="1"/>
  <c r="AE88" i="98"/>
  <c r="AM88" i="98" s="1"/>
  <c r="BA89" i="101" s="1"/>
  <c r="AB88" i="98"/>
  <c r="AJ88" i="98" s="1"/>
  <c r="AX89" i="101" s="1"/>
  <c r="AC88" i="98"/>
  <c r="AK88" i="98" s="1"/>
  <c r="AY89" i="101" s="1"/>
  <c r="BC88" i="101" l="1"/>
  <c r="AD89" i="98"/>
  <c r="AL89" i="98" s="1"/>
  <c r="AZ90" i="101" s="1"/>
  <c r="AC89" i="98"/>
  <c r="AK89" i="98" s="1"/>
  <c r="AY90" i="101" s="1"/>
  <c r="AB89" i="98"/>
  <c r="AJ89" i="98" s="1"/>
  <c r="AX90" i="101" s="1"/>
  <c r="AE89" i="98"/>
  <c r="AM89" i="98" s="1"/>
  <c r="BA90" i="101" s="1"/>
  <c r="AA89" i="98"/>
  <c r="AI89" i="98" s="1"/>
  <c r="AW90" i="101" s="1"/>
  <c r="BC89" i="101" l="1"/>
  <c r="AE90" i="98"/>
  <c r="AM90" i="98" s="1"/>
  <c r="BA91" i="101" s="1"/>
  <c r="AC90" i="98"/>
  <c r="AK90" i="98" s="1"/>
  <c r="AY91" i="101" s="1"/>
  <c r="AB90" i="98"/>
  <c r="AJ90" i="98" s="1"/>
  <c r="AX91" i="101" s="1"/>
  <c r="AA90" i="98"/>
  <c r="AI90" i="98" s="1"/>
  <c r="AW91" i="101" s="1"/>
  <c r="AD90" i="98"/>
  <c r="AL90" i="98" s="1"/>
  <c r="AZ91" i="101" s="1"/>
  <c r="BC90" i="101" l="1"/>
  <c r="AB91" i="98"/>
  <c r="AJ91" i="98" s="1"/>
  <c r="AX92" i="101" s="1"/>
  <c r="AE91" i="98"/>
  <c r="AM91" i="98" s="1"/>
  <c r="BA92" i="101" s="1"/>
  <c r="AD91" i="98"/>
  <c r="AL91" i="98" s="1"/>
  <c r="AZ92" i="101" s="1"/>
  <c r="AC91" i="98"/>
  <c r="AK91" i="98" s="1"/>
  <c r="AY92" i="101" s="1"/>
  <c r="AA91" i="98"/>
  <c r="AI91" i="98" s="1"/>
  <c r="AW92" i="101" s="1"/>
  <c r="BC91" i="101" l="1"/>
  <c r="AD92" i="98"/>
  <c r="AL92" i="98" s="1"/>
  <c r="AZ93" i="101" s="1"/>
  <c r="AC92" i="98"/>
  <c r="AK92" i="98" s="1"/>
  <c r="AY93" i="101" s="1"/>
  <c r="AB92" i="98"/>
  <c r="AJ92" i="98" s="1"/>
  <c r="AX93" i="101" s="1"/>
  <c r="AE92" i="98"/>
  <c r="AM92" i="98" s="1"/>
  <c r="BA93" i="101" s="1"/>
  <c r="AA92" i="98"/>
  <c r="AI92" i="98" s="1"/>
  <c r="AW93" i="101" s="1"/>
  <c r="BC92" i="101" l="1"/>
  <c r="AC93" i="98"/>
  <c r="AK93" i="98" s="1"/>
  <c r="AY94" i="101" s="1"/>
  <c r="AB93" i="98"/>
  <c r="AJ93" i="98" s="1"/>
  <c r="AX94" i="101" s="1"/>
  <c r="AE93" i="98"/>
  <c r="AM93" i="98" s="1"/>
  <c r="BA94" i="101" s="1"/>
  <c r="AD93" i="98"/>
  <c r="AL93" i="98" s="1"/>
  <c r="AZ94" i="101" s="1"/>
  <c r="AA93" i="98"/>
  <c r="AI93" i="98" s="1"/>
  <c r="AW94" i="101" s="1"/>
  <c r="BC93" i="101" l="1"/>
  <c r="AD94" i="98"/>
  <c r="AL94" i="98" s="1"/>
  <c r="AZ95" i="101" s="1"/>
  <c r="AB94" i="98"/>
  <c r="AJ94" i="98" s="1"/>
  <c r="AX95" i="101" s="1"/>
  <c r="AE94" i="98"/>
  <c r="AM94" i="98" s="1"/>
  <c r="BA95" i="101" s="1"/>
  <c r="AC94" i="98"/>
  <c r="AK94" i="98" s="1"/>
  <c r="AY95" i="101" s="1"/>
  <c r="AA94" i="98"/>
  <c r="AI94" i="98" s="1"/>
  <c r="AW95" i="101" s="1"/>
  <c r="BC94" i="101" l="1"/>
  <c r="AB95" i="98"/>
  <c r="AJ95" i="98" s="1"/>
  <c r="AX96" i="101" s="1"/>
  <c r="AD95" i="98"/>
  <c r="AL95" i="98" s="1"/>
  <c r="AZ96" i="101" s="1"/>
  <c r="AC95" i="98"/>
  <c r="AK95" i="98" s="1"/>
  <c r="AY96" i="101" s="1"/>
  <c r="AA95" i="98"/>
  <c r="AI95" i="98" s="1"/>
  <c r="AW96" i="101" s="1"/>
  <c r="AE95" i="98"/>
  <c r="AM95" i="98" s="1"/>
  <c r="BA96" i="101" s="1"/>
  <c r="BC95" i="101" l="1"/>
  <c r="AB96" i="98"/>
  <c r="AJ96" i="98" s="1"/>
  <c r="AX97" i="101" s="1"/>
  <c r="AD96" i="98"/>
  <c r="AL96" i="98" s="1"/>
  <c r="AZ97" i="101" s="1"/>
  <c r="AC96" i="98"/>
  <c r="AK96" i="98" s="1"/>
  <c r="AY97" i="101" s="1"/>
  <c r="AA96" i="98"/>
  <c r="AI96" i="98" s="1"/>
  <c r="AW97" i="101" s="1"/>
  <c r="AE96" i="98"/>
  <c r="AM96" i="98" s="1"/>
  <c r="BA97" i="101" s="1"/>
  <c r="BC96" i="101" l="1"/>
  <c r="AD97" i="98"/>
  <c r="AL97" i="98" s="1"/>
  <c r="AZ98" i="101" s="1"/>
  <c r="AA97" i="98"/>
  <c r="AI97" i="98" s="1"/>
  <c r="AW98" i="101" s="1"/>
  <c r="AB97" i="98"/>
  <c r="AJ97" i="98" s="1"/>
  <c r="AX98" i="101" s="1"/>
  <c r="AE97" i="98"/>
  <c r="AM97" i="98" s="1"/>
  <c r="BA98" i="101" s="1"/>
  <c r="AC97" i="98"/>
  <c r="AK97" i="98" s="1"/>
  <c r="AY98" i="101" s="1"/>
  <c r="BC97" i="101" l="1"/>
  <c r="AB98" i="98"/>
  <c r="AJ98" i="98" s="1"/>
  <c r="AX99" i="101" s="1"/>
  <c r="AD98" i="98"/>
  <c r="AL98" i="98" s="1"/>
  <c r="AZ99" i="101" s="1"/>
  <c r="AC98" i="98"/>
  <c r="AK98" i="98" s="1"/>
  <c r="AY99" i="101" s="1"/>
  <c r="AE98" i="98"/>
  <c r="AM98" i="98" s="1"/>
  <c r="BA99" i="101" s="1"/>
  <c r="AA98" i="98"/>
  <c r="AI98" i="98" s="1"/>
  <c r="AW99" i="101" s="1"/>
  <c r="BC98" i="101" l="1"/>
  <c r="AE99" i="98"/>
  <c r="AM99" i="98" s="1"/>
  <c r="BA100" i="101" s="1"/>
  <c r="AD99" i="98"/>
  <c r="AL99" i="98" s="1"/>
  <c r="AZ100" i="101" s="1"/>
  <c r="AC99" i="98"/>
  <c r="AK99" i="98" s="1"/>
  <c r="AY100" i="101" s="1"/>
  <c r="AB99" i="98"/>
  <c r="AJ99" i="98" s="1"/>
  <c r="AX100" i="101" s="1"/>
  <c r="AA99" i="98"/>
  <c r="AI99" i="98" s="1"/>
  <c r="AW100" i="101" s="1"/>
  <c r="BC99" i="101" l="1"/>
  <c r="AB100" i="98"/>
  <c r="AJ100" i="98" s="1"/>
  <c r="AX101" i="101" s="1"/>
  <c r="AE100" i="98"/>
  <c r="AM100" i="98" s="1"/>
  <c r="BA101" i="101" s="1"/>
  <c r="AD100" i="98"/>
  <c r="AL100" i="98" s="1"/>
  <c r="AZ101" i="101" s="1"/>
  <c r="AC100" i="98"/>
  <c r="AK100" i="98" s="1"/>
  <c r="AY101" i="101" s="1"/>
  <c r="AA100" i="98"/>
  <c r="AI100" i="98" s="1"/>
  <c r="AW101" i="101" s="1"/>
  <c r="BC100" i="101" l="1"/>
  <c r="AD101" i="98"/>
  <c r="AL101" i="98" s="1"/>
  <c r="AZ102" i="101" s="1"/>
  <c r="AC101" i="98"/>
  <c r="AK101" i="98" s="1"/>
  <c r="AY102" i="101" s="1"/>
  <c r="AB101" i="98"/>
  <c r="AJ101" i="98" s="1"/>
  <c r="AX102" i="101" s="1"/>
  <c r="AE101" i="98"/>
  <c r="AM101" i="98" s="1"/>
  <c r="BA102" i="101" s="1"/>
  <c r="AA101" i="98"/>
  <c r="AI101" i="98" s="1"/>
  <c r="AW102" i="101" s="1"/>
  <c r="AC102" i="98" l="1"/>
  <c r="AK102" i="98" s="1"/>
  <c r="AY103" i="101" s="1"/>
  <c r="AD102" i="98"/>
  <c r="AL102" i="98" s="1"/>
  <c r="AZ103" i="101" s="1"/>
  <c r="AB102" i="98"/>
  <c r="AJ102" i="98" s="1"/>
  <c r="AX103" i="101" s="1"/>
  <c r="AE102" i="98"/>
  <c r="AM102" i="98" s="1"/>
  <c r="BA103" i="101" s="1"/>
  <c r="AA102" i="98"/>
  <c r="AI102" i="98" s="1"/>
  <c r="AW103" i="101" s="1"/>
  <c r="BC101" i="101"/>
  <c r="BC102" i="101" l="1"/>
  <c r="AD103" i="98"/>
  <c r="AL103" i="98" s="1"/>
  <c r="AZ104" i="101" s="1"/>
  <c r="AB103" i="98"/>
  <c r="AJ103" i="98" s="1"/>
  <c r="AX104" i="101" s="1"/>
  <c r="AE103" i="98"/>
  <c r="AM103" i="98" s="1"/>
  <c r="BA104" i="101" s="1"/>
  <c r="AC103" i="98"/>
  <c r="AK103" i="98" s="1"/>
  <c r="AY104" i="101" s="1"/>
  <c r="AA103" i="98"/>
  <c r="AI103" i="98" s="1"/>
  <c r="AW104" i="101" s="1"/>
  <c r="BC103" i="101" l="1"/>
  <c r="AB104" i="98"/>
  <c r="AJ104" i="98" s="1"/>
  <c r="AX105" i="101" s="1"/>
  <c r="AE104" i="98"/>
  <c r="AM104" i="98" s="1"/>
  <c r="BA105" i="101" s="1"/>
  <c r="AD104" i="98"/>
  <c r="AL104" i="98" s="1"/>
  <c r="AZ105" i="101" s="1"/>
  <c r="AC104" i="98"/>
  <c r="AK104" i="98" s="1"/>
  <c r="AY105" i="101" s="1"/>
  <c r="AA104" i="98"/>
  <c r="AI104" i="98" s="1"/>
  <c r="AW105" i="101" s="1"/>
  <c r="BC104" i="101" l="1"/>
  <c r="AD105" i="98"/>
  <c r="AL105" i="98" s="1"/>
  <c r="AZ106" i="101" s="1"/>
  <c r="AB105" i="98"/>
  <c r="AJ105" i="98" s="1"/>
  <c r="AX106" i="101" s="1"/>
  <c r="AC105" i="98"/>
  <c r="AK105" i="98" s="1"/>
  <c r="AY106" i="101" s="1"/>
  <c r="AA105" i="98"/>
  <c r="AI105" i="98" s="1"/>
  <c r="AW106" i="101" s="1"/>
  <c r="AE105" i="98"/>
  <c r="AM105" i="98" s="1"/>
  <c r="BA106" i="101" s="1"/>
  <c r="BC105" i="101" l="1"/>
  <c r="AD106" i="98"/>
  <c r="AL106" i="98" s="1"/>
  <c r="AZ107" i="101" s="1"/>
  <c r="AA106" i="98"/>
  <c r="AI106" i="98" s="1"/>
  <c r="AW107" i="101" s="1"/>
  <c r="AB106" i="98"/>
  <c r="AJ106" i="98" s="1"/>
  <c r="AX107" i="101" s="1"/>
  <c r="AE106" i="98"/>
  <c r="AM106" i="98" s="1"/>
  <c r="BA107" i="101" s="1"/>
  <c r="AC106" i="98"/>
  <c r="AK106" i="98" s="1"/>
  <c r="AY107" i="101" s="1"/>
  <c r="BC106" i="101" l="1"/>
  <c r="AD107" i="98"/>
  <c r="AL107" i="98" s="1"/>
  <c r="AZ108" i="101" s="1"/>
  <c r="AC107" i="98"/>
  <c r="AK107" i="98" s="1"/>
  <c r="AY108" i="101" s="1"/>
  <c r="AB107" i="98"/>
  <c r="AJ107" i="98" s="1"/>
  <c r="AX108" i="101" s="1"/>
  <c r="AE107" i="98"/>
  <c r="AM107" i="98" s="1"/>
  <c r="BA108" i="101" s="1"/>
  <c r="AA107" i="98"/>
  <c r="AI107" i="98" s="1"/>
  <c r="AW108" i="101" s="1"/>
  <c r="BC107" i="101" l="1"/>
  <c r="AE108" i="98"/>
  <c r="AM108" i="98" s="1"/>
  <c r="BA109" i="101" s="1"/>
  <c r="AC108" i="98"/>
  <c r="AK108" i="98" s="1"/>
  <c r="AY109" i="101" s="1"/>
  <c r="AB108" i="98"/>
  <c r="AJ108" i="98" s="1"/>
  <c r="AX109" i="101" s="1"/>
  <c r="AD108" i="98"/>
  <c r="AL108" i="98" s="1"/>
  <c r="AZ109" i="101" s="1"/>
  <c r="AA108" i="98"/>
  <c r="AI108" i="98" s="1"/>
  <c r="AW109" i="101" s="1"/>
  <c r="BC108" i="101" l="1"/>
  <c r="AB109" i="98"/>
  <c r="AJ109" i="98" s="1"/>
  <c r="AX110" i="101" s="1"/>
  <c r="AE109" i="98"/>
  <c r="AM109" i="98" s="1"/>
  <c r="BA110" i="101" s="1"/>
  <c r="AD109" i="98"/>
  <c r="AL109" i="98" s="1"/>
  <c r="AZ110" i="101" s="1"/>
  <c r="AA109" i="98"/>
  <c r="AI109" i="98" s="1"/>
  <c r="AW110" i="101" s="1"/>
  <c r="AC109" i="98"/>
  <c r="AK109" i="98" s="1"/>
  <c r="AY110" i="101" s="1"/>
  <c r="BC109" i="101" l="1"/>
  <c r="AD110" i="98"/>
  <c r="AL110" i="98" s="1"/>
  <c r="AZ111" i="101" s="1"/>
  <c r="AC110" i="98"/>
  <c r="AK110" i="98" s="1"/>
  <c r="AY111" i="101" s="1"/>
  <c r="AB110" i="98"/>
  <c r="AJ110" i="98" s="1"/>
  <c r="AX111" i="101" s="1"/>
  <c r="AE110" i="98"/>
  <c r="AM110" i="98" s="1"/>
  <c r="BA111" i="101" s="1"/>
  <c r="AA110" i="98"/>
  <c r="AI110" i="98" s="1"/>
  <c r="AW111" i="101" s="1"/>
  <c r="BC110" i="101" l="1"/>
  <c r="AC111" i="98"/>
  <c r="AK111" i="98" s="1"/>
  <c r="AY112" i="101" s="1"/>
  <c r="AB111" i="98"/>
  <c r="AJ111" i="98" s="1"/>
  <c r="AX112" i="101" s="1"/>
  <c r="AD111" i="98"/>
  <c r="AL111" i="98" s="1"/>
  <c r="AZ112" i="101" s="1"/>
  <c r="AE111" i="98"/>
  <c r="AM111" i="98" s="1"/>
  <c r="BA112" i="101" s="1"/>
  <c r="AA111" i="98"/>
  <c r="AI111" i="98" s="1"/>
  <c r="AW112" i="101" s="1"/>
  <c r="BC111" i="101" l="1"/>
  <c r="AD112" i="98"/>
  <c r="AL112" i="98" s="1"/>
  <c r="AZ113" i="101" s="1"/>
  <c r="AB112" i="98"/>
  <c r="AJ112" i="98" s="1"/>
  <c r="AX113" i="101" s="1"/>
  <c r="AE112" i="98"/>
  <c r="AM112" i="98" s="1"/>
  <c r="BA113" i="101" s="1"/>
  <c r="AC112" i="98"/>
  <c r="AK112" i="98" s="1"/>
  <c r="AY113" i="101" s="1"/>
  <c r="AA112" i="98"/>
  <c r="AI112" i="98" s="1"/>
  <c r="AW113" i="101" s="1"/>
  <c r="BC112" i="101" l="1"/>
  <c r="AE113" i="98"/>
  <c r="AM113" i="98" s="1"/>
  <c r="BA114" i="101" s="1"/>
  <c r="AD113" i="98"/>
  <c r="AL113" i="98" s="1"/>
  <c r="AZ114" i="101" s="1"/>
  <c r="AC113" i="98"/>
  <c r="AK113" i="98" s="1"/>
  <c r="AY114" i="101" s="1"/>
  <c r="AB113" i="98"/>
  <c r="AJ113" i="98" s="1"/>
  <c r="AX114" i="101" s="1"/>
  <c r="AA113" i="98"/>
  <c r="AI113" i="98" s="1"/>
  <c r="AW114" i="101" s="1"/>
  <c r="BC113" i="101" l="1"/>
  <c r="AD114" i="98"/>
  <c r="AL114" i="98" s="1"/>
  <c r="AZ115" i="101" s="1"/>
  <c r="AB114" i="98"/>
  <c r="AJ114" i="98" s="1"/>
  <c r="AX115" i="101" s="1"/>
  <c r="AC114" i="98"/>
  <c r="AK114" i="98" s="1"/>
  <c r="AY115" i="101" s="1"/>
  <c r="AA114" i="98"/>
  <c r="AI114" i="98" s="1"/>
  <c r="AW115" i="101" s="1"/>
  <c r="AE114" i="98"/>
  <c r="AM114" i="98" s="1"/>
  <c r="BA115" i="101" s="1"/>
  <c r="BC114" i="101" l="1"/>
  <c r="AC115" i="98"/>
  <c r="AK115" i="98" s="1"/>
  <c r="AY116" i="101" s="1"/>
  <c r="AD115" i="98"/>
  <c r="AL115" i="98" s="1"/>
  <c r="AZ116" i="101" s="1"/>
  <c r="AB115" i="98"/>
  <c r="AJ115" i="98" s="1"/>
  <c r="AX116" i="101" s="1"/>
  <c r="AE115" i="98"/>
  <c r="AM115" i="98" s="1"/>
  <c r="BA116" i="101" s="1"/>
  <c r="AA115" i="98"/>
  <c r="AI115" i="98" s="1"/>
  <c r="AW116" i="101" s="1"/>
  <c r="BC115" i="101" l="1"/>
  <c r="AE116" i="98"/>
  <c r="AM116" i="98" s="1"/>
  <c r="BA117" i="101" s="1"/>
  <c r="AD116" i="98"/>
  <c r="AL116" i="98" s="1"/>
  <c r="AZ117" i="101" s="1"/>
  <c r="AC116" i="98"/>
  <c r="AK116" i="98" s="1"/>
  <c r="AY117" i="101" s="1"/>
  <c r="AB116" i="98"/>
  <c r="AJ116" i="98" s="1"/>
  <c r="AX117" i="101" s="1"/>
  <c r="AA116" i="98"/>
  <c r="AI116" i="98" s="1"/>
  <c r="AW117" i="101" s="1"/>
  <c r="BC116" i="101" l="1"/>
  <c r="AD117" i="98"/>
  <c r="AL117" i="98" s="1"/>
  <c r="AZ118" i="101" s="1"/>
  <c r="AE117" i="98"/>
  <c r="AM117" i="98" s="1"/>
  <c r="BA118" i="101" s="1"/>
  <c r="AC117" i="98"/>
  <c r="AK117" i="98" s="1"/>
  <c r="AY118" i="101" s="1"/>
  <c r="AB117" i="98"/>
  <c r="AJ117" i="98" s="1"/>
  <c r="AX118" i="101" s="1"/>
  <c r="AA117" i="98"/>
  <c r="AI117" i="98" s="1"/>
  <c r="AW118" i="101" s="1"/>
  <c r="BC117" i="101" l="1"/>
  <c r="AB118" i="98"/>
  <c r="AJ118" i="98" s="1"/>
  <c r="AX119" i="101" s="1"/>
  <c r="AE118" i="98"/>
  <c r="AM118" i="98" s="1"/>
  <c r="BA119" i="101" s="1"/>
  <c r="AC118" i="98"/>
  <c r="AK118" i="98" s="1"/>
  <c r="AY119" i="101" s="1"/>
  <c r="AA118" i="98"/>
  <c r="AI118" i="98" s="1"/>
  <c r="AW119" i="101" s="1"/>
  <c r="AD118" i="98"/>
  <c r="AL118" i="98" s="1"/>
  <c r="AZ119" i="101" s="1"/>
  <c r="BC118" i="101" l="1"/>
  <c r="AD119" i="98"/>
  <c r="AL119" i="98" s="1"/>
  <c r="AZ120" i="101" s="1"/>
  <c r="AC119" i="98"/>
  <c r="AK119" i="98" s="1"/>
  <c r="AY120" i="101" s="1"/>
  <c r="AB119" i="98"/>
  <c r="AJ119" i="98" s="1"/>
  <c r="AX120" i="101" s="1"/>
  <c r="AE119" i="98"/>
  <c r="AM119" i="98" s="1"/>
  <c r="BA120" i="101" s="1"/>
  <c r="AA119" i="98"/>
  <c r="AI119" i="98" s="1"/>
  <c r="AW120" i="101" s="1"/>
  <c r="BC119" i="101" l="1"/>
  <c r="AD120" i="98"/>
  <c r="AL120" i="98" s="1"/>
  <c r="AZ121" i="101" s="1"/>
  <c r="AC120" i="98"/>
  <c r="AK120" i="98" s="1"/>
  <c r="AY121" i="101" s="1"/>
  <c r="AB120" i="98"/>
  <c r="AJ120" i="98" s="1"/>
  <c r="AX121" i="101" s="1"/>
  <c r="AE120" i="98"/>
  <c r="AM120" i="98" s="1"/>
  <c r="BA121" i="101" s="1"/>
  <c r="AA120" i="98"/>
  <c r="AI120" i="98" s="1"/>
  <c r="AW121" i="101" s="1"/>
  <c r="BC120" i="101" l="1"/>
  <c r="AD121" i="98"/>
  <c r="AL121" i="98" s="1"/>
  <c r="AZ122" i="101" s="1"/>
  <c r="AB121" i="98"/>
  <c r="AJ121" i="98" s="1"/>
  <c r="AX122" i="101" s="1"/>
  <c r="AE121" i="98"/>
  <c r="AM121" i="98" s="1"/>
  <c r="BA122" i="101" s="1"/>
  <c r="AC121" i="98"/>
  <c r="AK121" i="98" s="1"/>
  <c r="AY122" i="101" s="1"/>
  <c r="AA121" i="98"/>
  <c r="AI121" i="98" s="1"/>
  <c r="AW122" i="101" s="1"/>
  <c r="BC121" i="101" l="1"/>
  <c r="AE122" i="98"/>
  <c r="AM122" i="98" s="1"/>
  <c r="BA123" i="101" s="1"/>
  <c r="AD122" i="98"/>
  <c r="AL122" i="98" s="1"/>
  <c r="AZ123" i="101" s="1"/>
  <c r="AC122" i="98"/>
  <c r="AK122" i="98" s="1"/>
  <c r="AY123" i="101" s="1"/>
  <c r="AB122" i="98"/>
  <c r="AJ122" i="98" s="1"/>
  <c r="AX123" i="101" s="1"/>
  <c r="AA122" i="98"/>
  <c r="AI122" i="98" s="1"/>
  <c r="AW123" i="101" s="1"/>
  <c r="BC122" i="101" l="1"/>
  <c r="AB123" i="98"/>
  <c r="AJ123" i="98" s="1"/>
  <c r="AX124" i="101" s="1"/>
  <c r="AC123" i="98"/>
  <c r="AK123" i="98" s="1"/>
  <c r="AY124" i="101" s="1"/>
  <c r="AE123" i="98"/>
  <c r="AM123" i="98" s="1"/>
  <c r="BA124" i="101" s="1"/>
  <c r="AD123" i="98"/>
  <c r="AL123" i="98" s="1"/>
  <c r="AZ124" i="101" s="1"/>
  <c r="AA123" i="98"/>
  <c r="AI123" i="98" s="1"/>
  <c r="AW124" i="101" s="1"/>
  <c r="BC123" i="101" l="1"/>
  <c r="AC124" i="98"/>
  <c r="AK124" i="98" s="1"/>
  <c r="AY125" i="101" s="1"/>
  <c r="AD124" i="98"/>
  <c r="AL124" i="98" s="1"/>
  <c r="AZ125" i="101" s="1"/>
  <c r="AA124" i="98"/>
  <c r="AI124" i="98" s="1"/>
  <c r="AW125" i="101" s="1"/>
  <c r="AB124" i="98"/>
  <c r="AJ124" i="98" s="1"/>
  <c r="AX125" i="101" s="1"/>
  <c r="AE124" i="98"/>
  <c r="AM124" i="98" s="1"/>
  <c r="BA125" i="101" s="1"/>
  <c r="BC124" i="101" l="1"/>
  <c r="AE125" i="98"/>
  <c r="AM125" i="98" s="1"/>
  <c r="BA126" i="101" s="1"/>
  <c r="AD125" i="98"/>
  <c r="AL125" i="98" s="1"/>
  <c r="AZ126" i="101" s="1"/>
  <c r="AC125" i="98"/>
  <c r="AK125" i="98" s="1"/>
  <c r="AY126" i="101" s="1"/>
  <c r="AB125" i="98"/>
  <c r="AJ125" i="98" s="1"/>
  <c r="AX126" i="101" s="1"/>
  <c r="AA125" i="98"/>
  <c r="AI125" i="98" s="1"/>
  <c r="AW126" i="101" s="1"/>
  <c r="BC125" i="101" l="1"/>
  <c r="AE126" i="98"/>
  <c r="AM126" i="98" s="1"/>
  <c r="BA127" i="101" s="1"/>
  <c r="AC126" i="98"/>
  <c r="AK126" i="98" s="1"/>
  <c r="AY127" i="101" s="1"/>
  <c r="AB126" i="98"/>
  <c r="AJ126" i="98" s="1"/>
  <c r="AX127" i="101" s="1"/>
  <c r="AD126" i="98"/>
  <c r="AL126" i="98" s="1"/>
  <c r="AZ127" i="101" s="1"/>
  <c r="AA126" i="98"/>
  <c r="AI126" i="98" s="1"/>
  <c r="AW127" i="101" s="1"/>
  <c r="BC126" i="101" l="1"/>
  <c r="AB127" i="98"/>
  <c r="AJ127" i="98" s="1"/>
  <c r="AX128" i="101" s="1"/>
  <c r="AE127" i="98"/>
  <c r="AM127" i="98" s="1"/>
  <c r="BA128" i="101" s="1"/>
  <c r="AD127" i="98"/>
  <c r="AL127" i="98" s="1"/>
  <c r="AZ128" i="101" s="1"/>
  <c r="AC127" i="98"/>
  <c r="AK127" i="98" s="1"/>
  <c r="AY128" i="101" s="1"/>
  <c r="AA127" i="98"/>
  <c r="AI127" i="98" s="1"/>
  <c r="AW128" i="101" s="1"/>
  <c r="BC127" i="101" l="1"/>
  <c r="AD128" i="98"/>
  <c r="AL128" i="98" s="1"/>
  <c r="AZ129" i="101" s="1"/>
  <c r="AC128" i="98"/>
  <c r="AK128" i="98" s="1"/>
  <c r="AY129" i="101" s="1"/>
  <c r="AE128" i="98"/>
  <c r="AM128" i="98" s="1"/>
  <c r="BA129" i="101" s="1"/>
  <c r="AB128" i="98"/>
  <c r="AJ128" i="98" s="1"/>
  <c r="AX129" i="101" s="1"/>
  <c r="AA128" i="98"/>
  <c r="AI128" i="98" s="1"/>
  <c r="AW129" i="101" s="1"/>
  <c r="BC128" i="101" l="1"/>
  <c r="AC129" i="98"/>
  <c r="AK129" i="98" s="1"/>
  <c r="AY130" i="101" s="1"/>
  <c r="AD129" i="98"/>
  <c r="AL129" i="98" s="1"/>
  <c r="AZ130" i="101" s="1"/>
  <c r="AB129" i="98"/>
  <c r="AJ129" i="98" s="1"/>
  <c r="AX130" i="101" s="1"/>
  <c r="AE129" i="98"/>
  <c r="AM129" i="98" s="1"/>
  <c r="BA130" i="101" s="1"/>
  <c r="AA129" i="98"/>
  <c r="AI129" i="98" s="1"/>
  <c r="AW130" i="101" s="1"/>
  <c r="BC129" i="101" l="1"/>
  <c r="AD130" i="98"/>
  <c r="AL130" i="98" s="1"/>
  <c r="AZ131" i="101" s="1"/>
  <c r="AB130" i="98"/>
  <c r="AJ130" i="98" s="1"/>
  <c r="AX131" i="101" s="1"/>
  <c r="AE130" i="98"/>
  <c r="AM130" i="98" s="1"/>
  <c r="BA131" i="101" s="1"/>
  <c r="AC130" i="98"/>
  <c r="AK130" i="98" s="1"/>
  <c r="AY131" i="101" s="1"/>
  <c r="AA130" i="98"/>
  <c r="AI130" i="98" s="1"/>
  <c r="AW131" i="101" s="1"/>
  <c r="BC130" i="101" l="1"/>
  <c r="AB131" i="98"/>
  <c r="AJ131" i="98" s="1"/>
  <c r="AX132" i="101" s="1"/>
  <c r="AE131" i="98"/>
  <c r="AM131" i="98" s="1"/>
  <c r="BA132" i="101" s="1"/>
  <c r="AD131" i="98"/>
  <c r="AL131" i="98" s="1"/>
  <c r="AZ132" i="101" s="1"/>
  <c r="AC131" i="98"/>
  <c r="AK131" i="98" s="1"/>
  <c r="AY132" i="101" s="1"/>
  <c r="AA131" i="98"/>
  <c r="AI131" i="98" s="1"/>
  <c r="AW132" i="101" s="1"/>
  <c r="BC131" i="101" l="1"/>
  <c r="AB132" i="98"/>
  <c r="AJ132" i="98" s="1"/>
  <c r="AX133" i="101" s="1"/>
  <c r="AD132" i="98"/>
  <c r="AL132" i="98" s="1"/>
  <c r="AZ133" i="101" s="1"/>
  <c r="AC132" i="98"/>
  <c r="AK132" i="98" s="1"/>
  <c r="AY133" i="101" s="1"/>
  <c r="AE132" i="98"/>
  <c r="AM132" i="98" s="1"/>
  <c r="BA133" i="101" s="1"/>
  <c r="AA132" i="98"/>
  <c r="AI132" i="98" s="1"/>
  <c r="AW133" i="101" s="1"/>
  <c r="BC132" i="101" l="1"/>
  <c r="AC133" i="98"/>
  <c r="AK133" i="98" s="1"/>
  <c r="AY134" i="101" s="1"/>
  <c r="AD133" i="98"/>
  <c r="AL133" i="98" s="1"/>
  <c r="AZ134" i="101" s="1"/>
  <c r="AA133" i="98"/>
  <c r="AI133" i="98" s="1"/>
  <c r="AW134" i="101" s="1"/>
  <c r="AB133" i="98"/>
  <c r="AJ133" i="98" s="1"/>
  <c r="AX134" i="101" s="1"/>
  <c r="AE133" i="98"/>
  <c r="AM133" i="98" s="1"/>
  <c r="BA134" i="101" s="1"/>
  <c r="BC133" i="101" l="1"/>
  <c r="AE134" i="98"/>
  <c r="AM134" i="98" s="1"/>
  <c r="BA135" i="101" s="1"/>
  <c r="AB134" i="98"/>
  <c r="AJ134" i="98" s="1"/>
  <c r="AX135" i="101" s="1"/>
  <c r="AD134" i="98"/>
  <c r="AL134" i="98" s="1"/>
  <c r="AZ135" i="101" s="1"/>
  <c r="AC134" i="98"/>
  <c r="AK134" i="98" s="1"/>
  <c r="AY135" i="101" s="1"/>
  <c r="AA134" i="98"/>
  <c r="AI134" i="98" s="1"/>
  <c r="AW135" i="101" s="1"/>
  <c r="AD135" i="98" l="1"/>
  <c r="AL135" i="98" s="1"/>
  <c r="AZ136" i="101" s="1"/>
  <c r="AE135" i="98"/>
  <c r="AM135" i="98" s="1"/>
  <c r="BA136" i="101" s="1"/>
  <c r="AC135" i="98"/>
  <c r="AK135" i="98" s="1"/>
  <c r="AY136" i="101" s="1"/>
  <c r="AB135" i="98"/>
  <c r="AJ135" i="98" s="1"/>
  <c r="AX136" i="101" s="1"/>
  <c r="AA135" i="98"/>
  <c r="AI135" i="98" s="1"/>
  <c r="AW136" i="101" s="1"/>
  <c r="BC134" i="101"/>
  <c r="AB136" i="98" l="1"/>
  <c r="AJ136" i="98" s="1"/>
  <c r="AX137" i="101" s="1"/>
  <c r="AE136" i="98"/>
  <c r="AM136" i="98" s="1"/>
  <c r="BA137" i="101" s="1"/>
  <c r="AC136" i="98"/>
  <c r="AK136" i="98" s="1"/>
  <c r="AY137" i="101" s="1"/>
  <c r="AD136" i="98"/>
  <c r="AL136" i="98" s="1"/>
  <c r="AZ137" i="101" s="1"/>
  <c r="AA136" i="98"/>
  <c r="AI136" i="98" s="1"/>
  <c r="AW137" i="101" s="1"/>
  <c r="BC135" i="101"/>
  <c r="BC136" i="101" l="1"/>
  <c r="AD137" i="98"/>
  <c r="AL137" i="98" s="1"/>
  <c r="AZ138" i="101" s="1"/>
  <c r="AC137" i="98"/>
  <c r="AK137" i="98" s="1"/>
  <c r="AY138" i="101" s="1"/>
  <c r="AE137" i="98"/>
  <c r="AM137" i="98" s="1"/>
  <c r="BA138" i="101" s="1"/>
  <c r="AB137" i="98"/>
  <c r="AJ137" i="98" s="1"/>
  <c r="AX138" i="101" s="1"/>
  <c r="AA137" i="98"/>
  <c r="AI137" i="98" s="1"/>
  <c r="AW138" i="101" s="1"/>
  <c r="BC137" i="101" l="1"/>
  <c r="AC138" i="98"/>
  <c r="AK138" i="98" s="1"/>
  <c r="AY139" i="101" s="1"/>
  <c r="AB138" i="98"/>
  <c r="AJ138" i="98" s="1"/>
  <c r="AX139" i="101" s="1"/>
  <c r="AE138" i="98"/>
  <c r="AM138" i="98" s="1"/>
  <c r="BA139" i="101" s="1"/>
  <c r="AD138" i="98"/>
  <c r="AL138" i="98" s="1"/>
  <c r="AZ139" i="101" s="1"/>
  <c r="AA138" i="98"/>
  <c r="AI138" i="98" s="1"/>
  <c r="AW139" i="101" s="1"/>
  <c r="BC138" i="101" l="1"/>
  <c r="AD139" i="98"/>
  <c r="AL139" i="98" s="1"/>
  <c r="AZ140" i="101" s="1"/>
  <c r="AB139" i="98"/>
  <c r="AJ139" i="98" s="1"/>
  <c r="AX140" i="101" s="1"/>
  <c r="AE139" i="98"/>
  <c r="AM139" i="98" s="1"/>
  <c r="BA140" i="101" s="1"/>
  <c r="AA139" i="98"/>
  <c r="AI139" i="98" s="1"/>
  <c r="AW140" i="101" s="1"/>
  <c r="AC139" i="98"/>
  <c r="AK139" i="98" s="1"/>
  <c r="AY140" i="101" s="1"/>
  <c r="BC139" i="101" l="1"/>
  <c r="AE140" i="98"/>
  <c r="AM140" i="98" s="1"/>
  <c r="BA141" i="101" s="1"/>
  <c r="AD140" i="98"/>
  <c r="AL140" i="98" s="1"/>
  <c r="AZ141" i="101" s="1"/>
  <c r="AC140" i="98"/>
  <c r="AK140" i="98" s="1"/>
  <c r="AY141" i="101" s="1"/>
  <c r="AB140" i="98"/>
  <c r="AJ140" i="98" s="1"/>
  <c r="AX141" i="101" s="1"/>
  <c r="AA140" i="98"/>
  <c r="AI140" i="98" s="1"/>
  <c r="AW141" i="101" s="1"/>
  <c r="BC140" i="101" l="1"/>
  <c r="AD141" i="98"/>
  <c r="AL141" i="98" s="1"/>
  <c r="AZ142" i="101" s="1"/>
  <c r="AB141" i="98"/>
  <c r="AJ141" i="98" s="1"/>
  <c r="AX142" i="101" s="1"/>
  <c r="AC141" i="98"/>
  <c r="AK141" i="98" s="1"/>
  <c r="AY142" i="101" s="1"/>
  <c r="AA141" i="98"/>
  <c r="AI141" i="98" s="1"/>
  <c r="AW142" i="101" s="1"/>
  <c r="AE141" i="98"/>
  <c r="AM141" i="98" s="1"/>
  <c r="BA142" i="101" s="1"/>
  <c r="BC141" i="101" l="1"/>
  <c r="AC142" i="98"/>
  <c r="AK142" i="98" s="1"/>
  <c r="AY143" i="101" s="1"/>
  <c r="AD142" i="98"/>
  <c r="AL142" i="98" s="1"/>
  <c r="AZ143" i="101" s="1"/>
  <c r="AA142" i="98"/>
  <c r="AI142" i="98" s="1"/>
  <c r="AW143" i="101" s="1"/>
  <c r="AE142" i="98"/>
  <c r="AM142" i="98" s="1"/>
  <c r="BA143" i="101" s="1"/>
  <c r="AB142" i="98"/>
  <c r="AJ142" i="98" s="1"/>
  <c r="AX143" i="101" s="1"/>
  <c r="BC142" i="101" l="1"/>
  <c r="AE143" i="98"/>
  <c r="AM143" i="98" s="1"/>
  <c r="BA144" i="101" s="1"/>
  <c r="AD143" i="98"/>
  <c r="AL143" i="98" s="1"/>
  <c r="AZ144" i="101" s="1"/>
  <c r="AC143" i="98"/>
  <c r="AK143" i="98" s="1"/>
  <c r="AY144" i="101" s="1"/>
  <c r="AB143" i="98"/>
  <c r="AJ143" i="98" s="1"/>
  <c r="AX144" i="101" s="1"/>
  <c r="AA143" i="98"/>
  <c r="AI143" i="98" s="1"/>
  <c r="AW144" i="101" s="1"/>
  <c r="BC143" i="101" l="1"/>
  <c r="AE144" i="98"/>
  <c r="AM144" i="98" s="1"/>
  <c r="BA145" i="101" s="1"/>
  <c r="AC144" i="98"/>
  <c r="AK144" i="98" s="1"/>
  <c r="AY145" i="101" s="1"/>
  <c r="AB144" i="98"/>
  <c r="AJ144" i="98" s="1"/>
  <c r="AX145" i="101" s="1"/>
  <c r="AD144" i="98"/>
  <c r="AL144" i="98" s="1"/>
  <c r="AZ145" i="101" s="1"/>
  <c r="AA144" i="98"/>
  <c r="AI144" i="98" s="1"/>
  <c r="AW145" i="101" s="1"/>
  <c r="BC144" i="101" l="1"/>
  <c r="AB145" i="98"/>
  <c r="AJ145" i="98" s="1"/>
  <c r="AX146" i="101" s="1"/>
  <c r="AE145" i="98"/>
  <c r="AM145" i="98" s="1"/>
  <c r="BA146" i="101" s="1"/>
  <c r="AC145" i="98"/>
  <c r="AK145" i="98" s="1"/>
  <c r="AY146" i="101" s="1"/>
  <c r="AD145" i="98"/>
  <c r="AL145" i="98" s="1"/>
  <c r="AZ146" i="101" s="1"/>
  <c r="AA145" i="98"/>
  <c r="AI145" i="98" s="1"/>
  <c r="AW146" i="101" s="1"/>
  <c r="BC145" i="101" l="1"/>
  <c r="AD146" i="98"/>
  <c r="AL146" i="98" s="1"/>
  <c r="AZ147" i="101" s="1"/>
  <c r="AC146" i="98"/>
  <c r="AK146" i="98" s="1"/>
  <c r="AY147" i="101" s="1"/>
  <c r="AB146" i="98"/>
  <c r="AJ146" i="98" s="1"/>
  <c r="AX147" i="101" s="1"/>
  <c r="AE146" i="98"/>
  <c r="AM146" i="98" s="1"/>
  <c r="BA147" i="101" s="1"/>
  <c r="AA146" i="98"/>
  <c r="AI146" i="98" s="1"/>
  <c r="AW147" i="101" s="1"/>
  <c r="BC146" i="101" l="1"/>
  <c r="AC147" i="98"/>
  <c r="AK147" i="98" s="1"/>
  <c r="AY148" i="101" s="1"/>
  <c r="AB147" i="98"/>
  <c r="AJ147" i="98" s="1"/>
  <c r="AX148" i="101" s="1"/>
  <c r="AD147" i="98"/>
  <c r="AL147" i="98" s="1"/>
  <c r="AZ148" i="101" s="1"/>
  <c r="AE147" i="98"/>
  <c r="AM147" i="98" s="1"/>
  <c r="BA148" i="101" s="1"/>
  <c r="AA147" i="98"/>
  <c r="AI147" i="98" s="1"/>
  <c r="AW148" i="101" s="1"/>
  <c r="BC147" i="101" l="1"/>
  <c r="AD148" i="98"/>
  <c r="AL148" i="98" s="1"/>
  <c r="AZ149" i="101" s="1"/>
  <c r="AB148" i="98"/>
  <c r="AJ148" i="98" s="1"/>
  <c r="AX149" i="101" s="1"/>
  <c r="AE148" i="98"/>
  <c r="AM148" i="98" s="1"/>
  <c r="BA149" i="101" s="1"/>
  <c r="AC148" i="98"/>
  <c r="AK148" i="98" s="1"/>
  <c r="AY149" i="101" s="1"/>
  <c r="AA148" i="98"/>
  <c r="AI148" i="98" s="1"/>
  <c r="AW149" i="101" s="1"/>
  <c r="BC148" i="101" l="1"/>
  <c r="AB149" i="98"/>
  <c r="AJ149" i="98" s="1"/>
  <c r="AX150" i="101" s="1"/>
  <c r="AE149" i="98"/>
  <c r="AM149" i="98" s="1"/>
  <c r="BA150" i="101" s="1"/>
  <c r="AD149" i="98"/>
  <c r="AL149" i="98" s="1"/>
  <c r="AZ150" i="101" s="1"/>
  <c r="AC149" i="98"/>
  <c r="AK149" i="98" s="1"/>
  <c r="AY150" i="101" s="1"/>
  <c r="AA149" i="98"/>
  <c r="AI149" i="98" s="1"/>
  <c r="AW150" i="101" s="1"/>
  <c r="BC149" i="101" l="1"/>
  <c r="AB150" i="98"/>
  <c r="AJ150" i="98" s="1"/>
  <c r="AX151" i="101" s="1"/>
  <c r="AD150" i="98"/>
  <c r="AL150" i="98" s="1"/>
  <c r="AZ151" i="101" s="1"/>
  <c r="AC150" i="98"/>
  <c r="AK150" i="98" s="1"/>
  <c r="AY151" i="101" s="1"/>
  <c r="AA150" i="98"/>
  <c r="AI150" i="98" s="1"/>
  <c r="AW151" i="101" s="1"/>
  <c r="AE150" i="98"/>
  <c r="AM150" i="98" s="1"/>
  <c r="BA151" i="101" s="1"/>
  <c r="BC150" i="101" l="1"/>
  <c r="AC151" i="98"/>
  <c r="AK151" i="98" s="1"/>
  <c r="AY152" i="101" s="1"/>
  <c r="AD151" i="98"/>
  <c r="AL151" i="98" s="1"/>
  <c r="AZ152" i="101" s="1"/>
  <c r="AB151" i="98"/>
  <c r="AJ151" i="98" s="1"/>
  <c r="AX152" i="101" s="1"/>
  <c r="AE151" i="98"/>
  <c r="AM151" i="98" s="1"/>
  <c r="BA152" i="101" s="1"/>
  <c r="AA151" i="98"/>
  <c r="AI151" i="98" s="1"/>
  <c r="AW152" i="101" s="1"/>
  <c r="BC151" i="101" l="1"/>
  <c r="AB152" i="98"/>
  <c r="AJ152" i="98" s="1"/>
  <c r="AX153" i="101" s="1"/>
  <c r="AE152" i="98"/>
  <c r="AM152" i="98" s="1"/>
  <c r="BA153" i="101" s="1"/>
  <c r="AD152" i="98"/>
  <c r="AL152" i="98" s="1"/>
  <c r="AZ153" i="101" s="1"/>
  <c r="AC152" i="98"/>
  <c r="AK152" i="98" s="1"/>
  <c r="AY153" i="101" s="1"/>
  <c r="AA152" i="98"/>
  <c r="AI152" i="98" s="1"/>
  <c r="AW153" i="101" s="1"/>
  <c r="BC152" i="101" l="1"/>
  <c r="AD153" i="98"/>
  <c r="AL153" i="98" s="1"/>
  <c r="AZ154" i="101" s="1"/>
  <c r="AE153" i="98"/>
  <c r="AM153" i="98" s="1"/>
  <c r="BA154" i="101" s="1"/>
  <c r="AC153" i="98"/>
  <c r="AK153" i="98" s="1"/>
  <c r="AY154" i="101" s="1"/>
  <c r="AB153" i="98"/>
  <c r="AJ153" i="98" s="1"/>
  <c r="AX154" i="101" s="1"/>
  <c r="AA153" i="98"/>
  <c r="AI153" i="98" s="1"/>
  <c r="AW154" i="101" s="1"/>
  <c r="BC153" i="101" l="1"/>
  <c r="AB154" i="98"/>
  <c r="AJ154" i="98" s="1"/>
  <c r="AX155" i="101" s="1"/>
  <c r="AE154" i="98"/>
  <c r="AM154" i="98" s="1"/>
  <c r="BA155" i="101" s="1"/>
  <c r="AC154" i="98"/>
  <c r="AK154" i="98" s="1"/>
  <c r="AY155" i="101" s="1"/>
  <c r="AD154" i="98"/>
  <c r="AL154" i="98" s="1"/>
  <c r="AZ155" i="101" s="1"/>
  <c r="AA154" i="98"/>
  <c r="AI154" i="98" s="1"/>
  <c r="AW155" i="101" s="1"/>
  <c r="BC154" i="101" l="1"/>
  <c r="AD155" i="98"/>
  <c r="AL155" i="98" s="1"/>
  <c r="AZ156" i="101" s="1"/>
  <c r="AC155" i="98"/>
  <c r="AK155" i="98" s="1"/>
  <c r="AY156" i="101" s="1"/>
  <c r="AB155" i="98"/>
  <c r="AJ155" i="98" s="1"/>
  <c r="AX156" i="101" s="1"/>
  <c r="AE155" i="98"/>
  <c r="AM155" i="98" s="1"/>
  <c r="BA156" i="101" s="1"/>
  <c r="AA155" i="98"/>
  <c r="AI155" i="98" s="1"/>
  <c r="AW156" i="101" s="1"/>
  <c r="BC155" i="101" l="1"/>
  <c r="AD156" i="98"/>
  <c r="AL156" i="98" s="1"/>
  <c r="AZ157" i="101" s="1"/>
  <c r="AC156" i="98"/>
  <c r="AK156" i="98" s="1"/>
  <c r="AY157" i="101" s="1"/>
  <c r="AB156" i="98"/>
  <c r="AJ156" i="98" s="1"/>
  <c r="AX157" i="101" s="1"/>
  <c r="AE156" i="98"/>
  <c r="AM156" i="98" s="1"/>
  <c r="BA157" i="101" s="1"/>
  <c r="AA156" i="98"/>
  <c r="AI156" i="98" s="1"/>
  <c r="AW157" i="101" s="1"/>
  <c r="BC156" i="101" l="1"/>
  <c r="AD157" i="98"/>
  <c r="AL157" i="98" s="1"/>
  <c r="AZ158" i="101" s="1"/>
  <c r="AB157" i="98"/>
  <c r="AJ157" i="98" s="1"/>
  <c r="AX158" i="101" s="1"/>
  <c r="AE157" i="98"/>
  <c r="AM157" i="98" s="1"/>
  <c r="BA158" i="101" s="1"/>
  <c r="AC157" i="98"/>
  <c r="AK157" i="98" s="1"/>
  <c r="AY158" i="101" s="1"/>
  <c r="AA157" i="98"/>
  <c r="AI157" i="98" s="1"/>
  <c r="AW158" i="101" s="1"/>
  <c r="BC157" i="101" l="1"/>
  <c r="AE158" i="98"/>
  <c r="AM158" i="98" s="1"/>
  <c r="BA159" i="101" s="1"/>
  <c r="AD158" i="98"/>
  <c r="AL158" i="98" s="1"/>
  <c r="AZ159" i="101" s="1"/>
  <c r="AC158" i="98"/>
  <c r="AK158" i="98" s="1"/>
  <c r="AY159" i="101" s="1"/>
  <c r="AA158" i="98"/>
  <c r="AI158" i="98" s="1"/>
  <c r="AW159" i="101" s="1"/>
  <c r="AB158" i="98"/>
  <c r="AJ158" i="98" s="1"/>
  <c r="AX159" i="101" s="1"/>
  <c r="BC158" i="101" l="1"/>
  <c r="AB159" i="98"/>
  <c r="AJ159" i="98" s="1"/>
  <c r="AX160" i="101" s="1"/>
  <c r="AC159" i="98"/>
  <c r="AK159" i="98" s="1"/>
  <c r="AY160" i="101" s="1"/>
  <c r="AD159" i="98"/>
  <c r="AL159" i="98" s="1"/>
  <c r="AZ160" i="101" s="1"/>
  <c r="AE159" i="98"/>
  <c r="AM159" i="98" s="1"/>
  <c r="BA160" i="101" s="1"/>
  <c r="AA159" i="98"/>
  <c r="AI159" i="98" s="1"/>
  <c r="AW160" i="101" s="1"/>
  <c r="BC159" i="101" l="1"/>
  <c r="AC160" i="98"/>
  <c r="AK160" i="98" s="1"/>
  <c r="AY161" i="101" s="1"/>
  <c r="AD160" i="98"/>
  <c r="AL160" i="98" s="1"/>
  <c r="AZ161" i="101" s="1"/>
  <c r="AA160" i="98"/>
  <c r="AI160" i="98" s="1"/>
  <c r="AW161" i="101" s="1"/>
  <c r="AB160" i="98"/>
  <c r="AJ160" i="98" s="1"/>
  <c r="AX161" i="101" s="1"/>
  <c r="AE160" i="98"/>
  <c r="AM160" i="98" s="1"/>
  <c r="BA161" i="101" s="1"/>
  <c r="BC160" i="101" l="1"/>
  <c r="AE161" i="98"/>
  <c r="AM161" i="98" s="1"/>
  <c r="BA162" i="101" s="1"/>
  <c r="AD161" i="98"/>
  <c r="AL161" i="98" s="1"/>
  <c r="AZ162" i="101" s="1"/>
  <c r="AC161" i="98"/>
  <c r="AK161" i="98" s="1"/>
  <c r="AY162" i="101" s="1"/>
  <c r="AB161" i="98"/>
  <c r="AJ161" i="98" s="1"/>
  <c r="AX162" i="101" s="1"/>
  <c r="AA161" i="98"/>
  <c r="AI161" i="98" s="1"/>
  <c r="AW162" i="101" s="1"/>
  <c r="BC161" i="101" l="1"/>
  <c r="AE162" i="98"/>
  <c r="AM162" i="98" s="1"/>
  <c r="BA163" i="101" s="1"/>
  <c r="AC162" i="98"/>
  <c r="AK162" i="98" s="1"/>
  <c r="AY163" i="101" s="1"/>
  <c r="AB162" i="98"/>
  <c r="AJ162" i="98" s="1"/>
  <c r="AX163" i="101" s="1"/>
  <c r="AD162" i="98"/>
  <c r="AL162" i="98" s="1"/>
  <c r="AZ163" i="101" s="1"/>
  <c r="AA162" i="98"/>
  <c r="AI162" i="98" s="1"/>
  <c r="AW163" i="101" s="1"/>
  <c r="BC162" i="101" l="1"/>
  <c r="AB163" i="98"/>
  <c r="AJ163" i="98" s="1"/>
  <c r="AX164" i="101" s="1"/>
  <c r="AE163" i="98"/>
  <c r="AM163" i="98" s="1"/>
  <c r="BA164" i="101" s="1"/>
  <c r="AC163" i="98"/>
  <c r="AK163" i="98" s="1"/>
  <c r="AY164" i="101" s="1"/>
  <c r="AD163" i="98"/>
  <c r="AL163" i="98" s="1"/>
  <c r="AZ164" i="101" s="1"/>
  <c r="AA163" i="98"/>
  <c r="AI163" i="98" s="1"/>
  <c r="AW164" i="101" s="1"/>
  <c r="BC163" i="101" l="1"/>
  <c r="AD164" i="98"/>
  <c r="AL164" i="98" s="1"/>
  <c r="AZ165" i="101" s="1"/>
  <c r="AC164" i="98"/>
  <c r="AK164" i="98" s="1"/>
  <c r="AY165" i="101" s="1"/>
  <c r="AB164" i="98"/>
  <c r="AJ164" i="98" s="1"/>
  <c r="AX165" i="101" s="1"/>
  <c r="AE164" i="98"/>
  <c r="AM164" i="98" s="1"/>
  <c r="BA165" i="101" s="1"/>
  <c r="AA164" i="98"/>
  <c r="AI164" i="98" s="1"/>
  <c r="AW165" i="101" s="1"/>
  <c r="BC164" i="101" l="1"/>
  <c r="BC165" i="101" l="1"/>
  <c r="CV198" i="101" l="1"/>
  <c r="CV192" i="101"/>
  <c r="CV186" i="101"/>
  <c r="CV199" i="101"/>
  <c r="CV193" i="101"/>
  <c r="CV187" i="101"/>
  <c r="CV194" i="101"/>
  <c r="CV188" i="101"/>
  <c r="CV195" i="101"/>
  <c r="CV189" i="101"/>
  <c r="CV196" i="101"/>
  <c r="CV190" i="101"/>
  <c r="CV184" i="101"/>
  <c r="CV197" i="101"/>
  <c r="CV191" i="101"/>
  <c r="CV185" i="101"/>
  <c r="CV109" i="101"/>
  <c r="CV108" i="101"/>
  <c r="CV107" i="101"/>
  <c r="CV103" i="101"/>
  <c r="CV105" i="101"/>
  <c r="CV102" i="101"/>
  <c r="CV99" i="101"/>
  <c r="CV96" i="101"/>
  <c r="CV106" i="101"/>
  <c r="CV104" i="101"/>
  <c r="CV97" i="101"/>
  <c r="CV101" i="101"/>
  <c r="CV98" i="101"/>
  <c r="CV95" i="101"/>
  <c r="CV100" i="101"/>
  <c r="CV94" i="101"/>
  <c r="CV151" i="101"/>
  <c r="CV145" i="101"/>
  <c r="CV139" i="101"/>
  <c r="CV153" i="101"/>
  <c r="CV147" i="101"/>
  <c r="CV141" i="101"/>
  <c r="CV149" i="101"/>
  <c r="CV143" i="101"/>
  <c r="CV150" i="101"/>
  <c r="CV144" i="101"/>
  <c r="CV154" i="101"/>
  <c r="CV152" i="101"/>
  <c r="CV140" i="101"/>
  <c r="CV146" i="101"/>
  <c r="CV148" i="101"/>
  <c r="CV142" i="101"/>
  <c r="CV50" i="101"/>
  <c r="CV49" i="101"/>
  <c r="CV52" i="101"/>
  <c r="CV64" i="101"/>
  <c r="CV59" i="101"/>
  <c r="CV60" i="101"/>
  <c r="CV62" i="101"/>
  <c r="CV56" i="101"/>
  <c r="CV51" i="101"/>
  <c r="CV63" i="101"/>
  <c r="CV57" i="101"/>
  <c r="CV61" i="101"/>
  <c r="CV53" i="101"/>
  <c r="CV58" i="101"/>
  <c r="CV54" i="101"/>
  <c r="CV55" i="101"/>
  <c r="S110" i="103" l="1"/>
  <c r="R110" i="103"/>
  <c r="S58" i="103"/>
  <c r="U58" i="99"/>
  <c r="Q58" i="99"/>
  <c r="AI58" i="101"/>
  <c r="O58" i="103" l="1"/>
  <c r="AK58" i="103" s="1"/>
  <c r="S84" i="103"/>
  <c r="S32" i="103"/>
  <c r="S110" i="99"/>
  <c r="O110" i="99"/>
  <c r="M110" i="103" s="1"/>
  <c r="Q110" i="103"/>
  <c r="R58" i="103"/>
  <c r="U84" i="99"/>
  <c r="Q84" i="99"/>
  <c r="P110" i="99"/>
  <c r="Q110" i="99"/>
  <c r="U110" i="99"/>
  <c r="T110" i="99"/>
  <c r="AH110" i="101"/>
  <c r="AI110" i="101"/>
  <c r="AI84" i="101"/>
  <c r="AG110" i="101"/>
  <c r="W58" i="103" l="1"/>
  <c r="O84" i="103"/>
  <c r="AK84" i="103" s="1"/>
  <c r="O110" i="103"/>
  <c r="N110" i="103"/>
  <c r="R32" i="103"/>
  <c r="R84" i="103"/>
  <c r="S58" i="99"/>
  <c r="Q58" i="103"/>
  <c r="O58" i="99"/>
  <c r="M58" i="103" s="1"/>
  <c r="R110" i="99"/>
  <c r="V110" i="99" s="1"/>
  <c r="N110" i="99"/>
  <c r="L110" i="103" s="1"/>
  <c r="P110" i="103"/>
  <c r="U110" i="103"/>
  <c r="AI110" i="103"/>
  <c r="Q32" i="99"/>
  <c r="U32" i="99"/>
  <c r="P58" i="99"/>
  <c r="T58" i="99"/>
  <c r="AF110" i="101"/>
  <c r="AI32" i="101"/>
  <c r="AH58" i="101"/>
  <c r="AG58" i="101"/>
  <c r="AI58" i="103" l="1"/>
  <c r="W84" i="103"/>
  <c r="O32" i="103"/>
  <c r="N58" i="103"/>
  <c r="AJ58" i="103" s="1"/>
  <c r="AJ110" i="103"/>
  <c r="AK110" i="103"/>
  <c r="S84" i="99"/>
  <c r="Q84" i="103"/>
  <c r="O84" i="99"/>
  <c r="M84" i="103" s="1"/>
  <c r="Q33" i="103"/>
  <c r="S113" i="99"/>
  <c r="Q113" i="103"/>
  <c r="O113" i="99"/>
  <c r="S85" i="99"/>
  <c r="Q85" i="103"/>
  <c r="O85" i="99"/>
  <c r="M85" i="103" s="1"/>
  <c r="S111" i="99"/>
  <c r="Q111" i="103"/>
  <c r="Q32" i="103"/>
  <c r="S59" i="99"/>
  <c r="Q59" i="103"/>
  <c r="Q112" i="103"/>
  <c r="S112" i="99"/>
  <c r="O112" i="99"/>
  <c r="BC6" i="103"/>
  <c r="AJ110" i="101"/>
  <c r="R58" i="99"/>
  <c r="V58" i="99" s="1"/>
  <c r="P58" i="103"/>
  <c r="N58" i="99"/>
  <c r="L58" i="103" s="1"/>
  <c r="AH110" i="103"/>
  <c r="T110" i="103"/>
  <c r="U58" i="103"/>
  <c r="O111" i="99"/>
  <c r="O59" i="99"/>
  <c r="P32" i="99"/>
  <c r="T32" i="99"/>
  <c r="T84" i="99"/>
  <c r="P84" i="99"/>
  <c r="V110" i="103"/>
  <c r="W110" i="103"/>
  <c r="BJ33" i="103"/>
  <c r="AR45" i="101"/>
  <c r="AR11" i="101"/>
  <c r="AR7" i="101"/>
  <c r="AR27" i="101"/>
  <c r="AR8" i="101"/>
  <c r="BJ9" i="103"/>
  <c r="AF58" i="101"/>
  <c r="AR46" i="101"/>
  <c r="AR50" i="101"/>
  <c r="BJ53" i="103"/>
  <c r="BJ46" i="103"/>
  <c r="AR26" i="101"/>
  <c r="BJ18" i="103"/>
  <c r="AR43" i="101"/>
  <c r="BJ7" i="103"/>
  <c r="BJ51" i="103"/>
  <c r="BJ48" i="103"/>
  <c r="BJ19" i="103"/>
  <c r="BJ22" i="103"/>
  <c r="AR37" i="101"/>
  <c r="BJ17" i="103"/>
  <c r="AH84" i="101"/>
  <c r="AR9" i="101"/>
  <c r="BJ20" i="103"/>
  <c r="AR41" i="101"/>
  <c r="BJ37" i="103"/>
  <c r="AR49" i="101"/>
  <c r="AR40" i="101"/>
  <c r="BJ10" i="103"/>
  <c r="BJ13" i="103"/>
  <c r="BJ24" i="103"/>
  <c r="BJ29" i="103"/>
  <c r="BJ40" i="103"/>
  <c r="BJ50" i="103"/>
  <c r="AR38" i="101"/>
  <c r="AR39" i="101"/>
  <c r="AR13" i="101"/>
  <c r="BJ15" i="103"/>
  <c r="AR51" i="101"/>
  <c r="AR35" i="101"/>
  <c r="BJ25" i="103"/>
  <c r="AR17" i="101"/>
  <c r="BJ32" i="103"/>
  <c r="AG113" i="101"/>
  <c r="BJ39" i="103"/>
  <c r="AR44" i="101"/>
  <c r="BJ11" i="103"/>
  <c r="AR42" i="101"/>
  <c r="AR25" i="101"/>
  <c r="BJ43" i="103"/>
  <c r="BJ27" i="103"/>
  <c r="AR33" i="101"/>
  <c r="AR15" i="101"/>
  <c r="BJ21" i="103"/>
  <c r="AR21" i="101"/>
  <c r="AR24" i="101"/>
  <c r="AR28" i="101"/>
  <c r="AR48" i="101"/>
  <c r="AR19" i="101"/>
  <c r="AG112" i="101"/>
  <c r="BJ8" i="103"/>
  <c r="AR30" i="101"/>
  <c r="BJ44" i="103"/>
  <c r="BJ35" i="103"/>
  <c r="BJ28" i="103"/>
  <c r="BJ41" i="103"/>
  <c r="BJ6" i="103"/>
  <c r="AR29" i="101"/>
  <c r="AR54" i="101"/>
  <c r="AR10" i="101"/>
  <c r="BJ26" i="103"/>
  <c r="AR20" i="101"/>
  <c r="AG85" i="101"/>
  <c r="BJ47" i="103"/>
  <c r="AR34" i="101"/>
  <c r="AR53" i="101"/>
  <c r="AR12" i="101"/>
  <c r="BJ23" i="103"/>
  <c r="AR22" i="101"/>
  <c r="AR14" i="101"/>
  <c r="BJ54" i="103"/>
  <c r="BJ45" i="103"/>
  <c r="AR16" i="101"/>
  <c r="BJ14" i="103"/>
  <c r="AG84" i="101"/>
  <c r="BJ49" i="103"/>
  <c r="BJ42" i="103"/>
  <c r="AR18" i="101"/>
  <c r="BJ31" i="103"/>
  <c r="AR36" i="101"/>
  <c r="AR23" i="101"/>
  <c r="BJ12" i="103"/>
  <c r="BJ16" i="103"/>
  <c r="AR31" i="101"/>
  <c r="BJ52" i="103"/>
  <c r="AH32" i="101"/>
  <c r="AR52" i="101"/>
  <c r="AR6" i="101"/>
  <c r="AR32" i="101"/>
  <c r="AR47" i="101"/>
  <c r="BJ38" i="103"/>
  <c r="BJ34" i="103"/>
  <c r="BJ30" i="103"/>
  <c r="BJ36" i="103"/>
  <c r="AH58" i="103" l="1"/>
  <c r="N32" i="103"/>
  <c r="AK32" i="103"/>
  <c r="N84" i="103"/>
  <c r="P32" i="103"/>
  <c r="R32" i="99"/>
  <c r="N32" i="99"/>
  <c r="L32" i="103" s="1"/>
  <c r="T32" i="103" s="1"/>
  <c r="AI85" i="103"/>
  <c r="U85" i="103"/>
  <c r="R84" i="99"/>
  <c r="V84" i="99" s="1"/>
  <c r="P84" i="103"/>
  <c r="N84" i="99"/>
  <c r="L84" i="103" s="1"/>
  <c r="T84" i="103" s="1"/>
  <c r="U84" i="103"/>
  <c r="AI84" i="103"/>
  <c r="BA6" i="103"/>
  <c r="M112" i="103"/>
  <c r="AI112" i="103" s="1"/>
  <c r="M113" i="103"/>
  <c r="AI113" i="103" s="1"/>
  <c r="AJ58" i="101"/>
  <c r="M59" i="103"/>
  <c r="AI59" i="103" s="1"/>
  <c r="M111" i="103"/>
  <c r="T58" i="103"/>
  <c r="BK8" i="101"/>
  <c r="BK12" i="101"/>
  <c r="BK39" i="101"/>
  <c r="BK10" i="101"/>
  <c r="BK51" i="101"/>
  <c r="BK15" i="101"/>
  <c r="BK18" i="101"/>
  <c r="BK37" i="101"/>
  <c r="BK38" i="101"/>
  <c r="BK21" i="101"/>
  <c r="BK7" i="101"/>
  <c r="BK26" i="101"/>
  <c r="BK49" i="101"/>
  <c r="BK42" i="101"/>
  <c r="BK22" i="101"/>
  <c r="BK17" i="101"/>
  <c r="BK16" i="101"/>
  <c r="BK54" i="101"/>
  <c r="BK6" i="101"/>
  <c r="BK53" i="101"/>
  <c r="BK52" i="101"/>
  <c r="BK25" i="101"/>
  <c r="BK50" i="101"/>
  <c r="BK35" i="101"/>
  <c r="BK47" i="101"/>
  <c r="BK46" i="101"/>
  <c r="BK29" i="101"/>
  <c r="BK40" i="101"/>
  <c r="BK44" i="101"/>
  <c r="BK9" i="101"/>
  <c r="BK30" i="101"/>
  <c r="BK32" i="101"/>
  <c r="BK13" i="101"/>
  <c r="BK34" i="101"/>
  <c r="BK28" i="101"/>
  <c r="BK11" i="101"/>
  <c r="BK45" i="101"/>
  <c r="BK19" i="101"/>
  <c r="BK33" i="101"/>
  <c r="BK31" i="101"/>
  <c r="BK24" i="101"/>
  <c r="BK27" i="101"/>
  <c r="BK41" i="101"/>
  <c r="BK48" i="101"/>
  <c r="BK36" i="101"/>
  <c r="BK20" i="101"/>
  <c r="BK14" i="101"/>
  <c r="BK23" i="101"/>
  <c r="BK43" i="101"/>
  <c r="W32" i="103"/>
  <c r="S32" i="99"/>
  <c r="O32" i="99"/>
  <c r="V58" i="103"/>
  <c r="BH37" i="103"/>
  <c r="BH12" i="103"/>
  <c r="BH48" i="103"/>
  <c r="AF32" i="101"/>
  <c r="BH15" i="103"/>
  <c r="BH41" i="103"/>
  <c r="BH46" i="103"/>
  <c r="BH17" i="103"/>
  <c r="BH14" i="103"/>
  <c r="BH39" i="103"/>
  <c r="BH36" i="103"/>
  <c r="BH24" i="103"/>
  <c r="BH52" i="103"/>
  <c r="BH29" i="103"/>
  <c r="BH34" i="103"/>
  <c r="BH54" i="103"/>
  <c r="BH11" i="103"/>
  <c r="BH7" i="103"/>
  <c r="AG32" i="101"/>
  <c r="BH35" i="103"/>
  <c r="BH26" i="103"/>
  <c r="BH40" i="103"/>
  <c r="BH19" i="103"/>
  <c r="BH21" i="103"/>
  <c r="BH45" i="103"/>
  <c r="BH23" i="103"/>
  <c r="BH27" i="103"/>
  <c r="BH18" i="103"/>
  <c r="BH20" i="103"/>
  <c r="BH32" i="103"/>
  <c r="BH53" i="103"/>
  <c r="BH43" i="103"/>
  <c r="BH22" i="103"/>
  <c r="BH10" i="103"/>
  <c r="BH31" i="103"/>
  <c r="BH8" i="103"/>
  <c r="BH51" i="103"/>
  <c r="BH28" i="103"/>
  <c r="BH47" i="103"/>
  <c r="BH38" i="103"/>
  <c r="BH49" i="103"/>
  <c r="BH13" i="103"/>
  <c r="BH44" i="103"/>
  <c r="BH16" i="103"/>
  <c r="BH50" i="103"/>
  <c r="BH33" i="103"/>
  <c r="BH9" i="103"/>
  <c r="BH42" i="103"/>
  <c r="AF84" i="101"/>
  <c r="BH30" i="103"/>
  <c r="BH6" i="103"/>
  <c r="BH25" i="103"/>
  <c r="U113" i="103" l="1"/>
  <c r="AH84" i="103"/>
  <c r="M32" i="103"/>
  <c r="V32" i="99"/>
  <c r="AZ6" i="103" s="1"/>
  <c r="AJ32" i="103"/>
  <c r="AH32" i="103"/>
  <c r="AJ84" i="103"/>
  <c r="AJ84" i="101"/>
  <c r="AJ32" i="101"/>
  <c r="BB6" i="103"/>
  <c r="U112" i="103"/>
  <c r="V32" i="103"/>
  <c r="S33" i="99"/>
  <c r="O33" i="99"/>
  <c r="V84" i="103"/>
  <c r="BG25" i="103"/>
  <c r="BG29" i="103"/>
  <c r="BI7" i="103"/>
  <c r="BI24" i="103"/>
  <c r="BG20" i="103"/>
  <c r="BG53" i="103"/>
  <c r="BI30" i="103"/>
  <c r="BG42" i="103"/>
  <c r="BG50" i="103"/>
  <c r="BI44" i="103"/>
  <c r="BG19" i="103"/>
  <c r="BI23" i="103"/>
  <c r="BG17" i="103"/>
  <c r="BG30" i="103"/>
  <c r="BG27" i="103"/>
  <c r="BI11" i="103"/>
  <c r="BI40" i="103"/>
  <c r="BG26" i="103"/>
  <c r="BI28" i="103"/>
  <c r="BG41" i="103"/>
  <c r="BG44" i="103"/>
  <c r="BI13" i="103"/>
  <c r="BG10" i="103"/>
  <c r="BG28" i="103"/>
  <c r="BI32" i="103"/>
  <c r="BG52" i="103"/>
  <c r="BI45" i="103"/>
  <c r="BG16" i="103"/>
  <c r="BG39" i="103"/>
  <c r="BI12" i="103"/>
  <c r="BI48" i="103"/>
  <c r="BG43" i="103"/>
  <c r="BG47" i="103"/>
  <c r="BI52" i="103"/>
  <c r="BI47" i="103"/>
  <c r="BG15" i="103"/>
  <c r="BI16" i="103"/>
  <c r="BI26" i="103"/>
  <c r="BG36" i="103"/>
  <c r="BG40" i="103"/>
  <c r="BI20" i="103"/>
  <c r="BI14" i="103"/>
  <c r="BG21" i="103"/>
  <c r="BI38" i="103"/>
  <c r="BI15" i="103"/>
  <c r="BG12" i="103"/>
  <c r="BI46" i="103"/>
  <c r="BG31" i="103"/>
  <c r="BI8" i="103"/>
  <c r="BG24" i="103"/>
  <c r="BI29" i="103"/>
  <c r="BI34" i="103"/>
  <c r="BI9" i="103"/>
  <c r="BI35" i="103"/>
  <c r="BI39" i="103"/>
  <c r="BI53" i="103"/>
  <c r="BI36" i="103"/>
  <c r="BG34" i="103"/>
  <c r="BI19" i="103"/>
  <c r="BI17" i="103"/>
  <c r="BI37" i="103"/>
  <c r="BG14" i="103"/>
  <c r="BI31" i="103"/>
  <c r="BG54" i="103"/>
  <c r="BG48" i="103"/>
  <c r="BG33" i="103"/>
  <c r="BG38" i="103"/>
  <c r="BI41" i="103"/>
  <c r="BG51" i="103"/>
  <c r="BG7" i="103"/>
  <c r="BG49" i="103"/>
  <c r="BI22" i="103"/>
  <c r="BI10" i="103"/>
  <c r="BI51" i="103"/>
  <c r="BG22" i="103"/>
  <c r="BG37" i="103"/>
  <c r="BI25" i="103"/>
  <c r="BI54" i="103"/>
  <c r="BG32" i="103"/>
  <c r="BG9" i="103"/>
  <c r="BI50" i="103"/>
  <c r="BG11" i="103"/>
  <c r="BI21" i="103"/>
  <c r="BI18" i="103"/>
  <c r="BG35" i="103"/>
  <c r="BG6" i="103"/>
  <c r="BI43" i="103"/>
  <c r="BG13" i="103"/>
  <c r="BG45" i="103"/>
  <c r="BG18" i="103"/>
  <c r="BI33" i="103"/>
  <c r="BI27" i="103"/>
  <c r="BG23" i="103"/>
  <c r="BG8" i="103"/>
  <c r="BI6" i="103"/>
  <c r="BG46" i="103"/>
  <c r="BI49" i="103"/>
  <c r="BI42" i="103"/>
  <c r="M33" i="103" l="1"/>
  <c r="AI33" i="103" s="1"/>
  <c r="AI32" i="103"/>
  <c r="U32" i="103"/>
  <c r="U59" i="103" l="1"/>
  <c r="U33" i="103"/>
  <c r="U111" i="103" l="1"/>
  <c r="AI111" i="103" l="1"/>
  <c r="M43" i="97" l="1"/>
  <c r="AO32" i="101"/>
  <c r="AO36" i="101"/>
  <c r="AO11" i="101"/>
  <c r="AQ41" i="101"/>
  <c r="AO12" i="101"/>
  <c r="AQ36" i="101"/>
  <c r="AQ6" i="101"/>
  <c r="AO42" i="101"/>
  <c r="AP16" i="101"/>
  <c r="AP17" i="101"/>
  <c r="AO46" i="101"/>
  <c r="AO16" i="101"/>
  <c r="AO27" i="101"/>
  <c r="AO54" i="101"/>
  <c r="N32" i="110"/>
  <c r="AP30" i="101"/>
  <c r="AO44" i="101"/>
  <c r="AO21" i="101"/>
  <c r="AO24" i="101"/>
  <c r="AP46" i="101"/>
  <c r="AP7" i="101"/>
  <c r="AQ20" i="101"/>
  <c r="AQ15" i="101"/>
  <c r="AO25" i="101"/>
  <c r="AQ33" i="101"/>
  <c r="AP35" i="101"/>
  <c r="AQ16" i="101"/>
  <c r="AO35" i="101"/>
  <c r="AP49" i="101"/>
  <c r="AO29" i="101"/>
  <c r="AO9" i="101"/>
  <c r="AP41" i="101"/>
  <c r="AP37" i="101"/>
  <c r="AO40" i="101"/>
  <c r="AQ47" i="101"/>
  <c r="AP45" i="101"/>
  <c r="AG111" i="101"/>
  <c r="AO10" i="101"/>
  <c r="AQ30" i="101"/>
  <c r="AO47" i="101"/>
  <c r="AO13" i="101"/>
  <c r="AO41" i="101"/>
  <c r="AQ37" i="101"/>
  <c r="AQ9" i="101"/>
  <c r="AP50" i="101"/>
  <c r="AO20" i="101"/>
  <c r="AP32" i="101"/>
  <c r="AQ7" i="101"/>
  <c r="AO52" i="101"/>
  <c r="AP8" i="101"/>
  <c r="AP6" i="101"/>
  <c r="AO26" i="101"/>
  <c r="AP38" i="101"/>
  <c r="AO19" i="101"/>
  <c r="AQ44" i="101"/>
  <c r="AO30" i="101"/>
  <c r="AP53" i="101"/>
  <c r="AQ14" i="101"/>
  <c r="AO48" i="101"/>
  <c r="AP40" i="101"/>
  <c r="AP25" i="101"/>
  <c r="AQ10" i="101"/>
  <c r="AQ29" i="101"/>
  <c r="AQ42" i="101"/>
  <c r="AO17" i="101"/>
  <c r="AP24" i="101"/>
  <c r="AP21" i="101"/>
  <c r="AQ21" i="101"/>
  <c r="AP48" i="101"/>
  <c r="AQ23" i="101"/>
  <c r="AQ8" i="101"/>
  <c r="AP29" i="101"/>
  <c r="AQ28" i="101"/>
  <c r="AO31" i="101"/>
  <c r="AP44" i="101"/>
  <c r="AO7" i="101"/>
  <c r="AP28" i="101"/>
  <c r="AQ54" i="101"/>
  <c r="AQ46" i="101"/>
  <c r="AQ13" i="101"/>
  <c r="AO15" i="101"/>
  <c r="AO45" i="101"/>
  <c r="AQ52" i="101"/>
  <c r="AP12" i="101"/>
  <c r="AO34" i="101"/>
  <c r="AO6" i="101"/>
  <c r="AQ43" i="101"/>
  <c r="AQ26" i="101"/>
  <c r="AO28" i="101"/>
  <c r="AP15" i="101"/>
  <c r="AQ39" i="101"/>
  <c r="AP34" i="101"/>
  <c r="AP14" i="101"/>
  <c r="AP31" i="101"/>
  <c r="AQ12" i="101"/>
  <c r="AP27" i="101"/>
  <c r="AP33" i="101"/>
  <c r="AP11" i="101"/>
  <c r="AQ27" i="101"/>
  <c r="AG59" i="101"/>
  <c r="AO50" i="101"/>
  <c r="AP19" i="101"/>
  <c r="AO33" i="101"/>
  <c r="AQ53" i="101"/>
  <c r="AQ50" i="101"/>
  <c r="AO51" i="101"/>
  <c r="AO14" i="101"/>
  <c r="AQ48" i="101"/>
  <c r="AQ11" i="101"/>
  <c r="AP54" i="101"/>
  <c r="AP51" i="101"/>
  <c r="AP10" i="101"/>
  <c r="AQ40" i="101"/>
  <c r="AQ24" i="101"/>
  <c r="AO37" i="101"/>
  <c r="AP20" i="101"/>
  <c r="AO53" i="101"/>
  <c r="AP9" i="101"/>
  <c r="AO22" i="101"/>
  <c r="AP23" i="101"/>
  <c r="AP43" i="101"/>
  <c r="AQ34" i="101"/>
  <c r="AP42" i="101"/>
  <c r="AP18" i="101"/>
  <c r="AO39" i="101"/>
  <c r="AQ45" i="101"/>
  <c r="AQ25" i="101"/>
  <c r="AQ49" i="101"/>
  <c r="AQ18" i="101"/>
  <c r="AQ32" i="101"/>
  <c r="AO23" i="101"/>
  <c r="AP47" i="101"/>
  <c r="AP39" i="101"/>
  <c r="AP26" i="101"/>
  <c r="AP36" i="101"/>
  <c r="AQ38" i="101"/>
  <c r="AO38" i="101"/>
  <c r="AQ22" i="101"/>
  <c r="AQ51" i="101"/>
  <c r="AQ19" i="101"/>
  <c r="AP52" i="101"/>
  <c r="AO8" i="101"/>
  <c r="AO18" i="101"/>
  <c r="AP22" i="101"/>
  <c r="AP13" i="101"/>
  <c r="AO43" i="101"/>
  <c r="AO49" i="101"/>
  <c r="AG33" i="101"/>
  <c r="AQ31" i="101"/>
  <c r="AQ35" i="101"/>
  <c r="AQ17" i="101"/>
  <c r="Z32" i="108" l="1"/>
  <c r="BJ41" i="101"/>
  <c r="BJ14" i="101"/>
  <c r="BI52" i="101"/>
  <c r="BJ15" i="101"/>
  <c r="BH19" i="101"/>
  <c r="BJ39" i="101"/>
  <c r="BJ31" i="101"/>
  <c r="BH27" i="101"/>
  <c r="BJ19" i="101"/>
  <c r="BJ7" i="101"/>
  <c r="BH50" i="101"/>
  <c r="BH51" i="101"/>
  <c r="BH13" i="101"/>
  <c r="BH7" i="101"/>
  <c r="BH30" i="101"/>
  <c r="BJ21" i="101"/>
  <c r="BI44" i="101"/>
  <c r="BH29" i="101"/>
  <c r="BI17" i="101"/>
  <c r="BH11" i="101"/>
  <c r="BJ18" i="101"/>
  <c r="BH32" i="101"/>
  <c r="BI39" i="101"/>
  <c r="BH54" i="101"/>
  <c r="BJ43" i="101"/>
  <c r="BJ42" i="101"/>
  <c r="BH21" i="101"/>
  <c r="BH26" i="101"/>
  <c r="BJ36" i="101"/>
  <c r="BI24" i="101"/>
  <c r="BJ24" i="101"/>
  <c r="BI8" i="101"/>
  <c r="BI28" i="101"/>
  <c r="BI31" i="101"/>
  <c r="BH42" i="101"/>
  <c r="BJ23" i="101"/>
  <c r="BH24" i="101"/>
  <c r="BH16" i="101"/>
  <c r="BJ6" i="101"/>
  <c r="BI54" i="101"/>
  <c r="BJ26" i="101"/>
  <c r="BI49" i="101"/>
  <c r="BH34" i="101"/>
  <c r="BH52" i="101"/>
  <c r="BJ17" i="101"/>
  <c r="BI9" i="101"/>
  <c r="BH10" i="101"/>
  <c r="BH35" i="101"/>
  <c r="BJ52" i="101"/>
  <c r="BI26" i="101"/>
  <c r="BJ51" i="101"/>
  <c r="BJ40" i="101"/>
  <c r="BH36" i="101"/>
  <c r="BI32" i="101"/>
  <c r="BH46" i="101"/>
  <c r="BJ37" i="101"/>
  <c r="BJ27" i="101"/>
  <c r="BI41" i="101"/>
  <c r="BH14" i="101"/>
  <c r="BH22" i="101"/>
  <c r="BI19" i="101"/>
  <c r="BI10" i="101"/>
  <c r="BJ48" i="101"/>
  <c r="BI29" i="101"/>
  <c r="BH17" i="101"/>
  <c r="BJ9" i="101"/>
  <c r="BH37" i="101"/>
  <c r="BJ38" i="101"/>
  <c r="BI13" i="101"/>
  <c r="BJ30" i="101"/>
  <c r="BI11" i="101"/>
  <c r="BI6" i="101"/>
  <c r="BH41" i="101"/>
  <c r="BH9" i="101"/>
  <c r="BI47" i="101"/>
  <c r="BH12" i="101"/>
  <c r="BH15" i="101"/>
  <c r="BI42" i="101"/>
  <c r="BJ20" i="101"/>
  <c r="BJ12" i="101"/>
  <c r="BJ32" i="101"/>
  <c r="BJ13" i="101"/>
  <c r="BJ28" i="101"/>
  <c r="BH38" i="101"/>
  <c r="BJ50" i="101"/>
  <c r="BJ22" i="101"/>
  <c r="BJ53" i="101"/>
  <c r="BI50" i="101"/>
  <c r="BI25" i="101"/>
  <c r="BI38" i="101"/>
  <c r="BH53" i="101"/>
  <c r="BJ47" i="101"/>
  <c r="BH6" i="101"/>
  <c r="BH28" i="101"/>
  <c r="BI21" i="101"/>
  <c r="BJ46" i="101"/>
  <c r="BJ8" i="101"/>
  <c r="BI43" i="101"/>
  <c r="BJ54" i="101"/>
  <c r="BI37" i="101"/>
  <c r="BH8" i="101"/>
  <c r="BJ16" i="101"/>
  <c r="BH40" i="101"/>
  <c r="BJ10" i="101"/>
  <c r="BH25" i="101"/>
  <c r="BH31" i="101"/>
  <c r="BI40" i="101"/>
  <c r="BH44" i="101"/>
  <c r="BH47" i="101"/>
  <c r="BJ49" i="101"/>
  <c r="BH20" i="101"/>
  <c r="BH39" i="101"/>
  <c r="BH33" i="101"/>
  <c r="BI45" i="101"/>
  <c r="BI22" i="101"/>
  <c r="BI14" i="101"/>
  <c r="BI18" i="101"/>
  <c r="BI34" i="101"/>
  <c r="BI36" i="101"/>
  <c r="BI53" i="101"/>
  <c r="BI46" i="101"/>
  <c r="BH43" i="101"/>
  <c r="BI27" i="101"/>
  <c r="BI33" i="101"/>
  <c r="BH49" i="101"/>
  <c r="BJ11" i="101"/>
  <c r="BI16" i="101"/>
  <c r="BI35" i="101"/>
  <c r="BH23" i="101"/>
  <c r="BJ35" i="101"/>
  <c r="BI12" i="101"/>
  <c r="BJ45" i="101"/>
  <c r="BH45" i="101"/>
  <c r="BJ44" i="101"/>
  <c r="BJ34" i="101"/>
  <c r="BI51" i="101"/>
  <c r="BJ33" i="101"/>
  <c r="BH48" i="101"/>
  <c r="BJ25" i="101"/>
  <c r="BI15" i="101"/>
  <c r="BI23" i="101"/>
  <c r="BI30" i="101"/>
  <c r="BI20" i="101"/>
  <c r="BJ29" i="101"/>
  <c r="BI7" i="101"/>
  <c r="BH18" i="101"/>
  <c r="BI48" i="101"/>
  <c r="N43" i="97"/>
  <c r="N95" i="97"/>
  <c r="O32" i="110"/>
  <c r="O84" i="110"/>
  <c r="AA84" i="108" l="1"/>
  <c r="AA32" i="108"/>
  <c r="N69" i="97"/>
  <c r="M95" i="97"/>
  <c r="N121" i="97"/>
  <c r="M69" i="97"/>
  <c r="M121" i="97"/>
  <c r="O110" i="110"/>
  <c r="N110" i="110"/>
  <c r="N84" i="110"/>
  <c r="O58" i="110"/>
  <c r="N58" i="110"/>
  <c r="Z110" i="108" l="1"/>
  <c r="Z58" i="108"/>
  <c r="Z84" i="108"/>
  <c r="AA110" i="108"/>
  <c r="AA58" i="108"/>
  <c r="E81" i="99"/>
  <c r="F81" i="99" l="1"/>
  <c r="G81" i="99" l="1"/>
  <c r="F82" i="99" l="1"/>
  <c r="E82" i="99"/>
  <c r="G82" i="99" l="1"/>
  <c r="E83" i="99" l="1"/>
  <c r="E27" i="99" l="1"/>
  <c r="F27" i="99"/>
  <c r="F83" i="99"/>
  <c r="F84" i="99"/>
  <c r="E84" i="99"/>
  <c r="E88" i="99" l="1"/>
  <c r="G27" i="99"/>
  <c r="G84" i="99"/>
  <c r="G83" i="99"/>
  <c r="F88" i="99"/>
  <c r="G88" i="99" l="1"/>
  <c r="G35" i="101" l="1"/>
  <c r="H35" i="101"/>
  <c r="I35" i="101"/>
  <c r="F35" i="101"/>
  <c r="F36" i="101"/>
  <c r="H36" i="101" l="1"/>
  <c r="F50" i="101"/>
  <c r="G36" i="101"/>
  <c r="I36" i="101"/>
  <c r="I50" i="101"/>
  <c r="G50" i="101"/>
  <c r="H50" i="101"/>
  <c r="BU110" i="101"/>
  <c r="BU84" i="101"/>
  <c r="X110" i="99"/>
  <c r="X58" i="99"/>
  <c r="W84" i="99"/>
  <c r="BU32" i="101"/>
  <c r="BT32" i="101"/>
  <c r="W110" i="99"/>
  <c r="W32" i="99"/>
  <c r="BT84" i="101"/>
  <c r="X84" i="99"/>
  <c r="BU58" i="101"/>
  <c r="W58" i="99"/>
  <c r="BT110" i="101"/>
  <c r="X32" i="99"/>
  <c r="BT58" i="101"/>
  <c r="BX89" i="96" l="1"/>
  <c r="BX141" i="96"/>
  <c r="BX115" i="96"/>
  <c r="BX63" i="96"/>
  <c r="BX88" i="96"/>
  <c r="BX140" i="96"/>
  <c r="BX114" i="96"/>
  <c r="BX62" i="96"/>
  <c r="BX87" i="96"/>
  <c r="BX139" i="96"/>
  <c r="BX113" i="96"/>
  <c r="BX61" i="96"/>
  <c r="BX86" i="96"/>
  <c r="BX138" i="96"/>
  <c r="BX112" i="96"/>
  <c r="BX60" i="96"/>
  <c r="BX85" i="96"/>
  <c r="BX137" i="96"/>
  <c r="BX111" i="96"/>
  <c r="BX59" i="96"/>
  <c r="BX84" i="96"/>
  <c r="BX136" i="96"/>
  <c r="BX110" i="96"/>
  <c r="BX58" i="96"/>
  <c r="BX83" i="96"/>
  <c r="BX135" i="96"/>
  <c r="BX109" i="96"/>
  <c r="BX57" i="96"/>
  <c r="BX82" i="96"/>
  <c r="BX134" i="96"/>
  <c r="BX108" i="96"/>
  <c r="BX56" i="96"/>
  <c r="BX81" i="96"/>
  <c r="BX133" i="96"/>
  <c r="BX107" i="96"/>
  <c r="BX55" i="96"/>
  <c r="BX80" i="96"/>
  <c r="BX132" i="96"/>
  <c r="BX106" i="96"/>
  <c r="BX54" i="96"/>
  <c r="BX79" i="96"/>
  <c r="BX131" i="96"/>
  <c r="BX105" i="96"/>
  <c r="BX53" i="96"/>
  <c r="BX78" i="96"/>
  <c r="BX130" i="96"/>
  <c r="BX104" i="96"/>
  <c r="BX52" i="96"/>
  <c r="BX77" i="96"/>
  <c r="BX129" i="96"/>
  <c r="BX103" i="96"/>
  <c r="BX51" i="96"/>
  <c r="BX76" i="96"/>
  <c r="BX128" i="96"/>
  <c r="BX102" i="96"/>
  <c r="BX50" i="96"/>
  <c r="BX75" i="96"/>
  <c r="BX127" i="96"/>
  <c r="BX101" i="96"/>
  <c r="BX49" i="96"/>
  <c r="BX74" i="96"/>
  <c r="BX126" i="96"/>
  <c r="BX100" i="96"/>
  <c r="BX48" i="96"/>
  <c r="BX73" i="96"/>
  <c r="BX125" i="96"/>
  <c r="BX99" i="96"/>
  <c r="BX47" i="96"/>
  <c r="BX72" i="96"/>
  <c r="BX124" i="96"/>
  <c r="BX98" i="96"/>
  <c r="BX46" i="96"/>
  <c r="BX71" i="96"/>
  <c r="BX123" i="96"/>
  <c r="BX97" i="96"/>
  <c r="BX45" i="96"/>
  <c r="BX70" i="96"/>
  <c r="BX122" i="96"/>
  <c r="BX96" i="96"/>
  <c r="BX44" i="96"/>
  <c r="BX69" i="96"/>
  <c r="BX121" i="96"/>
  <c r="BX95" i="96"/>
  <c r="BX43" i="96"/>
  <c r="J8" i="91" l="1"/>
  <c r="J4" i="91"/>
  <c r="J5" i="91"/>
  <c r="J6" i="91"/>
  <c r="J9" i="91"/>
  <c r="J7" i="91"/>
  <c r="J27" i="91"/>
  <c r="J23" i="91"/>
  <c r="J21" i="91"/>
  <c r="J33" i="91"/>
  <c r="J32" i="91"/>
  <c r="J26" i="91"/>
  <c r="J25" i="91"/>
  <c r="J31" i="91"/>
  <c r="J30" i="91"/>
  <c r="J24" i="91"/>
  <c r="J18" i="91"/>
  <c r="J19" i="91"/>
  <c r="J28" i="91"/>
  <c r="J20" i="91"/>
  <c r="J11" i="91"/>
  <c r="J13" i="91"/>
  <c r="J15" i="91"/>
  <c r="J17" i="91"/>
  <c r="J10" i="91"/>
  <c r="J16" i="91"/>
  <c r="J14" i="91"/>
  <c r="J12" i="91"/>
  <c r="J101" i="91"/>
  <c r="J102" i="91"/>
  <c r="J100" i="91"/>
  <c r="J104" i="91"/>
  <c r="J105" i="91"/>
  <c r="J103" i="91"/>
  <c r="J175" i="91"/>
  <c r="J172" i="91"/>
  <c r="J180" i="91"/>
  <c r="J171" i="91"/>
  <c r="J178" i="91"/>
  <c r="J183" i="91"/>
  <c r="J177" i="91"/>
  <c r="J182" i="91"/>
  <c r="J176" i="91"/>
  <c r="J181" i="91"/>
  <c r="J173" i="91"/>
  <c r="J179" i="91"/>
  <c r="J174" i="91"/>
  <c r="J111" i="91"/>
  <c r="J110" i="91"/>
  <c r="J107" i="91"/>
  <c r="J113" i="91"/>
  <c r="J108" i="91"/>
  <c r="J112" i="91"/>
  <c r="J106" i="91"/>
  <c r="J109" i="91"/>
  <c r="J159" i="91"/>
  <c r="J150" i="91"/>
  <c r="J151" i="91"/>
  <c r="J153" i="91"/>
  <c r="J157" i="91"/>
  <c r="J155" i="91"/>
  <c r="J152" i="91"/>
  <c r="J158" i="91"/>
  <c r="J156" i="91"/>
  <c r="J154" i="91"/>
  <c r="J130" i="91"/>
  <c r="J134" i="91"/>
  <c r="J135" i="91"/>
  <c r="J131" i="91"/>
  <c r="J137" i="91"/>
  <c r="J138" i="91"/>
  <c r="J136" i="91"/>
  <c r="J133" i="91"/>
  <c r="J139" i="91"/>
  <c r="J132" i="91"/>
  <c r="J114" i="91"/>
  <c r="J121" i="91"/>
  <c r="J116" i="91"/>
  <c r="J119" i="91"/>
  <c r="J118" i="91"/>
  <c r="J115" i="91"/>
  <c r="J117" i="91"/>
  <c r="J120" i="91"/>
  <c r="J167" i="91"/>
  <c r="J162" i="91"/>
  <c r="J160" i="91"/>
  <c r="J161" i="91"/>
  <c r="J169" i="91"/>
  <c r="J170" i="91"/>
  <c r="J163" i="91"/>
  <c r="J168" i="91"/>
  <c r="J166" i="91"/>
  <c r="J165" i="91"/>
  <c r="J164" i="91"/>
  <c r="J140" i="91"/>
  <c r="J143" i="91"/>
  <c r="J142" i="91"/>
  <c r="J148" i="91"/>
  <c r="J146" i="91"/>
  <c r="J147" i="91"/>
  <c r="J141" i="91"/>
  <c r="J145" i="91"/>
  <c r="J144" i="91"/>
  <c r="J149" i="91"/>
  <c r="J125" i="91"/>
  <c r="J122" i="91"/>
  <c r="J123" i="91"/>
  <c r="J127" i="91"/>
  <c r="J129" i="91"/>
  <c r="J128" i="91"/>
  <c r="J124" i="91"/>
  <c r="J126" i="91"/>
  <c r="J275" i="91"/>
  <c r="J273" i="91"/>
  <c r="J274" i="91"/>
  <c r="J263" i="91"/>
  <c r="J271" i="91"/>
  <c r="J268" i="91"/>
  <c r="J270" i="91"/>
  <c r="J262" i="91"/>
  <c r="J266" i="91"/>
  <c r="J259" i="91"/>
  <c r="J260" i="91"/>
  <c r="J269" i="91"/>
  <c r="J261" i="91"/>
  <c r="J258" i="91"/>
  <c r="J272" i="91"/>
  <c r="J264" i="91"/>
  <c r="J276" i="91"/>
  <c r="J265" i="91"/>
  <c r="J267" i="91"/>
  <c r="J196" i="91"/>
  <c r="J190" i="91"/>
  <c r="J188" i="91"/>
  <c r="J187" i="91"/>
  <c r="J193" i="91"/>
  <c r="J186" i="91"/>
  <c r="J189" i="91"/>
  <c r="J191" i="91"/>
  <c r="J184" i="91"/>
  <c r="J185" i="91"/>
  <c r="J195" i="91"/>
  <c r="J192" i="91"/>
  <c r="J194" i="91"/>
  <c r="J289" i="91"/>
  <c r="J277" i="91"/>
  <c r="J279" i="91"/>
  <c r="J294" i="91"/>
  <c r="J281" i="91"/>
  <c r="J288" i="91"/>
  <c r="J278" i="91"/>
  <c r="J287" i="91"/>
  <c r="J283" i="91"/>
  <c r="J286" i="91"/>
  <c r="J290" i="91"/>
  <c r="J282" i="91"/>
  <c r="J295" i="91"/>
  <c r="J284" i="91"/>
  <c r="J292" i="91"/>
  <c r="J296" i="91"/>
  <c r="J291" i="91"/>
  <c r="J285" i="91"/>
  <c r="J280" i="91"/>
  <c r="J293" i="91"/>
  <c r="J221" i="91"/>
  <c r="J223" i="91"/>
  <c r="J224" i="91"/>
  <c r="J211" i="91"/>
  <c r="J214" i="91"/>
  <c r="J219" i="91"/>
  <c r="J220" i="91"/>
  <c r="J212" i="91"/>
  <c r="J213" i="91"/>
  <c r="J222" i="91"/>
  <c r="J217" i="91"/>
  <c r="J218" i="91"/>
  <c r="J210" i="91"/>
  <c r="J216" i="91"/>
  <c r="J215" i="91"/>
  <c r="J249" i="91"/>
  <c r="J254" i="91"/>
  <c r="J253" i="91"/>
  <c r="J251" i="91"/>
  <c r="J255" i="91"/>
  <c r="J247" i="91"/>
  <c r="J245" i="91"/>
  <c r="J248" i="91"/>
  <c r="J257" i="91"/>
  <c r="J252" i="91"/>
  <c r="J241" i="91"/>
  <c r="J242" i="91"/>
  <c r="J246" i="91"/>
  <c r="J244" i="91"/>
  <c r="J256" i="91"/>
  <c r="J243" i="91"/>
  <c r="J250" i="91"/>
  <c r="J324" i="91"/>
  <c r="J321" i="91"/>
  <c r="J327" i="91"/>
  <c r="J332" i="91"/>
  <c r="J338" i="91"/>
  <c r="J331" i="91"/>
  <c r="J318" i="91"/>
  <c r="J329" i="91"/>
  <c r="J326" i="91"/>
  <c r="J319" i="91"/>
  <c r="J328" i="91"/>
  <c r="J336" i="91"/>
  <c r="J335" i="91"/>
  <c r="J333" i="91"/>
  <c r="J325" i="91"/>
  <c r="J339" i="91"/>
  <c r="J323" i="91"/>
  <c r="J322" i="91"/>
  <c r="J337" i="91"/>
  <c r="J334" i="91"/>
  <c r="J330" i="91"/>
  <c r="J320" i="91"/>
  <c r="J207" i="91"/>
  <c r="J197" i="91"/>
  <c r="J204" i="91"/>
  <c r="J199" i="91"/>
  <c r="J201" i="91"/>
  <c r="J202" i="91"/>
  <c r="J203" i="91"/>
  <c r="J205" i="91"/>
  <c r="J209" i="91"/>
  <c r="J206" i="91"/>
  <c r="J200" i="91"/>
  <c r="J208" i="91"/>
  <c r="J198" i="91"/>
  <c r="J301" i="91"/>
  <c r="J299" i="91"/>
  <c r="J307" i="91"/>
  <c r="J302" i="91"/>
  <c r="J306" i="91"/>
  <c r="J304" i="91"/>
  <c r="J298" i="91"/>
  <c r="J297" i="91"/>
  <c r="J315" i="91"/>
  <c r="J312" i="91"/>
  <c r="J309" i="91"/>
  <c r="J317" i="91"/>
  <c r="J316" i="91"/>
  <c r="J305" i="91"/>
  <c r="J314" i="91"/>
  <c r="J311" i="91"/>
  <c r="J310" i="91"/>
  <c r="J303" i="91"/>
  <c r="J313" i="91"/>
  <c r="J308" i="91"/>
  <c r="J300" i="91"/>
  <c r="J236" i="91"/>
  <c r="J237" i="91"/>
  <c r="J229" i="91"/>
  <c r="J235" i="91"/>
  <c r="J239" i="91"/>
  <c r="J234" i="91"/>
  <c r="J226" i="91"/>
  <c r="J232" i="91"/>
  <c r="J225" i="91"/>
  <c r="J230" i="91"/>
  <c r="J233" i="91"/>
  <c r="J231" i="91"/>
  <c r="J238" i="91"/>
  <c r="J240" i="91"/>
  <c r="J227" i="91"/>
  <c r="J228" i="91"/>
  <c r="J91" i="91"/>
  <c r="J88" i="91"/>
  <c r="J90" i="91"/>
  <c r="J89" i="91"/>
  <c r="J92" i="91"/>
  <c r="J87" i="91"/>
  <c r="J59" i="91"/>
  <c r="J61" i="91"/>
  <c r="J60" i="91"/>
  <c r="J37" i="91"/>
  <c r="J38" i="91"/>
  <c r="J85" i="91"/>
  <c r="J82" i="91"/>
  <c r="J81" i="91"/>
  <c r="J83" i="91"/>
  <c r="J84" i="91"/>
  <c r="J86" i="91"/>
  <c r="J55" i="91"/>
  <c r="J54" i="91"/>
  <c r="J56" i="91"/>
  <c r="J57" i="91"/>
  <c r="J34" i="91"/>
  <c r="J35" i="91"/>
  <c r="J36" i="91"/>
  <c r="J68" i="91"/>
  <c r="J67" i="91"/>
  <c r="J69" i="91"/>
  <c r="J70" i="91"/>
  <c r="J66" i="91"/>
  <c r="J47" i="91"/>
  <c r="J46" i="91"/>
  <c r="J45" i="91"/>
  <c r="J99" i="91"/>
  <c r="J96" i="91"/>
  <c r="J93" i="91"/>
  <c r="J98" i="91"/>
  <c r="J97" i="91"/>
  <c r="J94" i="91"/>
  <c r="J95" i="91"/>
  <c r="J49" i="91"/>
  <c r="J48" i="91"/>
  <c r="J50" i="91"/>
  <c r="J71" i="91"/>
  <c r="J74" i="91"/>
  <c r="J75" i="91"/>
  <c r="J72" i="91"/>
  <c r="J73" i="91"/>
  <c r="J43" i="91"/>
  <c r="J44" i="91"/>
  <c r="J42" i="91"/>
  <c r="J76" i="91"/>
  <c r="J78" i="91"/>
  <c r="J79" i="91"/>
  <c r="J80" i="91"/>
  <c r="J77" i="91"/>
  <c r="J40" i="91"/>
  <c r="J41" i="91"/>
  <c r="J39" i="91"/>
  <c r="J53" i="91"/>
  <c r="J52" i="91"/>
  <c r="J51" i="91"/>
  <c r="J63" i="91"/>
  <c r="J62" i="91"/>
  <c r="J64" i="91"/>
  <c r="J65" i="91"/>
  <c r="C9" i="91"/>
  <c r="C32" i="91"/>
  <c r="C16" i="91"/>
  <c r="C5" i="91"/>
  <c r="C29" i="91"/>
  <c r="C12" i="91"/>
  <c r="C14" i="91"/>
  <c r="C15" i="91"/>
  <c r="C27" i="91"/>
  <c r="C7" i="91"/>
  <c r="C20" i="91"/>
  <c r="C28" i="91"/>
  <c r="C17" i="91"/>
  <c r="C13" i="91"/>
  <c r="C4" i="91"/>
  <c r="C25" i="91"/>
  <c r="C24" i="91"/>
  <c r="C18" i="91"/>
  <c r="C6" i="91"/>
  <c r="C30" i="91"/>
  <c r="C8" i="91"/>
  <c r="C22" i="91"/>
  <c r="C23" i="91"/>
  <c r="C19" i="91"/>
  <c r="C21" i="91"/>
  <c r="C10" i="91"/>
  <c r="C31" i="91"/>
  <c r="C26" i="91"/>
  <c r="C11" i="91"/>
  <c r="C49" i="91"/>
  <c r="C46" i="91"/>
  <c r="C45" i="91"/>
  <c r="C52" i="91"/>
  <c r="C48" i="91"/>
  <c r="C51" i="91"/>
  <c r="C47" i="91"/>
  <c r="C43" i="91"/>
  <c r="C50" i="91"/>
  <c r="C44" i="91"/>
  <c r="C34" i="91"/>
  <c r="C37" i="91"/>
  <c r="C40" i="91"/>
  <c r="C35" i="91"/>
  <c r="C42" i="91"/>
  <c r="C33" i="91"/>
  <c r="C39" i="91"/>
  <c r="C41" i="91"/>
  <c r="C38" i="91"/>
  <c r="C36" i="91"/>
  <c r="C69" i="91"/>
  <c r="C77" i="91"/>
  <c r="C70" i="91"/>
  <c r="C75" i="91"/>
  <c r="C73" i="91"/>
  <c r="Q19" i="96" s="1"/>
  <c r="AM6" i="110" s="1"/>
  <c r="C71" i="91"/>
  <c r="C76" i="91"/>
  <c r="C74" i="91"/>
  <c r="C72" i="91"/>
  <c r="C83" i="91"/>
  <c r="Q21" i="96" s="1"/>
  <c r="AM8" i="110" s="1"/>
  <c r="C78" i="91"/>
  <c r="Q20" i="96" s="1"/>
  <c r="AM7" i="110" s="1"/>
  <c r="C84" i="91"/>
  <c r="C80" i="91"/>
  <c r="C82" i="91"/>
  <c r="C86" i="91"/>
  <c r="C79" i="91"/>
  <c r="C87" i="91"/>
  <c r="C85" i="91"/>
  <c r="C81" i="91"/>
  <c r="C67" i="91"/>
  <c r="C61" i="91"/>
  <c r="C54" i="91"/>
  <c r="C66" i="91"/>
  <c r="C60" i="91"/>
  <c r="C53" i="91"/>
  <c r="Q17" i="96" s="1"/>
  <c r="AM4" i="110" s="1"/>
  <c r="C63" i="91"/>
  <c r="Q18" i="96" s="1"/>
  <c r="AM5" i="110" s="1"/>
  <c r="C57" i="91"/>
  <c r="C68" i="91"/>
  <c r="C58" i="91"/>
  <c r="C64" i="91"/>
  <c r="C56" i="91"/>
  <c r="C65" i="91"/>
  <c r="C55" i="91"/>
  <c r="C59" i="91"/>
  <c r="C62" i="91"/>
  <c r="AQ10" i="110"/>
  <c r="AQ9" i="110"/>
  <c r="AQ6" i="110"/>
  <c r="AQ5" i="110"/>
  <c r="AQ7" i="110"/>
  <c r="AQ4" i="110"/>
  <c r="AQ8" i="110"/>
  <c r="K118" i="91" l="1"/>
  <c r="K113" i="91"/>
  <c r="K120" i="91"/>
  <c r="K121" i="91"/>
  <c r="K119" i="91"/>
  <c r="K116" i="91"/>
  <c r="K117" i="91"/>
  <c r="K114" i="91"/>
  <c r="K115" i="91"/>
  <c r="K106" i="91"/>
  <c r="K110" i="91"/>
  <c r="K108" i="91"/>
  <c r="K107" i="91"/>
  <c r="K112" i="91"/>
  <c r="K111" i="91"/>
  <c r="K109" i="91"/>
  <c r="K104" i="91"/>
  <c r="K103" i="91"/>
  <c r="K105" i="91"/>
  <c r="K101" i="91"/>
  <c r="K100" i="91"/>
  <c r="K102" i="91"/>
  <c r="K99" i="91"/>
  <c r="K168" i="91"/>
  <c r="K163" i="91"/>
  <c r="K161" i="91"/>
  <c r="K166" i="91"/>
  <c r="K167" i="91"/>
  <c r="K160" i="91"/>
  <c r="K169" i="91"/>
  <c r="K165" i="91"/>
  <c r="K159" i="91"/>
  <c r="K162" i="91"/>
  <c r="K164" i="91"/>
  <c r="K140" i="91"/>
  <c r="K141" i="91"/>
  <c r="K145" i="91"/>
  <c r="K147" i="91"/>
  <c r="K142" i="91"/>
  <c r="K144" i="91"/>
  <c r="K143" i="91"/>
  <c r="K146" i="91"/>
  <c r="K139" i="91"/>
  <c r="K148" i="91"/>
  <c r="K149" i="91"/>
  <c r="K155" i="91"/>
  <c r="K156" i="91"/>
  <c r="K153" i="91"/>
  <c r="K150" i="91"/>
  <c r="K154" i="91"/>
  <c r="K151" i="91"/>
  <c r="K158" i="91"/>
  <c r="K152" i="91"/>
  <c r="K157" i="91"/>
  <c r="K124" i="91"/>
  <c r="K122" i="91"/>
  <c r="K125" i="91"/>
  <c r="K126" i="91"/>
  <c r="K128" i="91"/>
  <c r="K123" i="91"/>
  <c r="K127" i="91"/>
  <c r="K129" i="91"/>
  <c r="K180" i="91"/>
  <c r="K182" i="91"/>
  <c r="K179" i="91"/>
  <c r="K177" i="91"/>
  <c r="K175" i="91"/>
  <c r="K178" i="91"/>
  <c r="K170" i="91"/>
  <c r="K176" i="91"/>
  <c r="K172" i="91"/>
  <c r="K173" i="91"/>
  <c r="K171" i="91"/>
  <c r="K174" i="91"/>
  <c r="K181" i="91"/>
  <c r="K134" i="91"/>
  <c r="K137" i="91"/>
  <c r="K132" i="91"/>
  <c r="K136" i="91"/>
  <c r="K131" i="91"/>
  <c r="K133" i="91"/>
  <c r="K138" i="91"/>
  <c r="K130" i="91"/>
  <c r="K135" i="91"/>
  <c r="K193" i="91"/>
  <c r="K195" i="91"/>
  <c r="K194" i="91"/>
  <c r="K186" i="91"/>
  <c r="K187" i="91"/>
  <c r="K190" i="91"/>
  <c r="K189" i="91"/>
  <c r="K184" i="91"/>
  <c r="K192" i="91"/>
  <c r="K191" i="91"/>
  <c r="K188" i="91"/>
  <c r="K185" i="91"/>
  <c r="K183" i="91"/>
  <c r="K5" i="91"/>
  <c r="K4" i="91"/>
  <c r="K10" i="91"/>
  <c r="K9" i="91"/>
  <c r="K6" i="91"/>
  <c r="K7" i="91"/>
  <c r="K8" i="91"/>
  <c r="K18" i="91"/>
  <c r="K31" i="91"/>
  <c r="K32" i="91"/>
  <c r="K34" i="91"/>
  <c r="K33" i="91"/>
  <c r="K29" i="91"/>
  <c r="K30" i="91"/>
  <c r="K14" i="91"/>
  <c r="K16" i="91"/>
  <c r="K11" i="91"/>
  <c r="K25" i="91"/>
  <c r="K21" i="91"/>
  <c r="K19" i="91"/>
  <c r="K12" i="91"/>
  <c r="K15" i="91"/>
  <c r="K20" i="91"/>
  <c r="K24" i="91"/>
  <c r="K13" i="91"/>
  <c r="K22" i="91"/>
  <c r="K23" i="91"/>
  <c r="K17" i="91"/>
  <c r="K27" i="91"/>
  <c r="K28" i="91"/>
  <c r="K39" i="91"/>
  <c r="K40" i="91"/>
  <c r="K41" i="91"/>
  <c r="K84" i="91"/>
  <c r="K86" i="91"/>
  <c r="K83" i="91"/>
  <c r="K82" i="91"/>
  <c r="K85" i="91"/>
  <c r="K81" i="91"/>
  <c r="K58" i="91"/>
  <c r="K59" i="91"/>
  <c r="K61" i="91"/>
  <c r="K60" i="91"/>
  <c r="K36" i="91"/>
  <c r="K35" i="91"/>
  <c r="K97" i="91"/>
  <c r="K95" i="91"/>
  <c r="K94" i="91"/>
  <c r="K98" i="91"/>
  <c r="K93" i="91"/>
  <c r="K96" i="91"/>
  <c r="K67" i="91"/>
  <c r="K70" i="91"/>
  <c r="K68" i="91"/>
  <c r="K69" i="91"/>
  <c r="K49" i="91"/>
  <c r="K48" i="91"/>
  <c r="K50" i="91"/>
  <c r="K56" i="91"/>
  <c r="K57" i="91"/>
  <c r="K54" i="91"/>
  <c r="K55" i="91"/>
  <c r="K47" i="91"/>
  <c r="K46" i="91"/>
  <c r="K45" i="91"/>
  <c r="K79" i="91"/>
  <c r="K77" i="91"/>
  <c r="K80" i="91"/>
  <c r="K76" i="91"/>
  <c r="K78" i="91"/>
  <c r="K90" i="91"/>
  <c r="K89" i="91"/>
  <c r="K92" i="91"/>
  <c r="K88" i="91"/>
  <c r="K91" i="91"/>
  <c r="K87" i="91"/>
  <c r="K64" i="91"/>
  <c r="K65" i="91"/>
  <c r="K63" i="91"/>
  <c r="K62" i="91"/>
  <c r="K71" i="91"/>
  <c r="K75" i="91"/>
  <c r="K72" i="91"/>
  <c r="K73" i="91"/>
  <c r="K74" i="91"/>
  <c r="K38" i="91"/>
  <c r="K37" i="91"/>
  <c r="K53" i="91"/>
  <c r="K51" i="91"/>
  <c r="K52" i="91"/>
  <c r="K42" i="91"/>
  <c r="K44" i="91"/>
  <c r="K43" i="91"/>
  <c r="K331" i="91"/>
  <c r="K325" i="91"/>
  <c r="K322" i="91"/>
  <c r="K336" i="91"/>
  <c r="K316" i="91"/>
  <c r="K321" i="91"/>
  <c r="K333" i="91"/>
  <c r="K319" i="91"/>
  <c r="K324" i="91"/>
  <c r="K330" i="91"/>
  <c r="K329" i="91"/>
  <c r="K323" i="91"/>
  <c r="K326" i="91"/>
  <c r="K315" i="91"/>
  <c r="K320" i="91"/>
  <c r="K317" i="91"/>
  <c r="K337" i="91"/>
  <c r="K327" i="91"/>
  <c r="K318" i="91"/>
  <c r="K335" i="91"/>
  <c r="K334" i="91"/>
  <c r="K332" i="91"/>
  <c r="K328" i="91"/>
  <c r="K262" i="91"/>
  <c r="K269" i="91"/>
  <c r="K271" i="91"/>
  <c r="K270" i="91"/>
  <c r="K259" i="91"/>
  <c r="K266" i="91"/>
  <c r="K265" i="91"/>
  <c r="K274" i="91"/>
  <c r="K264" i="91"/>
  <c r="K257" i="91"/>
  <c r="K268" i="91"/>
  <c r="K267" i="91"/>
  <c r="K261" i="91"/>
  <c r="K272" i="91"/>
  <c r="K258" i="91"/>
  <c r="K273" i="91"/>
  <c r="K260" i="91"/>
  <c r="K263" i="91"/>
  <c r="K297" i="91"/>
  <c r="K300" i="91"/>
  <c r="K314" i="91"/>
  <c r="K307" i="91"/>
  <c r="K306" i="91"/>
  <c r="K310" i="91"/>
  <c r="K311" i="91"/>
  <c r="K312" i="91"/>
  <c r="K301" i="91"/>
  <c r="K304" i="91"/>
  <c r="K303" i="91"/>
  <c r="K296" i="91"/>
  <c r="K299" i="91"/>
  <c r="K302" i="91"/>
  <c r="K313" i="91"/>
  <c r="K309" i="91"/>
  <c r="K298" i="91"/>
  <c r="K308" i="91"/>
  <c r="K295" i="91"/>
  <c r="K305" i="91"/>
  <c r="K200" i="91"/>
  <c r="K196" i="91"/>
  <c r="K204" i="91"/>
  <c r="K197" i="91"/>
  <c r="K205" i="91"/>
  <c r="K208" i="91"/>
  <c r="K199" i="91"/>
  <c r="K198" i="91"/>
  <c r="K206" i="91"/>
  <c r="K209" i="91"/>
  <c r="K201" i="91"/>
  <c r="K202" i="91"/>
  <c r="K203" i="91"/>
  <c r="K207" i="91"/>
  <c r="K250" i="91"/>
  <c r="K244" i="91"/>
  <c r="K254" i="91"/>
  <c r="K248" i="91"/>
  <c r="K241" i="91"/>
  <c r="K240" i="91"/>
  <c r="K242" i="91"/>
  <c r="K245" i="91"/>
  <c r="K251" i="91"/>
  <c r="K253" i="91"/>
  <c r="K243" i="91"/>
  <c r="K247" i="91"/>
  <c r="K255" i="91"/>
  <c r="K256" i="91"/>
  <c r="K252" i="91"/>
  <c r="K246" i="91"/>
  <c r="K249" i="91"/>
  <c r="K216" i="91"/>
  <c r="K213" i="91"/>
  <c r="K212" i="91"/>
  <c r="K224" i="91"/>
  <c r="K217" i="91"/>
  <c r="K219" i="91"/>
  <c r="K214" i="91"/>
  <c r="K211" i="91"/>
  <c r="K210" i="91"/>
  <c r="K215" i="91"/>
  <c r="K223" i="91"/>
  <c r="K221" i="91"/>
  <c r="K218" i="91"/>
  <c r="K222" i="91"/>
  <c r="K220" i="91"/>
  <c r="K290" i="91"/>
  <c r="K282" i="91"/>
  <c r="K288" i="91"/>
  <c r="K283" i="91"/>
  <c r="K277" i="91"/>
  <c r="K278" i="91"/>
  <c r="K285" i="91"/>
  <c r="K292" i="91"/>
  <c r="K287" i="91"/>
  <c r="K286" i="91"/>
  <c r="K291" i="91"/>
  <c r="K276" i="91"/>
  <c r="K294" i="91"/>
  <c r="K279" i="91"/>
  <c r="K293" i="91"/>
  <c r="K280" i="91"/>
  <c r="K275" i="91"/>
  <c r="K289" i="91"/>
  <c r="K281" i="91"/>
  <c r="K284" i="91"/>
  <c r="K235" i="91"/>
  <c r="K228" i="91"/>
  <c r="K226" i="91"/>
  <c r="K232" i="91"/>
  <c r="K231" i="91"/>
  <c r="K225" i="91"/>
  <c r="K229" i="91"/>
  <c r="K238" i="91"/>
  <c r="K239" i="91"/>
  <c r="K227" i="91"/>
  <c r="K230" i="91"/>
  <c r="K234" i="91"/>
  <c r="K237" i="91"/>
  <c r="K233" i="91"/>
  <c r="K236" i="91"/>
  <c r="K356" i="91"/>
  <c r="K347" i="91"/>
  <c r="K345" i="91"/>
  <c r="K360" i="91"/>
  <c r="K359" i="91"/>
  <c r="K355" i="91"/>
  <c r="K357" i="91"/>
  <c r="K341" i="91"/>
  <c r="K350" i="91"/>
  <c r="K340" i="91"/>
  <c r="K339" i="91"/>
  <c r="K348" i="91"/>
  <c r="K361" i="91"/>
  <c r="K346" i="91"/>
  <c r="K349" i="91"/>
  <c r="K351" i="91"/>
  <c r="K343" i="91"/>
  <c r="K342" i="91"/>
  <c r="K358" i="91"/>
  <c r="K354" i="91"/>
  <c r="K338" i="91"/>
  <c r="K353" i="91"/>
  <c r="K344" i="91"/>
  <c r="K352" i="91"/>
  <c r="D73" i="91"/>
  <c r="Q45" i="96" s="1"/>
  <c r="AM32" i="110" s="1"/>
  <c r="D72" i="91"/>
  <c r="D71" i="91"/>
  <c r="D78" i="91"/>
  <c r="Q46" i="96" s="1"/>
  <c r="AM33" i="110" s="1"/>
  <c r="D76" i="91"/>
  <c r="D77" i="91"/>
  <c r="D74" i="91"/>
  <c r="D79" i="91"/>
  <c r="D75" i="91"/>
  <c r="D80" i="91"/>
  <c r="D19" i="91"/>
  <c r="D10" i="91"/>
  <c r="D5" i="91"/>
  <c r="D20" i="91"/>
  <c r="D7" i="91"/>
  <c r="D31" i="91"/>
  <c r="D17" i="91"/>
  <c r="D14" i="91"/>
  <c r="D16" i="91"/>
  <c r="D15" i="91"/>
  <c r="D25" i="91"/>
  <c r="D22" i="91"/>
  <c r="D6" i="91"/>
  <c r="D33" i="91"/>
  <c r="D34" i="91"/>
  <c r="D18" i="91"/>
  <c r="D11" i="91"/>
  <c r="D12" i="91"/>
  <c r="D32" i="91"/>
  <c r="D13" i="91"/>
  <c r="D24" i="91"/>
  <c r="D26" i="91"/>
  <c r="D27" i="91"/>
  <c r="D8" i="91"/>
  <c r="D23" i="91"/>
  <c r="D30" i="91"/>
  <c r="D29" i="91"/>
  <c r="D4" i="91"/>
  <c r="D21" i="91"/>
  <c r="D9" i="91"/>
  <c r="D28" i="91"/>
  <c r="J29" i="91"/>
  <c r="J22" i="91"/>
  <c r="D44" i="91"/>
  <c r="D53" i="91"/>
  <c r="Q43" i="96" s="1"/>
  <c r="AM30" i="110" s="1"/>
  <c r="D54" i="91"/>
  <c r="D52" i="91"/>
  <c r="D40" i="91"/>
  <c r="D42" i="91"/>
  <c r="D36" i="91"/>
  <c r="D50" i="91"/>
  <c r="D47" i="91"/>
  <c r="D38" i="91"/>
  <c r="D45" i="91"/>
  <c r="D37" i="91"/>
  <c r="D41" i="91"/>
  <c r="D46" i="91"/>
  <c r="D49" i="91"/>
  <c r="D39" i="91"/>
  <c r="D48" i="91"/>
  <c r="D35" i="91"/>
  <c r="D43" i="91"/>
  <c r="D51" i="91"/>
  <c r="J344" i="91"/>
  <c r="J354" i="91"/>
  <c r="J358" i="91"/>
  <c r="J352" i="91"/>
  <c r="J340" i="91"/>
  <c r="J360" i="91"/>
  <c r="J341" i="91"/>
  <c r="J343" i="91"/>
  <c r="J353" i="91"/>
  <c r="J351" i="91"/>
  <c r="J363" i="91"/>
  <c r="J356" i="91"/>
  <c r="J361" i="91"/>
  <c r="J342" i="91"/>
  <c r="J359" i="91"/>
  <c r="J357" i="91"/>
  <c r="J364" i="91"/>
  <c r="J355" i="91"/>
  <c r="J362" i="91"/>
  <c r="J346" i="91"/>
  <c r="J348" i="91"/>
  <c r="J345" i="91"/>
  <c r="J347" i="91"/>
  <c r="J349" i="91"/>
  <c r="J350" i="91"/>
  <c r="D57" i="91"/>
  <c r="D68" i="91"/>
  <c r="D63" i="91"/>
  <c r="Q44" i="96" s="1"/>
  <c r="AM31" i="110" s="1"/>
  <c r="D55" i="91"/>
  <c r="D70" i="91"/>
  <c r="D65" i="91"/>
  <c r="D60" i="91"/>
  <c r="D62" i="91"/>
  <c r="D59" i="91"/>
  <c r="D67" i="91"/>
  <c r="D69" i="91"/>
  <c r="D64" i="91"/>
  <c r="D66" i="91"/>
  <c r="D56" i="91"/>
  <c r="D61" i="91"/>
  <c r="D58" i="91"/>
  <c r="J58" i="91"/>
  <c r="D88" i="91"/>
  <c r="Q48" i="96" s="1"/>
  <c r="AM35" i="110" s="1"/>
  <c r="D85" i="91"/>
  <c r="D87" i="91"/>
  <c r="D90" i="91"/>
  <c r="D81" i="91"/>
  <c r="D84" i="91"/>
  <c r="D82" i="91"/>
  <c r="D86" i="91"/>
  <c r="D83" i="91"/>
  <c r="Q47" i="96" s="1"/>
  <c r="AM34" i="110" s="1"/>
  <c r="D89" i="91"/>
  <c r="C88" i="91"/>
  <c r="Q22" i="96" s="1"/>
  <c r="AM9" i="110" s="1"/>
  <c r="W21" i="96"/>
  <c r="AD10" i="103"/>
  <c r="AV8" i="99"/>
  <c r="W19" i="96"/>
  <c r="AV6" i="99"/>
  <c r="AD8" i="103"/>
  <c r="W18" i="96"/>
  <c r="AV5" i="99"/>
  <c r="AD7" i="103"/>
  <c r="W17" i="96"/>
  <c r="AV4" i="99"/>
  <c r="AD6" i="103"/>
  <c r="W20" i="96"/>
  <c r="AV7" i="99"/>
  <c r="AD9" i="103"/>
  <c r="AQ11" i="110"/>
  <c r="AQ55" i="110"/>
  <c r="AZ8" i="99"/>
  <c r="AQ56" i="110"/>
  <c r="AZ9" i="99"/>
  <c r="AZ6" i="99"/>
  <c r="AZ5" i="99"/>
  <c r="AZ10" i="99"/>
  <c r="AZ4" i="99"/>
  <c r="AZ7" i="99"/>
  <c r="AQ54" i="110"/>
  <c r="AQ51" i="110"/>
  <c r="AQ52" i="110"/>
  <c r="AQ50" i="110"/>
  <c r="AQ49" i="110"/>
  <c r="AQ53" i="110"/>
  <c r="L139" i="91" l="1"/>
  <c r="L134" i="91"/>
  <c r="L131" i="91"/>
  <c r="L133" i="91"/>
  <c r="L135" i="91"/>
  <c r="L136" i="91"/>
  <c r="L138" i="91"/>
  <c r="L137" i="91"/>
  <c r="L132" i="91"/>
  <c r="L171" i="91"/>
  <c r="L161" i="91"/>
  <c r="L167" i="91"/>
  <c r="L166" i="91"/>
  <c r="L162" i="91"/>
  <c r="L164" i="91"/>
  <c r="L170" i="91"/>
  <c r="L163" i="91"/>
  <c r="L168" i="91"/>
  <c r="L169" i="91"/>
  <c r="L165" i="91"/>
  <c r="L180" i="91"/>
  <c r="L178" i="91"/>
  <c r="L177" i="91"/>
  <c r="L176" i="91"/>
  <c r="L181" i="91"/>
  <c r="L173" i="91"/>
  <c r="L182" i="91"/>
  <c r="L179" i="91"/>
  <c r="L174" i="91"/>
  <c r="L175" i="91"/>
  <c r="L183" i="91"/>
  <c r="L172" i="91"/>
  <c r="L111" i="91"/>
  <c r="L107" i="91"/>
  <c r="L108" i="91"/>
  <c r="L109" i="91"/>
  <c r="L113" i="91"/>
  <c r="L110" i="91"/>
  <c r="L112" i="91"/>
  <c r="L141" i="91"/>
  <c r="L145" i="91"/>
  <c r="L149" i="91"/>
  <c r="L148" i="91"/>
  <c r="L142" i="91"/>
  <c r="L146" i="91"/>
  <c r="L147" i="91"/>
  <c r="L144" i="91"/>
  <c r="L140" i="91"/>
  <c r="L143" i="91"/>
  <c r="L94" i="91"/>
  <c r="L98" i="91"/>
  <c r="L96" i="91"/>
  <c r="L97" i="91"/>
  <c r="L95" i="91"/>
  <c r="L99" i="91"/>
  <c r="L128" i="91"/>
  <c r="L124" i="91"/>
  <c r="L122" i="91"/>
  <c r="L127" i="91"/>
  <c r="L130" i="91"/>
  <c r="L125" i="91"/>
  <c r="L123" i="91"/>
  <c r="L126" i="91"/>
  <c r="L129" i="91"/>
  <c r="L118" i="91"/>
  <c r="L119" i="91"/>
  <c r="L117" i="91"/>
  <c r="L120" i="91"/>
  <c r="L121" i="91"/>
  <c r="L114" i="91"/>
  <c r="L115" i="91"/>
  <c r="L116" i="91"/>
  <c r="L150" i="91"/>
  <c r="L151" i="91"/>
  <c r="L159" i="91"/>
  <c r="L158" i="91"/>
  <c r="L155" i="91"/>
  <c r="L156" i="91"/>
  <c r="L152" i="91"/>
  <c r="L160" i="91"/>
  <c r="L154" i="91"/>
  <c r="L153" i="91"/>
  <c r="L157" i="91"/>
  <c r="L106" i="91"/>
  <c r="L102" i="91"/>
  <c r="L104" i="91"/>
  <c r="L101" i="91"/>
  <c r="L103" i="91"/>
  <c r="L100" i="91"/>
  <c r="L105" i="91"/>
  <c r="L269" i="91"/>
  <c r="L266" i="91"/>
  <c r="L265" i="91"/>
  <c r="L260" i="91"/>
  <c r="L261" i="91"/>
  <c r="L264" i="91"/>
  <c r="L271" i="91"/>
  <c r="L275" i="91"/>
  <c r="L273" i="91"/>
  <c r="L258" i="91"/>
  <c r="L263" i="91"/>
  <c r="L274" i="91"/>
  <c r="L268" i="91"/>
  <c r="L272" i="91"/>
  <c r="L270" i="91"/>
  <c r="L257" i="91"/>
  <c r="L267" i="91"/>
  <c r="L259" i="91"/>
  <c r="L262" i="91"/>
  <c r="L351" i="91"/>
  <c r="L356" i="91"/>
  <c r="L353" i="91"/>
  <c r="L349" i="91"/>
  <c r="L341" i="91"/>
  <c r="L345" i="91"/>
  <c r="L354" i="91"/>
  <c r="L342" i="91"/>
  <c r="L337" i="91"/>
  <c r="L339" i="91"/>
  <c r="L343" i="91"/>
  <c r="L344" i="91"/>
  <c r="L350" i="91"/>
  <c r="L338" i="91"/>
  <c r="L340" i="91"/>
  <c r="L357" i="91"/>
  <c r="L355" i="91"/>
  <c r="L348" i="91"/>
  <c r="L352" i="91"/>
  <c r="L346" i="91"/>
  <c r="L336" i="91"/>
  <c r="L347" i="91"/>
  <c r="L329" i="91"/>
  <c r="L327" i="91"/>
  <c r="L320" i="91"/>
  <c r="L323" i="91"/>
  <c r="L332" i="91"/>
  <c r="L321" i="91"/>
  <c r="L330" i="91"/>
  <c r="L324" i="91"/>
  <c r="L322" i="91"/>
  <c r="L333" i="91"/>
  <c r="L318" i="91"/>
  <c r="L326" i="91"/>
  <c r="L319" i="91"/>
  <c r="L316" i="91"/>
  <c r="L334" i="91"/>
  <c r="L325" i="91"/>
  <c r="L317" i="91"/>
  <c r="L331" i="91"/>
  <c r="L328" i="91"/>
  <c r="L335" i="91"/>
  <c r="L239" i="91"/>
  <c r="L236" i="91"/>
  <c r="L234" i="91"/>
  <c r="L231" i="91"/>
  <c r="L226" i="91"/>
  <c r="L225" i="91"/>
  <c r="L235" i="91"/>
  <c r="L237" i="91"/>
  <c r="L230" i="91"/>
  <c r="L233" i="91"/>
  <c r="L227" i="91"/>
  <c r="L240" i="91"/>
  <c r="L229" i="91"/>
  <c r="L232" i="91"/>
  <c r="L238" i="91"/>
  <c r="L228" i="91"/>
  <c r="L308" i="91"/>
  <c r="L306" i="91"/>
  <c r="L312" i="91"/>
  <c r="L311" i="91"/>
  <c r="L314" i="91"/>
  <c r="L310" i="91"/>
  <c r="L307" i="91"/>
  <c r="L303" i="91"/>
  <c r="L296" i="91"/>
  <c r="L298" i="91"/>
  <c r="L302" i="91"/>
  <c r="L301" i="91"/>
  <c r="L305" i="91"/>
  <c r="L313" i="91"/>
  <c r="L315" i="91"/>
  <c r="L304" i="91"/>
  <c r="L297" i="91"/>
  <c r="L300" i="91"/>
  <c r="L309" i="91"/>
  <c r="L299" i="91"/>
  <c r="L215" i="91"/>
  <c r="L219" i="91"/>
  <c r="L224" i="91"/>
  <c r="L214" i="91"/>
  <c r="L218" i="91"/>
  <c r="L220" i="91"/>
  <c r="L223" i="91"/>
  <c r="L211" i="91"/>
  <c r="L212" i="91"/>
  <c r="L210" i="91"/>
  <c r="L221" i="91"/>
  <c r="L216" i="91"/>
  <c r="L213" i="91"/>
  <c r="L217" i="91"/>
  <c r="L222" i="91"/>
  <c r="L245" i="91"/>
  <c r="L242" i="91"/>
  <c r="L251" i="91"/>
  <c r="L244" i="91"/>
  <c r="L243" i="91"/>
  <c r="L248" i="91"/>
  <c r="L250" i="91"/>
  <c r="L252" i="91"/>
  <c r="L256" i="91"/>
  <c r="L249" i="91"/>
  <c r="L253" i="91"/>
  <c r="L254" i="91"/>
  <c r="L241" i="91"/>
  <c r="L246" i="91"/>
  <c r="L247" i="91"/>
  <c r="L255" i="91"/>
  <c r="L286" i="91"/>
  <c r="L276" i="91"/>
  <c r="L283" i="91"/>
  <c r="L278" i="91"/>
  <c r="L279" i="91"/>
  <c r="L287" i="91"/>
  <c r="L295" i="91"/>
  <c r="L284" i="91"/>
  <c r="L289" i="91"/>
  <c r="L281" i="91"/>
  <c r="L290" i="91"/>
  <c r="L280" i="91"/>
  <c r="L292" i="91"/>
  <c r="L277" i="91"/>
  <c r="L293" i="91"/>
  <c r="L282" i="91"/>
  <c r="L291" i="91"/>
  <c r="L294" i="91"/>
  <c r="L288" i="91"/>
  <c r="L285" i="91"/>
  <c r="L201" i="91"/>
  <c r="L207" i="91"/>
  <c r="L205" i="91"/>
  <c r="L197" i="91"/>
  <c r="L202" i="91"/>
  <c r="L206" i="91"/>
  <c r="L198" i="91"/>
  <c r="L199" i="91"/>
  <c r="L208" i="91"/>
  <c r="L200" i="91"/>
  <c r="L203" i="91"/>
  <c r="L196" i="91"/>
  <c r="L209" i="91"/>
  <c r="L204" i="91"/>
  <c r="L186" i="91"/>
  <c r="L190" i="91"/>
  <c r="L187" i="91"/>
  <c r="L191" i="91"/>
  <c r="L184" i="91"/>
  <c r="L194" i="91"/>
  <c r="L192" i="91"/>
  <c r="L193" i="91"/>
  <c r="L189" i="91"/>
  <c r="L185" i="91"/>
  <c r="L188" i="91"/>
  <c r="L195" i="91"/>
  <c r="L10" i="91"/>
  <c r="L7" i="91"/>
  <c r="L8" i="91"/>
  <c r="L4" i="91"/>
  <c r="L9" i="91"/>
  <c r="L5" i="91"/>
  <c r="L6" i="91"/>
  <c r="L34" i="91"/>
  <c r="L32" i="91"/>
  <c r="L31" i="91"/>
  <c r="L22" i="91"/>
  <c r="L27" i="91"/>
  <c r="L14" i="91"/>
  <c r="L19" i="91"/>
  <c r="L12" i="91"/>
  <c r="L26" i="91"/>
  <c r="L20" i="91"/>
  <c r="L23" i="91"/>
  <c r="L29" i="91"/>
  <c r="L30" i="91"/>
  <c r="L25" i="91"/>
  <c r="L24" i="91"/>
  <c r="L13" i="91"/>
  <c r="L15" i="91"/>
  <c r="L11" i="91"/>
  <c r="L16" i="91"/>
  <c r="L18" i="91"/>
  <c r="L55" i="91"/>
  <c r="L56" i="91"/>
  <c r="L57" i="91"/>
  <c r="L58" i="91"/>
  <c r="L73" i="91"/>
  <c r="L75" i="91"/>
  <c r="L74" i="91"/>
  <c r="L72" i="91"/>
  <c r="L76" i="91"/>
  <c r="L40" i="91"/>
  <c r="L35" i="91"/>
  <c r="L36" i="91"/>
  <c r="L82" i="91"/>
  <c r="L84" i="91"/>
  <c r="L83" i="91"/>
  <c r="L85" i="91"/>
  <c r="L86" i="91"/>
  <c r="L67" i="91"/>
  <c r="L69" i="91"/>
  <c r="L71" i="91"/>
  <c r="L70" i="91"/>
  <c r="L68" i="91"/>
  <c r="L44" i="91"/>
  <c r="L43" i="91"/>
  <c r="L42" i="91"/>
  <c r="L48" i="91"/>
  <c r="L50" i="91"/>
  <c r="L49" i="91"/>
  <c r="L64" i="91"/>
  <c r="L65" i="91"/>
  <c r="L66" i="91"/>
  <c r="L63" i="91"/>
  <c r="L78" i="91"/>
  <c r="L77" i="91"/>
  <c r="L79" i="91"/>
  <c r="L81" i="91"/>
  <c r="L80" i="91"/>
  <c r="L37" i="91"/>
  <c r="L39" i="91"/>
  <c r="L38" i="91"/>
  <c r="L62" i="91"/>
  <c r="L60" i="91"/>
  <c r="L61" i="91"/>
  <c r="L59" i="91"/>
  <c r="L47" i="91"/>
  <c r="L46" i="91"/>
  <c r="L45" i="91"/>
  <c r="L87" i="91"/>
  <c r="L91" i="91"/>
  <c r="L93" i="91"/>
  <c r="L89" i="91"/>
  <c r="L92" i="91"/>
  <c r="L90" i="91"/>
  <c r="L88" i="91"/>
  <c r="L51" i="91"/>
  <c r="L53" i="91"/>
  <c r="L52" i="91"/>
  <c r="L54" i="91"/>
  <c r="BA6" i="99"/>
  <c r="BA7" i="99"/>
  <c r="BA4" i="99"/>
  <c r="BA8" i="99"/>
  <c r="BA5" i="99"/>
  <c r="BA10" i="99"/>
  <c r="K66" i="91"/>
  <c r="E78" i="91"/>
  <c r="Q72" i="96" s="1"/>
  <c r="AM59" i="110" s="1"/>
  <c r="E81" i="91"/>
  <c r="E82" i="91"/>
  <c r="E75" i="91"/>
  <c r="E79" i="91"/>
  <c r="E73" i="91"/>
  <c r="Q71" i="96" s="1"/>
  <c r="AM58" i="110" s="1"/>
  <c r="E77" i="91"/>
  <c r="E76" i="91"/>
  <c r="E80" i="91"/>
  <c r="E74" i="91"/>
  <c r="E88" i="91"/>
  <c r="Q74" i="96" s="1"/>
  <c r="AM61" i="110" s="1"/>
  <c r="E92" i="91"/>
  <c r="E93" i="91"/>
  <c r="Q75" i="96" s="1"/>
  <c r="AM62" i="110" s="1"/>
  <c r="E91" i="91"/>
  <c r="E86" i="91"/>
  <c r="E90" i="91"/>
  <c r="E85" i="91"/>
  <c r="E87" i="91"/>
  <c r="E89" i="91"/>
  <c r="E84" i="91"/>
  <c r="E83" i="91"/>
  <c r="Q73" i="96" s="1"/>
  <c r="AM60" i="110" s="1"/>
  <c r="K26" i="91"/>
  <c r="E34" i="91"/>
  <c r="E18" i="91"/>
  <c r="E37" i="91"/>
  <c r="E4" i="91"/>
  <c r="E21" i="91"/>
  <c r="E11" i="91"/>
  <c r="E8" i="91"/>
  <c r="E25" i="91"/>
  <c r="E28" i="91"/>
  <c r="E33" i="91"/>
  <c r="E9" i="91"/>
  <c r="E29" i="91"/>
  <c r="E19" i="91"/>
  <c r="E17" i="91"/>
  <c r="E31" i="91"/>
  <c r="E30" i="91"/>
  <c r="E12" i="91"/>
  <c r="E16" i="91"/>
  <c r="E6" i="91"/>
  <c r="E5" i="91"/>
  <c r="E36" i="91"/>
  <c r="E13" i="91"/>
  <c r="E32" i="91"/>
  <c r="E24" i="91"/>
  <c r="E15" i="91"/>
  <c r="E27" i="91"/>
  <c r="E35" i="91"/>
  <c r="E10" i="91"/>
  <c r="E20" i="91"/>
  <c r="E7" i="91"/>
  <c r="E14" i="91"/>
  <c r="E23" i="91"/>
  <c r="E22" i="91"/>
  <c r="E26" i="91"/>
  <c r="E57" i="91"/>
  <c r="E56" i="91"/>
  <c r="E39" i="91"/>
  <c r="E50" i="91"/>
  <c r="E54" i="91"/>
  <c r="E43" i="91"/>
  <c r="E48" i="91"/>
  <c r="E46" i="91"/>
  <c r="E40" i="91"/>
  <c r="E53" i="91"/>
  <c r="Q69" i="96" s="1"/>
  <c r="AM56" i="110" s="1"/>
  <c r="E49" i="91"/>
  <c r="E42" i="91"/>
  <c r="E51" i="91"/>
  <c r="E55" i="91"/>
  <c r="E52" i="91"/>
  <c r="E41" i="91"/>
  <c r="E44" i="91"/>
  <c r="E38" i="91"/>
  <c r="E45" i="91"/>
  <c r="E47" i="91"/>
  <c r="K377" i="91"/>
  <c r="K366" i="91"/>
  <c r="K372" i="91"/>
  <c r="K368" i="91"/>
  <c r="K364" i="91"/>
  <c r="K363" i="91"/>
  <c r="K371" i="91"/>
  <c r="K373" i="91"/>
  <c r="K387" i="91"/>
  <c r="K375" i="91"/>
  <c r="K381" i="91"/>
  <c r="K385" i="91"/>
  <c r="K384" i="91"/>
  <c r="K362" i="91"/>
  <c r="K365" i="91"/>
  <c r="K374" i="91"/>
  <c r="K370" i="91"/>
  <c r="K382" i="91"/>
  <c r="K369" i="91"/>
  <c r="K383" i="91"/>
  <c r="K378" i="91"/>
  <c r="K380" i="91"/>
  <c r="K379" i="91"/>
  <c r="K367" i="91"/>
  <c r="K386" i="91"/>
  <c r="K376" i="91"/>
  <c r="E65" i="91"/>
  <c r="E69" i="91"/>
  <c r="E60" i="91"/>
  <c r="E58" i="91"/>
  <c r="E71" i="91"/>
  <c r="E68" i="91"/>
  <c r="E61" i="91"/>
  <c r="E63" i="91"/>
  <c r="Q70" i="96" s="1"/>
  <c r="AM57" i="110" s="1"/>
  <c r="E67" i="91"/>
  <c r="E70" i="91"/>
  <c r="E59" i="91"/>
  <c r="E66" i="91"/>
  <c r="E62" i="91"/>
  <c r="E72" i="91"/>
  <c r="E64" i="91"/>
  <c r="BA9" i="99"/>
  <c r="J389" i="91"/>
  <c r="J374" i="91"/>
  <c r="J375" i="91"/>
  <c r="J386" i="91"/>
  <c r="J381" i="91"/>
  <c r="J373" i="91"/>
  <c r="J380" i="91"/>
  <c r="J384" i="91"/>
  <c r="J371" i="91"/>
  <c r="J372" i="91"/>
  <c r="J378" i="91"/>
  <c r="J385" i="91"/>
  <c r="J376" i="91"/>
  <c r="J379" i="91"/>
  <c r="J382" i="91"/>
  <c r="J365" i="91"/>
  <c r="J390" i="91"/>
  <c r="J366" i="91"/>
  <c r="J383" i="91"/>
  <c r="J369" i="91"/>
  <c r="J388" i="91"/>
  <c r="J387" i="91"/>
  <c r="J377" i="91"/>
  <c r="J367" i="91"/>
  <c r="J368" i="91"/>
  <c r="J370" i="91"/>
  <c r="Z17" i="96"/>
  <c r="AA17" i="96"/>
  <c r="AA18" i="96" s="1"/>
  <c r="AA19" i="96" s="1"/>
  <c r="X17" i="96"/>
  <c r="X18" i="96" s="1"/>
  <c r="Y17" i="96"/>
  <c r="Y18" i="96" s="1"/>
  <c r="Y19" i="96" s="1"/>
  <c r="AD11" i="103"/>
  <c r="W22" i="96"/>
  <c r="AV9" i="99"/>
  <c r="AV35" i="99"/>
  <c r="AD37" i="103"/>
  <c r="W48" i="96"/>
  <c r="AV32" i="99"/>
  <c r="AD34" i="103"/>
  <c r="W45" i="96"/>
  <c r="AD32" i="103"/>
  <c r="W43" i="96"/>
  <c r="AV30" i="99"/>
  <c r="D91" i="91"/>
  <c r="AD33" i="103"/>
  <c r="W44" i="96"/>
  <c r="AV31" i="99"/>
  <c r="AD35" i="103"/>
  <c r="AV33" i="99"/>
  <c r="W46" i="96"/>
  <c r="AV34" i="99"/>
  <c r="AD36" i="103"/>
  <c r="W47" i="96"/>
  <c r="C89" i="91"/>
  <c r="AZ51" i="99"/>
  <c r="AZ49" i="99"/>
  <c r="AQ99" i="110"/>
  <c r="AZ52" i="99"/>
  <c r="AZ56" i="99"/>
  <c r="AZ54" i="99"/>
  <c r="AZ11" i="99"/>
  <c r="AZ50" i="99"/>
  <c r="AZ55" i="99"/>
  <c r="AQ101" i="110"/>
  <c r="AQ100" i="110"/>
  <c r="AZ53" i="99"/>
  <c r="AQ96" i="110"/>
  <c r="AQ95" i="110"/>
  <c r="AQ94" i="110"/>
  <c r="AQ98" i="110"/>
  <c r="AQ97" i="110"/>
  <c r="N61" i="91" l="1"/>
  <c r="N62" i="91"/>
  <c r="N59" i="91"/>
  <c r="N60" i="91"/>
  <c r="N64" i="91"/>
  <c r="N65" i="91"/>
  <c r="N66" i="91"/>
  <c r="N63" i="91"/>
  <c r="N78" i="91"/>
  <c r="N77" i="91"/>
  <c r="N76" i="91"/>
  <c r="N79" i="91"/>
  <c r="N80" i="91"/>
  <c r="N96" i="91"/>
  <c r="N94" i="91"/>
  <c r="N97" i="91"/>
  <c r="N95" i="91"/>
  <c r="N93" i="91"/>
  <c r="N98" i="91"/>
  <c r="N89" i="91"/>
  <c r="N88" i="91"/>
  <c r="N87" i="91"/>
  <c r="N92" i="91"/>
  <c r="N91" i="91"/>
  <c r="N90" i="91"/>
  <c r="N36" i="91"/>
  <c r="N37" i="91"/>
  <c r="N35" i="91"/>
  <c r="N70" i="91"/>
  <c r="N71" i="91"/>
  <c r="N69" i="91"/>
  <c r="N68" i="91"/>
  <c r="N67" i="91"/>
  <c r="N47" i="91"/>
  <c r="N46" i="91"/>
  <c r="N45" i="91"/>
  <c r="N48" i="91"/>
  <c r="N49" i="91"/>
  <c r="N51" i="91"/>
  <c r="N50" i="91"/>
  <c r="N40" i="91"/>
  <c r="N41" i="91"/>
  <c r="N42" i="91"/>
  <c r="N43" i="91"/>
  <c r="N74" i="91"/>
  <c r="N75" i="91"/>
  <c r="N73" i="91"/>
  <c r="N54" i="91"/>
  <c r="N53" i="91"/>
  <c r="N52" i="91"/>
  <c r="N55" i="91"/>
  <c r="N58" i="91"/>
  <c r="N57" i="91"/>
  <c r="N56" i="91"/>
  <c r="N38" i="91"/>
  <c r="N39" i="91"/>
  <c r="N84" i="91"/>
  <c r="N81" i="91"/>
  <c r="N83" i="91"/>
  <c r="N85" i="91"/>
  <c r="N82" i="91"/>
  <c r="N86" i="91"/>
  <c r="M47" i="91"/>
  <c r="M49" i="91"/>
  <c r="M48" i="91"/>
  <c r="M57" i="91"/>
  <c r="M59" i="91"/>
  <c r="M58" i="91"/>
  <c r="M60" i="91"/>
  <c r="M69" i="91"/>
  <c r="M71" i="91"/>
  <c r="M73" i="91"/>
  <c r="M70" i="91"/>
  <c r="M72" i="91"/>
  <c r="M36" i="91"/>
  <c r="M38" i="91"/>
  <c r="M37" i="91"/>
  <c r="M46" i="91"/>
  <c r="M44" i="91"/>
  <c r="M45" i="91"/>
  <c r="M42" i="91"/>
  <c r="M41" i="91"/>
  <c r="M43" i="91"/>
  <c r="M86" i="91"/>
  <c r="M87" i="91"/>
  <c r="M85" i="91"/>
  <c r="M89" i="91"/>
  <c r="M84" i="91"/>
  <c r="M88" i="91"/>
  <c r="M93" i="91"/>
  <c r="M90" i="91"/>
  <c r="M95" i="91"/>
  <c r="M92" i="91"/>
  <c r="M91" i="91"/>
  <c r="M94" i="91"/>
  <c r="M96" i="91"/>
  <c r="M65" i="91"/>
  <c r="M68" i="91"/>
  <c r="M67" i="91"/>
  <c r="M66" i="91"/>
  <c r="M35" i="91"/>
  <c r="M34" i="91"/>
  <c r="M50" i="91"/>
  <c r="M51" i="91"/>
  <c r="M53" i="91"/>
  <c r="M52" i="91"/>
  <c r="M39" i="91"/>
  <c r="M40" i="91"/>
  <c r="M76" i="91"/>
  <c r="M74" i="91"/>
  <c r="M75" i="91"/>
  <c r="M78" i="91"/>
  <c r="M55" i="91"/>
  <c r="M54" i="91"/>
  <c r="M56" i="91"/>
  <c r="M61" i="91"/>
  <c r="M64" i="91"/>
  <c r="M63" i="91"/>
  <c r="M62" i="91"/>
  <c r="M83" i="91"/>
  <c r="M79" i="91"/>
  <c r="M82" i="91"/>
  <c r="M80" i="91"/>
  <c r="M81" i="91"/>
  <c r="N19" i="91"/>
  <c r="N20" i="91"/>
  <c r="N11" i="91"/>
  <c r="N31" i="91"/>
  <c r="N32" i="91"/>
  <c r="N28" i="91"/>
  <c r="N25" i="91"/>
  <c r="N21" i="91"/>
  <c r="N15" i="91"/>
  <c r="N22" i="91"/>
  <c r="N23" i="91"/>
  <c r="N24" i="91"/>
  <c r="N17" i="91"/>
  <c r="N30" i="91"/>
  <c r="N29" i="91"/>
  <c r="N18" i="91"/>
  <c r="N27" i="91"/>
  <c r="N26" i="91"/>
  <c r="N14" i="91"/>
  <c r="N16" i="91"/>
  <c r="N13" i="91"/>
  <c r="N12" i="91"/>
  <c r="N33" i="91"/>
  <c r="N34" i="91"/>
  <c r="M306" i="91"/>
  <c r="M301" i="91"/>
  <c r="M296" i="91"/>
  <c r="M299" i="91"/>
  <c r="M311" i="91"/>
  <c r="M302" i="91"/>
  <c r="M308" i="91"/>
  <c r="M300" i="91"/>
  <c r="M312" i="91"/>
  <c r="M309" i="91"/>
  <c r="M297" i="91"/>
  <c r="M307" i="91"/>
  <c r="M314" i="91"/>
  <c r="M313" i="91"/>
  <c r="M304" i="91"/>
  <c r="M303" i="91"/>
  <c r="M305" i="91"/>
  <c r="M310" i="91"/>
  <c r="M298" i="91"/>
  <c r="M295" i="91"/>
  <c r="M203" i="91"/>
  <c r="M212" i="91"/>
  <c r="M209" i="91"/>
  <c r="M208" i="91"/>
  <c r="M213" i="91"/>
  <c r="M205" i="91"/>
  <c r="M206" i="91"/>
  <c r="M211" i="91"/>
  <c r="M210" i="91"/>
  <c r="M204" i="91"/>
  <c r="M207" i="91"/>
  <c r="M214" i="91"/>
  <c r="M215" i="91"/>
  <c r="M224" i="91"/>
  <c r="M227" i="91"/>
  <c r="M226" i="91"/>
  <c r="M225" i="91"/>
  <c r="M221" i="91"/>
  <c r="M219" i="91"/>
  <c r="M216" i="91"/>
  <c r="M218" i="91"/>
  <c r="M217" i="91"/>
  <c r="M223" i="91"/>
  <c r="M220" i="91"/>
  <c r="M228" i="91"/>
  <c r="M222" i="91"/>
  <c r="M229" i="91"/>
  <c r="M248" i="91"/>
  <c r="M255" i="91"/>
  <c r="M254" i="91"/>
  <c r="M256" i="91"/>
  <c r="M250" i="91"/>
  <c r="M247" i="91"/>
  <c r="M246" i="91"/>
  <c r="M245" i="91"/>
  <c r="M257" i="91"/>
  <c r="M249" i="91"/>
  <c r="M251" i="91"/>
  <c r="M252" i="91"/>
  <c r="M253" i="91"/>
  <c r="M244" i="91"/>
  <c r="M286" i="91"/>
  <c r="M288" i="91"/>
  <c r="M281" i="91"/>
  <c r="M282" i="91"/>
  <c r="M278" i="91"/>
  <c r="M280" i="91"/>
  <c r="M287" i="91"/>
  <c r="M294" i="91"/>
  <c r="M285" i="91"/>
  <c r="M283" i="91"/>
  <c r="M289" i="91"/>
  <c r="M276" i="91"/>
  <c r="M279" i="91"/>
  <c r="M291" i="91"/>
  <c r="M277" i="91"/>
  <c r="M292" i="91"/>
  <c r="M284" i="91"/>
  <c r="M290" i="91"/>
  <c r="M293" i="91"/>
  <c r="M326" i="91"/>
  <c r="M333" i="91"/>
  <c r="M319" i="91"/>
  <c r="M329" i="91"/>
  <c r="M324" i="91"/>
  <c r="M331" i="91"/>
  <c r="M334" i="91"/>
  <c r="M321" i="91"/>
  <c r="M325" i="91"/>
  <c r="M330" i="91"/>
  <c r="M320" i="91"/>
  <c r="M317" i="91"/>
  <c r="M316" i="91"/>
  <c r="M327" i="91"/>
  <c r="M332" i="91"/>
  <c r="M335" i="91"/>
  <c r="M328" i="91"/>
  <c r="M315" i="91"/>
  <c r="M322" i="91"/>
  <c r="M323" i="91"/>
  <c r="M318" i="91"/>
  <c r="M201" i="91"/>
  <c r="M194" i="91"/>
  <c r="M200" i="91"/>
  <c r="M192" i="91"/>
  <c r="M191" i="91"/>
  <c r="M189" i="91"/>
  <c r="M198" i="91"/>
  <c r="M190" i="91"/>
  <c r="M202" i="91"/>
  <c r="M195" i="91"/>
  <c r="M199" i="91"/>
  <c r="M197" i="91"/>
  <c r="M193" i="91"/>
  <c r="M196" i="91"/>
  <c r="M236" i="91"/>
  <c r="M243" i="91"/>
  <c r="M239" i="91"/>
  <c r="M237" i="91"/>
  <c r="M230" i="91"/>
  <c r="M231" i="91"/>
  <c r="M241" i="91"/>
  <c r="M242" i="91"/>
  <c r="M235" i="91"/>
  <c r="M240" i="91"/>
  <c r="M233" i="91"/>
  <c r="M238" i="91"/>
  <c r="M232" i="91"/>
  <c r="M234" i="91"/>
  <c r="M355" i="91"/>
  <c r="M352" i="91"/>
  <c r="M350" i="91"/>
  <c r="M358" i="91"/>
  <c r="M349" i="91"/>
  <c r="M351" i="91"/>
  <c r="M348" i="91"/>
  <c r="M339" i="91"/>
  <c r="M337" i="91"/>
  <c r="M343" i="91"/>
  <c r="M354" i="91"/>
  <c r="M356" i="91"/>
  <c r="M338" i="91"/>
  <c r="M353" i="91"/>
  <c r="M346" i="91"/>
  <c r="M344" i="91"/>
  <c r="M341" i="91"/>
  <c r="M357" i="91"/>
  <c r="M347" i="91"/>
  <c r="M342" i="91"/>
  <c r="M336" i="91"/>
  <c r="M345" i="91"/>
  <c r="M340" i="91"/>
  <c r="M259" i="91"/>
  <c r="M258" i="91"/>
  <c r="M268" i="91"/>
  <c r="M273" i="91"/>
  <c r="M265" i="91"/>
  <c r="M269" i="91"/>
  <c r="M263" i="91"/>
  <c r="M260" i="91"/>
  <c r="M267" i="91"/>
  <c r="M266" i="91"/>
  <c r="M274" i="91"/>
  <c r="M271" i="91"/>
  <c r="M272" i="91"/>
  <c r="M262" i="91"/>
  <c r="M270" i="91"/>
  <c r="M275" i="91"/>
  <c r="M264" i="91"/>
  <c r="M261" i="91"/>
  <c r="M31" i="91"/>
  <c r="M30" i="91"/>
  <c r="M19" i="91"/>
  <c r="M15" i="91"/>
  <c r="M11" i="91"/>
  <c r="M12" i="91"/>
  <c r="M14" i="91"/>
  <c r="M26" i="91"/>
  <c r="M25" i="91"/>
  <c r="M27" i="91"/>
  <c r="M20" i="91"/>
  <c r="M17" i="91"/>
  <c r="M33" i="91"/>
  <c r="M32" i="91"/>
  <c r="M29" i="91"/>
  <c r="M23" i="91"/>
  <c r="M22" i="91"/>
  <c r="M18" i="91"/>
  <c r="M13" i="91"/>
  <c r="M21" i="91"/>
  <c r="N252" i="91"/>
  <c r="N247" i="91"/>
  <c r="N258" i="91"/>
  <c r="N251" i="91"/>
  <c r="N255" i="91"/>
  <c r="N246" i="91"/>
  <c r="N259" i="91"/>
  <c r="N250" i="91"/>
  <c r="N254" i="91"/>
  <c r="N245" i="91"/>
  <c r="N260" i="91"/>
  <c r="N244" i="91"/>
  <c r="N257" i="91"/>
  <c r="N248" i="91"/>
  <c r="N256" i="91"/>
  <c r="N253" i="91"/>
  <c r="N249" i="91"/>
  <c r="N304" i="91"/>
  <c r="N309" i="91"/>
  <c r="N300" i="91"/>
  <c r="N315" i="91"/>
  <c r="N303" i="91"/>
  <c r="N313" i="91"/>
  <c r="N316" i="91"/>
  <c r="N302" i="91"/>
  <c r="N310" i="91"/>
  <c r="N301" i="91"/>
  <c r="N299" i="91"/>
  <c r="N298" i="91"/>
  <c r="N305" i="91"/>
  <c r="N297" i="91"/>
  <c r="N311" i="91"/>
  <c r="N306" i="91"/>
  <c r="N307" i="91"/>
  <c r="N312" i="91"/>
  <c r="N314" i="91"/>
  <c r="N308" i="91"/>
  <c r="N294" i="91"/>
  <c r="N292" i="91"/>
  <c r="N282" i="91"/>
  <c r="N287" i="91"/>
  <c r="N285" i="91"/>
  <c r="N288" i="91"/>
  <c r="N283" i="91"/>
  <c r="N291" i="91"/>
  <c r="N278" i="91"/>
  <c r="N280" i="91"/>
  <c r="N295" i="91"/>
  <c r="N286" i="91"/>
  <c r="N296" i="91"/>
  <c r="N293" i="91"/>
  <c r="N290" i="91"/>
  <c r="N289" i="91"/>
  <c r="N284" i="91"/>
  <c r="N281" i="91"/>
  <c r="N279" i="91"/>
  <c r="N221" i="91"/>
  <c r="N224" i="91"/>
  <c r="N214" i="91"/>
  <c r="N226" i="91"/>
  <c r="N216" i="91"/>
  <c r="N225" i="91"/>
  <c r="N215" i="91"/>
  <c r="N213" i="91"/>
  <c r="N211" i="91"/>
  <c r="N217" i="91"/>
  <c r="N212" i="91"/>
  <c r="N223" i="91"/>
  <c r="N218" i="91"/>
  <c r="N210" i="91"/>
  <c r="N220" i="91"/>
  <c r="N219" i="91"/>
  <c r="N222" i="91"/>
  <c r="N228" i="91"/>
  <c r="N241" i="91"/>
  <c r="N232" i="91"/>
  <c r="N239" i="91"/>
  <c r="N233" i="91"/>
  <c r="N238" i="91"/>
  <c r="N231" i="91"/>
  <c r="N229" i="91"/>
  <c r="N235" i="91"/>
  <c r="N242" i="91"/>
  <c r="N240" i="91"/>
  <c r="N243" i="91"/>
  <c r="N237" i="91"/>
  <c r="N234" i="91"/>
  <c r="N230" i="91"/>
  <c r="N236" i="91"/>
  <c r="N227" i="91"/>
  <c r="N206" i="91"/>
  <c r="N200" i="91"/>
  <c r="N198" i="91"/>
  <c r="N202" i="91"/>
  <c r="N201" i="91"/>
  <c r="N197" i="91"/>
  <c r="N204" i="91"/>
  <c r="N196" i="91"/>
  <c r="N205" i="91"/>
  <c r="N199" i="91"/>
  <c r="N203" i="91"/>
  <c r="N207" i="91"/>
  <c r="N208" i="91"/>
  <c r="N209" i="91"/>
  <c r="N334" i="91"/>
  <c r="N322" i="91"/>
  <c r="N335" i="91"/>
  <c r="N327" i="91"/>
  <c r="N332" i="91"/>
  <c r="N331" i="91"/>
  <c r="N328" i="91"/>
  <c r="N325" i="91"/>
  <c r="N326" i="91"/>
  <c r="N323" i="91"/>
  <c r="N319" i="91"/>
  <c r="N336" i="91"/>
  <c r="N329" i="91"/>
  <c r="N324" i="91"/>
  <c r="N338" i="91"/>
  <c r="N333" i="91"/>
  <c r="N321" i="91"/>
  <c r="N337" i="91"/>
  <c r="N320" i="91"/>
  <c r="N330" i="91"/>
  <c r="N318" i="91"/>
  <c r="N317" i="91"/>
  <c r="N272" i="91"/>
  <c r="N277" i="91"/>
  <c r="N271" i="91"/>
  <c r="N261" i="91"/>
  <c r="N273" i="91"/>
  <c r="N267" i="91"/>
  <c r="N266" i="91"/>
  <c r="N269" i="91"/>
  <c r="N264" i="91"/>
  <c r="N268" i="91"/>
  <c r="N270" i="91"/>
  <c r="N262" i="91"/>
  <c r="N265" i="91"/>
  <c r="N276" i="91"/>
  <c r="N274" i="91"/>
  <c r="N263" i="91"/>
  <c r="N275" i="91"/>
  <c r="M142" i="91"/>
  <c r="M137" i="91"/>
  <c r="M138" i="91"/>
  <c r="M136" i="91"/>
  <c r="M139" i="91"/>
  <c r="M135" i="91"/>
  <c r="M141" i="91"/>
  <c r="M140" i="91"/>
  <c r="M143" i="91"/>
  <c r="M149" i="91"/>
  <c r="M145" i="91"/>
  <c r="M153" i="91"/>
  <c r="M146" i="91"/>
  <c r="M150" i="91"/>
  <c r="M151" i="91"/>
  <c r="M148" i="91"/>
  <c r="M152" i="91"/>
  <c r="M147" i="91"/>
  <c r="M144" i="91"/>
  <c r="M120" i="91"/>
  <c r="M124" i="91"/>
  <c r="M126" i="91"/>
  <c r="M123" i="91"/>
  <c r="M122" i="91"/>
  <c r="M121" i="91"/>
  <c r="M119" i="91"/>
  <c r="M125" i="91"/>
  <c r="M97" i="91"/>
  <c r="M101" i="91"/>
  <c r="M100" i="91"/>
  <c r="M99" i="91"/>
  <c r="M103" i="91"/>
  <c r="M98" i="91"/>
  <c r="M102" i="91"/>
  <c r="M174" i="91"/>
  <c r="M168" i="91"/>
  <c r="M173" i="91"/>
  <c r="M172" i="91"/>
  <c r="M170" i="91"/>
  <c r="M171" i="91"/>
  <c r="M167" i="91"/>
  <c r="M169" i="91"/>
  <c r="M175" i="91"/>
  <c r="M165" i="91"/>
  <c r="M166" i="91"/>
  <c r="M113" i="91"/>
  <c r="M111" i="91"/>
  <c r="M114" i="91"/>
  <c r="M117" i="91"/>
  <c r="M118" i="91"/>
  <c r="M115" i="91"/>
  <c r="M112" i="91"/>
  <c r="M116" i="91"/>
  <c r="M105" i="91"/>
  <c r="M110" i="91"/>
  <c r="M106" i="91"/>
  <c r="M107" i="91"/>
  <c r="M109" i="91"/>
  <c r="M104" i="91"/>
  <c r="M108" i="91"/>
  <c r="M134" i="91"/>
  <c r="M129" i="91"/>
  <c r="M128" i="91"/>
  <c r="M132" i="91"/>
  <c r="M133" i="91"/>
  <c r="M127" i="91"/>
  <c r="M130" i="91"/>
  <c r="M131" i="91"/>
  <c r="M158" i="91"/>
  <c r="M155" i="91"/>
  <c r="M164" i="91"/>
  <c r="M156" i="91"/>
  <c r="M160" i="91"/>
  <c r="M159" i="91"/>
  <c r="M161" i="91"/>
  <c r="M163" i="91"/>
  <c r="M157" i="91"/>
  <c r="M154" i="91"/>
  <c r="M162" i="91"/>
  <c r="M188" i="91"/>
  <c r="M182" i="91"/>
  <c r="M183" i="91"/>
  <c r="M187" i="91"/>
  <c r="M180" i="91"/>
  <c r="M178" i="91"/>
  <c r="M184" i="91"/>
  <c r="M176" i="91"/>
  <c r="M186" i="91"/>
  <c r="M177" i="91"/>
  <c r="M179" i="91"/>
  <c r="M181" i="91"/>
  <c r="M185" i="91"/>
  <c r="N159" i="91"/>
  <c r="N158" i="91"/>
  <c r="N152" i="91"/>
  <c r="N151" i="91"/>
  <c r="N156" i="91"/>
  <c r="N155" i="91"/>
  <c r="N160" i="91"/>
  <c r="N157" i="91"/>
  <c r="N153" i="91"/>
  <c r="N154" i="91"/>
  <c r="N134" i="91"/>
  <c r="N135" i="91"/>
  <c r="N140" i="91"/>
  <c r="N139" i="91"/>
  <c r="N141" i="91"/>
  <c r="N138" i="91"/>
  <c r="N136" i="91"/>
  <c r="N137" i="91"/>
  <c r="N110" i="91"/>
  <c r="N111" i="91"/>
  <c r="N106" i="91"/>
  <c r="N107" i="91"/>
  <c r="N109" i="91"/>
  <c r="N108" i="91"/>
  <c r="N128" i="91"/>
  <c r="N132" i="91"/>
  <c r="N129" i="91"/>
  <c r="N131" i="91"/>
  <c r="N130" i="91"/>
  <c r="N127" i="91"/>
  <c r="N133" i="91"/>
  <c r="N191" i="91"/>
  <c r="N189" i="91"/>
  <c r="N195" i="91"/>
  <c r="N193" i="91"/>
  <c r="N187" i="91"/>
  <c r="N194" i="91"/>
  <c r="N183" i="91"/>
  <c r="N184" i="91"/>
  <c r="N185" i="91"/>
  <c r="N190" i="91"/>
  <c r="N186" i="91"/>
  <c r="N188" i="91"/>
  <c r="N192" i="91"/>
  <c r="N178" i="91"/>
  <c r="N174" i="91"/>
  <c r="N182" i="91"/>
  <c r="N176" i="91"/>
  <c r="N175" i="91"/>
  <c r="N172" i="91"/>
  <c r="N177" i="91"/>
  <c r="N180" i="91"/>
  <c r="N173" i="91"/>
  <c r="N181" i="91"/>
  <c r="N179" i="91"/>
  <c r="N124" i="91"/>
  <c r="N123" i="91"/>
  <c r="N126" i="91"/>
  <c r="N119" i="91"/>
  <c r="N121" i="91"/>
  <c r="N125" i="91"/>
  <c r="N122" i="91"/>
  <c r="N120" i="91"/>
  <c r="N104" i="91"/>
  <c r="N103" i="91"/>
  <c r="N105" i="91"/>
  <c r="N102" i="91"/>
  <c r="N100" i="91"/>
  <c r="N99" i="91"/>
  <c r="N101" i="91"/>
  <c r="N170" i="91"/>
  <c r="N161" i="91"/>
  <c r="N163" i="91"/>
  <c r="N168" i="91"/>
  <c r="N169" i="91"/>
  <c r="N167" i="91"/>
  <c r="N162" i="91"/>
  <c r="N171" i="91"/>
  <c r="N166" i="91"/>
  <c r="N165" i="91"/>
  <c r="N164" i="91"/>
  <c r="N150" i="91"/>
  <c r="N149" i="91"/>
  <c r="N142" i="91"/>
  <c r="N143" i="91"/>
  <c r="N145" i="91"/>
  <c r="N144" i="91"/>
  <c r="N146" i="91"/>
  <c r="N147" i="91"/>
  <c r="N148" i="91"/>
  <c r="N117" i="91"/>
  <c r="N113" i="91"/>
  <c r="N116" i="91"/>
  <c r="N114" i="91"/>
  <c r="N118" i="91"/>
  <c r="N112" i="91"/>
  <c r="N115" i="91"/>
  <c r="N9" i="91"/>
  <c r="N6" i="91"/>
  <c r="N10" i="91"/>
  <c r="N7" i="91"/>
  <c r="N5" i="91"/>
  <c r="N4" i="91"/>
  <c r="N8" i="91"/>
  <c r="M5" i="91"/>
  <c r="M8" i="91"/>
  <c r="M9" i="91"/>
  <c r="M4" i="91"/>
  <c r="M7" i="91"/>
  <c r="J411" i="91"/>
  <c r="J407" i="91"/>
  <c r="J391" i="91"/>
  <c r="J417" i="91"/>
  <c r="J394" i="91"/>
  <c r="J392" i="91"/>
  <c r="J402" i="91"/>
  <c r="J396" i="91"/>
  <c r="J403" i="91"/>
  <c r="J412" i="91"/>
  <c r="J405" i="91"/>
  <c r="J397" i="91"/>
  <c r="J404" i="91"/>
  <c r="J409" i="91"/>
  <c r="J393" i="91"/>
  <c r="J398" i="91"/>
  <c r="J401" i="91"/>
  <c r="J414" i="91"/>
  <c r="J408" i="91"/>
  <c r="J400" i="91"/>
  <c r="J399" i="91"/>
  <c r="J416" i="91"/>
  <c r="J413" i="91"/>
  <c r="J395" i="91"/>
  <c r="J406" i="91"/>
  <c r="J410" i="91"/>
  <c r="J415" i="91"/>
  <c r="G79" i="91"/>
  <c r="G80" i="91"/>
  <c r="G83" i="91"/>
  <c r="Q125" i="96" s="1"/>
  <c r="AM112" i="110" s="1"/>
  <c r="G86" i="91"/>
  <c r="G85" i="91"/>
  <c r="G71" i="91"/>
  <c r="G81" i="91"/>
  <c r="G75" i="91"/>
  <c r="G76" i="91"/>
  <c r="G73" i="91"/>
  <c r="Q123" i="96" s="1"/>
  <c r="AM110" i="110" s="1"/>
  <c r="G74" i="91"/>
  <c r="G82" i="91"/>
  <c r="G77" i="91"/>
  <c r="G78" i="91"/>
  <c r="Q124" i="96" s="1"/>
  <c r="AM111" i="110" s="1"/>
  <c r="G72" i="91"/>
  <c r="G84" i="91"/>
  <c r="BA11" i="99"/>
  <c r="BA56" i="99"/>
  <c r="F67" i="91"/>
  <c r="F70" i="91"/>
  <c r="F73" i="91"/>
  <c r="Q97" i="96" s="1"/>
  <c r="AM84" i="110" s="1"/>
  <c r="F63" i="91"/>
  <c r="Q96" i="96" s="1"/>
  <c r="AM83" i="110" s="1"/>
  <c r="F66" i="91"/>
  <c r="F65" i="91"/>
  <c r="F76" i="91"/>
  <c r="F77" i="91"/>
  <c r="F72" i="91"/>
  <c r="F62" i="91"/>
  <c r="F68" i="91"/>
  <c r="F64" i="91"/>
  <c r="F74" i="91"/>
  <c r="F69" i="91"/>
  <c r="F71" i="91"/>
  <c r="F75" i="91"/>
  <c r="L359" i="91"/>
  <c r="L368" i="91"/>
  <c r="L366" i="91"/>
  <c r="L361" i="91"/>
  <c r="L358" i="91"/>
  <c r="L377" i="91"/>
  <c r="L360" i="91"/>
  <c r="L380" i="91"/>
  <c r="L367" i="91"/>
  <c r="L381" i="91"/>
  <c r="L374" i="91"/>
  <c r="L372" i="91"/>
  <c r="L365" i="91"/>
  <c r="L371" i="91"/>
  <c r="L373" i="91"/>
  <c r="L378" i="91"/>
  <c r="L375" i="91"/>
  <c r="L376" i="91"/>
  <c r="L363" i="91"/>
  <c r="L369" i="91"/>
  <c r="L364" i="91"/>
  <c r="L362" i="91"/>
  <c r="L370" i="91"/>
  <c r="L379" i="91"/>
  <c r="L28" i="91"/>
  <c r="G61" i="91"/>
  <c r="G51" i="91"/>
  <c r="G69" i="91"/>
  <c r="G67" i="91"/>
  <c r="G65" i="91"/>
  <c r="G62" i="91"/>
  <c r="G56" i="91"/>
  <c r="G53" i="91"/>
  <c r="Q121" i="96" s="1"/>
  <c r="AM108" i="110" s="1"/>
  <c r="G63" i="91"/>
  <c r="Q122" i="96" s="1"/>
  <c r="AM109" i="110" s="1"/>
  <c r="G64" i="91"/>
  <c r="G59" i="91"/>
  <c r="G68" i="91"/>
  <c r="G60" i="91"/>
  <c r="G57" i="91"/>
  <c r="G66" i="91"/>
  <c r="G55" i="91"/>
  <c r="G58" i="91"/>
  <c r="G54" i="91"/>
  <c r="G52" i="91"/>
  <c r="G70" i="91"/>
  <c r="G50" i="91"/>
  <c r="F95" i="91"/>
  <c r="F89" i="91"/>
  <c r="F90" i="91"/>
  <c r="F92" i="91"/>
  <c r="F94" i="91"/>
  <c r="F96" i="91"/>
  <c r="F88" i="91"/>
  <c r="Q100" i="96" s="1"/>
  <c r="AM87" i="110" s="1"/>
  <c r="F98" i="91"/>
  <c r="Q102" i="96" s="1"/>
  <c r="AM89" i="110" s="1"/>
  <c r="F91" i="91"/>
  <c r="F97" i="91"/>
  <c r="F93" i="91"/>
  <c r="Q101" i="96" s="1"/>
  <c r="AM88" i="110" s="1"/>
  <c r="BA54" i="99"/>
  <c r="F60" i="91"/>
  <c r="F52" i="91"/>
  <c r="F46" i="91"/>
  <c r="F48" i="91"/>
  <c r="F42" i="91"/>
  <c r="F44" i="91"/>
  <c r="F47" i="91"/>
  <c r="F57" i="91"/>
  <c r="F58" i="91"/>
  <c r="F56" i="91"/>
  <c r="F53" i="91"/>
  <c r="Q95" i="96" s="1"/>
  <c r="AM82" i="110" s="1"/>
  <c r="F50" i="91"/>
  <c r="F49" i="91"/>
  <c r="F61" i="91"/>
  <c r="F43" i="91"/>
  <c r="F59" i="91"/>
  <c r="F55" i="91"/>
  <c r="F51" i="91"/>
  <c r="F45" i="91"/>
  <c r="F54" i="91"/>
  <c r="G101" i="91"/>
  <c r="G104" i="91"/>
  <c r="G103" i="91"/>
  <c r="Q129" i="96" s="1"/>
  <c r="AM116" i="110" s="1"/>
  <c r="G99" i="91"/>
  <c r="G106" i="91"/>
  <c r="G100" i="91"/>
  <c r="G98" i="91"/>
  <c r="Q128" i="96" s="1"/>
  <c r="AM115" i="110" s="1"/>
  <c r="G105" i="91"/>
  <c r="G102" i="91"/>
  <c r="L21" i="91"/>
  <c r="BA50" i="99"/>
  <c r="BA49" i="99"/>
  <c r="BA51" i="99"/>
  <c r="BA52" i="99"/>
  <c r="BA53" i="99"/>
  <c r="F83" i="91"/>
  <c r="Q99" i="96" s="1"/>
  <c r="AM86" i="110" s="1"/>
  <c r="F84" i="91"/>
  <c r="F81" i="91"/>
  <c r="F78" i="91"/>
  <c r="Q98" i="96" s="1"/>
  <c r="AM85" i="110" s="1"/>
  <c r="F86" i="91"/>
  <c r="F80" i="91"/>
  <c r="F79" i="91"/>
  <c r="F82" i="91"/>
  <c r="F85" i="91"/>
  <c r="F87" i="91"/>
  <c r="BA55" i="99"/>
  <c r="G94" i="91"/>
  <c r="G92" i="91"/>
  <c r="G88" i="91"/>
  <c r="Q126" i="96" s="1"/>
  <c r="AM113" i="110" s="1"/>
  <c r="G91" i="91"/>
  <c r="G97" i="91"/>
  <c r="G96" i="91"/>
  <c r="G90" i="91"/>
  <c r="G87" i="91"/>
  <c r="G95" i="91"/>
  <c r="G93" i="91"/>
  <c r="Q127" i="96" s="1"/>
  <c r="AM114" i="110" s="1"/>
  <c r="G89" i="91"/>
  <c r="L33" i="91"/>
  <c r="L17" i="91"/>
  <c r="K393" i="91"/>
  <c r="K404" i="91"/>
  <c r="K394" i="91"/>
  <c r="K406" i="91"/>
  <c r="K411" i="91"/>
  <c r="K391" i="91"/>
  <c r="K400" i="91"/>
  <c r="K397" i="91"/>
  <c r="K407" i="91"/>
  <c r="K413" i="91"/>
  <c r="K401" i="91"/>
  <c r="K408" i="91"/>
  <c r="K398" i="91"/>
  <c r="K399" i="91"/>
  <c r="K410" i="91"/>
  <c r="K389" i="91"/>
  <c r="K395" i="91"/>
  <c r="K414" i="91"/>
  <c r="K392" i="91"/>
  <c r="K409" i="91"/>
  <c r="K390" i="91"/>
  <c r="K412" i="91"/>
  <c r="K388" i="91"/>
  <c r="K402" i="91"/>
  <c r="K405" i="91"/>
  <c r="K396" i="91"/>
  <c r="K403" i="91"/>
  <c r="G46" i="91"/>
  <c r="G22" i="91"/>
  <c r="G39" i="91"/>
  <c r="G28" i="91"/>
  <c r="G5" i="91"/>
  <c r="G11" i="91"/>
  <c r="G8" i="91"/>
  <c r="G14" i="91"/>
  <c r="G25" i="91"/>
  <c r="G33" i="91"/>
  <c r="G40" i="91"/>
  <c r="G18" i="91"/>
  <c r="G9" i="91"/>
  <c r="G6" i="91"/>
  <c r="G37" i="91"/>
  <c r="G19" i="91"/>
  <c r="G31" i="91"/>
  <c r="G38" i="91"/>
  <c r="G34" i="91"/>
  <c r="G42" i="91"/>
  <c r="G36" i="91"/>
  <c r="G29" i="91"/>
  <c r="G12" i="91"/>
  <c r="G49" i="91"/>
  <c r="G16" i="91"/>
  <c r="G41" i="91"/>
  <c r="G30" i="91"/>
  <c r="G23" i="91"/>
  <c r="G32" i="91"/>
  <c r="G27" i="91"/>
  <c r="G35" i="91"/>
  <c r="G43" i="91"/>
  <c r="G15" i="91"/>
  <c r="G20" i="91"/>
  <c r="G10" i="91"/>
  <c r="G45" i="91"/>
  <c r="G24" i="91"/>
  <c r="G48" i="91"/>
  <c r="G13" i="91"/>
  <c r="G4" i="91"/>
  <c r="G47" i="91"/>
  <c r="G44" i="91"/>
  <c r="G21" i="91"/>
  <c r="G7" i="91"/>
  <c r="G26" i="91"/>
  <c r="G17" i="91"/>
  <c r="F38" i="91"/>
  <c r="F12" i="91"/>
  <c r="F11" i="91"/>
  <c r="F26" i="91"/>
  <c r="F41" i="91"/>
  <c r="F40" i="91"/>
  <c r="F30" i="91"/>
  <c r="F19" i="91"/>
  <c r="F37" i="91"/>
  <c r="F10" i="91"/>
  <c r="F23" i="91"/>
  <c r="F28" i="91"/>
  <c r="F35" i="91"/>
  <c r="F25" i="91"/>
  <c r="F17" i="91"/>
  <c r="F16" i="91"/>
  <c r="F20" i="91"/>
  <c r="F27" i="91"/>
  <c r="F31" i="91"/>
  <c r="F7" i="91"/>
  <c r="F36" i="91"/>
  <c r="F6" i="91"/>
  <c r="F32" i="91"/>
  <c r="F4" i="91"/>
  <c r="F39" i="91"/>
  <c r="F24" i="91"/>
  <c r="F13" i="91"/>
  <c r="F14" i="91"/>
  <c r="F8" i="91"/>
  <c r="F29" i="91"/>
  <c r="F9" i="91"/>
  <c r="F5" i="91"/>
  <c r="F15" i="91"/>
  <c r="F34" i="91"/>
  <c r="F18" i="91"/>
  <c r="F33" i="91"/>
  <c r="F22" i="91"/>
  <c r="F21" i="91"/>
  <c r="L41" i="91"/>
  <c r="AO19" i="96"/>
  <c r="BE19" i="96" s="1"/>
  <c r="X9" i="106"/>
  <c r="AA20" i="96"/>
  <c r="AM19" i="96"/>
  <c r="AY19" i="96" s="1"/>
  <c r="Y20" i="96"/>
  <c r="AL18" i="96"/>
  <c r="AV18" i="96" s="1"/>
  <c r="X19" i="96"/>
  <c r="C90" i="91"/>
  <c r="AN17" i="96"/>
  <c r="BB17" i="96" s="1"/>
  <c r="E94" i="91"/>
  <c r="AV62" i="99"/>
  <c r="AD64" i="103"/>
  <c r="W75" i="96"/>
  <c r="AV59" i="99"/>
  <c r="AD61" i="103"/>
  <c r="W72" i="96"/>
  <c r="AD58" i="103"/>
  <c r="W69" i="96"/>
  <c r="AV56" i="99"/>
  <c r="W71" i="96"/>
  <c r="AV58" i="99"/>
  <c r="AD60" i="103"/>
  <c r="Z18" i="96"/>
  <c r="AV61" i="99"/>
  <c r="AD63" i="103"/>
  <c r="W74" i="96"/>
  <c r="AM18" i="96"/>
  <c r="Z43" i="96"/>
  <c r="Z44" i="96" s="1"/>
  <c r="Z45" i="96" s="1"/>
  <c r="Y43" i="96"/>
  <c r="X43" i="96"/>
  <c r="X44" i="96" s="1"/>
  <c r="X45" i="96" s="1"/>
  <c r="AA43" i="96"/>
  <c r="AA44" i="96" s="1"/>
  <c r="AA45" i="96" s="1"/>
  <c r="X8" i="106"/>
  <c r="AO18" i="96"/>
  <c r="BE18" i="96" s="1"/>
  <c r="D92" i="91"/>
  <c r="AM17" i="96"/>
  <c r="AY17" i="96" s="1"/>
  <c r="AL17" i="96"/>
  <c r="AV17" i="96" s="1"/>
  <c r="AV60" i="99"/>
  <c r="AD62" i="103"/>
  <c r="W73" i="96"/>
  <c r="AO17" i="96"/>
  <c r="BE17" i="96" s="1"/>
  <c r="X7" i="106"/>
  <c r="AD59" i="103"/>
  <c r="AV57" i="99"/>
  <c r="W70" i="96"/>
  <c r="AZ95" i="99"/>
  <c r="AZ100" i="99"/>
  <c r="AZ96" i="99"/>
  <c r="AQ146" i="110"/>
  <c r="AZ98" i="99"/>
  <c r="AZ94" i="99"/>
  <c r="AZ101" i="99"/>
  <c r="AQ18" i="96"/>
  <c r="AQ191" i="110"/>
  <c r="AQ189" i="110"/>
  <c r="AQ192" i="110"/>
  <c r="AZ99" i="99"/>
  <c r="AQ145" i="110"/>
  <c r="AQ144" i="110"/>
  <c r="AZ97" i="99"/>
  <c r="AQ190" i="110"/>
  <c r="AQ147" i="110"/>
  <c r="AQ184" i="110"/>
  <c r="AQ188" i="110"/>
  <c r="AQ187" i="110"/>
  <c r="AQ186" i="110"/>
  <c r="AQ185" i="110"/>
  <c r="AQ141" i="110"/>
  <c r="AQ140" i="110"/>
  <c r="AQ139" i="110"/>
  <c r="AQ142" i="110"/>
  <c r="AQ143" i="110"/>
  <c r="AY18" i="96" l="1"/>
  <c r="J434" i="91"/>
  <c r="J426" i="91"/>
  <c r="J422" i="91"/>
  <c r="J437" i="91"/>
  <c r="J442" i="91"/>
  <c r="J419" i="91"/>
  <c r="J431" i="91"/>
  <c r="J424" i="91"/>
  <c r="J435" i="91"/>
  <c r="J427" i="91"/>
  <c r="J440" i="91"/>
  <c r="J430" i="91"/>
  <c r="J433" i="91"/>
  <c r="J445" i="91"/>
  <c r="J439" i="91"/>
  <c r="J443" i="91"/>
  <c r="J441" i="91"/>
  <c r="J421" i="91"/>
  <c r="J425" i="91"/>
  <c r="J428" i="91"/>
  <c r="J420" i="91"/>
  <c r="J429" i="91"/>
  <c r="J418" i="91"/>
  <c r="J438" i="91"/>
  <c r="J446" i="91"/>
  <c r="J423" i="91"/>
  <c r="J436" i="91"/>
  <c r="J432" i="91"/>
  <c r="J447" i="91"/>
  <c r="J444" i="91"/>
  <c r="BA97" i="99"/>
  <c r="BA95" i="99"/>
  <c r="BA94" i="99"/>
  <c r="BA96" i="99"/>
  <c r="BA98" i="99"/>
  <c r="BA101" i="99"/>
  <c r="N351" i="91"/>
  <c r="N339" i="91"/>
  <c r="N357" i="91"/>
  <c r="N361" i="91"/>
  <c r="N359" i="91"/>
  <c r="N348" i="91"/>
  <c r="N349" i="91"/>
  <c r="N363" i="91"/>
  <c r="N356" i="91"/>
  <c r="N360" i="91"/>
  <c r="N340" i="91"/>
  <c r="N347" i="91"/>
  <c r="N353" i="91"/>
  <c r="N362" i="91"/>
  <c r="N343" i="91"/>
  <c r="N354" i="91"/>
  <c r="N342" i="91"/>
  <c r="N344" i="91"/>
  <c r="N352" i="91"/>
  <c r="N355" i="91"/>
  <c r="N350" i="91"/>
  <c r="N346" i="91"/>
  <c r="N358" i="91"/>
  <c r="N345" i="91"/>
  <c r="N341" i="91"/>
  <c r="M382" i="91"/>
  <c r="M376" i="91"/>
  <c r="M366" i="91"/>
  <c r="M368" i="91"/>
  <c r="M373" i="91"/>
  <c r="M370" i="91"/>
  <c r="M362" i="91"/>
  <c r="M377" i="91"/>
  <c r="M364" i="91"/>
  <c r="M361" i="91"/>
  <c r="M371" i="91"/>
  <c r="M375" i="91"/>
  <c r="M367" i="91"/>
  <c r="M359" i="91"/>
  <c r="M363" i="91"/>
  <c r="M372" i="91"/>
  <c r="M365" i="91"/>
  <c r="M383" i="91"/>
  <c r="M360" i="91"/>
  <c r="M381" i="91"/>
  <c r="M378" i="91"/>
  <c r="M374" i="91"/>
  <c r="M369" i="91"/>
  <c r="M379" i="91"/>
  <c r="M380" i="91"/>
  <c r="N44" i="91"/>
  <c r="M6" i="91"/>
  <c r="N18" i="97"/>
  <c r="M16" i="91"/>
  <c r="K439" i="91"/>
  <c r="K423" i="91"/>
  <c r="K419" i="91"/>
  <c r="K434" i="91"/>
  <c r="K433" i="91"/>
  <c r="K416" i="91"/>
  <c r="K435" i="91"/>
  <c r="K436" i="91"/>
  <c r="K426" i="91"/>
  <c r="K415" i="91"/>
  <c r="K424" i="91"/>
  <c r="K441" i="91"/>
  <c r="K438" i="91"/>
  <c r="K425" i="91"/>
  <c r="K437" i="91"/>
  <c r="K429" i="91"/>
  <c r="K431" i="91"/>
  <c r="K421" i="91"/>
  <c r="K422" i="91"/>
  <c r="K428" i="91"/>
  <c r="K432" i="91"/>
  <c r="K417" i="91"/>
  <c r="K418" i="91"/>
  <c r="K440" i="91"/>
  <c r="K427" i="91"/>
  <c r="K420" i="91"/>
  <c r="K430" i="91"/>
  <c r="BA100" i="99"/>
  <c r="M28" i="91"/>
  <c r="M10" i="91"/>
  <c r="M77" i="91"/>
  <c r="BA99" i="99"/>
  <c r="L405" i="91"/>
  <c r="L386" i="91"/>
  <c r="L389" i="91"/>
  <c r="L392" i="91"/>
  <c r="L395" i="91"/>
  <c r="L399" i="91"/>
  <c r="L383" i="91"/>
  <c r="L400" i="91"/>
  <c r="L406" i="91"/>
  <c r="L391" i="91"/>
  <c r="L388" i="91"/>
  <c r="L408" i="91"/>
  <c r="L404" i="91"/>
  <c r="L402" i="91"/>
  <c r="L396" i="91"/>
  <c r="L387" i="91"/>
  <c r="L382" i="91"/>
  <c r="L393" i="91"/>
  <c r="L401" i="91"/>
  <c r="L397" i="91"/>
  <c r="L390" i="91"/>
  <c r="L384" i="91"/>
  <c r="L407" i="91"/>
  <c r="L398" i="91"/>
  <c r="L394" i="91"/>
  <c r="L403" i="91"/>
  <c r="L385" i="91"/>
  <c r="M24" i="91"/>
  <c r="N72" i="91"/>
  <c r="X35" i="106"/>
  <c r="AA46" i="96"/>
  <c r="Z46" i="96"/>
  <c r="X46" i="96"/>
  <c r="AW17" i="96"/>
  <c r="Q7" i="106"/>
  <c r="U7" i="106" s="1"/>
  <c r="Z6" i="103"/>
  <c r="AT17" i="96"/>
  <c r="AX17" i="96"/>
  <c r="C91" i="91"/>
  <c r="W99" i="96"/>
  <c r="AV86" i="99"/>
  <c r="AD88" i="103"/>
  <c r="X33" i="106"/>
  <c r="BF19" i="96"/>
  <c r="T9" i="106"/>
  <c r="BG19" i="96"/>
  <c r="AC8" i="103"/>
  <c r="AN18" i="96"/>
  <c r="AT18" i="96" s="1"/>
  <c r="Z19" i="96"/>
  <c r="R7" i="106"/>
  <c r="V7" i="106" s="1"/>
  <c r="AZ17" i="96"/>
  <c r="BA17" i="96"/>
  <c r="AA6" i="103"/>
  <c r="G107" i="91"/>
  <c r="F99" i="91"/>
  <c r="T7" i="106"/>
  <c r="BF17" i="96"/>
  <c r="BG17" i="96"/>
  <c r="AC6" i="103"/>
  <c r="Y44" i="96"/>
  <c r="AL19" i="96"/>
  <c r="AV19" i="96" s="1"/>
  <c r="X20" i="96"/>
  <c r="W102" i="96"/>
  <c r="AV89" i="99"/>
  <c r="AD91" i="103"/>
  <c r="W96" i="96"/>
  <c r="AV83" i="99"/>
  <c r="AD85" i="103"/>
  <c r="AD112" i="103"/>
  <c r="W123" i="96"/>
  <c r="AV110" i="99"/>
  <c r="R8" i="106"/>
  <c r="V8" i="106" s="1"/>
  <c r="AZ18" i="96"/>
  <c r="AA7" i="103"/>
  <c r="BA18" i="96"/>
  <c r="Q8" i="106"/>
  <c r="U8" i="106" s="1"/>
  <c r="AW18" i="96"/>
  <c r="AX18" i="96"/>
  <c r="Z7" i="103"/>
  <c r="AD87" i="103"/>
  <c r="AV85" i="99"/>
  <c r="W98" i="96"/>
  <c r="AV87" i="99"/>
  <c r="AD89" i="103"/>
  <c r="W100" i="96"/>
  <c r="W97" i="96"/>
  <c r="AV84" i="99"/>
  <c r="AD86" i="103"/>
  <c r="AD113" i="103"/>
  <c r="W124" i="96"/>
  <c r="AV111" i="99"/>
  <c r="AD114" i="103"/>
  <c r="W125" i="96"/>
  <c r="AV112" i="99"/>
  <c r="X34" i="106"/>
  <c r="D93" i="91"/>
  <c r="Q49" i="96" s="1"/>
  <c r="AM36" i="110" s="1"/>
  <c r="BC17" i="96"/>
  <c r="AB6" i="103"/>
  <c r="S7" i="106"/>
  <c r="W7" i="106" s="1"/>
  <c r="BD17" i="96"/>
  <c r="AM20" i="96"/>
  <c r="AY20" i="96" s="1"/>
  <c r="Y21" i="96"/>
  <c r="AV116" i="99"/>
  <c r="AD118" i="103"/>
  <c r="W129" i="96"/>
  <c r="AD84" i="103"/>
  <c r="W95" i="96"/>
  <c r="AV82" i="99"/>
  <c r="AV109" i="99"/>
  <c r="AD111" i="103"/>
  <c r="W122" i="96"/>
  <c r="R9" i="106"/>
  <c r="V9" i="106" s="1"/>
  <c r="AZ19" i="96"/>
  <c r="AA8" i="103"/>
  <c r="BA19" i="96"/>
  <c r="AV114" i="99"/>
  <c r="AD116" i="103"/>
  <c r="W127" i="96"/>
  <c r="AD90" i="103"/>
  <c r="W101" i="96"/>
  <c r="AV88" i="99"/>
  <c r="AO20" i="96"/>
  <c r="BE20" i="96" s="1"/>
  <c r="X10" i="106"/>
  <c r="AA21" i="96"/>
  <c r="AD110" i="103"/>
  <c r="W121" i="96"/>
  <c r="AV108" i="99"/>
  <c r="BF18" i="96"/>
  <c r="T8" i="106"/>
  <c r="AC7" i="103"/>
  <c r="BG18" i="96"/>
  <c r="Z69" i="96"/>
  <c r="Z70" i="96" s="1"/>
  <c r="AA69" i="96"/>
  <c r="AA70" i="96" s="1"/>
  <c r="AA71" i="96" s="1"/>
  <c r="AA72" i="96" s="1"/>
  <c r="X69" i="96"/>
  <c r="X70" i="96" s="1"/>
  <c r="Y69" i="96"/>
  <c r="Y70" i="96" s="1"/>
  <c r="Y71" i="96" s="1"/>
  <c r="Y72" i="96" s="1"/>
  <c r="E95" i="91"/>
  <c r="W126" i="96"/>
  <c r="AV113" i="99"/>
  <c r="AD115" i="103"/>
  <c r="AD117" i="103"/>
  <c r="W128" i="96"/>
  <c r="AV115" i="99"/>
  <c r="AZ185" i="99"/>
  <c r="G8" i="107"/>
  <c r="AZ142" i="99"/>
  <c r="AZ145" i="99"/>
  <c r="AZ147" i="99"/>
  <c r="AZ143" i="99"/>
  <c r="AP18" i="96"/>
  <c r="X7" i="99"/>
  <c r="AS17" i="96"/>
  <c r="AZ189" i="99"/>
  <c r="AZ140" i="99"/>
  <c r="AQ19" i="96"/>
  <c r="AZ184" i="99"/>
  <c r="AZ186" i="99"/>
  <c r="AZ141" i="99"/>
  <c r="K8" i="107"/>
  <c r="AZ187" i="99"/>
  <c r="AZ146" i="99"/>
  <c r="AZ191" i="99"/>
  <c r="AZ144" i="99"/>
  <c r="AZ188" i="99"/>
  <c r="AZ192" i="99"/>
  <c r="AR17" i="96"/>
  <c r="BU7" i="101"/>
  <c r="AZ190" i="99"/>
  <c r="AZ139" i="99"/>
  <c r="O7" i="110"/>
  <c r="AA7" i="108" l="1"/>
  <c r="N19" i="97"/>
  <c r="BB18" i="96"/>
  <c r="O17" i="97"/>
  <c r="M18" i="97"/>
  <c r="P17" i="97"/>
  <c r="BA191" i="99"/>
  <c r="J453" i="91"/>
  <c r="J452" i="91"/>
  <c r="J462" i="91"/>
  <c r="J475" i="91"/>
  <c r="J459" i="91"/>
  <c r="J470" i="91"/>
  <c r="J454" i="91"/>
  <c r="J455" i="91"/>
  <c r="J461" i="91"/>
  <c r="J479" i="91"/>
  <c r="J451" i="91"/>
  <c r="J457" i="91"/>
  <c r="J449" i="91"/>
  <c r="J448" i="91"/>
  <c r="J478" i="91"/>
  <c r="J463" i="91"/>
  <c r="J464" i="91"/>
  <c r="J474" i="91"/>
  <c r="J477" i="91"/>
  <c r="J450" i="91"/>
  <c r="J473" i="91"/>
  <c r="J465" i="91"/>
  <c r="J460" i="91"/>
  <c r="J466" i="91"/>
  <c r="J456" i="91"/>
  <c r="J471" i="91"/>
  <c r="J467" i="91"/>
  <c r="J476" i="91"/>
  <c r="J469" i="91"/>
  <c r="J468" i="91"/>
  <c r="J458" i="91"/>
  <c r="J472" i="91"/>
  <c r="BA190" i="99"/>
  <c r="BA147" i="99"/>
  <c r="K459" i="91"/>
  <c r="K444" i="91"/>
  <c r="K468" i="91"/>
  <c r="K471" i="91"/>
  <c r="K472" i="91"/>
  <c r="K449" i="91"/>
  <c r="K464" i="91"/>
  <c r="K456" i="91"/>
  <c r="K469" i="91"/>
  <c r="K457" i="91"/>
  <c r="K451" i="91"/>
  <c r="K450" i="91"/>
  <c r="K445" i="91"/>
  <c r="K453" i="91"/>
  <c r="K466" i="91"/>
  <c r="K465" i="91"/>
  <c r="K448" i="91"/>
  <c r="K470" i="91"/>
  <c r="K455" i="91"/>
  <c r="K446" i="91"/>
  <c r="K454" i="91"/>
  <c r="K461" i="91"/>
  <c r="K467" i="91"/>
  <c r="K443" i="91"/>
  <c r="K442" i="91"/>
  <c r="K452" i="91"/>
  <c r="K463" i="91"/>
  <c r="K460" i="91"/>
  <c r="K447" i="91"/>
  <c r="K458" i="91"/>
  <c r="K462" i="91"/>
  <c r="BA144" i="99"/>
  <c r="BA145" i="99"/>
  <c r="M394" i="91"/>
  <c r="M395" i="91"/>
  <c r="M387" i="91"/>
  <c r="M411" i="91"/>
  <c r="M402" i="91"/>
  <c r="M406" i="91"/>
  <c r="M390" i="91"/>
  <c r="M408" i="91"/>
  <c r="M412" i="91"/>
  <c r="M403" i="91"/>
  <c r="M407" i="91"/>
  <c r="M391" i="91"/>
  <c r="M398" i="91"/>
  <c r="M399" i="91"/>
  <c r="M393" i="91"/>
  <c r="M396" i="91"/>
  <c r="M404" i="91"/>
  <c r="M410" i="91"/>
  <c r="M405" i="91"/>
  <c r="M400" i="91"/>
  <c r="M392" i="91"/>
  <c r="M397" i="91"/>
  <c r="M401" i="91"/>
  <c r="M388" i="91"/>
  <c r="M409" i="91"/>
  <c r="M386" i="91"/>
  <c r="M385" i="91"/>
  <c r="M389" i="91"/>
  <c r="M384" i="91"/>
  <c r="BA189" i="99"/>
  <c r="N367" i="91"/>
  <c r="N373" i="91"/>
  <c r="N387" i="91"/>
  <c r="N383" i="91"/>
  <c r="N374" i="91"/>
  <c r="N382" i="91"/>
  <c r="N375" i="91"/>
  <c r="N377" i="91"/>
  <c r="N388" i="91"/>
  <c r="N378" i="91"/>
  <c r="N371" i="91"/>
  <c r="N372" i="91"/>
  <c r="N386" i="91"/>
  <c r="N369" i="91"/>
  <c r="N384" i="91"/>
  <c r="N364" i="91"/>
  <c r="N368" i="91"/>
  <c r="N376" i="91"/>
  <c r="N365" i="91"/>
  <c r="N366" i="91"/>
  <c r="N379" i="91"/>
  <c r="N380" i="91"/>
  <c r="N389" i="91"/>
  <c r="N381" i="91"/>
  <c r="N385" i="91"/>
  <c r="N370" i="91"/>
  <c r="BA146" i="99"/>
  <c r="L415" i="91"/>
  <c r="L430" i="91"/>
  <c r="L413" i="91"/>
  <c r="L416" i="91"/>
  <c r="L423" i="91"/>
  <c r="L429" i="91"/>
  <c r="L432" i="91"/>
  <c r="L414" i="91"/>
  <c r="L428" i="91"/>
  <c r="L411" i="91"/>
  <c r="L421" i="91"/>
  <c r="L422" i="91"/>
  <c r="L427" i="91"/>
  <c r="L434" i="91"/>
  <c r="L419" i="91"/>
  <c r="L426" i="91"/>
  <c r="L424" i="91"/>
  <c r="L433" i="91"/>
  <c r="L418" i="91"/>
  <c r="L410" i="91"/>
  <c r="L431" i="91"/>
  <c r="L409" i="91"/>
  <c r="L425" i="91"/>
  <c r="L420" i="91"/>
  <c r="L436" i="91"/>
  <c r="L412" i="91"/>
  <c r="L417" i="91"/>
  <c r="L435" i="91"/>
  <c r="BA187" i="99"/>
  <c r="BA185" i="99"/>
  <c r="BA186" i="99"/>
  <c r="BA184" i="99"/>
  <c r="BA188" i="99"/>
  <c r="BA192" i="99"/>
  <c r="BA139" i="99"/>
  <c r="BA140" i="99"/>
  <c r="BA141" i="99"/>
  <c r="BA142" i="99"/>
  <c r="BA143" i="99"/>
  <c r="Z71" i="96"/>
  <c r="X71" i="96"/>
  <c r="Y73" i="96"/>
  <c r="X62" i="106"/>
  <c r="AA73" i="96"/>
  <c r="AA121" i="96"/>
  <c r="AA122" i="96" s="1"/>
  <c r="X121" i="96"/>
  <c r="X122" i="96" s="1"/>
  <c r="Z121" i="96"/>
  <c r="Z122" i="96" s="1"/>
  <c r="Z123" i="96" s="1"/>
  <c r="Z124" i="96" s="1"/>
  <c r="Y121" i="96"/>
  <c r="Y122" i="96" s="1"/>
  <c r="Z95" i="96"/>
  <c r="Z96" i="96" s="1"/>
  <c r="Z97" i="96" s="1"/>
  <c r="Z98" i="96" s="1"/>
  <c r="Y95" i="96"/>
  <c r="Y96" i="96" s="1"/>
  <c r="Y97" i="96" s="1"/>
  <c r="AA95" i="96"/>
  <c r="AA96" i="96" s="1"/>
  <c r="X95" i="96"/>
  <c r="X96" i="96" s="1"/>
  <c r="X97" i="96" s="1"/>
  <c r="X98" i="96" s="1"/>
  <c r="AL20" i="96"/>
  <c r="AV20" i="96" s="1"/>
  <c r="X21" i="96"/>
  <c r="X11" i="106"/>
  <c r="AO21" i="96"/>
  <c r="BE21" i="96" s="1"/>
  <c r="AA22" i="96"/>
  <c r="C92" i="91"/>
  <c r="Q9" i="106"/>
  <c r="U9" i="106" s="1"/>
  <c r="AW19" i="96"/>
  <c r="Z8" i="103"/>
  <c r="AX19" i="96"/>
  <c r="X47" i="96"/>
  <c r="X59" i="106"/>
  <c r="BF20" i="96"/>
  <c r="T10" i="106"/>
  <c r="BG20" i="96"/>
  <c r="AC9" i="103"/>
  <c r="X61" i="106"/>
  <c r="AN19" i="96"/>
  <c r="Z20" i="96"/>
  <c r="Z47" i="96"/>
  <c r="D94" i="91"/>
  <c r="BC18" i="96"/>
  <c r="BD18" i="96"/>
  <c r="S8" i="106"/>
  <c r="W8" i="106" s="1"/>
  <c r="Y8" i="106" s="1"/>
  <c r="AB7" i="103"/>
  <c r="AF7" i="103" s="1"/>
  <c r="Y45" i="96"/>
  <c r="AF6" i="103"/>
  <c r="AL6" i="103"/>
  <c r="AM21" i="96"/>
  <c r="AY21" i="96" s="1"/>
  <c r="Y22" i="96"/>
  <c r="Y7" i="106"/>
  <c r="X36" i="106"/>
  <c r="AA47" i="96"/>
  <c r="F100" i="91"/>
  <c r="AD38" i="103"/>
  <c r="AV36" i="99"/>
  <c r="W49" i="96"/>
  <c r="G108" i="91"/>
  <c r="Q130" i="96" s="1"/>
  <c r="AM117" i="110" s="1"/>
  <c r="E96" i="91"/>
  <c r="R10" i="106"/>
  <c r="V10" i="106" s="1"/>
  <c r="AZ20" i="96"/>
  <c r="AA9" i="103"/>
  <c r="BA20" i="96"/>
  <c r="X60" i="106"/>
  <c r="AP33" i="103"/>
  <c r="AP48" i="103"/>
  <c r="Z6" i="99"/>
  <c r="AP41" i="103"/>
  <c r="AP36" i="103"/>
  <c r="AP8" i="103"/>
  <c r="AP7" i="103"/>
  <c r="O8" i="110"/>
  <c r="AP50" i="103"/>
  <c r="BU8" i="101"/>
  <c r="AP40" i="103"/>
  <c r="AP28" i="103"/>
  <c r="AP49" i="103"/>
  <c r="AP46" i="103"/>
  <c r="AP53" i="103"/>
  <c r="AP30" i="103"/>
  <c r="AP20" i="103"/>
  <c r="AP51" i="103"/>
  <c r="G9" i="107"/>
  <c r="AP47" i="103"/>
  <c r="AP39" i="103"/>
  <c r="AP12" i="103"/>
  <c r="AP32" i="103"/>
  <c r="AP22" i="103"/>
  <c r="L7" i="107"/>
  <c r="AQ20" i="96"/>
  <c r="AP29" i="103"/>
  <c r="Y6" i="99"/>
  <c r="AP18" i="103"/>
  <c r="AP35" i="103"/>
  <c r="AP9" i="103"/>
  <c r="AP43" i="103"/>
  <c r="AP6" i="103"/>
  <c r="AP23" i="103"/>
  <c r="BT7" i="101"/>
  <c r="J8" i="107"/>
  <c r="H7" i="107"/>
  <c r="AP13" i="103"/>
  <c r="AP11" i="103"/>
  <c r="AP38" i="103"/>
  <c r="AP45" i="103"/>
  <c r="AP19" i="103"/>
  <c r="M7" i="107"/>
  <c r="BV6" i="101"/>
  <c r="AP10" i="103"/>
  <c r="AP52" i="103"/>
  <c r="AP42" i="103"/>
  <c r="AP34" i="103"/>
  <c r="AP54" i="103"/>
  <c r="AP16" i="103"/>
  <c r="N7" i="110"/>
  <c r="BW6" i="101"/>
  <c r="AR18" i="96"/>
  <c r="AP14" i="103"/>
  <c r="AP37" i="103"/>
  <c r="W7" i="99"/>
  <c r="AP24" i="103"/>
  <c r="AP31" i="103"/>
  <c r="AP27" i="103"/>
  <c r="X8" i="99"/>
  <c r="I7" i="107"/>
  <c r="AP44" i="103"/>
  <c r="AQ193" i="110"/>
  <c r="AP26" i="103"/>
  <c r="F8" i="107"/>
  <c r="AP19" i="96"/>
  <c r="P6" i="110"/>
  <c r="Q6" i="110"/>
  <c r="K9" i="107"/>
  <c r="AP25" i="103"/>
  <c r="AP15" i="103"/>
  <c r="AP17" i="103"/>
  <c r="AP21" i="103"/>
  <c r="R6" i="110" l="1"/>
  <c r="AC6" i="108"/>
  <c r="Z7" i="108"/>
  <c r="AB6" i="108"/>
  <c r="AA8" i="108"/>
  <c r="M19" i="97"/>
  <c r="N20" i="97"/>
  <c r="O18" i="97"/>
  <c r="AT19" i="96"/>
  <c r="BX6" i="101"/>
  <c r="AA6" i="99"/>
  <c r="BB19" i="96"/>
  <c r="L453" i="91"/>
  <c r="L449" i="91"/>
  <c r="L438" i="91"/>
  <c r="L442" i="91"/>
  <c r="L454" i="91"/>
  <c r="L450" i="91"/>
  <c r="L459" i="91"/>
  <c r="L447" i="91"/>
  <c r="L441" i="91"/>
  <c r="L440" i="91"/>
  <c r="L443" i="91"/>
  <c r="L439" i="91"/>
  <c r="L445" i="91"/>
  <c r="L451" i="91"/>
  <c r="L463" i="91"/>
  <c r="L462" i="91"/>
  <c r="L455" i="91"/>
  <c r="L467" i="91"/>
  <c r="L458" i="91"/>
  <c r="L446" i="91"/>
  <c r="L456" i="91"/>
  <c r="L460" i="91"/>
  <c r="L444" i="91"/>
  <c r="L464" i="91"/>
  <c r="L457" i="91"/>
  <c r="L437" i="91"/>
  <c r="L448" i="91"/>
  <c r="L452" i="91"/>
  <c r="L466" i="91"/>
  <c r="L461" i="91"/>
  <c r="L465" i="91"/>
  <c r="K500" i="91"/>
  <c r="K479" i="91"/>
  <c r="K473" i="91"/>
  <c r="K497" i="91"/>
  <c r="K488" i="91"/>
  <c r="K486" i="91"/>
  <c r="K502" i="91"/>
  <c r="K475" i="91"/>
  <c r="K485" i="91"/>
  <c r="K487" i="91"/>
  <c r="K480" i="91"/>
  <c r="K498" i="91"/>
  <c r="K490" i="91"/>
  <c r="K493" i="91"/>
  <c r="K495" i="91"/>
  <c r="K476" i="91"/>
  <c r="K478" i="91"/>
  <c r="K482" i="91"/>
  <c r="K501" i="91"/>
  <c r="K491" i="91"/>
  <c r="K474" i="91"/>
  <c r="K494" i="91"/>
  <c r="K503" i="91"/>
  <c r="K489" i="91"/>
  <c r="K496" i="91"/>
  <c r="K484" i="91"/>
  <c r="K499" i="91"/>
  <c r="K477" i="91"/>
  <c r="K483" i="91"/>
  <c r="K481" i="91"/>
  <c r="K492" i="91"/>
  <c r="J494" i="91"/>
  <c r="J502" i="91"/>
  <c r="J491" i="91"/>
  <c r="J503" i="91"/>
  <c r="J499" i="91"/>
  <c r="J480" i="91"/>
  <c r="J497" i="91"/>
  <c r="J486" i="91"/>
  <c r="J481" i="91"/>
  <c r="J493" i="91"/>
  <c r="J490" i="91"/>
  <c r="J500" i="91"/>
  <c r="J496" i="91"/>
  <c r="J489" i="91"/>
  <c r="J495" i="91"/>
  <c r="J487" i="91"/>
  <c r="J484" i="91"/>
  <c r="J498" i="91"/>
  <c r="J488" i="91"/>
  <c r="J483" i="91"/>
  <c r="J501" i="91"/>
  <c r="J485" i="91"/>
  <c r="J482" i="91"/>
  <c r="J492" i="91"/>
  <c r="N399" i="91"/>
  <c r="N398" i="91"/>
  <c r="N403" i="91"/>
  <c r="N415" i="91"/>
  <c r="N393" i="91"/>
  <c r="N392" i="91"/>
  <c r="N413" i="91"/>
  <c r="N390" i="91"/>
  <c r="N402" i="91"/>
  <c r="N408" i="91"/>
  <c r="N391" i="91"/>
  <c r="N394" i="91"/>
  <c r="N406" i="91"/>
  <c r="N414" i="91"/>
  <c r="N404" i="91"/>
  <c r="N407" i="91"/>
  <c r="N411" i="91"/>
  <c r="N409" i="91"/>
  <c r="N395" i="91"/>
  <c r="N412" i="91"/>
  <c r="N396" i="91"/>
  <c r="N401" i="91"/>
  <c r="N397" i="91"/>
  <c r="N405" i="91"/>
  <c r="N410" i="91"/>
  <c r="N400" i="91"/>
  <c r="M439" i="91"/>
  <c r="M429" i="91"/>
  <c r="M416" i="91"/>
  <c r="M426" i="91"/>
  <c r="M424" i="91"/>
  <c r="M435" i="91"/>
  <c r="M436" i="91"/>
  <c r="M441" i="91"/>
  <c r="M421" i="91"/>
  <c r="M423" i="91"/>
  <c r="M432" i="91"/>
  <c r="M442" i="91"/>
  <c r="M427" i="91"/>
  <c r="M431" i="91"/>
  <c r="M425" i="91"/>
  <c r="M434" i="91"/>
  <c r="M417" i="91"/>
  <c r="M443" i="91"/>
  <c r="M437" i="91"/>
  <c r="M413" i="91"/>
  <c r="M419" i="91"/>
  <c r="M420" i="91"/>
  <c r="M433" i="91"/>
  <c r="M430" i="91"/>
  <c r="M422" i="91"/>
  <c r="M415" i="91"/>
  <c r="M418" i="91"/>
  <c r="M414" i="91"/>
  <c r="M440" i="91"/>
  <c r="M428" i="91"/>
  <c r="M438" i="91"/>
  <c r="M444" i="91"/>
  <c r="BR11" i="103"/>
  <c r="BM11" i="103"/>
  <c r="BM29" i="103"/>
  <c r="BR29" i="103"/>
  <c r="BM41" i="103"/>
  <c r="BR41" i="103"/>
  <c r="BM30" i="103"/>
  <c r="BR30" i="103"/>
  <c r="BR18" i="103"/>
  <c r="BM18" i="103"/>
  <c r="BR27" i="103"/>
  <c r="BM27" i="103"/>
  <c r="BR42" i="103"/>
  <c r="BM42" i="103"/>
  <c r="BR46" i="103"/>
  <c r="BM46" i="103"/>
  <c r="BM45" i="103"/>
  <c r="BR45" i="103"/>
  <c r="BM50" i="103"/>
  <c r="BR50" i="103"/>
  <c r="BM17" i="103"/>
  <c r="BR17" i="103"/>
  <c r="BM28" i="103"/>
  <c r="BR28" i="103"/>
  <c r="BR8" i="103"/>
  <c r="BM8" i="103"/>
  <c r="BM14" i="103"/>
  <c r="BR14" i="103"/>
  <c r="BR43" i="103"/>
  <c r="BM43" i="103"/>
  <c r="BM51" i="103"/>
  <c r="BR51" i="103"/>
  <c r="BM15" i="103"/>
  <c r="BR15" i="103"/>
  <c r="BM9" i="103"/>
  <c r="BR9" i="103"/>
  <c r="BR31" i="103"/>
  <c r="BM31" i="103"/>
  <c r="BR35" i="103"/>
  <c r="BM35" i="103"/>
  <c r="BM25" i="103"/>
  <c r="BR25" i="103"/>
  <c r="BR16" i="103"/>
  <c r="BM16" i="103"/>
  <c r="BR13" i="103"/>
  <c r="BM13" i="103"/>
  <c r="BR20" i="103"/>
  <c r="BM20" i="103"/>
  <c r="BM7" i="103"/>
  <c r="BR7" i="103"/>
  <c r="BR26" i="103"/>
  <c r="BM26" i="103"/>
  <c r="BM24" i="103"/>
  <c r="BR24" i="103"/>
  <c r="BR21" i="103"/>
  <c r="BM21" i="103"/>
  <c r="BM36" i="103"/>
  <c r="BR36" i="103"/>
  <c r="BR49" i="103"/>
  <c r="BM49" i="103"/>
  <c r="BM53" i="103"/>
  <c r="BR53" i="103"/>
  <c r="BM40" i="103"/>
  <c r="BR40" i="103"/>
  <c r="BM38" i="103"/>
  <c r="BR38" i="103"/>
  <c r="BR48" i="103"/>
  <c r="BM48" i="103"/>
  <c r="BR44" i="103"/>
  <c r="BM44" i="103"/>
  <c r="BM37" i="103"/>
  <c r="BR37" i="103"/>
  <c r="BR23" i="103"/>
  <c r="BM23" i="103"/>
  <c r="BR12" i="103"/>
  <c r="BM12" i="103"/>
  <c r="BR6" i="103"/>
  <c r="BM6" i="103"/>
  <c r="BR19" i="103"/>
  <c r="BM19" i="103"/>
  <c r="BR39" i="103"/>
  <c r="BM39" i="103"/>
  <c r="BR22" i="103"/>
  <c r="BM22" i="103"/>
  <c r="BR33" i="103"/>
  <c r="BM33" i="103"/>
  <c r="BR47" i="103"/>
  <c r="BM47" i="103"/>
  <c r="BR54" i="103"/>
  <c r="BM54" i="103"/>
  <c r="BR10" i="103"/>
  <c r="BM10" i="103"/>
  <c r="BM52" i="103"/>
  <c r="BR52" i="103"/>
  <c r="BR32" i="103"/>
  <c r="BM32" i="103"/>
  <c r="BM34" i="103"/>
  <c r="BR34" i="103"/>
  <c r="X99" i="96"/>
  <c r="X112" i="106"/>
  <c r="AA123" i="96"/>
  <c r="Z99" i="96"/>
  <c r="Y98" i="96"/>
  <c r="Y46" i="96"/>
  <c r="BF21" i="96"/>
  <c r="AC10" i="103"/>
  <c r="BG21" i="96"/>
  <c r="T11" i="106"/>
  <c r="X63" i="106"/>
  <c r="AA74" i="96"/>
  <c r="AD119" i="103"/>
  <c r="W130" i="96"/>
  <c r="AV117" i="99"/>
  <c r="X37" i="106"/>
  <c r="AA48" i="96"/>
  <c r="AA49" i="96" s="1"/>
  <c r="E97" i="91"/>
  <c r="AM22" i="96"/>
  <c r="AY22" i="96" s="1"/>
  <c r="AN20" i="96"/>
  <c r="BB20" i="96" s="1"/>
  <c r="Z21" i="96"/>
  <c r="X85" i="106"/>
  <c r="X48" i="96"/>
  <c r="X49" i="96" s="1"/>
  <c r="AZ21" i="96"/>
  <c r="R11" i="106"/>
  <c r="V11" i="106" s="1"/>
  <c r="AA10" i="103"/>
  <c r="BA21" i="96"/>
  <c r="BC19" i="96"/>
  <c r="S9" i="106"/>
  <c r="W9" i="106" s="1"/>
  <c r="Y9" i="106" s="1"/>
  <c r="BD19" i="96"/>
  <c r="AB8" i="103"/>
  <c r="AF8" i="103" s="1"/>
  <c r="D95" i="91"/>
  <c r="Y74" i="96"/>
  <c r="C93" i="91"/>
  <c r="Q23" i="96" s="1"/>
  <c r="AM10" i="110" s="1"/>
  <c r="AL21" i="96"/>
  <c r="AV21" i="96" s="1"/>
  <c r="X22" i="96"/>
  <c r="G109" i="91"/>
  <c r="Q10" i="106"/>
  <c r="U10" i="106" s="1"/>
  <c r="AW20" i="96"/>
  <c r="Z9" i="103"/>
  <c r="AX20" i="96"/>
  <c r="X111" i="106"/>
  <c r="X72" i="96"/>
  <c r="F101" i="91"/>
  <c r="X86" i="106"/>
  <c r="AA97" i="96"/>
  <c r="Y123" i="96"/>
  <c r="Z48" i="96"/>
  <c r="Z49" i="96" s="1"/>
  <c r="Z125" i="96"/>
  <c r="AO22" i="96"/>
  <c r="BE22" i="96" s="1"/>
  <c r="X12" i="106"/>
  <c r="Z72" i="96"/>
  <c r="X123" i="96"/>
  <c r="W50" i="110"/>
  <c r="W19" i="110"/>
  <c r="AF10" i="99"/>
  <c r="AR19" i="96"/>
  <c r="CB12" i="101"/>
  <c r="W47" i="110"/>
  <c r="AF18" i="99"/>
  <c r="AF27" i="99"/>
  <c r="AF16" i="99"/>
  <c r="X9" i="99"/>
  <c r="CB29" i="101"/>
  <c r="W26" i="110"/>
  <c r="W42" i="110"/>
  <c r="AF33" i="99"/>
  <c r="CB19" i="101"/>
  <c r="CB43" i="101"/>
  <c r="W32" i="110"/>
  <c r="CB9" i="101"/>
  <c r="CB30" i="101"/>
  <c r="AF34" i="99"/>
  <c r="BU9" i="101"/>
  <c r="AF30" i="99"/>
  <c r="K10" i="107"/>
  <c r="W27" i="110"/>
  <c r="W20" i="110"/>
  <c r="AF52" i="99"/>
  <c r="CB28" i="101"/>
  <c r="W7" i="110"/>
  <c r="W46" i="110"/>
  <c r="W51" i="110"/>
  <c r="AF39" i="99"/>
  <c r="W49" i="110"/>
  <c r="W38" i="110"/>
  <c r="CB54" i="101"/>
  <c r="AF21" i="99"/>
  <c r="AF11" i="99"/>
  <c r="W29" i="110"/>
  <c r="Y7" i="99"/>
  <c r="CB35" i="101"/>
  <c r="AF35" i="99"/>
  <c r="W13" i="110"/>
  <c r="AF6" i="99"/>
  <c r="W36" i="110"/>
  <c r="W35" i="110"/>
  <c r="AF12" i="99"/>
  <c r="AF26" i="99"/>
  <c r="AF36" i="99"/>
  <c r="AF8" i="99"/>
  <c r="CB40" i="101"/>
  <c r="CB38" i="101"/>
  <c r="AF22" i="99"/>
  <c r="CB24" i="101"/>
  <c r="AF24" i="99"/>
  <c r="CB49" i="101"/>
  <c r="W21" i="110"/>
  <c r="AF49" i="99"/>
  <c r="AF29" i="99"/>
  <c r="AF23" i="99"/>
  <c r="CB42" i="101"/>
  <c r="CB18" i="101"/>
  <c r="F9" i="107"/>
  <c r="O9" i="110"/>
  <c r="CB20" i="101"/>
  <c r="AF32" i="99"/>
  <c r="CB51" i="101"/>
  <c r="W30" i="110"/>
  <c r="CB33" i="101"/>
  <c r="CB32" i="101"/>
  <c r="CB7" i="101"/>
  <c r="AF48" i="99"/>
  <c r="AZ193" i="99"/>
  <c r="CB52" i="101"/>
  <c r="W28" i="110"/>
  <c r="CB41" i="101"/>
  <c r="AF9" i="99"/>
  <c r="AF44" i="99"/>
  <c r="W43" i="110"/>
  <c r="W6" i="110"/>
  <c r="CB50" i="101"/>
  <c r="N8" i="110"/>
  <c r="AF40" i="99"/>
  <c r="W17" i="110"/>
  <c r="CB48" i="101"/>
  <c r="CB15" i="101"/>
  <c r="CB46" i="101"/>
  <c r="CB44" i="101"/>
  <c r="L8" i="107"/>
  <c r="AF54" i="99"/>
  <c r="W44" i="110"/>
  <c r="AF25" i="99"/>
  <c r="CB6" i="101"/>
  <c r="CB11" i="101"/>
  <c r="W31" i="110"/>
  <c r="J9" i="107"/>
  <c r="AF37" i="99"/>
  <c r="W34" i="110"/>
  <c r="AF20" i="99"/>
  <c r="CB31" i="101"/>
  <c r="AF47" i="99"/>
  <c r="W9" i="110"/>
  <c r="AF46" i="99"/>
  <c r="CB13" i="101"/>
  <c r="CB34" i="101"/>
  <c r="W10" i="110"/>
  <c r="W8" i="99"/>
  <c r="AF17" i="99"/>
  <c r="CB27" i="101"/>
  <c r="W8" i="110"/>
  <c r="AF43" i="99"/>
  <c r="W40" i="110"/>
  <c r="W12" i="110"/>
  <c r="AF53" i="99"/>
  <c r="CB23" i="101"/>
  <c r="W11" i="110"/>
  <c r="CB10" i="101"/>
  <c r="AF51" i="99"/>
  <c r="CB26" i="101"/>
  <c r="AF28" i="99"/>
  <c r="AF41" i="99"/>
  <c r="CB53" i="101"/>
  <c r="AF13" i="99"/>
  <c r="AF15" i="99"/>
  <c r="CB17" i="101"/>
  <c r="W53" i="110"/>
  <c r="CB22" i="101"/>
  <c r="W25" i="110"/>
  <c r="AF38" i="99"/>
  <c r="H8" i="107"/>
  <c r="AF19" i="99"/>
  <c r="AF42" i="99"/>
  <c r="CB47" i="101"/>
  <c r="CB37" i="101"/>
  <c r="BV7" i="101"/>
  <c r="W16" i="110"/>
  <c r="W48" i="110"/>
  <c r="W39" i="110"/>
  <c r="G10" i="107"/>
  <c r="W37" i="110"/>
  <c r="CB14" i="101"/>
  <c r="CB8" i="101"/>
  <c r="W41" i="110"/>
  <c r="AF31" i="99"/>
  <c r="CB36" i="101"/>
  <c r="AF7" i="99"/>
  <c r="W22" i="110"/>
  <c r="W18" i="110"/>
  <c r="CB25" i="101"/>
  <c r="W54" i="110"/>
  <c r="AQ21" i="96"/>
  <c r="AP20" i="96"/>
  <c r="W15" i="110"/>
  <c r="CB45" i="101"/>
  <c r="AF50" i="99"/>
  <c r="BT8" i="101"/>
  <c r="W52" i="110"/>
  <c r="W45" i="110"/>
  <c r="CB21" i="101"/>
  <c r="W23" i="110"/>
  <c r="CB39" i="101"/>
  <c r="AF45" i="99"/>
  <c r="W33" i="110"/>
  <c r="P7" i="110"/>
  <c r="AF14" i="99"/>
  <c r="CB16" i="101"/>
  <c r="W14" i="110"/>
  <c r="W24" i="110"/>
  <c r="AB7" i="108" l="1"/>
  <c r="AA9" i="108"/>
  <c r="Z8" i="108"/>
  <c r="N21" i="97"/>
  <c r="O19" i="97"/>
  <c r="AT20" i="96"/>
  <c r="M20" i="97"/>
  <c r="BA193" i="99"/>
  <c r="L479" i="91"/>
  <c r="L495" i="91"/>
  <c r="L496" i="91"/>
  <c r="L469" i="91"/>
  <c r="L475" i="91"/>
  <c r="L498" i="91"/>
  <c r="L472" i="91"/>
  <c r="L478" i="91"/>
  <c r="L489" i="91"/>
  <c r="L468" i="91"/>
  <c r="L486" i="91"/>
  <c r="L483" i="91"/>
  <c r="L491" i="91"/>
  <c r="L494" i="91"/>
  <c r="L473" i="91"/>
  <c r="L484" i="91"/>
  <c r="L474" i="91"/>
  <c r="L497" i="91"/>
  <c r="L488" i="91"/>
  <c r="L481" i="91"/>
  <c r="L470" i="91"/>
  <c r="L477" i="91"/>
  <c r="L476" i="91"/>
  <c r="L490" i="91"/>
  <c r="L492" i="91"/>
  <c r="L471" i="91"/>
  <c r="L493" i="91"/>
  <c r="L480" i="91"/>
  <c r="L482" i="91"/>
  <c r="L485" i="91"/>
  <c r="L487" i="91"/>
  <c r="M476" i="91"/>
  <c r="M450" i="91"/>
  <c r="M478" i="91"/>
  <c r="M472" i="91"/>
  <c r="M453" i="91"/>
  <c r="M463" i="91"/>
  <c r="M467" i="91"/>
  <c r="M474" i="91"/>
  <c r="M466" i="91"/>
  <c r="M447" i="91"/>
  <c r="M477" i="91"/>
  <c r="M446" i="91"/>
  <c r="M445" i="91"/>
  <c r="M475" i="91"/>
  <c r="M456" i="91"/>
  <c r="M451" i="91"/>
  <c r="M465" i="91"/>
  <c r="M448" i="91"/>
  <c r="M459" i="91"/>
  <c r="M471" i="91"/>
  <c r="M462" i="91"/>
  <c r="M457" i="91"/>
  <c r="M468" i="91"/>
  <c r="M473" i="91"/>
  <c r="M461" i="91"/>
  <c r="M454" i="91"/>
  <c r="M449" i="91"/>
  <c r="M460" i="91"/>
  <c r="M464" i="91"/>
  <c r="M452" i="91"/>
  <c r="M458" i="91"/>
  <c r="M470" i="91"/>
  <c r="M469" i="91"/>
  <c r="M455" i="91"/>
  <c r="N427" i="91"/>
  <c r="N418" i="91"/>
  <c r="N442" i="91"/>
  <c r="N419" i="91"/>
  <c r="N433" i="91"/>
  <c r="N431" i="91"/>
  <c r="N434" i="91"/>
  <c r="N436" i="91"/>
  <c r="N430" i="91"/>
  <c r="N421" i="91"/>
  <c r="N420" i="91"/>
  <c r="N441" i="91"/>
  <c r="N429" i="91"/>
  <c r="N439" i="91"/>
  <c r="N438" i="91"/>
  <c r="N428" i="91"/>
  <c r="N440" i="91"/>
  <c r="N425" i="91"/>
  <c r="N426" i="91"/>
  <c r="N423" i="91"/>
  <c r="N416" i="91"/>
  <c r="N422" i="91"/>
  <c r="N417" i="91"/>
  <c r="N432" i="91"/>
  <c r="N435" i="91"/>
  <c r="N424" i="91"/>
  <c r="N443" i="91"/>
  <c r="N437" i="91"/>
  <c r="X39" i="106"/>
  <c r="Z126" i="96"/>
  <c r="AD12" i="103"/>
  <c r="AV10" i="99"/>
  <c r="W23" i="96"/>
  <c r="BF22" i="96"/>
  <c r="T12" i="106"/>
  <c r="AC11" i="103"/>
  <c r="BG22" i="96"/>
  <c r="X64" i="106"/>
  <c r="AA75" i="96"/>
  <c r="X73" i="96"/>
  <c r="C94" i="91"/>
  <c r="X124" i="96"/>
  <c r="Z100" i="96"/>
  <c r="Y47" i="96"/>
  <c r="X87" i="106"/>
  <c r="AA98" i="96"/>
  <c r="AL22" i="96"/>
  <c r="AV22" i="96" s="1"/>
  <c r="Z73" i="96"/>
  <c r="E98" i="91"/>
  <c r="Q76" i="96" s="1"/>
  <c r="AM63" i="110" s="1"/>
  <c r="X113" i="106"/>
  <c r="AA124" i="96"/>
  <c r="AW21" i="96"/>
  <c r="Q11" i="106"/>
  <c r="U11" i="106" s="1"/>
  <c r="Z10" i="103"/>
  <c r="AX21" i="96"/>
  <c r="AN21" i="96"/>
  <c r="BB21" i="96" s="1"/>
  <c r="Z22" i="96"/>
  <c r="BC20" i="96"/>
  <c r="BD20" i="96"/>
  <c r="S10" i="106"/>
  <c r="W10" i="106" s="1"/>
  <c r="Y10" i="106" s="1"/>
  <c r="AB9" i="103"/>
  <c r="AF9" i="103" s="1"/>
  <c r="F102" i="91"/>
  <c r="G110" i="91"/>
  <c r="Y75" i="96"/>
  <c r="X100" i="96"/>
  <c r="AZ22" i="96"/>
  <c r="BA22" i="96"/>
  <c r="R12" i="106"/>
  <c r="V12" i="106" s="1"/>
  <c r="AA11" i="103"/>
  <c r="Y124" i="96"/>
  <c r="D96" i="91"/>
  <c r="X38" i="106"/>
  <c r="Y99" i="96"/>
  <c r="AF4" i="110"/>
  <c r="H9" i="107"/>
  <c r="J10" i="107"/>
  <c r="AF6" i="110"/>
  <c r="W9" i="99"/>
  <c r="CJ6" i="101"/>
  <c r="AO7" i="99"/>
  <c r="L9" i="107"/>
  <c r="AF7" i="110"/>
  <c r="AQ22" i="96"/>
  <c r="O10" i="110"/>
  <c r="AO6" i="99"/>
  <c r="AF5" i="110"/>
  <c r="BU10" i="101"/>
  <c r="AO5" i="99"/>
  <c r="G11" i="107"/>
  <c r="AO4" i="99"/>
  <c r="F10" i="107"/>
  <c r="AP21" i="96"/>
  <c r="CJ7" i="101"/>
  <c r="BV8" i="101"/>
  <c r="BT9" i="101"/>
  <c r="CJ5" i="101"/>
  <c r="Y8" i="99"/>
  <c r="P8" i="110"/>
  <c r="N9" i="110"/>
  <c r="AR20" i="96"/>
  <c r="CJ4" i="101"/>
  <c r="K11" i="107"/>
  <c r="X10" i="99"/>
  <c r="AQ102" i="110"/>
  <c r="AG4" i="110" l="1"/>
  <c r="AH4" i="110" s="1"/>
  <c r="AP4" i="99"/>
  <c r="AP5" i="99" s="1"/>
  <c r="AP6" i="99" s="1"/>
  <c r="AP7" i="99" s="1"/>
  <c r="Z9" i="108"/>
  <c r="AB8" i="108"/>
  <c r="AA10" i="108"/>
  <c r="N22" i="97"/>
  <c r="M21" i="97"/>
  <c r="O20" i="97"/>
  <c r="L501" i="91"/>
  <c r="L500" i="91"/>
  <c r="L503" i="91"/>
  <c r="L502" i="91"/>
  <c r="L499" i="91"/>
  <c r="N459" i="91"/>
  <c r="N464" i="91"/>
  <c r="N472" i="91"/>
  <c r="N453" i="91"/>
  <c r="N454" i="91"/>
  <c r="N466" i="91"/>
  <c r="N449" i="91"/>
  <c r="N461" i="91"/>
  <c r="N474" i="91"/>
  <c r="N451" i="91"/>
  <c r="N463" i="91"/>
  <c r="N445" i="91"/>
  <c r="N455" i="91"/>
  <c r="N458" i="91"/>
  <c r="N452" i="91"/>
  <c r="N444" i="91"/>
  <c r="N465" i="91"/>
  <c r="N468" i="91"/>
  <c r="N460" i="91"/>
  <c r="N470" i="91"/>
  <c r="N471" i="91"/>
  <c r="N469" i="91"/>
  <c r="N462" i="91"/>
  <c r="N467" i="91"/>
  <c r="N450" i="91"/>
  <c r="N457" i="91"/>
  <c r="N448" i="91"/>
  <c r="N456" i="91"/>
  <c r="N446" i="91"/>
  <c r="N473" i="91"/>
  <c r="N447" i="91"/>
  <c r="M480" i="91"/>
  <c r="M499" i="91"/>
  <c r="M491" i="91"/>
  <c r="M496" i="91"/>
  <c r="M486" i="91"/>
  <c r="M482" i="91"/>
  <c r="M503" i="91"/>
  <c r="M484" i="91"/>
  <c r="M485" i="91"/>
  <c r="M479" i="91"/>
  <c r="M500" i="91"/>
  <c r="M483" i="91"/>
  <c r="M492" i="91"/>
  <c r="M490" i="91"/>
  <c r="M494" i="91"/>
  <c r="M481" i="91"/>
  <c r="M501" i="91"/>
  <c r="M495" i="91"/>
  <c r="M488" i="91"/>
  <c r="M502" i="91"/>
  <c r="M489" i="91"/>
  <c r="M497" i="91"/>
  <c r="M498" i="91"/>
  <c r="M493" i="91"/>
  <c r="M487" i="91"/>
  <c r="D97" i="91"/>
  <c r="BC21" i="96"/>
  <c r="S11" i="106"/>
  <c r="W11" i="106" s="1"/>
  <c r="Y11" i="106" s="1"/>
  <c r="AB10" i="103"/>
  <c r="AF10" i="103" s="1"/>
  <c r="BD21" i="96"/>
  <c r="E99" i="91"/>
  <c r="X125" i="96"/>
  <c r="AD65" i="103"/>
  <c r="W76" i="96"/>
  <c r="AV63" i="99"/>
  <c r="X74" i="96"/>
  <c r="G111" i="91"/>
  <c r="X114" i="106"/>
  <c r="AA125" i="96"/>
  <c r="AT21" i="96"/>
  <c r="Y48" i="96"/>
  <c r="Z101" i="96"/>
  <c r="F103" i="91"/>
  <c r="Q103" i="96" s="1"/>
  <c r="AM90" i="110" s="1"/>
  <c r="Q12" i="106"/>
  <c r="U12" i="106" s="1"/>
  <c r="AW22" i="96"/>
  <c r="Z11" i="103"/>
  <c r="AX22" i="96"/>
  <c r="Z127" i="96"/>
  <c r="Y125" i="96"/>
  <c r="C95" i="91"/>
  <c r="Y100" i="96"/>
  <c r="X101" i="96"/>
  <c r="X88" i="106"/>
  <c r="AA99" i="96"/>
  <c r="AN22" i="96"/>
  <c r="Z74" i="96"/>
  <c r="X65" i="106"/>
  <c r="AA23" i="96"/>
  <c r="Z23" i="96"/>
  <c r="X23" i="96"/>
  <c r="Y23" i="96"/>
  <c r="AR21" i="96"/>
  <c r="F11" i="107"/>
  <c r="BU11" i="101"/>
  <c r="K12" i="107"/>
  <c r="AZ102" i="99"/>
  <c r="O11" i="110"/>
  <c r="L10" i="107"/>
  <c r="Y9" i="99"/>
  <c r="AP22" i="96"/>
  <c r="P9" i="110"/>
  <c r="BT10" i="101"/>
  <c r="J11" i="107"/>
  <c r="G12" i="107"/>
  <c r="W10" i="99"/>
  <c r="X11" i="99"/>
  <c r="N10" i="110"/>
  <c r="BV9" i="101"/>
  <c r="H10" i="107"/>
  <c r="AG5" i="110" l="1"/>
  <c r="AG6" i="110" s="1"/>
  <c r="AH6" i="110" s="1"/>
  <c r="AB9" i="108"/>
  <c r="Z10" i="108"/>
  <c r="AA11" i="108"/>
  <c r="O21" i="97"/>
  <c r="M22" i="97"/>
  <c r="BA102" i="99"/>
  <c r="N485" i="91"/>
  <c r="N480" i="91"/>
  <c r="N491" i="91"/>
  <c r="N482" i="91"/>
  <c r="N484" i="91"/>
  <c r="N494" i="91"/>
  <c r="N481" i="91"/>
  <c r="N499" i="91"/>
  <c r="N500" i="91"/>
  <c r="N495" i="91"/>
  <c r="N488" i="91"/>
  <c r="N478" i="91"/>
  <c r="N476" i="91"/>
  <c r="N503" i="91"/>
  <c r="N497" i="91"/>
  <c r="N486" i="91"/>
  <c r="N496" i="91"/>
  <c r="N493" i="91"/>
  <c r="N489" i="91"/>
  <c r="N490" i="91"/>
  <c r="N475" i="91"/>
  <c r="N492" i="91"/>
  <c r="N477" i="91"/>
  <c r="N498" i="91"/>
  <c r="N502" i="91"/>
  <c r="N479" i="91"/>
  <c r="N483" i="91"/>
  <c r="N487" i="91"/>
  <c r="N501" i="91"/>
  <c r="AM23" i="96"/>
  <c r="AY23" i="96" s="1"/>
  <c r="X126" i="96"/>
  <c r="AL23" i="96"/>
  <c r="X115" i="106"/>
  <c r="AA126" i="96"/>
  <c r="AN23" i="96"/>
  <c r="BB23" i="96" s="1"/>
  <c r="Z75" i="96"/>
  <c r="Z76" i="96" s="1"/>
  <c r="Z128" i="96"/>
  <c r="Y49" i="96"/>
  <c r="AO23" i="96"/>
  <c r="BE23" i="96" s="1"/>
  <c r="X13" i="106"/>
  <c r="X89" i="106"/>
  <c r="AA100" i="96"/>
  <c r="C96" i="91"/>
  <c r="X75" i="96"/>
  <c r="X76" i="96" s="1"/>
  <c r="BB22" i="96"/>
  <c r="AT22" i="96"/>
  <c r="AA76" i="96"/>
  <c r="Y76" i="96"/>
  <c r="BC22" i="96"/>
  <c r="BD22" i="96"/>
  <c r="S12" i="106"/>
  <c r="W12" i="106" s="1"/>
  <c r="Y12" i="106" s="1"/>
  <c r="AB11" i="103"/>
  <c r="AF11" i="103" s="1"/>
  <c r="X102" i="96"/>
  <c r="F104" i="91"/>
  <c r="G112" i="91"/>
  <c r="E100" i="91"/>
  <c r="AD92" i="103"/>
  <c r="W103" i="96"/>
  <c r="AV90" i="99"/>
  <c r="Y101" i="96"/>
  <c r="Y126" i="96"/>
  <c r="Z102" i="96"/>
  <c r="D98" i="91"/>
  <c r="Q50" i="96" s="1"/>
  <c r="AM37" i="110" s="1"/>
  <c r="AR22" i="96"/>
  <c r="N11" i="110"/>
  <c r="L11" i="107"/>
  <c r="BV10" i="101"/>
  <c r="F12" i="107"/>
  <c r="P10" i="110"/>
  <c r="J12" i="107"/>
  <c r="AQ57" i="110"/>
  <c r="BT11" i="101"/>
  <c r="Y10" i="99"/>
  <c r="W11" i="99"/>
  <c r="AP23" i="96"/>
  <c r="H11" i="107"/>
  <c r="AG7" i="110" l="1"/>
  <c r="AH5" i="110"/>
  <c r="AB10" i="108"/>
  <c r="Z11" i="108"/>
  <c r="O22" i="97"/>
  <c r="M23" i="97"/>
  <c r="D99" i="91"/>
  <c r="X90" i="106"/>
  <c r="AA101" i="96"/>
  <c r="Q13" i="106"/>
  <c r="U13" i="106" s="1"/>
  <c r="AW23" i="96"/>
  <c r="AT23" i="96"/>
  <c r="AX23" i="96"/>
  <c r="Z12" i="103"/>
  <c r="AV37" i="99"/>
  <c r="AD39" i="103"/>
  <c r="W50" i="96"/>
  <c r="X66" i="106"/>
  <c r="Y127" i="96"/>
  <c r="E101" i="91"/>
  <c r="X127" i="96"/>
  <c r="AZ23" i="96"/>
  <c r="R13" i="106"/>
  <c r="V13" i="106" s="1"/>
  <c r="BA23" i="96"/>
  <c r="AA12" i="103"/>
  <c r="G113" i="91"/>
  <c r="Q131" i="96" s="1"/>
  <c r="AM118" i="110" s="1"/>
  <c r="BC23" i="96"/>
  <c r="S13" i="106"/>
  <c r="W13" i="106" s="1"/>
  <c r="BD23" i="96"/>
  <c r="AB12" i="103"/>
  <c r="X116" i="106"/>
  <c r="AA127" i="96"/>
  <c r="Z129" i="96"/>
  <c r="Y102" i="96"/>
  <c r="Y103" i="96" s="1"/>
  <c r="X103" i="96"/>
  <c r="Z103" i="96"/>
  <c r="F105" i="91"/>
  <c r="C97" i="91"/>
  <c r="BF23" i="96"/>
  <c r="T13" i="106"/>
  <c r="BG23" i="96"/>
  <c r="AC12" i="103"/>
  <c r="AV23" i="96"/>
  <c r="P11" i="110"/>
  <c r="AQ23" i="96"/>
  <c r="J13" i="107"/>
  <c r="N12" i="110"/>
  <c r="L12" i="107"/>
  <c r="W12" i="99"/>
  <c r="BT12" i="101"/>
  <c r="Y11" i="99"/>
  <c r="AR23" i="96"/>
  <c r="H12" i="107"/>
  <c r="BV11" i="101"/>
  <c r="F13" i="107"/>
  <c r="AZ57" i="99"/>
  <c r="Z12" i="108" l="1"/>
  <c r="AB11" i="108"/>
  <c r="O23" i="97"/>
  <c r="N23" i="97"/>
  <c r="BA57" i="99"/>
  <c r="X117" i="106"/>
  <c r="AA128" i="96"/>
  <c r="E102" i="91"/>
  <c r="X128" i="96"/>
  <c r="Z50" i="96"/>
  <c r="Y50" i="96"/>
  <c r="X50" i="96"/>
  <c r="AA50" i="96"/>
  <c r="Z130" i="96"/>
  <c r="Y128" i="96"/>
  <c r="G114" i="91"/>
  <c r="AF12" i="103"/>
  <c r="C98" i="91"/>
  <c r="Q24" i="96" s="1"/>
  <c r="AM11" i="110" s="1"/>
  <c r="F106" i="91"/>
  <c r="AV118" i="99"/>
  <c r="AD120" i="103"/>
  <c r="W131" i="96"/>
  <c r="X91" i="106"/>
  <c r="AA102" i="96"/>
  <c r="Y13" i="106"/>
  <c r="D100" i="91"/>
  <c r="BV12" i="101"/>
  <c r="H13" i="107"/>
  <c r="L13" i="107"/>
  <c r="Y12" i="99"/>
  <c r="AQ12" i="110"/>
  <c r="BU12" i="101"/>
  <c r="G13" i="107"/>
  <c r="P12" i="110"/>
  <c r="O12" i="110"/>
  <c r="K13" i="107"/>
  <c r="X12" i="99"/>
  <c r="AH7" i="110" l="1"/>
  <c r="AA12" i="108"/>
  <c r="AB12" i="108"/>
  <c r="Z131" i="96"/>
  <c r="G115" i="91"/>
  <c r="X40" i="106"/>
  <c r="X92" i="106"/>
  <c r="AA103" i="96"/>
  <c r="Y129" i="96"/>
  <c r="E103" i="91"/>
  <c r="Q77" i="96" s="1"/>
  <c r="AM64" i="110" s="1"/>
  <c r="D101" i="91"/>
  <c r="F107" i="91"/>
  <c r="X129" i="96"/>
  <c r="C99" i="91"/>
  <c r="X118" i="106"/>
  <c r="AA129" i="96"/>
  <c r="AD13" i="103"/>
  <c r="AV11" i="99"/>
  <c r="W24" i="96"/>
  <c r="AZ12" i="99"/>
  <c r="BA12" i="99" l="1"/>
  <c r="D102" i="91"/>
  <c r="G116" i="91"/>
  <c r="X93" i="106"/>
  <c r="AD66" i="103"/>
  <c r="W77" i="96"/>
  <c r="AV64" i="99"/>
  <c r="Y130" i="96"/>
  <c r="F108" i="91"/>
  <c r="Q104" i="96" s="1"/>
  <c r="AM91" i="110" s="1"/>
  <c r="Y24" i="96"/>
  <c r="Z24" i="96"/>
  <c r="X24" i="96"/>
  <c r="AA24" i="96"/>
  <c r="X119" i="106"/>
  <c r="AA130" i="96"/>
  <c r="C100" i="91"/>
  <c r="X130" i="96"/>
  <c r="E104" i="91"/>
  <c r="AQ148" i="110"/>
  <c r="X131" i="96" l="1"/>
  <c r="X120" i="106"/>
  <c r="AA131" i="96"/>
  <c r="F109" i="91"/>
  <c r="AD93" i="103"/>
  <c r="W104" i="96"/>
  <c r="AV91" i="99"/>
  <c r="X77" i="96"/>
  <c r="Z77" i="96"/>
  <c r="AA77" i="96"/>
  <c r="Y77" i="96"/>
  <c r="G117" i="91"/>
  <c r="AO24" i="96"/>
  <c r="BE24" i="96" s="1"/>
  <c r="X14" i="106"/>
  <c r="D103" i="91"/>
  <c r="Q51" i="96" s="1"/>
  <c r="AM38" i="110" s="1"/>
  <c r="AL24" i="96"/>
  <c r="AV24" i="96" s="1"/>
  <c r="Y131" i="96"/>
  <c r="AN24" i="96"/>
  <c r="BB24" i="96" s="1"/>
  <c r="E105" i="91"/>
  <c r="C101" i="91"/>
  <c r="AM24" i="96"/>
  <c r="AQ24" i="96"/>
  <c r="AZ148" i="99"/>
  <c r="BA148" i="99" l="1"/>
  <c r="N24" i="97"/>
  <c r="BF24" i="96"/>
  <c r="T14" i="106"/>
  <c r="BG24" i="96"/>
  <c r="AC13" i="103"/>
  <c r="C102" i="91"/>
  <c r="BC24" i="96"/>
  <c r="S14" i="106"/>
  <c r="W14" i="106" s="1"/>
  <c r="BD24" i="96"/>
  <c r="AB13" i="103"/>
  <c r="X67" i="106"/>
  <c r="D104" i="91"/>
  <c r="R14" i="106"/>
  <c r="V14" i="106" s="1"/>
  <c r="AZ24" i="96"/>
  <c r="BA24" i="96"/>
  <c r="AA13" i="103"/>
  <c r="F110" i="91"/>
  <c r="Q14" i="106"/>
  <c r="U14" i="106" s="1"/>
  <c r="AW24" i="96"/>
  <c r="AX24" i="96"/>
  <c r="AT24" i="96"/>
  <c r="Z13" i="103"/>
  <c r="AD40" i="103"/>
  <c r="AV38" i="99"/>
  <c r="W51" i="96"/>
  <c r="G118" i="91"/>
  <c r="Q132" i="96" s="1"/>
  <c r="AM119" i="110" s="1"/>
  <c r="AY24" i="96"/>
  <c r="X121" i="106"/>
  <c r="E106" i="91"/>
  <c r="AA104" i="96"/>
  <c r="X104" i="96"/>
  <c r="Y104" i="96"/>
  <c r="Z104" i="96"/>
  <c r="K14" i="107"/>
  <c r="O13" i="110"/>
  <c r="AP24" i="96"/>
  <c r="G14" i="107"/>
  <c r="X13" i="99"/>
  <c r="AR24" i="96"/>
  <c r="AQ194" i="110"/>
  <c r="BU13" i="101"/>
  <c r="AA13" i="108" l="1"/>
  <c r="O24" i="97"/>
  <c r="M24" i="97"/>
  <c r="Y14" i="106"/>
  <c r="X51" i="96"/>
  <c r="AA51" i="96"/>
  <c r="Y51" i="96"/>
  <c r="Z51" i="96"/>
  <c r="D105" i="91"/>
  <c r="E107" i="91"/>
  <c r="AF13" i="103"/>
  <c r="G119" i="91"/>
  <c r="AV119" i="99"/>
  <c r="AD121" i="103"/>
  <c r="W132" i="96"/>
  <c r="X94" i="106"/>
  <c r="F111" i="91"/>
  <c r="C103" i="91"/>
  <c r="Q25" i="96" s="1"/>
  <c r="AM12" i="110" s="1"/>
  <c r="W13" i="99"/>
  <c r="AZ194" i="99"/>
  <c r="L14" i="107"/>
  <c r="P13" i="110"/>
  <c r="BV13" i="101"/>
  <c r="J14" i="107"/>
  <c r="F14" i="107"/>
  <c r="Y13" i="99"/>
  <c r="N13" i="110"/>
  <c r="H14" i="107"/>
  <c r="BT13" i="101"/>
  <c r="AB13" i="108" l="1"/>
  <c r="Z13" i="108"/>
  <c r="BA194" i="99"/>
  <c r="X41" i="106"/>
  <c r="D106" i="91"/>
  <c r="G120" i="91"/>
  <c r="X132" i="96"/>
  <c r="Z132" i="96"/>
  <c r="AA132" i="96"/>
  <c r="Y132" i="96"/>
  <c r="C104" i="91"/>
  <c r="E108" i="91"/>
  <c r="Q78" i="96" s="1"/>
  <c r="AM65" i="110" s="1"/>
  <c r="F112" i="91"/>
  <c r="AD14" i="103"/>
  <c r="AV12" i="99"/>
  <c r="W25" i="96"/>
  <c r="AQ103" i="110"/>
  <c r="G121" i="91" l="1"/>
  <c r="C105" i="91"/>
  <c r="X25" i="96"/>
  <c r="Z25" i="96"/>
  <c r="Y25" i="96"/>
  <c r="AA25" i="96"/>
  <c r="X122" i="106"/>
  <c r="D107" i="91"/>
  <c r="F113" i="91"/>
  <c r="Q105" i="96" s="1"/>
  <c r="AM92" i="110" s="1"/>
  <c r="E109" i="91"/>
  <c r="AD67" i="103"/>
  <c r="AV65" i="99"/>
  <c r="W78" i="96"/>
  <c r="AZ103" i="99"/>
  <c r="BA103" i="99" l="1"/>
  <c r="AO25" i="96"/>
  <c r="X15" i="106"/>
  <c r="C106" i="91"/>
  <c r="AM25" i="96"/>
  <c r="X78" i="96"/>
  <c r="Z78" i="96"/>
  <c r="AA78" i="96"/>
  <c r="Y78" i="96"/>
  <c r="E110" i="91"/>
  <c r="D108" i="91"/>
  <c r="Q52" i="96" s="1"/>
  <c r="AM39" i="110" s="1"/>
  <c r="AN25" i="96"/>
  <c r="BB25" i="96" s="1"/>
  <c r="G122" i="91"/>
  <c r="AL25" i="96"/>
  <c r="AV25" i="96" s="1"/>
  <c r="F114" i="91"/>
  <c r="AV92" i="99"/>
  <c r="AD94" i="103"/>
  <c r="W105" i="96"/>
  <c r="AQ58" i="110"/>
  <c r="AQ25" i="96"/>
  <c r="AY25" i="96" l="1"/>
  <c r="N25" i="97"/>
  <c r="BC25" i="96"/>
  <c r="BD25" i="96"/>
  <c r="S15" i="106"/>
  <c r="W15" i="106" s="1"/>
  <c r="AB14" i="103"/>
  <c r="BF25" i="96"/>
  <c r="T15" i="106"/>
  <c r="AC14" i="103"/>
  <c r="BG25" i="96"/>
  <c r="D109" i="91"/>
  <c r="AD41" i="103"/>
  <c r="W52" i="96"/>
  <c r="AV39" i="99"/>
  <c r="Y105" i="96"/>
  <c r="Z105" i="96"/>
  <c r="AA105" i="96"/>
  <c r="X105" i="96"/>
  <c r="E111" i="91"/>
  <c r="C107" i="91"/>
  <c r="Q15" i="106"/>
  <c r="U15" i="106" s="1"/>
  <c r="AW25" i="96"/>
  <c r="AX25" i="96"/>
  <c r="AT25" i="96"/>
  <c r="Z14" i="103"/>
  <c r="X68" i="106"/>
  <c r="G123" i="91"/>
  <c r="Q133" i="96" s="1"/>
  <c r="AM120" i="110" s="1"/>
  <c r="R15" i="106"/>
  <c r="V15" i="106" s="1"/>
  <c r="AZ25" i="96"/>
  <c r="BA25" i="96"/>
  <c r="AA14" i="103"/>
  <c r="F115" i="91"/>
  <c r="BE25" i="96"/>
  <c r="K15" i="107"/>
  <c r="AR25" i="96"/>
  <c r="BU14" i="101"/>
  <c r="AZ58" i="99"/>
  <c r="O14" i="110"/>
  <c r="G15" i="107"/>
  <c r="X14" i="99"/>
  <c r="AP25" i="96"/>
  <c r="AA14" i="108" l="1"/>
  <c r="M25" i="97"/>
  <c r="O25" i="97"/>
  <c r="AF14" i="103"/>
  <c r="BA58" i="99"/>
  <c r="G124" i="91"/>
  <c r="W133" i="96"/>
  <c r="AV120" i="99"/>
  <c r="AD122" i="103"/>
  <c r="E112" i="91"/>
  <c r="D110" i="91"/>
  <c r="F116" i="91"/>
  <c r="X95" i="106"/>
  <c r="Y15" i="106"/>
  <c r="C108" i="91"/>
  <c r="Q26" i="96" s="1"/>
  <c r="AM13" i="110" s="1"/>
  <c r="Y52" i="96"/>
  <c r="X52" i="96"/>
  <c r="Z52" i="96"/>
  <c r="AA52" i="96"/>
  <c r="BT14" i="101"/>
  <c r="W14" i="99"/>
  <c r="P14" i="110"/>
  <c r="H15" i="107"/>
  <c r="J15" i="107"/>
  <c r="L15" i="107"/>
  <c r="F15" i="107"/>
  <c r="BV14" i="101"/>
  <c r="Y14" i="99"/>
  <c r="AQ13" i="110"/>
  <c r="N14" i="110"/>
  <c r="Z14" i="108" l="1"/>
  <c r="AB14" i="108"/>
  <c r="C109" i="91"/>
  <c r="AD15" i="103"/>
  <c r="W26" i="96"/>
  <c r="AV13" i="99"/>
  <c r="E113" i="91"/>
  <c r="Q79" i="96" s="1"/>
  <c r="AM66" i="110" s="1"/>
  <c r="X42" i="106"/>
  <c r="X133" i="96"/>
  <c r="Y133" i="96"/>
  <c r="Z133" i="96"/>
  <c r="AA133" i="96"/>
  <c r="G125" i="91"/>
  <c r="F117" i="91"/>
  <c r="D111" i="91"/>
  <c r="AZ13" i="99"/>
  <c r="BA13" i="99" l="1"/>
  <c r="E114" i="91"/>
  <c r="G126" i="91"/>
  <c r="C110" i="91"/>
  <c r="AD68" i="103"/>
  <c r="AV66" i="99"/>
  <c r="W79" i="96"/>
  <c r="D112" i="91"/>
  <c r="F118" i="91"/>
  <c r="Q106" i="96" s="1"/>
  <c r="AM93" i="110" s="1"/>
  <c r="Y26" i="96"/>
  <c r="Z26" i="96"/>
  <c r="X26" i="96"/>
  <c r="AA26" i="96"/>
  <c r="X123" i="106"/>
  <c r="AQ149" i="110"/>
  <c r="AV93" i="99" l="1"/>
  <c r="AD95" i="103"/>
  <c r="W106" i="96"/>
  <c r="E115" i="91"/>
  <c r="C111" i="91"/>
  <c r="AO26" i="96"/>
  <c r="BE26" i="96" s="1"/>
  <c r="X16" i="106"/>
  <c r="AA79" i="96"/>
  <c r="Y79" i="96"/>
  <c r="Z79" i="96"/>
  <c r="X79" i="96"/>
  <c r="AL26" i="96"/>
  <c r="AV26" i="96" s="1"/>
  <c r="G127" i="91"/>
  <c r="AM26" i="96"/>
  <c r="AY26" i="96" s="1"/>
  <c r="AN26" i="96"/>
  <c r="F119" i="91"/>
  <c r="D113" i="91"/>
  <c r="Q53" i="96" s="1"/>
  <c r="AM40" i="110" s="1"/>
  <c r="AZ149" i="99"/>
  <c r="AR26" i="96"/>
  <c r="O26" i="97" l="1"/>
  <c r="BA149" i="99"/>
  <c r="Q16" i="106"/>
  <c r="U16" i="106" s="1"/>
  <c r="AW26" i="96"/>
  <c r="AT26" i="96"/>
  <c r="AX26" i="96"/>
  <c r="Z15" i="103"/>
  <c r="BF26" i="96"/>
  <c r="BG26" i="96"/>
  <c r="AC15" i="103"/>
  <c r="T16" i="106"/>
  <c r="Z106" i="96"/>
  <c r="Y106" i="96"/>
  <c r="X106" i="96"/>
  <c r="AA106" i="96"/>
  <c r="AV40" i="99"/>
  <c r="AD42" i="103"/>
  <c r="W53" i="96"/>
  <c r="G128" i="91"/>
  <c r="Q134" i="96" s="1"/>
  <c r="AM121" i="110" s="1"/>
  <c r="BC26" i="96"/>
  <c r="BD26" i="96"/>
  <c r="S16" i="106"/>
  <c r="W16" i="106" s="1"/>
  <c r="AB15" i="103"/>
  <c r="C112" i="91"/>
  <c r="X69" i="106"/>
  <c r="E116" i="91"/>
  <c r="D114" i="91"/>
  <c r="AZ26" i="96"/>
  <c r="R16" i="106"/>
  <c r="V16" i="106" s="1"/>
  <c r="BA26" i="96"/>
  <c r="AA15" i="103"/>
  <c r="F120" i="91"/>
  <c r="BB26" i="96"/>
  <c r="AP26" i="96"/>
  <c r="P15" i="110"/>
  <c r="L16" i="107"/>
  <c r="Y15" i="99"/>
  <c r="AQ195" i="110"/>
  <c r="H16" i="107"/>
  <c r="BV15" i="101"/>
  <c r="AQ26" i="96"/>
  <c r="AB15" i="108" l="1"/>
  <c r="M26" i="97"/>
  <c r="N26" i="97"/>
  <c r="C113" i="91"/>
  <c r="Q27" i="96" s="1"/>
  <c r="AM14" i="110" s="1"/>
  <c r="G129" i="91"/>
  <c r="AF15" i="103"/>
  <c r="AV121" i="99"/>
  <c r="AD123" i="103"/>
  <c r="W134" i="96"/>
  <c r="D115" i="91"/>
  <c r="E117" i="91"/>
  <c r="Y53" i="96"/>
  <c r="Z53" i="96"/>
  <c r="X53" i="96"/>
  <c r="AA53" i="96"/>
  <c r="Y16" i="106"/>
  <c r="F121" i="91"/>
  <c r="X96" i="106"/>
  <c r="AZ195" i="99"/>
  <c r="X15" i="99"/>
  <c r="J16" i="107"/>
  <c r="BT15" i="101"/>
  <c r="F16" i="107"/>
  <c r="K16" i="107"/>
  <c r="N15" i="110"/>
  <c r="G16" i="107"/>
  <c r="W15" i="99"/>
  <c r="BU15" i="101"/>
  <c r="O15" i="110"/>
  <c r="AA15" i="108" l="1"/>
  <c r="Z15" i="108"/>
  <c r="BA195" i="99"/>
  <c r="AV14" i="99"/>
  <c r="W27" i="96"/>
  <c r="AD16" i="103"/>
  <c r="E118" i="91"/>
  <c r="Q80" i="96" s="1"/>
  <c r="AM67" i="110" s="1"/>
  <c r="D116" i="91"/>
  <c r="F122" i="91"/>
  <c r="Z134" i="96"/>
  <c r="Y134" i="96"/>
  <c r="AA134" i="96"/>
  <c r="X134" i="96"/>
  <c r="G130" i="91"/>
  <c r="C114" i="91"/>
  <c r="X43" i="106"/>
  <c r="AQ104" i="110"/>
  <c r="E119" i="91" l="1"/>
  <c r="D117" i="91"/>
  <c r="AV67" i="99"/>
  <c r="AD69" i="103"/>
  <c r="W80" i="96"/>
  <c r="X124" i="106"/>
  <c r="X27" i="96"/>
  <c r="AA27" i="96"/>
  <c r="Z27" i="96"/>
  <c r="Y27" i="96"/>
  <c r="C115" i="91"/>
  <c r="G131" i="91"/>
  <c r="F123" i="91"/>
  <c r="Q107" i="96" s="1"/>
  <c r="AM94" i="110" s="1"/>
  <c r="AZ104" i="99"/>
  <c r="BA104" i="99" l="1"/>
  <c r="F124" i="91"/>
  <c r="AV94" i="99"/>
  <c r="AD96" i="103"/>
  <c r="W107" i="96"/>
  <c r="E120" i="91"/>
  <c r="AM27" i="96"/>
  <c r="AY27" i="96" s="1"/>
  <c r="X17" i="106"/>
  <c r="AO27" i="96"/>
  <c r="BE27" i="96" s="1"/>
  <c r="Y80" i="96"/>
  <c r="Z80" i="96"/>
  <c r="AA80" i="96"/>
  <c r="X80" i="96"/>
  <c r="AN27" i="96"/>
  <c r="AL27" i="96"/>
  <c r="G132" i="91"/>
  <c r="C116" i="91"/>
  <c r="D118" i="91"/>
  <c r="Q54" i="96" s="1"/>
  <c r="AM41" i="110" s="1"/>
  <c r="AQ59" i="110"/>
  <c r="AR27" i="96"/>
  <c r="AP27" i="96"/>
  <c r="BB27" i="96" l="1"/>
  <c r="M27" i="97"/>
  <c r="O27" i="97"/>
  <c r="Q17" i="106"/>
  <c r="U17" i="106" s="1"/>
  <c r="AW27" i="96"/>
  <c r="Z16" i="103"/>
  <c r="AT27" i="96"/>
  <c r="AX27" i="96"/>
  <c r="BF27" i="96"/>
  <c r="AC16" i="103"/>
  <c r="T17" i="106"/>
  <c r="BG27" i="96"/>
  <c r="AA107" i="96"/>
  <c r="X107" i="96"/>
  <c r="Y107" i="96"/>
  <c r="Z107" i="96"/>
  <c r="F125" i="91"/>
  <c r="D119" i="91"/>
  <c r="AZ27" i="96"/>
  <c r="R17" i="106"/>
  <c r="V17" i="106" s="1"/>
  <c r="BA27" i="96"/>
  <c r="AA16" i="103"/>
  <c r="G133" i="91"/>
  <c r="Q135" i="96" s="1"/>
  <c r="AM122" i="110" s="1"/>
  <c r="BC27" i="96"/>
  <c r="S17" i="106"/>
  <c r="W17" i="106" s="1"/>
  <c r="BD27" i="96"/>
  <c r="AB16" i="103"/>
  <c r="AV41" i="99"/>
  <c r="AD43" i="103"/>
  <c r="W54" i="96"/>
  <c r="X70" i="106"/>
  <c r="C117" i="91"/>
  <c r="AV27" i="96"/>
  <c r="E121" i="91"/>
  <c r="J17" i="107"/>
  <c r="P16" i="110"/>
  <c r="BV16" i="101"/>
  <c r="F17" i="107"/>
  <c r="W16" i="99"/>
  <c r="L17" i="107"/>
  <c r="AZ59" i="99"/>
  <c r="Y16" i="99"/>
  <c r="AQ27" i="96"/>
  <c r="H17" i="107"/>
  <c r="N16" i="110"/>
  <c r="BT16" i="101"/>
  <c r="AB16" i="108" l="1"/>
  <c r="Z16" i="108"/>
  <c r="N27" i="97"/>
  <c r="BA59" i="99"/>
  <c r="X54" i="96"/>
  <c r="AA54" i="96"/>
  <c r="Z54" i="96"/>
  <c r="Y54" i="96"/>
  <c r="AF16" i="103"/>
  <c r="G134" i="91"/>
  <c r="Y17" i="106"/>
  <c r="AD124" i="103"/>
  <c r="W135" i="96"/>
  <c r="AV122" i="99"/>
  <c r="F126" i="91"/>
  <c r="C118" i="91"/>
  <c r="Q28" i="96" s="1"/>
  <c r="AM15" i="110" s="1"/>
  <c r="X97" i="106"/>
  <c r="E122" i="91"/>
  <c r="D120" i="91"/>
  <c r="X16" i="99"/>
  <c r="O16" i="110"/>
  <c r="K17" i="107"/>
  <c r="BU16" i="101"/>
  <c r="G17" i="107"/>
  <c r="AQ14" i="110"/>
  <c r="AA16" i="108" l="1"/>
  <c r="E123" i="91"/>
  <c r="Q81" i="96" s="1"/>
  <c r="AM68" i="110" s="1"/>
  <c r="D121" i="91"/>
  <c r="G135" i="91"/>
  <c r="C119" i="91"/>
  <c r="AV15" i="99"/>
  <c r="AD17" i="103"/>
  <c r="W28" i="96"/>
  <c r="F127" i="91"/>
  <c r="X135" i="96"/>
  <c r="Z135" i="96"/>
  <c r="AA135" i="96"/>
  <c r="Y135" i="96"/>
  <c r="X44" i="106"/>
  <c r="AZ14" i="99"/>
  <c r="BA14" i="99" l="1"/>
  <c r="D122" i="91"/>
  <c r="E124" i="91"/>
  <c r="W81" i="96"/>
  <c r="AV68" i="99"/>
  <c r="AD70" i="103"/>
  <c r="AA28" i="96"/>
  <c r="X28" i="96"/>
  <c r="Y28" i="96"/>
  <c r="Z28" i="96"/>
  <c r="X125" i="106"/>
  <c r="G136" i="91"/>
  <c r="C120" i="91"/>
  <c r="F128" i="91"/>
  <c r="Q108" i="96" s="1"/>
  <c r="AM95" i="110" s="1"/>
  <c r="AQ150" i="110"/>
  <c r="C121" i="91" l="1"/>
  <c r="G137" i="91"/>
  <c r="AN28" i="96"/>
  <c r="BB28" i="96" s="1"/>
  <c r="F129" i="91"/>
  <c r="E125" i="91"/>
  <c r="AO28" i="96"/>
  <c r="BE28" i="96" s="1"/>
  <c r="X18" i="106"/>
  <c r="AD97" i="103"/>
  <c r="W108" i="96"/>
  <c r="AV95" i="99"/>
  <c r="D123" i="91"/>
  <c r="Q55" i="96" s="1"/>
  <c r="AM42" i="110" s="1"/>
  <c r="AM28" i="96"/>
  <c r="AY28" i="96" s="1"/>
  <c r="AL28" i="96"/>
  <c r="AV28" i="96" s="1"/>
  <c r="X81" i="96"/>
  <c r="AA81" i="96"/>
  <c r="Z81" i="96"/>
  <c r="Y81" i="96"/>
  <c r="AZ150" i="99"/>
  <c r="BA150" i="99" l="1"/>
  <c r="G138" i="91"/>
  <c r="Q136" i="96" s="1"/>
  <c r="AM123" i="110" s="1"/>
  <c r="F130" i="91"/>
  <c r="D124" i="91"/>
  <c r="AZ28" i="96"/>
  <c r="R18" i="106"/>
  <c r="V18" i="106" s="1"/>
  <c r="BA28" i="96"/>
  <c r="AA17" i="103"/>
  <c r="AV42" i="99"/>
  <c r="W55" i="96"/>
  <c r="AD44" i="103"/>
  <c r="BC28" i="96"/>
  <c r="BD28" i="96"/>
  <c r="S18" i="106"/>
  <c r="W18" i="106" s="1"/>
  <c r="AB17" i="103"/>
  <c r="C122" i="91"/>
  <c r="BF28" i="96"/>
  <c r="AC17" i="103"/>
  <c r="BG28" i="96"/>
  <c r="T18" i="106"/>
  <c r="E126" i="91"/>
  <c r="Q18" i="106"/>
  <c r="U18" i="106" s="1"/>
  <c r="AW28" i="96"/>
  <c r="AT28" i="96"/>
  <c r="AX28" i="96"/>
  <c r="Z17" i="103"/>
  <c r="Z108" i="96"/>
  <c r="AA108" i="96"/>
  <c r="Y108" i="96"/>
  <c r="X108" i="96"/>
  <c r="X71" i="106"/>
  <c r="AR28" i="96"/>
  <c r="AQ196" i="110"/>
  <c r="AP28" i="96"/>
  <c r="AQ28" i="96"/>
  <c r="N28" i="97" l="1"/>
  <c r="M28" i="97"/>
  <c r="O28" i="97"/>
  <c r="Y18" i="106"/>
  <c r="F131" i="91"/>
  <c r="AF17" i="103"/>
  <c r="C123" i="91"/>
  <c r="Q29" i="96" s="1"/>
  <c r="AM16" i="110" s="1"/>
  <c r="X55" i="96"/>
  <c r="AA55" i="96"/>
  <c r="Z55" i="96"/>
  <c r="Y55" i="96"/>
  <c r="G139" i="91"/>
  <c r="W136" i="96"/>
  <c r="AV123" i="99"/>
  <c r="AD125" i="103"/>
  <c r="E127" i="91"/>
  <c r="X98" i="106"/>
  <c r="D125" i="91"/>
  <c r="F18" i="107"/>
  <c r="L18" i="107"/>
  <c r="BV17" i="101"/>
  <c r="BT17" i="101"/>
  <c r="BU17" i="101"/>
  <c r="Y17" i="99"/>
  <c r="O17" i="110"/>
  <c r="J18" i="107"/>
  <c r="X17" i="99"/>
  <c r="N17" i="110"/>
  <c r="K18" i="107"/>
  <c r="G18" i="107"/>
  <c r="W17" i="99"/>
  <c r="H18" i="107"/>
  <c r="P17" i="110"/>
  <c r="AZ196" i="99"/>
  <c r="AB17" i="108" l="1"/>
  <c r="Z17" i="108"/>
  <c r="AA17" i="108"/>
  <c r="BA196" i="99"/>
  <c r="G140" i="91"/>
  <c r="C124" i="91"/>
  <c r="E128" i="91"/>
  <c r="Q82" i="96" s="1"/>
  <c r="AM69" i="110" s="1"/>
  <c r="F132" i="91"/>
  <c r="AV16" i="99"/>
  <c r="AD18" i="103"/>
  <c r="W29" i="96"/>
  <c r="D126" i="91"/>
  <c r="X45" i="106"/>
  <c r="Y136" i="96"/>
  <c r="X136" i="96"/>
  <c r="Z136" i="96"/>
  <c r="AA136" i="96"/>
  <c r="AQ105" i="110"/>
  <c r="F133" i="91" l="1"/>
  <c r="Q109" i="96" s="1"/>
  <c r="AM96" i="110" s="1"/>
  <c r="C125" i="91"/>
  <c r="D127" i="91"/>
  <c r="G141" i="91"/>
  <c r="X126" i="106"/>
  <c r="W82" i="96"/>
  <c r="AV69" i="99"/>
  <c r="AD71" i="103"/>
  <c r="Y29" i="96"/>
  <c r="AA29" i="96"/>
  <c r="Z29" i="96"/>
  <c r="X29" i="96"/>
  <c r="E129" i="91"/>
  <c r="AZ105" i="99"/>
  <c r="BA105" i="99" l="1"/>
  <c r="C126" i="91"/>
  <c r="E130" i="91"/>
  <c r="X82" i="96"/>
  <c r="Y82" i="96"/>
  <c r="AA82" i="96"/>
  <c r="Z82" i="96"/>
  <c r="AL29" i="96"/>
  <c r="AV29" i="96" s="1"/>
  <c r="AN29" i="96"/>
  <c r="BB29" i="96" s="1"/>
  <c r="F134" i="91"/>
  <c r="G142" i="91"/>
  <c r="AV96" i="99"/>
  <c r="AD98" i="103"/>
  <c r="W109" i="96"/>
  <c r="AM29" i="96"/>
  <c r="AY29" i="96" s="1"/>
  <c r="X19" i="106"/>
  <c r="AO29" i="96"/>
  <c r="BE29" i="96" s="1"/>
  <c r="D128" i="91"/>
  <c r="Q56" i="96" s="1"/>
  <c r="AM43" i="110" s="1"/>
  <c r="AQ60" i="110"/>
  <c r="Y109" i="96" l="1"/>
  <c r="X109" i="96"/>
  <c r="AA109" i="96"/>
  <c r="Z109" i="96"/>
  <c r="X72" i="106"/>
  <c r="G143" i="91"/>
  <c r="Q137" i="96" s="1"/>
  <c r="AM124" i="110" s="1"/>
  <c r="D129" i="91"/>
  <c r="AV43" i="99"/>
  <c r="AD45" i="103"/>
  <c r="W56" i="96"/>
  <c r="E131" i="91"/>
  <c r="F135" i="91"/>
  <c r="C127" i="91"/>
  <c r="BF29" i="96"/>
  <c r="BG29" i="96"/>
  <c r="AC18" i="103"/>
  <c r="T19" i="106"/>
  <c r="BC29" i="96"/>
  <c r="BD29" i="96"/>
  <c r="S19" i="106"/>
  <c r="W19" i="106" s="1"/>
  <c r="AB18" i="103"/>
  <c r="R19" i="106"/>
  <c r="V19" i="106" s="1"/>
  <c r="AZ29" i="96"/>
  <c r="AA18" i="103"/>
  <c r="BA29" i="96"/>
  <c r="Q19" i="106"/>
  <c r="U19" i="106" s="1"/>
  <c r="AW29" i="96"/>
  <c r="Z18" i="103"/>
  <c r="AX29" i="96"/>
  <c r="AT29" i="96"/>
  <c r="AQ29" i="96"/>
  <c r="AR29" i="96"/>
  <c r="AP29" i="96"/>
  <c r="AZ60" i="99"/>
  <c r="O29" i="97" l="1"/>
  <c r="M29" i="97"/>
  <c r="N29" i="97"/>
  <c r="Y19" i="106"/>
  <c r="BA60" i="99"/>
  <c r="G144" i="91"/>
  <c r="W137" i="96"/>
  <c r="AV124" i="99"/>
  <c r="AD126" i="103"/>
  <c r="AF18" i="103"/>
  <c r="X56" i="96"/>
  <c r="Y56" i="96"/>
  <c r="Z56" i="96"/>
  <c r="AA56" i="96"/>
  <c r="E132" i="91"/>
  <c r="F136" i="91"/>
  <c r="D130" i="91"/>
  <c r="C128" i="91"/>
  <c r="Q30" i="96" s="1"/>
  <c r="AM17" i="110" s="1"/>
  <c r="X99" i="106"/>
  <c r="L19" i="107"/>
  <c r="O18" i="110"/>
  <c r="X18" i="99"/>
  <c r="AQ15" i="110"/>
  <c r="BU18" i="101"/>
  <c r="Y18" i="99"/>
  <c r="K19" i="107"/>
  <c r="P18" i="110"/>
  <c r="N18" i="110"/>
  <c r="G19" i="107"/>
  <c r="F19" i="107"/>
  <c r="J19" i="107"/>
  <c r="BT18" i="101"/>
  <c r="W18" i="99"/>
  <c r="H19" i="107"/>
  <c r="BV18" i="101"/>
  <c r="AA18" i="108" l="1"/>
  <c r="Z18" i="108"/>
  <c r="AB18" i="108"/>
  <c r="AD19" i="103"/>
  <c r="AV17" i="99"/>
  <c r="W30" i="96"/>
  <c r="Y137" i="96"/>
  <c r="AA137" i="96"/>
  <c r="Z137" i="96"/>
  <c r="X137" i="96"/>
  <c r="G145" i="91"/>
  <c r="D131" i="91"/>
  <c r="E133" i="91"/>
  <c r="Q83" i="96" s="1"/>
  <c r="AM70" i="110" s="1"/>
  <c r="F137" i="91"/>
  <c r="X46" i="106"/>
  <c r="C129" i="91"/>
  <c r="AZ15" i="99"/>
  <c r="BA15" i="99" l="1"/>
  <c r="F138" i="91"/>
  <c r="Q110" i="96" s="1"/>
  <c r="AM97" i="110" s="1"/>
  <c r="E134" i="91"/>
  <c r="W83" i="96"/>
  <c r="AD72" i="103"/>
  <c r="AV70" i="99"/>
  <c r="X127" i="106"/>
  <c r="C130" i="91"/>
  <c r="D132" i="91"/>
  <c r="Z30" i="96"/>
  <c r="AA30" i="96"/>
  <c r="Y30" i="96"/>
  <c r="X30" i="96"/>
  <c r="G146" i="91"/>
  <c r="AQ151" i="110"/>
  <c r="AL30" i="96" l="1"/>
  <c r="AV30" i="96" s="1"/>
  <c r="C131" i="91"/>
  <c r="AM30" i="96"/>
  <c r="AY30" i="96" s="1"/>
  <c r="X20" i="106"/>
  <c r="AO30" i="96"/>
  <c r="AN30" i="96"/>
  <c r="BB30" i="96" s="1"/>
  <c r="F139" i="91"/>
  <c r="G147" i="91"/>
  <c r="D133" i="91"/>
  <c r="Q57" i="96" s="1"/>
  <c r="AM44" i="110" s="1"/>
  <c r="W110" i="96"/>
  <c r="AV97" i="99"/>
  <c r="AD99" i="103"/>
  <c r="Y83" i="96"/>
  <c r="AA83" i="96"/>
  <c r="Z83" i="96"/>
  <c r="X83" i="96"/>
  <c r="E135" i="91"/>
  <c r="AZ151" i="99"/>
  <c r="BA151" i="99" l="1"/>
  <c r="E136" i="91"/>
  <c r="BF30" i="96"/>
  <c r="AC19" i="103"/>
  <c r="T20" i="106"/>
  <c r="BG30" i="96"/>
  <c r="G148" i="91"/>
  <c r="Q138" i="96" s="1"/>
  <c r="AM125" i="110" s="1"/>
  <c r="X110" i="96"/>
  <c r="AA110" i="96"/>
  <c r="Z110" i="96"/>
  <c r="Y110" i="96"/>
  <c r="F140" i="91"/>
  <c r="C132" i="91"/>
  <c r="AW30" i="96"/>
  <c r="Q20" i="106"/>
  <c r="U20" i="106" s="1"/>
  <c r="AX30" i="96"/>
  <c r="AT30" i="96"/>
  <c r="Z19" i="103"/>
  <c r="X73" i="106"/>
  <c r="W57" i="96"/>
  <c r="AV44" i="99"/>
  <c r="AD46" i="103"/>
  <c r="BC30" i="96"/>
  <c r="BD30" i="96"/>
  <c r="S20" i="106"/>
  <c r="W20" i="106" s="1"/>
  <c r="AB19" i="103"/>
  <c r="D134" i="91"/>
  <c r="BE30" i="96"/>
  <c r="R20" i="106"/>
  <c r="V20" i="106" s="1"/>
  <c r="AZ30" i="96"/>
  <c r="BA30" i="96"/>
  <c r="AA19" i="103"/>
  <c r="AR30" i="96"/>
  <c r="AQ30" i="96"/>
  <c r="AP30" i="96"/>
  <c r="AQ197" i="110"/>
  <c r="M30" i="97" l="1"/>
  <c r="N30" i="97"/>
  <c r="O30" i="97"/>
  <c r="AF19" i="103"/>
  <c r="X100" i="106"/>
  <c r="Y20" i="106"/>
  <c r="G149" i="91"/>
  <c r="E137" i="91"/>
  <c r="AV125" i="99"/>
  <c r="AD127" i="103"/>
  <c r="W138" i="96"/>
  <c r="F141" i="91"/>
  <c r="AA57" i="96"/>
  <c r="Z57" i="96"/>
  <c r="Y57" i="96"/>
  <c r="X57" i="96"/>
  <c r="D135" i="91"/>
  <c r="C133" i="91"/>
  <c r="Q31" i="96" s="1"/>
  <c r="AM18" i="110" s="1"/>
  <c r="G20" i="107"/>
  <c r="W19" i="99"/>
  <c r="BV19" i="101"/>
  <c r="K20" i="107"/>
  <c r="J20" i="107"/>
  <c r="AZ197" i="99"/>
  <c r="BU19" i="101"/>
  <c r="F20" i="107"/>
  <c r="BT19" i="101"/>
  <c r="Y19" i="99"/>
  <c r="O19" i="110"/>
  <c r="N19" i="110"/>
  <c r="X19" i="99"/>
  <c r="P19" i="110"/>
  <c r="L20" i="107"/>
  <c r="H20" i="107"/>
  <c r="AB19" i="108" l="1"/>
  <c r="AA19" i="108"/>
  <c r="Z19" i="108"/>
  <c r="BA197" i="99"/>
  <c r="D136" i="91"/>
  <c r="F142" i="91"/>
  <c r="AA138" i="96"/>
  <c r="Z138" i="96"/>
  <c r="Y138" i="96"/>
  <c r="X138" i="96"/>
  <c r="X47" i="106"/>
  <c r="C134" i="91"/>
  <c r="E138" i="91"/>
  <c r="Q84" i="96" s="1"/>
  <c r="AM71" i="110" s="1"/>
  <c r="W31" i="96"/>
  <c r="AV18" i="99"/>
  <c r="AD20" i="103"/>
  <c r="G150" i="91"/>
  <c r="AQ106" i="110"/>
  <c r="G151" i="91" l="1"/>
  <c r="X128" i="106"/>
  <c r="D137" i="91"/>
  <c r="AA31" i="96"/>
  <c r="Z31" i="96"/>
  <c r="Y31" i="96"/>
  <c r="X31" i="96"/>
  <c r="C135" i="91"/>
  <c r="E139" i="91"/>
  <c r="AD73" i="103"/>
  <c r="W84" i="96"/>
  <c r="AV71" i="99"/>
  <c r="F143" i="91"/>
  <c r="Q111" i="96" s="1"/>
  <c r="AM98" i="110" s="1"/>
  <c r="AZ106" i="99"/>
  <c r="BA106" i="99" l="1"/>
  <c r="AV98" i="99"/>
  <c r="AD100" i="103"/>
  <c r="W111" i="96"/>
  <c r="F144" i="91"/>
  <c r="C136" i="91"/>
  <c r="D138" i="91"/>
  <c r="Q58" i="96" s="1"/>
  <c r="AM45" i="110" s="1"/>
  <c r="AL31" i="96"/>
  <c r="AV31" i="96" s="1"/>
  <c r="E140" i="91"/>
  <c r="AM31" i="96"/>
  <c r="AY31" i="96" s="1"/>
  <c r="AN31" i="96"/>
  <c r="BB31" i="96" s="1"/>
  <c r="X21" i="106"/>
  <c r="AO31" i="96"/>
  <c r="BE31" i="96" s="1"/>
  <c r="G152" i="91"/>
  <c r="AA84" i="96"/>
  <c r="Y84" i="96"/>
  <c r="X84" i="96"/>
  <c r="Z84" i="96"/>
  <c r="AQ61" i="110"/>
  <c r="BC31" i="96" l="1"/>
  <c r="S21" i="106"/>
  <c r="W21" i="106" s="1"/>
  <c r="BD31" i="96"/>
  <c r="AB20" i="103"/>
  <c r="X74" i="106"/>
  <c r="E141" i="91"/>
  <c r="F145" i="91"/>
  <c r="X111" i="96"/>
  <c r="Y111" i="96"/>
  <c r="Z111" i="96"/>
  <c r="AA111" i="96"/>
  <c r="G153" i="91"/>
  <c r="Q139" i="96" s="1"/>
  <c r="AM126" i="110" s="1"/>
  <c r="BF31" i="96"/>
  <c r="AC20" i="103"/>
  <c r="T21" i="106"/>
  <c r="BG31" i="96"/>
  <c r="Q21" i="106"/>
  <c r="U21" i="106" s="1"/>
  <c r="AW31" i="96"/>
  <c r="AX31" i="96"/>
  <c r="AT31" i="96"/>
  <c r="Z20" i="103"/>
  <c r="R21" i="106"/>
  <c r="V21" i="106" s="1"/>
  <c r="AZ31" i="96"/>
  <c r="BA31" i="96"/>
  <c r="AA20" i="103"/>
  <c r="C137" i="91"/>
  <c r="D139" i="91"/>
  <c r="W58" i="96"/>
  <c r="AV45" i="99"/>
  <c r="AD47" i="103"/>
  <c r="AR31" i="96"/>
  <c r="AQ31" i="96"/>
  <c r="AP31" i="96"/>
  <c r="AZ61" i="99"/>
  <c r="M31" i="97" l="1"/>
  <c r="N31" i="97"/>
  <c r="O31" i="97"/>
  <c r="BA61" i="99"/>
  <c r="D140" i="91"/>
  <c r="AF20" i="103"/>
  <c r="Z58" i="96"/>
  <c r="AA58" i="96"/>
  <c r="Y58" i="96"/>
  <c r="X58" i="96"/>
  <c r="G154" i="91"/>
  <c r="C138" i="91"/>
  <c r="Q32" i="96" s="1"/>
  <c r="AM19" i="110" s="1"/>
  <c r="Y21" i="106"/>
  <c r="AD128" i="103"/>
  <c r="AV126" i="99"/>
  <c r="W139" i="96"/>
  <c r="F146" i="91"/>
  <c r="X101" i="106"/>
  <c r="E142" i="91"/>
  <c r="H21" i="107"/>
  <c r="BU20" i="101"/>
  <c r="K21" i="107"/>
  <c r="Y20" i="99"/>
  <c r="BV20" i="101"/>
  <c r="W20" i="99"/>
  <c r="O20" i="110"/>
  <c r="L21" i="107"/>
  <c r="N20" i="110"/>
  <c r="P20" i="110"/>
  <c r="F21" i="107"/>
  <c r="BT20" i="101"/>
  <c r="J21" i="107"/>
  <c r="G21" i="107"/>
  <c r="AQ16" i="110"/>
  <c r="X20" i="99"/>
  <c r="AB20" i="108" l="1"/>
  <c r="AA20" i="108"/>
  <c r="Z20" i="108"/>
  <c r="D141" i="91"/>
  <c r="Z139" i="96"/>
  <c r="AA139" i="96"/>
  <c r="X139" i="96"/>
  <c r="Y139" i="96"/>
  <c r="G155" i="91"/>
  <c r="E143" i="91"/>
  <c r="Q85" i="96" s="1"/>
  <c r="AM72" i="110" s="1"/>
  <c r="F147" i="91"/>
  <c r="C139" i="91"/>
  <c r="W32" i="96"/>
  <c r="AV19" i="99"/>
  <c r="AD21" i="103"/>
  <c r="X48" i="106"/>
  <c r="AZ16" i="99"/>
  <c r="BA16" i="99" l="1"/>
  <c r="G156" i="91"/>
  <c r="E144" i="91"/>
  <c r="F148" i="91"/>
  <c r="Q112" i="96" s="1"/>
  <c r="AM99" i="110" s="1"/>
  <c r="AD74" i="103"/>
  <c r="AV72" i="99"/>
  <c r="W85" i="96"/>
  <c r="X129" i="106"/>
  <c r="X32" i="96"/>
  <c r="AA32" i="96"/>
  <c r="Y32" i="96"/>
  <c r="Z32" i="96"/>
  <c r="D142" i="91"/>
  <c r="C140" i="91"/>
  <c r="AQ152" i="110"/>
  <c r="F149" i="91" l="1"/>
  <c r="D143" i="91"/>
  <c r="Q59" i="96" s="1"/>
  <c r="AM46" i="110" s="1"/>
  <c r="G157" i="91"/>
  <c r="Y85" i="96"/>
  <c r="Z85" i="96"/>
  <c r="AA85" i="96"/>
  <c r="X85" i="96"/>
  <c r="AN32" i="96"/>
  <c r="BB32" i="96" s="1"/>
  <c r="X22" i="106"/>
  <c r="AO32" i="96"/>
  <c r="BE32" i="96" s="1"/>
  <c r="AD101" i="103"/>
  <c r="AV99" i="99"/>
  <c r="W112" i="96"/>
  <c r="C141" i="91"/>
  <c r="AM32" i="96"/>
  <c r="AY32" i="96" s="1"/>
  <c r="E145" i="91"/>
  <c r="AL32" i="96"/>
  <c r="AV32" i="96" s="1"/>
  <c r="AZ152" i="99"/>
  <c r="BA152" i="99" l="1"/>
  <c r="D144" i="91"/>
  <c r="BF32" i="96"/>
  <c r="BG32" i="96"/>
  <c r="AC21" i="103"/>
  <c r="T22" i="106"/>
  <c r="BC32" i="96"/>
  <c r="S22" i="106"/>
  <c r="W22" i="106" s="1"/>
  <c r="BD32" i="96"/>
  <c r="AB21" i="103"/>
  <c r="E146" i="91"/>
  <c r="R22" i="106"/>
  <c r="V22" i="106" s="1"/>
  <c r="AZ32" i="96"/>
  <c r="AA21" i="103"/>
  <c r="BA32" i="96"/>
  <c r="Y112" i="96"/>
  <c r="X112" i="96"/>
  <c r="Z112" i="96"/>
  <c r="AA112" i="96"/>
  <c r="C142" i="91"/>
  <c r="Q22" i="106"/>
  <c r="U22" i="106" s="1"/>
  <c r="AW32" i="96"/>
  <c r="AT32" i="96"/>
  <c r="AX32" i="96"/>
  <c r="Z21" i="103"/>
  <c r="G158" i="91"/>
  <c r="Q140" i="96" s="1"/>
  <c r="AM127" i="110" s="1"/>
  <c r="X75" i="106"/>
  <c r="W59" i="96"/>
  <c r="AV46" i="99"/>
  <c r="AD48" i="103"/>
  <c r="F150" i="91"/>
  <c r="AR32" i="96"/>
  <c r="AP32" i="96"/>
  <c r="AQ198" i="110"/>
  <c r="AQ32" i="96"/>
  <c r="M32" i="97" l="1"/>
  <c r="N32" i="97"/>
  <c r="O32" i="97"/>
  <c r="Y22" i="106"/>
  <c r="F151" i="91"/>
  <c r="Y59" i="96"/>
  <c r="AA59" i="96"/>
  <c r="Z59" i="96"/>
  <c r="X59" i="96"/>
  <c r="G159" i="91"/>
  <c r="D145" i="91"/>
  <c r="AV127" i="99"/>
  <c r="AD129" i="103"/>
  <c r="W140" i="96"/>
  <c r="C143" i="91"/>
  <c r="Q33" i="96" s="1"/>
  <c r="AM20" i="110" s="1"/>
  <c r="AF21" i="103"/>
  <c r="E147" i="91"/>
  <c r="X102" i="106"/>
  <c r="BV21" i="101"/>
  <c r="Y21" i="99"/>
  <c r="W21" i="99"/>
  <c r="AZ198" i="99"/>
  <c r="L22" i="107"/>
  <c r="G22" i="107"/>
  <c r="J22" i="107"/>
  <c r="BU21" i="101"/>
  <c r="P21" i="110"/>
  <c r="F22" i="107"/>
  <c r="BT21" i="101"/>
  <c r="K22" i="107"/>
  <c r="N21" i="110"/>
  <c r="H22" i="107"/>
  <c r="X21" i="99"/>
  <c r="O21" i="110"/>
  <c r="AB21" i="108" l="1"/>
  <c r="AA21" i="108"/>
  <c r="Z21" i="108"/>
  <c r="BA198" i="99"/>
  <c r="Y140" i="96"/>
  <c r="AA140" i="96"/>
  <c r="Z140" i="96"/>
  <c r="X140" i="96"/>
  <c r="C144" i="91"/>
  <c r="D146" i="91"/>
  <c r="F152" i="91"/>
  <c r="W33" i="96"/>
  <c r="AD22" i="103"/>
  <c r="AV20" i="99"/>
  <c r="G160" i="91"/>
  <c r="E148" i="91"/>
  <c r="Q86" i="96" s="1"/>
  <c r="AM73" i="110" s="1"/>
  <c r="X49" i="106"/>
  <c r="AQ107" i="110"/>
  <c r="AV73" i="99" l="1"/>
  <c r="AD75" i="103"/>
  <c r="W86" i="96"/>
  <c r="G161" i="91"/>
  <c r="D147" i="91"/>
  <c r="C145" i="91"/>
  <c r="X130" i="106"/>
  <c r="Y33" i="96"/>
  <c r="X33" i="96"/>
  <c r="AA33" i="96"/>
  <c r="Z33" i="96"/>
  <c r="E149" i="91"/>
  <c r="F153" i="91"/>
  <c r="Q113" i="96" s="1"/>
  <c r="AM100" i="110" s="1"/>
  <c r="AZ107" i="99"/>
  <c r="BA107" i="99" l="1"/>
  <c r="G162" i="91"/>
  <c r="G163" i="91"/>
  <c r="Q141" i="96" s="1"/>
  <c r="AM128" i="110" s="1"/>
  <c r="AA86" i="96"/>
  <c r="Z86" i="96"/>
  <c r="Y86" i="96"/>
  <c r="X86" i="96"/>
  <c r="AM33" i="96"/>
  <c r="AY33" i="96" s="1"/>
  <c r="F154" i="91"/>
  <c r="AV100" i="99"/>
  <c r="AD102" i="103"/>
  <c r="W113" i="96"/>
  <c r="AN33" i="96"/>
  <c r="BB33" i="96" s="1"/>
  <c r="E150" i="91"/>
  <c r="AO33" i="96"/>
  <c r="BE33" i="96" s="1"/>
  <c r="X23" i="106"/>
  <c r="D148" i="91"/>
  <c r="Q60" i="96" s="1"/>
  <c r="AM47" i="110" s="1"/>
  <c r="AL33" i="96"/>
  <c r="AV33" i="96" s="1"/>
  <c r="C146" i="91"/>
  <c r="AQ62" i="110"/>
  <c r="AQ199" i="110"/>
  <c r="AR196" i="110" l="1"/>
  <c r="AR188" i="110"/>
  <c r="AR191" i="110"/>
  <c r="AR199" i="110"/>
  <c r="AR194" i="110"/>
  <c r="AR186" i="110"/>
  <c r="AR192" i="110"/>
  <c r="AR197" i="110"/>
  <c r="AR189" i="110"/>
  <c r="AR184" i="110"/>
  <c r="AR193" i="110"/>
  <c r="AR195" i="110"/>
  <c r="AR187" i="110"/>
  <c r="AR198" i="110"/>
  <c r="AR190" i="110"/>
  <c r="AR185" i="110"/>
  <c r="E151" i="91"/>
  <c r="F155" i="91"/>
  <c r="C147" i="91"/>
  <c r="R23" i="106"/>
  <c r="V23" i="106" s="1"/>
  <c r="AZ33" i="96"/>
  <c r="BA33" i="96"/>
  <c r="AA22" i="103"/>
  <c r="AV128" i="99"/>
  <c r="AD130" i="103"/>
  <c r="W141" i="96"/>
  <c r="BF33" i="96"/>
  <c r="AC22" i="103"/>
  <c r="T23" i="106"/>
  <c r="BG33" i="96"/>
  <c r="Q23" i="106"/>
  <c r="U23" i="106" s="1"/>
  <c r="AW33" i="96"/>
  <c r="AX33" i="96"/>
  <c r="AT33" i="96"/>
  <c r="Z22" i="103"/>
  <c r="BC33" i="96"/>
  <c r="S23" i="106"/>
  <c r="W23" i="106" s="1"/>
  <c r="BD33" i="96"/>
  <c r="AB22" i="103"/>
  <c r="D149" i="91"/>
  <c r="AA113" i="96"/>
  <c r="Z113" i="96"/>
  <c r="Y113" i="96"/>
  <c r="X113" i="96"/>
  <c r="X76" i="106"/>
  <c r="AV47" i="99"/>
  <c r="AD49" i="103"/>
  <c r="W60" i="96"/>
  <c r="AR33" i="96"/>
  <c r="AZ62" i="99"/>
  <c r="AZ199" i="99"/>
  <c r="AP33" i="96"/>
  <c r="AQ33" i="96"/>
  <c r="O33" i="97" l="1"/>
  <c r="M33" i="97"/>
  <c r="N33" i="97"/>
  <c r="BA199" i="99"/>
  <c r="BA62" i="99"/>
  <c r="Y60" i="96"/>
  <c r="Z60" i="96"/>
  <c r="AA60" i="96"/>
  <c r="X60" i="96"/>
  <c r="E152" i="91"/>
  <c r="AF22" i="103"/>
  <c r="Y23" i="106"/>
  <c r="C148" i="91"/>
  <c r="Q34" i="96" s="1"/>
  <c r="AM21" i="110" s="1"/>
  <c r="X103" i="106"/>
  <c r="X141" i="96"/>
  <c r="Z141" i="96"/>
  <c r="AA141" i="96"/>
  <c r="Y141" i="96"/>
  <c r="D150" i="91"/>
  <c r="F156" i="91"/>
  <c r="BU22" i="101"/>
  <c r="O22" i="110"/>
  <c r="G23" i="107"/>
  <c r="BT22" i="101"/>
  <c r="X22" i="99"/>
  <c r="N22" i="110"/>
  <c r="P22" i="110"/>
  <c r="BV22" i="101"/>
  <c r="K23" i="107"/>
  <c r="AQ17" i="110"/>
  <c r="Y22" i="99"/>
  <c r="L23" i="107"/>
  <c r="F23" i="107"/>
  <c r="W22" i="99"/>
  <c r="J23" i="107"/>
  <c r="H23" i="107"/>
  <c r="AA22" i="108" l="1"/>
  <c r="Z22" i="108"/>
  <c r="AB22" i="108"/>
  <c r="F157" i="91"/>
  <c r="AV21" i="99"/>
  <c r="AD23" i="103"/>
  <c r="W34" i="96"/>
  <c r="X50" i="106"/>
  <c r="D151" i="91"/>
  <c r="E153" i="91"/>
  <c r="Q87" i="96" s="1"/>
  <c r="AM74" i="110" s="1"/>
  <c r="X131" i="106"/>
  <c r="C149" i="91"/>
  <c r="AZ17" i="99"/>
  <c r="BA17" i="99" l="1"/>
  <c r="F158" i="91"/>
  <c r="Q114" i="96" s="1"/>
  <c r="AM101" i="110" s="1"/>
  <c r="D152" i="91"/>
  <c r="E154" i="91"/>
  <c r="W87" i="96"/>
  <c r="AV74" i="99"/>
  <c r="AD76" i="103"/>
  <c r="AA34" i="96"/>
  <c r="X34" i="96"/>
  <c r="Y34" i="96"/>
  <c r="Z34" i="96"/>
  <c r="C150" i="91"/>
  <c r="AQ153" i="110"/>
  <c r="AN34" i="96" l="1"/>
  <c r="BB34" i="96" s="1"/>
  <c r="F159" i="91"/>
  <c r="AM34" i="96"/>
  <c r="AY34" i="96" s="1"/>
  <c r="W114" i="96"/>
  <c r="AV101" i="99"/>
  <c r="AD103" i="103"/>
  <c r="AL34" i="96"/>
  <c r="E155" i="91"/>
  <c r="AO34" i="96"/>
  <c r="BE34" i="96" s="1"/>
  <c r="X24" i="106"/>
  <c r="D153" i="91"/>
  <c r="Q61" i="96" s="1"/>
  <c r="AM48" i="110" s="1"/>
  <c r="C151" i="91"/>
  <c r="Z87" i="96"/>
  <c r="Y87" i="96"/>
  <c r="AA87" i="96"/>
  <c r="X87" i="96"/>
  <c r="AZ153" i="99"/>
  <c r="AP34" i="96"/>
  <c r="M34" i="97" l="1"/>
  <c r="BA153" i="99"/>
  <c r="D154" i="91"/>
  <c r="Y114" i="96"/>
  <c r="AA114" i="96"/>
  <c r="X114" i="96"/>
  <c r="Z114" i="96"/>
  <c r="Q24" i="106"/>
  <c r="U24" i="106" s="1"/>
  <c r="AW34" i="96"/>
  <c r="AX34" i="96"/>
  <c r="Z23" i="103"/>
  <c r="AT34" i="96"/>
  <c r="X77" i="106"/>
  <c r="BF34" i="96"/>
  <c r="AC23" i="103"/>
  <c r="T24" i="106"/>
  <c r="BG34" i="96"/>
  <c r="R24" i="106"/>
  <c r="V24" i="106" s="1"/>
  <c r="AZ34" i="96"/>
  <c r="BA34" i="96"/>
  <c r="AA23" i="103"/>
  <c r="F160" i="91"/>
  <c r="E156" i="91"/>
  <c r="C152" i="91"/>
  <c r="AV34" i="96"/>
  <c r="BC34" i="96"/>
  <c r="BD34" i="96"/>
  <c r="S24" i="106"/>
  <c r="W24" i="106" s="1"/>
  <c r="AB23" i="103"/>
  <c r="W61" i="96"/>
  <c r="AD50" i="103"/>
  <c r="AV48" i="99"/>
  <c r="N23" i="110"/>
  <c r="AQ34" i="96"/>
  <c r="AR34" i="96"/>
  <c r="F24" i="107"/>
  <c r="J24" i="107"/>
  <c r="BT23" i="101"/>
  <c r="W23" i="99"/>
  <c r="Z23" i="108" l="1"/>
  <c r="O34" i="97"/>
  <c r="N34" i="97"/>
  <c r="C153" i="91"/>
  <c r="Q35" i="96" s="1"/>
  <c r="AM22" i="110" s="1"/>
  <c r="Y24" i="106"/>
  <c r="F161" i="91"/>
  <c r="X104" i="106"/>
  <c r="X61" i="96"/>
  <c r="Z61" i="96"/>
  <c r="Y61" i="96"/>
  <c r="AA61" i="96"/>
  <c r="E157" i="91"/>
  <c r="D155" i="91"/>
  <c r="AF23" i="103"/>
  <c r="O23" i="110"/>
  <c r="BU23" i="101"/>
  <c r="G24" i="107"/>
  <c r="Y23" i="99"/>
  <c r="P23" i="110"/>
  <c r="K24" i="107"/>
  <c r="BV23" i="101"/>
  <c r="X23" i="99"/>
  <c r="H24" i="107"/>
  <c r="L24" i="107"/>
  <c r="AA23" i="108" l="1"/>
  <c r="AB23" i="108"/>
  <c r="E158" i="91"/>
  <c r="Q88" i="96" s="1"/>
  <c r="AM75" i="110" s="1"/>
  <c r="X51" i="106"/>
  <c r="D156" i="91"/>
  <c r="C154" i="91"/>
  <c r="F162" i="91"/>
  <c r="F163" i="91"/>
  <c r="Q115" i="96" s="1"/>
  <c r="AM102" i="110" s="1"/>
  <c r="AV22" i="99"/>
  <c r="W35" i="96"/>
  <c r="AD24" i="103"/>
  <c r="AQ108" i="110"/>
  <c r="AQ154" i="110"/>
  <c r="AR151" i="110" l="1"/>
  <c r="AR143" i="110"/>
  <c r="AR154" i="110"/>
  <c r="AR146" i="110"/>
  <c r="AR149" i="110"/>
  <c r="AR141" i="110"/>
  <c r="AR139" i="110"/>
  <c r="AR152" i="110"/>
  <c r="AR144" i="110"/>
  <c r="AR147" i="110"/>
  <c r="AR140" i="110"/>
  <c r="AR150" i="110"/>
  <c r="AR142" i="110"/>
  <c r="AR148" i="110"/>
  <c r="AR153" i="110"/>
  <c r="AR145" i="110"/>
  <c r="Y35" i="96"/>
  <c r="X35" i="96"/>
  <c r="AA35" i="96"/>
  <c r="Z35" i="96"/>
  <c r="D157" i="91"/>
  <c r="E159" i="91"/>
  <c r="AV75" i="99"/>
  <c r="AD77" i="103"/>
  <c r="W88" i="96"/>
  <c r="AD104" i="103"/>
  <c r="AV102" i="99"/>
  <c r="W115" i="96"/>
  <c r="C155" i="91"/>
  <c r="AZ154" i="99"/>
  <c r="AZ108" i="99"/>
  <c r="BA154" i="99" l="1"/>
  <c r="BA108" i="99"/>
  <c r="AN35" i="96"/>
  <c r="BB35" i="96" s="1"/>
  <c r="X25" i="106"/>
  <c r="AO35" i="96"/>
  <c r="BE35" i="96" s="1"/>
  <c r="D158" i="91"/>
  <c r="Q62" i="96" s="1"/>
  <c r="AM49" i="110" s="1"/>
  <c r="AL35" i="96"/>
  <c r="AA88" i="96"/>
  <c r="Z88" i="96"/>
  <c r="X88" i="96"/>
  <c r="Y88" i="96"/>
  <c r="AM35" i="96"/>
  <c r="AY35" i="96" s="1"/>
  <c r="Z115" i="96"/>
  <c r="Y115" i="96"/>
  <c r="X115" i="96"/>
  <c r="AA115" i="96"/>
  <c r="C156" i="91"/>
  <c r="E160" i="91"/>
  <c r="AQ63" i="110"/>
  <c r="AP35" i="96"/>
  <c r="AV35" i="96" l="1"/>
  <c r="M35" i="97"/>
  <c r="X105" i="106"/>
  <c r="X78" i="106"/>
  <c r="BC35" i="96"/>
  <c r="S25" i="106"/>
  <c r="W25" i="106" s="1"/>
  <c r="BD35" i="96"/>
  <c r="AB24" i="103"/>
  <c r="D159" i="91"/>
  <c r="BF35" i="96"/>
  <c r="T25" i="106"/>
  <c r="BG35" i="96"/>
  <c r="AC24" i="103"/>
  <c r="Q25" i="106"/>
  <c r="U25" i="106" s="1"/>
  <c r="AW35" i="96"/>
  <c r="AX35" i="96"/>
  <c r="AT35" i="96"/>
  <c r="Z24" i="103"/>
  <c r="E161" i="91"/>
  <c r="R25" i="106"/>
  <c r="V25" i="106" s="1"/>
  <c r="AZ35" i="96"/>
  <c r="BA35" i="96"/>
  <c r="AA24" i="103"/>
  <c r="C157" i="91"/>
  <c r="AV49" i="99"/>
  <c r="AD51" i="103"/>
  <c r="W62" i="96"/>
  <c r="J25" i="107"/>
  <c r="AQ35" i="96"/>
  <c r="AR35" i="96"/>
  <c r="BT24" i="101"/>
  <c r="W24" i="99"/>
  <c r="AZ63" i="99"/>
  <c r="F25" i="107"/>
  <c r="N24" i="110"/>
  <c r="Z24" i="108" l="1"/>
  <c r="N35" i="97"/>
  <c r="O35" i="97"/>
  <c r="AF24" i="103"/>
  <c r="BA63" i="99"/>
  <c r="Y25" i="106"/>
  <c r="E162" i="91"/>
  <c r="E163" i="91"/>
  <c r="Q89" i="96" s="1"/>
  <c r="AM76" i="110" s="1"/>
  <c r="X62" i="96"/>
  <c r="Y62" i="96"/>
  <c r="Z62" i="96"/>
  <c r="AA62" i="96"/>
  <c r="D160" i="91"/>
  <c r="C158" i="91"/>
  <c r="Q36" i="96" s="1"/>
  <c r="AM23" i="110" s="1"/>
  <c r="Y24" i="99"/>
  <c r="G25" i="107"/>
  <c r="P24" i="110"/>
  <c r="X24" i="99"/>
  <c r="AQ18" i="110"/>
  <c r="BV24" i="101"/>
  <c r="BU24" i="101"/>
  <c r="L25" i="107"/>
  <c r="AQ109" i="110"/>
  <c r="O24" i="110"/>
  <c r="H25" i="107"/>
  <c r="K25" i="107"/>
  <c r="AR107" i="110" l="1"/>
  <c r="AR98" i="110"/>
  <c r="AR102" i="110"/>
  <c r="AR94" i="110"/>
  <c r="AR108" i="110"/>
  <c r="AR105" i="110"/>
  <c r="AR103" i="110"/>
  <c r="AR99" i="110"/>
  <c r="AR95" i="110"/>
  <c r="AR109" i="110"/>
  <c r="AR104" i="110"/>
  <c r="AR106" i="110"/>
  <c r="AR100" i="110"/>
  <c r="AR96" i="110"/>
  <c r="AR101" i="110"/>
  <c r="AR97" i="110"/>
  <c r="AA24" i="108"/>
  <c r="AB24" i="108"/>
  <c r="AV76" i="99"/>
  <c r="AD78" i="103"/>
  <c r="W89" i="96"/>
  <c r="D161" i="91"/>
  <c r="X52" i="106"/>
  <c r="C159" i="91"/>
  <c r="W36" i="96"/>
  <c r="AV23" i="99"/>
  <c r="AD25" i="103"/>
  <c r="AZ18" i="99"/>
  <c r="AZ109" i="99"/>
  <c r="BA18" i="99" l="1"/>
  <c r="BA109" i="99"/>
  <c r="C160" i="91"/>
  <c r="D162" i="91"/>
  <c r="D163" i="91"/>
  <c r="Q63" i="96" s="1"/>
  <c r="AM50" i="110" s="1"/>
  <c r="X89" i="96"/>
  <c r="Y89" i="96"/>
  <c r="Z89" i="96"/>
  <c r="AA89" i="96"/>
  <c r="Z36" i="96"/>
  <c r="Y36" i="96"/>
  <c r="AA36" i="96"/>
  <c r="X36" i="96"/>
  <c r="AQ64" i="110"/>
  <c r="AR61" i="110" l="1"/>
  <c r="AR57" i="110"/>
  <c r="AR51" i="110"/>
  <c r="AR54" i="110"/>
  <c r="AR53" i="110"/>
  <c r="AR62" i="110"/>
  <c r="AR58" i="110"/>
  <c r="AR49" i="110"/>
  <c r="AR56" i="110"/>
  <c r="AR52" i="110"/>
  <c r="AR64" i="110"/>
  <c r="AR63" i="110"/>
  <c r="AR59" i="110"/>
  <c r="AR55" i="110"/>
  <c r="AR50" i="110"/>
  <c r="AR60" i="110"/>
  <c r="AN36" i="96"/>
  <c r="BB36" i="96" s="1"/>
  <c r="X79" i="106"/>
  <c r="W63" i="96"/>
  <c r="AD52" i="103"/>
  <c r="AV50" i="99"/>
  <c r="C161" i="91"/>
  <c r="AL36" i="96"/>
  <c r="AV36" i="96" s="1"/>
  <c r="X26" i="106"/>
  <c r="AO36" i="96"/>
  <c r="BE36" i="96" s="1"/>
  <c r="AM36" i="96"/>
  <c r="AY36" i="96" s="1"/>
  <c r="AZ64" i="99"/>
  <c r="BA64" i="99" l="1"/>
  <c r="R26" i="106"/>
  <c r="V26" i="106" s="1"/>
  <c r="AZ36" i="96"/>
  <c r="BA36" i="96"/>
  <c r="AA25" i="103"/>
  <c r="BF36" i="96"/>
  <c r="T26" i="106"/>
  <c r="BG36" i="96"/>
  <c r="AC25" i="103"/>
  <c r="BC36" i="96"/>
  <c r="BD36" i="96"/>
  <c r="S26" i="106"/>
  <c r="W26" i="106" s="1"/>
  <c r="AB25" i="103"/>
  <c r="AW36" i="96"/>
  <c r="Q26" i="106"/>
  <c r="U26" i="106" s="1"/>
  <c r="AX36" i="96"/>
  <c r="AT36" i="96"/>
  <c r="Z25" i="103"/>
  <c r="Y63" i="96"/>
  <c r="X63" i="96"/>
  <c r="AA63" i="96"/>
  <c r="Z63" i="96"/>
  <c r="C162" i="91"/>
  <c r="AR36" i="96"/>
  <c r="AQ36" i="96"/>
  <c r="AP36" i="96"/>
  <c r="O36" i="97" l="1"/>
  <c r="M36" i="97"/>
  <c r="Y26" i="106"/>
  <c r="N36" i="97"/>
  <c r="X53" i="106"/>
  <c r="AF25" i="103"/>
  <c r="C163" i="91"/>
  <c r="Q37" i="96" s="1"/>
  <c r="AM24" i="110" s="1"/>
  <c r="L26" i="107"/>
  <c r="Y25" i="99"/>
  <c r="K26" i="107"/>
  <c r="X25" i="99"/>
  <c r="O25" i="110"/>
  <c r="BT25" i="101"/>
  <c r="BV25" i="101"/>
  <c r="P25" i="110"/>
  <c r="H26" i="107"/>
  <c r="BU25" i="101"/>
  <c r="W25" i="99"/>
  <c r="AQ19" i="110"/>
  <c r="N25" i="110"/>
  <c r="J26" i="107"/>
  <c r="F26" i="107"/>
  <c r="G26" i="107"/>
  <c r="AR18" i="110" l="1"/>
  <c r="AR14" i="110"/>
  <c r="AR10" i="110"/>
  <c r="AR6" i="110"/>
  <c r="AS6" i="110" s="1"/>
  <c r="AR19" i="110"/>
  <c r="AR15" i="110"/>
  <c r="AR11" i="110"/>
  <c r="AR7" i="110"/>
  <c r="AS7" i="110" s="1"/>
  <c r="AR16" i="110"/>
  <c r="AR4" i="110"/>
  <c r="AS4" i="110" s="1"/>
  <c r="AR12" i="110"/>
  <c r="AR8" i="110"/>
  <c r="AR17" i="110"/>
  <c r="AR9" i="110"/>
  <c r="AR13" i="110"/>
  <c r="AR5" i="110"/>
  <c r="AS5" i="110" s="1"/>
  <c r="AA25" i="108"/>
  <c r="Z25" i="108"/>
  <c r="AB25" i="108"/>
  <c r="AV24" i="99"/>
  <c r="AD26" i="103"/>
  <c r="W37" i="96"/>
  <c r="AZ19" i="99"/>
  <c r="BA19" i="99" l="1"/>
  <c r="X37" i="96"/>
  <c r="AA37" i="96"/>
  <c r="Z37" i="96"/>
  <c r="Y37" i="96"/>
  <c r="AM37" i="96" l="1"/>
  <c r="AY37" i="96" s="1"/>
  <c r="AN37" i="96"/>
  <c r="BB37" i="96" s="1"/>
  <c r="AO37" i="96"/>
  <c r="X27" i="106"/>
  <c r="AL37" i="96"/>
  <c r="AV37" i="96" s="1"/>
  <c r="BF37" i="96" l="1"/>
  <c r="T27" i="106"/>
  <c r="BG37" i="96"/>
  <c r="AC26" i="103"/>
  <c r="BC37" i="96"/>
  <c r="BD37" i="96"/>
  <c r="S27" i="106"/>
  <c r="AB26" i="103"/>
  <c r="AW37" i="96"/>
  <c r="Q27" i="106"/>
  <c r="AX37" i="96"/>
  <c r="AT37" i="96"/>
  <c r="Z26" i="103"/>
  <c r="R27" i="106"/>
  <c r="AZ37" i="96"/>
  <c r="BA37" i="96"/>
  <c r="AA26" i="103"/>
  <c r="BE37" i="96"/>
  <c r="AC48" i="106"/>
  <c r="AC60" i="106"/>
  <c r="AC45" i="106"/>
  <c r="AC33" i="106"/>
  <c r="AC62" i="106"/>
  <c r="AC67" i="106"/>
  <c r="AC20" i="106"/>
  <c r="AC49" i="106"/>
  <c r="AC58" i="106"/>
  <c r="AC53" i="106"/>
  <c r="AC63" i="106"/>
  <c r="AC19" i="106"/>
  <c r="AC51" i="106"/>
  <c r="AC47" i="106"/>
  <c r="AC61" i="106"/>
  <c r="AR37" i="96"/>
  <c r="AP37" i="96"/>
  <c r="AC46" i="106"/>
  <c r="AC59" i="106"/>
  <c r="AC64" i="106"/>
  <c r="AC52" i="106"/>
  <c r="AC65" i="106"/>
  <c r="AC54" i="106"/>
  <c r="AQ37" i="96"/>
  <c r="AC66" i="106"/>
  <c r="AC34" i="106"/>
  <c r="AC50" i="106"/>
  <c r="AC32" i="106"/>
  <c r="N37" i="97" l="1"/>
  <c r="M37" i="97"/>
  <c r="O37" i="97"/>
  <c r="AF26" i="103"/>
  <c r="U27" i="106"/>
  <c r="W27" i="106"/>
  <c r="V27" i="106"/>
  <c r="P26" i="110"/>
  <c r="N26" i="110"/>
  <c r="O26" i="110"/>
  <c r="BT26" i="101"/>
  <c r="K27" i="107"/>
  <c r="BV26" i="101"/>
  <c r="X26" i="99"/>
  <c r="G27" i="107"/>
  <c r="H27" i="107"/>
  <c r="W26" i="99"/>
  <c r="J27" i="107"/>
  <c r="Y26" i="99"/>
  <c r="BU26" i="101"/>
  <c r="F27" i="107"/>
  <c r="L27" i="107"/>
  <c r="AB26" i="108" l="1"/>
  <c r="Z26" i="108"/>
  <c r="AA26" i="108"/>
  <c r="Y27" i="106"/>
  <c r="AC6" i="106"/>
  <c r="AC9" i="106"/>
  <c r="AC8" i="106"/>
  <c r="AC7" i="106"/>
  <c r="AC10" i="106"/>
  <c r="AJ58" i="106"/>
  <c r="AJ60" i="106"/>
  <c r="AJ116" i="106"/>
  <c r="AJ111" i="106"/>
  <c r="AJ74" i="106"/>
  <c r="AJ123" i="106"/>
  <c r="AJ106" i="106"/>
  <c r="AJ115" i="106"/>
  <c r="AJ126" i="106"/>
  <c r="AJ148" i="106"/>
  <c r="AJ62" i="106"/>
  <c r="AJ70" i="106"/>
  <c r="AJ48" i="106"/>
  <c r="AJ61" i="106"/>
  <c r="AJ109" i="106"/>
  <c r="AJ100" i="106"/>
  <c r="AJ71" i="106"/>
  <c r="AJ140" i="106"/>
  <c r="AJ151" i="106"/>
  <c r="AJ132" i="106"/>
  <c r="AJ83" i="106"/>
  <c r="AJ40" i="106"/>
  <c r="AJ147" i="106"/>
  <c r="AJ84" i="106"/>
  <c r="AJ155" i="106"/>
  <c r="AJ143" i="106"/>
  <c r="AJ113" i="106"/>
  <c r="AJ110" i="106"/>
  <c r="AJ75" i="106"/>
  <c r="AJ145" i="106"/>
  <c r="AJ131" i="106"/>
  <c r="AJ117" i="106"/>
  <c r="AJ76" i="106"/>
  <c r="AJ154" i="106"/>
  <c r="AJ49" i="106"/>
  <c r="AJ164" i="106"/>
  <c r="AJ86" i="106"/>
  <c r="AJ42" i="106"/>
  <c r="AJ96" i="106"/>
  <c r="AJ77" i="106"/>
  <c r="AJ130" i="106"/>
  <c r="AJ69" i="106"/>
  <c r="AJ125" i="106"/>
  <c r="AJ129" i="106"/>
  <c r="AJ90" i="106"/>
  <c r="AJ87" i="106"/>
  <c r="AJ45" i="106"/>
  <c r="AJ142" i="106"/>
  <c r="AJ128" i="106"/>
  <c r="AJ119" i="106"/>
  <c r="AJ149" i="106"/>
  <c r="AJ105" i="106"/>
  <c r="AJ78" i="106"/>
  <c r="AJ104" i="106"/>
  <c r="AJ81" i="106"/>
  <c r="AJ94" i="106"/>
  <c r="AJ91" i="106"/>
  <c r="AJ65" i="106"/>
  <c r="AJ88" i="106"/>
  <c r="AJ118" i="106"/>
  <c r="AJ93" i="106"/>
  <c r="AJ163" i="106"/>
  <c r="AJ95" i="106"/>
  <c r="AJ103" i="106"/>
  <c r="AJ146" i="106"/>
  <c r="AJ54" i="106"/>
  <c r="AJ114" i="106"/>
  <c r="AJ121" i="106"/>
  <c r="AJ152" i="106"/>
  <c r="AJ160" i="106"/>
  <c r="AJ137" i="106"/>
  <c r="AJ82" i="106"/>
  <c r="AJ99" i="106"/>
  <c r="AJ57" i="106"/>
  <c r="AJ66" i="106"/>
  <c r="AJ79" i="106"/>
  <c r="AJ153" i="106"/>
  <c r="AJ127" i="106"/>
  <c r="AJ122" i="106"/>
  <c r="AJ53" i="106"/>
  <c r="AJ162" i="106"/>
  <c r="AJ159" i="106"/>
  <c r="AJ73" i="106"/>
  <c r="AJ101" i="106"/>
  <c r="AJ92" i="106"/>
  <c r="AJ158" i="106"/>
  <c r="AJ107" i="106"/>
  <c r="AJ41" i="106"/>
  <c r="AJ64" i="106"/>
  <c r="AJ52" i="106"/>
  <c r="AJ67" i="106"/>
  <c r="AJ97" i="106"/>
  <c r="AJ135" i="106"/>
  <c r="AJ165" i="106"/>
  <c r="AJ139" i="106"/>
  <c r="AJ108" i="106"/>
  <c r="AJ85" i="106"/>
  <c r="AJ55" i="106"/>
  <c r="AJ89" i="106"/>
  <c r="AJ112" i="106"/>
  <c r="AJ141" i="106"/>
  <c r="AJ80" i="106"/>
  <c r="AJ44" i="106"/>
  <c r="AJ102" i="106"/>
  <c r="AJ161" i="106"/>
  <c r="AJ59" i="106"/>
  <c r="AJ134" i="106"/>
  <c r="AJ63" i="106"/>
  <c r="AJ68" i="106"/>
  <c r="AJ156" i="106"/>
  <c r="AJ98" i="106"/>
  <c r="AJ46" i="106"/>
  <c r="AJ150" i="106"/>
  <c r="AJ56" i="106"/>
  <c r="AJ51" i="106"/>
  <c r="AJ50" i="106"/>
  <c r="AJ72" i="106"/>
  <c r="AJ43" i="106"/>
  <c r="AJ144" i="106"/>
  <c r="AJ136" i="106"/>
  <c r="AJ133" i="106"/>
  <c r="AJ157" i="106"/>
  <c r="AJ138" i="106"/>
  <c r="AJ47" i="106"/>
  <c r="AD4" i="91" l="1"/>
  <c r="AJ124" i="106"/>
  <c r="AJ120" i="106"/>
  <c r="AD37" i="91" l="1"/>
  <c r="AD19" i="91"/>
  <c r="AD20" i="91"/>
  <c r="AD44" i="91"/>
  <c r="AD45" i="91"/>
  <c r="AD46" i="91"/>
  <c r="AD36" i="91"/>
  <c r="AD41" i="91"/>
  <c r="AD16" i="91"/>
  <c r="AD43" i="91"/>
  <c r="AD40" i="91"/>
  <c r="AD17" i="91"/>
  <c r="AD48" i="91"/>
  <c r="AD33" i="91"/>
  <c r="AD29" i="91"/>
  <c r="AD52" i="91"/>
  <c r="AD32" i="91"/>
  <c r="AD42" i="91"/>
  <c r="AD14" i="91"/>
  <c r="AD18" i="91"/>
  <c r="AD28" i="91"/>
  <c r="AD24" i="91"/>
  <c r="AD30" i="91"/>
  <c r="AD23" i="91"/>
  <c r="AD31" i="91"/>
  <c r="AD15" i="91"/>
  <c r="AD35" i="91"/>
  <c r="AD25" i="91"/>
  <c r="AD50" i="91"/>
  <c r="AD38" i="91"/>
  <c r="AD49" i="91"/>
  <c r="AD39" i="91"/>
  <c r="AD26" i="91"/>
  <c r="AD34" i="91"/>
  <c r="AD22" i="91"/>
  <c r="AD21" i="91"/>
  <c r="AD47" i="91"/>
  <c r="AD51" i="91"/>
  <c r="AD27" i="91"/>
  <c r="AD5" i="91" l="1"/>
  <c r="AD6" i="91"/>
  <c r="AD7" i="91" l="1"/>
  <c r="AD8" i="91" l="1"/>
  <c r="AD9" i="91" l="1"/>
  <c r="AD10" i="91" l="1"/>
  <c r="AD11" i="91" l="1"/>
  <c r="AD12" i="91" l="1"/>
  <c r="AD13" i="91" l="1"/>
  <c r="AM74" i="91" l="1"/>
  <c r="AM206" i="91"/>
  <c r="AM27" i="91"/>
  <c r="AM25" i="91"/>
  <c r="AM130" i="91"/>
  <c r="AM168" i="91"/>
  <c r="AM214" i="91"/>
  <c r="AM218" i="91"/>
  <c r="AM126" i="91"/>
  <c r="AM204" i="91"/>
  <c r="AM113" i="91"/>
  <c r="AM220" i="91"/>
  <c r="AM68" i="91"/>
  <c r="AM133" i="91"/>
  <c r="AM225" i="91"/>
  <c r="AM26" i="91"/>
  <c r="AM117" i="91"/>
  <c r="AM171" i="91"/>
  <c r="AM71" i="91"/>
  <c r="AM23" i="91"/>
  <c r="AM129" i="91"/>
  <c r="AM19" i="91"/>
  <c r="AM208" i="91"/>
  <c r="AM29" i="91"/>
  <c r="AM81" i="91"/>
  <c r="AM125" i="91"/>
  <c r="AM161" i="91"/>
  <c r="AM30" i="91"/>
  <c r="AM170" i="91"/>
  <c r="AM164" i="91"/>
  <c r="AM33" i="91"/>
  <c r="AM34" i="91"/>
  <c r="AM7" i="91"/>
  <c r="AM116" i="91"/>
  <c r="AM221" i="91"/>
  <c r="AM162" i="91"/>
  <c r="AM175" i="91"/>
  <c r="AM205" i="91"/>
  <c r="AM115" i="91"/>
  <c r="AM18" i="91"/>
  <c r="AM210" i="91"/>
  <c r="AM80" i="91"/>
  <c r="AM24" i="91"/>
  <c r="AM87" i="91"/>
  <c r="AM73" i="91"/>
  <c r="AM20" i="91"/>
  <c r="AM21" i="91"/>
  <c r="AM72" i="91"/>
  <c r="AM32" i="91"/>
  <c r="AM79" i="91"/>
  <c r="AM83" i="91"/>
  <c r="AM135" i="91"/>
  <c r="AM114" i="91"/>
  <c r="AM160" i="91"/>
  <c r="AM42" i="91"/>
  <c r="AM178" i="91"/>
  <c r="AM75" i="91"/>
  <c r="AM121" i="91"/>
  <c r="AM36" i="91"/>
  <c r="AM173" i="91"/>
  <c r="AM213" i="91"/>
  <c r="AM122" i="91"/>
  <c r="AM169" i="91"/>
  <c r="AM166" i="91"/>
  <c r="AM165" i="91"/>
  <c r="AM172" i="91"/>
  <c r="AM158" i="91"/>
  <c r="AM123" i="91"/>
  <c r="AM86" i="91"/>
  <c r="AM39" i="91"/>
  <c r="AM207" i="91"/>
  <c r="AM17" i="91"/>
  <c r="AM119" i="91"/>
  <c r="AM176" i="91"/>
  <c r="AM177" i="91"/>
  <c r="AM8" i="91"/>
  <c r="AM224" i="91"/>
  <c r="AM45" i="91"/>
  <c r="AM212" i="91"/>
  <c r="AM180" i="91"/>
  <c r="AM127" i="91"/>
  <c r="AM77" i="91"/>
  <c r="AM159" i="91"/>
  <c r="AM215" i="91"/>
  <c r="AM76" i="91"/>
  <c r="AM14" i="91"/>
  <c r="AM22" i="91"/>
  <c r="AM9" i="91"/>
  <c r="AM124" i="91"/>
  <c r="AM37" i="91"/>
  <c r="AM118" i="91"/>
  <c r="AM88" i="91"/>
  <c r="AM89" i="91"/>
  <c r="AM174" i="91"/>
  <c r="AM16" i="91"/>
  <c r="AM70" i="91"/>
  <c r="AM217" i="91"/>
  <c r="AM85" i="91"/>
  <c r="AM11" i="91"/>
  <c r="AM15" i="91"/>
  <c r="AM43" i="91"/>
  <c r="AM222" i="91"/>
  <c r="AM167" i="91"/>
  <c r="AM90" i="91"/>
  <c r="AM13" i="91"/>
  <c r="AM44" i="91"/>
  <c r="AM179" i="91"/>
  <c r="AM10" i="91"/>
  <c r="AM132" i="91"/>
  <c r="AM69" i="91"/>
  <c r="AM82" i="91"/>
  <c r="AM28" i="91"/>
  <c r="AM78" i="91"/>
  <c r="AM38" i="91"/>
  <c r="AM163" i="91"/>
  <c r="AM134" i="91"/>
  <c r="AM211" i="91"/>
  <c r="AM203" i="91"/>
  <c r="AM131" i="91"/>
  <c r="AM120" i="91"/>
  <c r="AM219" i="91"/>
  <c r="AM209" i="91"/>
  <c r="AM41" i="91"/>
  <c r="AM40" i="91"/>
  <c r="AM12" i="91"/>
  <c r="AM128" i="91"/>
  <c r="AM35" i="91"/>
  <c r="AM216" i="91"/>
  <c r="AM223" i="91"/>
  <c r="AM31" i="91"/>
  <c r="AM84" i="91"/>
  <c r="H35" i="97"/>
  <c r="G77" i="97"/>
  <c r="H103" i="97"/>
  <c r="F17" i="97"/>
  <c r="F141" i="97"/>
  <c r="G29" i="97"/>
  <c r="G109" i="97"/>
  <c r="G113" i="97"/>
  <c r="F138" i="97"/>
  <c r="E30" i="97"/>
  <c r="H76" i="97"/>
  <c r="H114" i="97"/>
  <c r="G133" i="97"/>
  <c r="H106" i="97"/>
  <c r="G53" i="97"/>
  <c r="H135" i="97"/>
  <c r="F58" i="97"/>
  <c r="G55" i="97"/>
  <c r="H102" i="97"/>
  <c r="F111" i="97"/>
  <c r="H128" i="97"/>
  <c r="F102" i="97"/>
  <c r="H20" i="97"/>
  <c r="G81" i="97"/>
  <c r="G22" i="97"/>
  <c r="G136" i="97"/>
  <c r="E141" i="97"/>
  <c r="E51" i="97"/>
  <c r="F63" i="97"/>
  <c r="H60" i="97"/>
  <c r="F29" i="97"/>
  <c r="F140" i="97"/>
  <c r="F32" i="97"/>
  <c r="G141" i="97"/>
  <c r="E21" i="97"/>
  <c r="H62" i="97"/>
  <c r="E17" i="97"/>
  <c r="H53" i="97"/>
  <c r="F134" i="97"/>
  <c r="G86" i="97"/>
  <c r="E84" i="97"/>
  <c r="E52" i="97"/>
  <c r="F30" i="97"/>
  <c r="G87" i="97"/>
  <c r="G132" i="97"/>
  <c r="G102" i="97"/>
  <c r="F21" i="97"/>
  <c r="F132" i="97"/>
  <c r="H79" i="97"/>
  <c r="H37" i="97"/>
  <c r="F105" i="97"/>
  <c r="G111" i="97"/>
  <c r="F131" i="97"/>
  <c r="G110" i="97"/>
  <c r="F61" i="97"/>
  <c r="E34" i="97"/>
  <c r="F60" i="97"/>
  <c r="E80" i="97"/>
  <c r="H112" i="97"/>
  <c r="F33" i="97"/>
  <c r="F89" i="97"/>
  <c r="G30" i="97"/>
  <c r="H19" i="97"/>
  <c r="E57" i="97"/>
  <c r="G63" i="97"/>
  <c r="F18" i="97"/>
  <c r="F129" i="97"/>
  <c r="F50" i="97"/>
  <c r="F35" i="97"/>
  <c r="G107" i="97"/>
  <c r="F54" i="97"/>
  <c r="H25" i="97"/>
  <c r="E135" i="97"/>
  <c r="H58" i="97"/>
  <c r="F20" i="97"/>
  <c r="E133" i="97"/>
  <c r="G52" i="97"/>
  <c r="E50" i="97"/>
  <c r="H132" i="97"/>
  <c r="H131" i="97"/>
  <c r="E83" i="97"/>
  <c r="G25" i="97"/>
  <c r="F80" i="97"/>
  <c r="E86" i="97"/>
  <c r="H108" i="97"/>
  <c r="E129" i="97"/>
  <c r="F133" i="97"/>
  <c r="F55" i="97"/>
  <c r="H50" i="97"/>
  <c r="E29" i="97"/>
  <c r="H28" i="97"/>
  <c r="E60" i="97"/>
  <c r="H22" i="97"/>
  <c r="E88" i="97"/>
  <c r="F86" i="97"/>
  <c r="H77" i="97"/>
  <c r="H63" i="97"/>
  <c r="E87" i="97"/>
  <c r="E109" i="97"/>
  <c r="H88" i="97"/>
  <c r="F23" i="97"/>
  <c r="H31" i="97"/>
  <c r="E89" i="97"/>
  <c r="F83" i="97"/>
  <c r="E115" i="97"/>
  <c r="E61" i="97"/>
  <c r="E79" i="97"/>
  <c r="E19" i="97"/>
  <c r="G35" i="97"/>
  <c r="H33" i="97"/>
  <c r="F130" i="97"/>
  <c r="E104" i="97"/>
  <c r="G104" i="97"/>
  <c r="H133" i="97"/>
  <c r="G58" i="97"/>
  <c r="H81" i="97"/>
  <c r="E81" i="97"/>
  <c r="E140" i="97"/>
  <c r="G36" i="97"/>
  <c r="H110" i="97"/>
  <c r="G23" i="97"/>
  <c r="H52" i="97"/>
  <c r="G21" i="97"/>
  <c r="E55" i="97"/>
  <c r="E31" i="97"/>
  <c r="H137" i="97"/>
  <c r="G103" i="97"/>
  <c r="H83" i="97"/>
  <c r="G59" i="97"/>
  <c r="E27" i="97"/>
  <c r="H104" i="97"/>
  <c r="G128" i="97"/>
  <c r="G115" i="97"/>
  <c r="G61" i="97"/>
  <c r="E36" i="97"/>
  <c r="H23" i="97"/>
  <c r="G31" i="97"/>
  <c r="E82" i="97"/>
  <c r="F52" i="97"/>
  <c r="G33" i="97"/>
  <c r="H18" i="97"/>
  <c r="H80" i="97"/>
  <c r="F28" i="97"/>
  <c r="F128" i="97"/>
  <c r="F36" i="97"/>
  <c r="H21" i="97"/>
  <c r="H111" i="97"/>
  <c r="E18" i="97"/>
  <c r="H113" i="97"/>
  <c r="H129" i="97"/>
  <c r="F103" i="97"/>
  <c r="E37" i="97"/>
  <c r="G34" i="97"/>
  <c r="F22" i="97"/>
  <c r="H78" i="97"/>
  <c r="H54" i="97"/>
  <c r="H115" i="97"/>
  <c r="E102" i="97"/>
  <c r="E107" i="97"/>
  <c r="G139" i="97"/>
  <c r="E25" i="97"/>
  <c r="E110" i="97"/>
  <c r="G32" i="97"/>
  <c r="E103" i="97"/>
  <c r="G89" i="97"/>
  <c r="F26" i="97"/>
  <c r="G19" i="97"/>
  <c r="F84" i="97"/>
  <c r="G137" i="97"/>
  <c r="G51" i="97"/>
  <c r="E137" i="97"/>
  <c r="G62" i="97"/>
  <c r="E53" i="97"/>
  <c r="G57" i="97"/>
  <c r="H17" i="97"/>
  <c r="F108" i="97"/>
  <c r="G135" i="97"/>
  <c r="H107" i="97"/>
  <c r="F56" i="97"/>
  <c r="G60" i="97"/>
  <c r="H32" i="97"/>
  <c r="H105" i="97"/>
  <c r="E108" i="97"/>
  <c r="G80" i="97"/>
  <c r="F62" i="97"/>
  <c r="E56" i="97"/>
  <c r="E26" i="97"/>
  <c r="F24" i="97"/>
  <c r="G79" i="97"/>
  <c r="G18" i="97"/>
  <c r="G114" i="97"/>
  <c r="E106" i="97"/>
  <c r="F113" i="97"/>
  <c r="F114" i="97"/>
  <c r="E58" i="97"/>
  <c r="H140" i="97"/>
  <c r="E59" i="97"/>
  <c r="G140" i="97"/>
  <c r="G20" i="97"/>
  <c r="G129" i="97"/>
  <c r="E138" i="97"/>
  <c r="G24" i="97"/>
  <c r="H34" i="97"/>
  <c r="E132" i="97"/>
  <c r="F135" i="97"/>
  <c r="F136" i="97"/>
  <c r="F109" i="97"/>
  <c r="E113" i="97"/>
  <c r="H27" i="97"/>
  <c r="F112" i="97"/>
  <c r="F27" i="97"/>
  <c r="G105" i="97"/>
  <c r="F59" i="97"/>
  <c r="H29" i="97"/>
  <c r="H84" i="97"/>
  <c r="E112" i="97"/>
  <c r="F77" i="97"/>
  <c r="F31" i="97"/>
  <c r="G54" i="97"/>
  <c r="F115" i="97"/>
  <c r="E130" i="97"/>
  <c r="G28" i="97"/>
  <c r="F37" i="97"/>
  <c r="H87" i="97"/>
  <c r="F85" i="97"/>
  <c r="E131" i="97"/>
  <c r="H24" i="97"/>
  <c r="G76" i="97"/>
  <c r="G85" i="97"/>
  <c r="F51" i="97"/>
  <c r="H141" i="97"/>
  <c r="G50" i="97"/>
  <c r="G106" i="97"/>
  <c r="H61" i="97"/>
  <c r="E77" i="97"/>
  <c r="E63" i="97"/>
  <c r="E20" i="97"/>
  <c r="F19" i="97"/>
  <c r="E54" i="97"/>
  <c r="H134" i="97"/>
  <c r="H138" i="97"/>
  <c r="G56" i="97"/>
  <c r="H51" i="97"/>
  <c r="H82" i="97"/>
  <c r="E76" i="97"/>
  <c r="H36" i="97"/>
  <c r="F81" i="97"/>
  <c r="G17" i="97"/>
  <c r="E33" i="97"/>
  <c r="F104" i="97"/>
  <c r="G112" i="97"/>
  <c r="F139" i="97"/>
  <c r="G134" i="97"/>
  <c r="H136" i="97"/>
  <c r="F82" i="97"/>
  <c r="H59" i="97"/>
  <c r="H139" i="97"/>
  <c r="F79" i="97"/>
  <c r="H55" i="97"/>
  <c r="F53" i="97"/>
  <c r="G78" i="97"/>
  <c r="E114" i="97"/>
  <c r="F137" i="97"/>
  <c r="E23" i="97"/>
  <c r="F34" i="97"/>
  <c r="H86" i="97"/>
  <c r="G37" i="97"/>
  <c r="E128" i="97"/>
  <c r="F110" i="97"/>
  <c r="E111" i="97"/>
  <c r="E35" i="97"/>
  <c r="H109" i="97"/>
  <c r="E62" i="97"/>
  <c r="F88" i="97"/>
  <c r="E32" i="97"/>
  <c r="E105" i="97"/>
  <c r="E28" i="97"/>
  <c r="H89" i="97"/>
  <c r="F25" i="97"/>
  <c r="F78" i="97"/>
  <c r="G130" i="97"/>
  <c r="H85" i="97"/>
  <c r="F76" i="97"/>
  <c r="G108" i="97"/>
  <c r="G26" i="97"/>
  <c r="H30" i="97"/>
  <c r="E22" i="97"/>
  <c r="H57" i="97"/>
  <c r="E136" i="97"/>
  <c r="E78" i="97"/>
  <c r="F57" i="97"/>
  <c r="E24" i="97"/>
  <c r="H26" i="97"/>
  <c r="E134" i="97"/>
  <c r="G84" i="97"/>
  <c r="F87" i="97"/>
  <c r="G82" i="97"/>
  <c r="F107" i="97"/>
  <c r="G88" i="97"/>
  <c r="H130" i="97"/>
  <c r="G138" i="97"/>
  <c r="F106" i="97"/>
  <c r="E85" i="97"/>
  <c r="G27" i="97"/>
  <c r="G83" i="97"/>
  <c r="E139" i="97"/>
  <c r="H56" i="97"/>
  <c r="G131" i="97"/>
  <c r="L28" i="97" l="1"/>
  <c r="L30" i="97"/>
  <c r="L31" i="97"/>
  <c r="L23" i="97"/>
  <c r="L35" i="97"/>
  <c r="L36" i="97"/>
  <c r="L22" i="97"/>
  <c r="L33" i="97"/>
  <c r="L21" i="97"/>
  <c r="L26" i="97"/>
  <c r="L34" i="97"/>
  <c r="L29" i="97"/>
  <c r="L24" i="97"/>
  <c r="L20" i="97"/>
  <c r="L32" i="97"/>
  <c r="L37" i="97"/>
  <c r="L25" i="97"/>
  <c r="L19" i="97"/>
  <c r="L27" i="97"/>
  <c r="L18" i="97"/>
  <c r="T20" i="108"/>
  <c r="R15" i="108"/>
  <c r="T24" i="108"/>
  <c r="R23" i="108"/>
  <c r="U15" i="108"/>
  <c r="R26" i="108"/>
  <c r="U13" i="108"/>
  <c r="S6" i="108"/>
  <c r="S23" i="108"/>
  <c r="U11" i="108"/>
  <c r="S17" i="108"/>
  <c r="R10" i="108"/>
  <c r="T19" i="108"/>
  <c r="U12" i="108"/>
  <c r="T14" i="108"/>
  <c r="R12" i="108"/>
  <c r="S13" i="108"/>
  <c r="U26" i="108"/>
  <c r="R11" i="108"/>
  <c r="R19" i="108"/>
  <c r="T25" i="108"/>
  <c r="U6" i="108"/>
  <c r="T7" i="108"/>
  <c r="S11" i="108"/>
  <c r="U17" i="108"/>
  <c r="T13" i="108"/>
  <c r="T11" i="108"/>
  <c r="S26" i="108"/>
  <c r="R21" i="108"/>
  <c r="T22" i="108"/>
  <c r="S19" i="108"/>
  <c r="U24" i="108"/>
  <c r="S10" i="108"/>
  <c r="R17" i="108"/>
  <c r="R16" i="108"/>
  <c r="U14" i="108"/>
  <c r="T15" i="108"/>
  <c r="R9" i="108"/>
  <c r="T17" i="108"/>
  <c r="R22" i="108"/>
  <c r="T26" i="108"/>
  <c r="S20" i="108"/>
  <c r="T21" i="108"/>
  <c r="S15" i="108"/>
  <c r="T10" i="108"/>
  <c r="U22" i="108"/>
  <c r="U23" i="108"/>
  <c r="U8" i="108"/>
  <c r="S7" i="108"/>
  <c r="U10" i="108"/>
  <c r="T23" i="108"/>
  <c r="R20" i="108"/>
  <c r="S21" i="108"/>
  <c r="S14" i="108"/>
  <c r="S18" i="108"/>
  <c r="U25" i="108"/>
  <c r="R18" i="108"/>
  <c r="U21" i="108"/>
  <c r="U18" i="108"/>
  <c r="S8" i="108"/>
  <c r="R8" i="108"/>
  <c r="R6" i="108"/>
  <c r="R13" i="108"/>
  <c r="R24" i="108"/>
  <c r="S12" i="108"/>
  <c r="U16" i="108"/>
  <c r="R25" i="108"/>
  <c r="S16" i="108"/>
  <c r="U19" i="108"/>
  <c r="T16" i="108"/>
  <c r="T18" i="108"/>
  <c r="S9" i="108"/>
  <c r="T12" i="108"/>
  <c r="R14" i="108"/>
  <c r="U20" i="108"/>
  <c r="R7" i="108"/>
  <c r="S24" i="108"/>
  <c r="T9" i="108"/>
  <c r="U9" i="108"/>
  <c r="S22" i="108"/>
  <c r="T8" i="108"/>
  <c r="T6" i="108"/>
  <c r="S25" i="108"/>
  <c r="U7" i="108"/>
  <c r="U77" i="108"/>
  <c r="R69" i="108"/>
  <c r="T74" i="108"/>
  <c r="S67" i="108"/>
  <c r="S69" i="108"/>
  <c r="R74" i="108"/>
  <c r="R66" i="108"/>
  <c r="S71" i="108"/>
  <c r="S77" i="108"/>
  <c r="U67" i="108"/>
  <c r="S76" i="108"/>
  <c r="T70" i="108"/>
  <c r="T68" i="108"/>
  <c r="T78" i="108"/>
  <c r="U69" i="108"/>
  <c r="R73" i="108"/>
  <c r="S70" i="108"/>
  <c r="S73" i="108"/>
  <c r="T73" i="108"/>
  <c r="R71" i="108"/>
  <c r="R78" i="108"/>
  <c r="R75" i="108"/>
  <c r="T67" i="108"/>
  <c r="S72" i="108"/>
  <c r="R68" i="108"/>
  <c r="S66" i="108"/>
  <c r="T76" i="108"/>
  <c r="S78" i="108"/>
  <c r="T66" i="108"/>
  <c r="U66" i="108"/>
  <c r="U75" i="108"/>
  <c r="U65" i="108"/>
  <c r="U76" i="108"/>
  <c r="U72" i="108"/>
  <c r="U73" i="108"/>
  <c r="T71" i="108"/>
  <c r="R77" i="108"/>
  <c r="U74" i="108"/>
  <c r="S74" i="108"/>
  <c r="R67" i="108"/>
  <c r="U70" i="108"/>
  <c r="U71" i="108"/>
  <c r="R72" i="108"/>
  <c r="U78" i="108"/>
  <c r="T75" i="108"/>
  <c r="R65" i="108"/>
  <c r="R70" i="108"/>
  <c r="S75" i="108"/>
  <c r="T72" i="108"/>
  <c r="S68" i="108"/>
  <c r="T69" i="108"/>
  <c r="R76" i="108"/>
  <c r="U68" i="108"/>
  <c r="T65" i="108"/>
  <c r="S65" i="108"/>
  <c r="T77" i="108"/>
  <c r="S124" i="108"/>
  <c r="R123" i="108"/>
  <c r="R121" i="108"/>
  <c r="R126" i="108"/>
  <c r="S128" i="108"/>
  <c r="U120" i="108"/>
  <c r="S129" i="108"/>
  <c r="S126" i="108"/>
  <c r="U128" i="108"/>
  <c r="S123" i="108"/>
  <c r="T119" i="108"/>
  <c r="U126" i="108"/>
  <c r="S121" i="108"/>
  <c r="T126" i="108"/>
  <c r="U127" i="108"/>
  <c r="U125" i="108"/>
  <c r="R118" i="108"/>
  <c r="T125" i="108"/>
  <c r="T117" i="108"/>
  <c r="S119" i="108"/>
  <c r="T120" i="108"/>
  <c r="U129" i="108"/>
  <c r="S122" i="108"/>
  <c r="R124" i="108"/>
  <c r="R128" i="108"/>
  <c r="S125" i="108"/>
  <c r="U124" i="108"/>
  <c r="R119" i="108"/>
  <c r="R127" i="108"/>
  <c r="S117" i="108"/>
  <c r="T118" i="108"/>
  <c r="R122" i="108"/>
  <c r="U130" i="108"/>
  <c r="U119" i="108"/>
  <c r="R117" i="108"/>
  <c r="U123" i="108"/>
  <c r="T124" i="108"/>
  <c r="T123" i="108"/>
  <c r="R130" i="108"/>
  <c r="T130" i="108"/>
  <c r="S120" i="108"/>
  <c r="S127" i="108"/>
  <c r="T129" i="108"/>
  <c r="R129" i="108"/>
  <c r="U121" i="108"/>
  <c r="T128" i="108"/>
  <c r="U122" i="108"/>
  <c r="T122" i="108"/>
  <c r="S118" i="108"/>
  <c r="T121" i="108"/>
  <c r="U118" i="108"/>
  <c r="R120" i="108"/>
  <c r="S130" i="108"/>
  <c r="U117" i="108"/>
  <c r="R125" i="108"/>
  <c r="T127" i="108"/>
  <c r="R41" i="108"/>
  <c r="S50" i="108"/>
  <c r="T51" i="108"/>
  <c r="R50" i="108"/>
  <c r="U42" i="108"/>
  <c r="S44" i="108"/>
  <c r="S40" i="108"/>
  <c r="R47" i="108"/>
  <c r="U45" i="108"/>
  <c r="U40" i="108"/>
  <c r="R44" i="108"/>
  <c r="R39" i="108"/>
  <c r="S52" i="108"/>
  <c r="U44" i="108"/>
  <c r="T45" i="108"/>
  <c r="T44" i="108"/>
  <c r="S42" i="108"/>
  <c r="R45" i="108"/>
  <c r="R48" i="108"/>
  <c r="T47" i="108"/>
  <c r="U48" i="108"/>
  <c r="S43" i="108"/>
  <c r="U49" i="108"/>
  <c r="U46" i="108"/>
  <c r="R49" i="108"/>
  <c r="T41" i="108"/>
  <c r="T43" i="108"/>
  <c r="T52" i="108"/>
  <c r="S41" i="108"/>
  <c r="S45" i="108"/>
  <c r="S51" i="108"/>
  <c r="S47" i="108"/>
  <c r="S49" i="108"/>
  <c r="U47" i="108"/>
  <c r="U51" i="108"/>
  <c r="T39" i="108"/>
  <c r="T42" i="108"/>
  <c r="R40" i="108"/>
  <c r="S46" i="108"/>
  <c r="U52" i="108"/>
  <c r="T46" i="108"/>
  <c r="U43" i="108"/>
  <c r="T40" i="108"/>
  <c r="R43" i="108"/>
  <c r="T48" i="108"/>
  <c r="R46" i="108"/>
  <c r="R42" i="108"/>
  <c r="R52" i="108"/>
  <c r="U39" i="108"/>
  <c r="T50" i="108"/>
  <c r="T49" i="108"/>
  <c r="U41" i="108"/>
  <c r="S39" i="108"/>
  <c r="S48" i="108"/>
  <c r="R51" i="108"/>
  <c r="U50" i="108"/>
  <c r="R99" i="108"/>
  <c r="T98" i="108"/>
  <c r="T91" i="108"/>
  <c r="S103" i="108"/>
  <c r="R104" i="108"/>
  <c r="T102" i="108"/>
  <c r="T103" i="108"/>
  <c r="R91" i="108"/>
  <c r="S100" i="108"/>
  <c r="T101" i="108"/>
  <c r="U101" i="108"/>
  <c r="U100" i="108"/>
  <c r="R93" i="108"/>
  <c r="T100" i="108"/>
  <c r="U92" i="108"/>
  <c r="R103" i="108"/>
  <c r="U102" i="108"/>
  <c r="R96" i="108"/>
  <c r="S94" i="108"/>
  <c r="S91" i="108"/>
  <c r="T95" i="108"/>
  <c r="U98" i="108"/>
  <c r="S95" i="108"/>
  <c r="T96" i="108"/>
  <c r="R101" i="108"/>
  <c r="S92" i="108"/>
  <c r="S93" i="108"/>
  <c r="S102" i="108"/>
  <c r="S98" i="108"/>
  <c r="U99" i="108"/>
  <c r="R98" i="108"/>
  <c r="R94" i="108"/>
  <c r="U95" i="108"/>
  <c r="S97" i="108"/>
  <c r="U96" i="108"/>
  <c r="R97" i="108"/>
  <c r="U91" i="108"/>
  <c r="T92" i="108"/>
  <c r="S96" i="108"/>
  <c r="U94" i="108"/>
  <c r="U103" i="108"/>
  <c r="T104" i="108"/>
  <c r="U97" i="108"/>
  <c r="U104" i="108"/>
  <c r="S104" i="108"/>
  <c r="T99" i="108"/>
  <c r="T97" i="108"/>
  <c r="R100" i="108"/>
  <c r="U93" i="108"/>
  <c r="R102" i="108"/>
  <c r="S101" i="108"/>
  <c r="T94" i="108"/>
  <c r="S99" i="108"/>
  <c r="R92" i="108"/>
  <c r="R95" i="108"/>
  <c r="T93" i="108"/>
  <c r="AM103" i="91"/>
  <c r="AM187" i="91"/>
  <c r="AM152" i="91"/>
  <c r="AM108" i="91"/>
  <c r="AM197" i="91"/>
  <c r="AM147" i="91"/>
  <c r="AM198" i="91"/>
  <c r="AM191" i="91"/>
  <c r="AM102" i="91"/>
  <c r="AM63" i="91"/>
  <c r="AM142" i="91"/>
  <c r="AM58" i="91"/>
  <c r="AM153" i="91"/>
  <c r="AM97" i="91"/>
  <c r="AM148" i="91"/>
  <c r="AM192" i="91"/>
  <c r="AM64" i="91"/>
  <c r="AM52" i="91"/>
  <c r="AM57" i="91"/>
  <c r="Y18" i="108" l="1"/>
  <c r="S18" i="103"/>
  <c r="K29" i="97"/>
  <c r="Y14" i="108"/>
  <c r="S14" i="103"/>
  <c r="K25" i="97"/>
  <c r="Y23" i="108"/>
  <c r="K34" i="97"/>
  <c r="S23" i="103"/>
  <c r="Y24" i="108"/>
  <c r="S24" i="103"/>
  <c r="K35" i="97"/>
  <c r="Y25" i="108"/>
  <c r="S25" i="103"/>
  <c r="K36" i="97"/>
  <c r="Y26" i="108"/>
  <c r="S26" i="103"/>
  <c r="K37" i="97"/>
  <c r="Y15" i="108"/>
  <c r="S15" i="103"/>
  <c r="K26" i="97"/>
  <c r="Y12" i="108"/>
  <c r="K23" i="97"/>
  <c r="S12" i="103"/>
  <c r="Y21" i="108"/>
  <c r="S21" i="103"/>
  <c r="K32" i="97"/>
  <c r="Y10" i="108"/>
  <c r="S10" i="103"/>
  <c r="K21" i="97"/>
  <c r="Y20" i="108"/>
  <c r="K31" i="97"/>
  <c r="S20" i="103"/>
  <c r="Y7" i="108"/>
  <c r="S7" i="103"/>
  <c r="K18" i="97"/>
  <c r="Y9" i="108"/>
  <c r="S9" i="103"/>
  <c r="K20" i="97"/>
  <c r="Y22" i="108"/>
  <c r="K33" i="97"/>
  <c r="S22" i="103"/>
  <c r="Y19" i="108"/>
  <c r="S19" i="103"/>
  <c r="K30" i="97"/>
  <c r="Y8" i="108"/>
  <c r="S8" i="103"/>
  <c r="K19" i="97"/>
  <c r="Y16" i="108"/>
  <c r="S16" i="103"/>
  <c r="K27" i="97"/>
  <c r="Y13" i="108"/>
  <c r="S13" i="103"/>
  <c r="K24" i="97"/>
  <c r="Y11" i="108"/>
  <c r="S11" i="103"/>
  <c r="K22" i="97"/>
  <c r="Y17" i="108"/>
  <c r="K28" i="97"/>
  <c r="S17" i="103"/>
  <c r="AM193" i="91"/>
  <c r="AM202" i="91"/>
  <c r="AM100" i="91"/>
  <c r="AM149" i="91"/>
  <c r="AM98" i="91"/>
  <c r="AM111" i="91"/>
  <c r="AM190" i="91"/>
  <c r="AM106" i="91"/>
  <c r="AM199" i="91"/>
  <c r="AM53" i="91"/>
  <c r="AM195" i="91"/>
  <c r="AM62" i="91"/>
  <c r="AM107" i="91"/>
  <c r="AM65" i="91"/>
  <c r="AM146" i="91"/>
  <c r="AM105" i="91"/>
  <c r="AM154" i="91"/>
  <c r="AM56" i="91"/>
  <c r="AM200" i="91"/>
  <c r="AM188" i="91"/>
  <c r="AM67" i="91"/>
  <c r="AM59" i="91"/>
  <c r="AM143" i="91"/>
  <c r="AM150" i="91"/>
  <c r="AM155" i="91"/>
  <c r="AM151" i="91"/>
  <c r="AM112" i="91"/>
  <c r="AM145" i="91"/>
  <c r="AM104" i="91"/>
  <c r="AM101" i="91"/>
  <c r="AM201" i="91"/>
  <c r="AM189" i="91"/>
  <c r="AM194" i="91"/>
  <c r="AM54" i="91"/>
  <c r="AM144" i="91"/>
  <c r="AM157" i="91"/>
  <c r="AM61" i="91"/>
  <c r="AM196" i="91"/>
  <c r="AM109" i="91"/>
  <c r="AM60" i="91"/>
  <c r="AM110" i="91"/>
  <c r="AM156" i="91"/>
  <c r="AM55" i="91"/>
  <c r="AM66" i="91"/>
  <c r="AM99" i="91"/>
  <c r="X8" i="108" l="1"/>
  <c r="R8" i="103"/>
  <c r="J19" i="97"/>
  <c r="X20" i="108"/>
  <c r="R20" i="103"/>
  <c r="P20" i="99"/>
  <c r="N20" i="103" s="1"/>
  <c r="S31" i="97"/>
  <c r="T20" i="99"/>
  <c r="J31" i="97"/>
  <c r="X24" i="108"/>
  <c r="T24" i="99"/>
  <c r="R24" i="103"/>
  <c r="J35" i="97"/>
  <c r="S35" i="97"/>
  <c r="P24" i="99"/>
  <c r="N24" i="103" s="1"/>
  <c r="X19" i="108"/>
  <c r="S30" i="97"/>
  <c r="R19" i="103"/>
  <c r="J30" i="97"/>
  <c r="P19" i="99"/>
  <c r="N19" i="103" s="1"/>
  <c r="T19" i="99"/>
  <c r="X10" i="108"/>
  <c r="S21" i="97"/>
  <c r="J21" i="97"/>
  <c r="P10" i="99"/>
  <c r="N10" i="103" s="1"/>
  <c r="T10" i="99"/>
  <c r="R10" i="103"/>
  <c r="X21" i="108"/>
  <c r="T21" i="99"/>
  <c r="P21" i="99"/>
  <c r="N21" i="103" s="1"/>
  <c r="S32" i="97"/>
  <c r="R21" i="103"/>
  <c r="J32" i="97"/>
  <c r="X23" i="108"/>
  <c r="T23" i="99"/>
  <c r="R23" i="103"/>
  <c r="P23" i="99"/>
  <c r="N23" i="103" s="1"/>
  <c r="J34" i="97"/>
  <c r="S34" i="97"/>
  <c r="X14" i="108"/>
  <c r="T14" i="99"/>
  <c r="R14" i="103"/>
  <c r="P14" i="99"/>
  <c r="N14" i="103" s="1"/>
  <c r="S25" i="97"/>
  <c r="J25" i="97"/>
  <c r="X22" i="108"/>
  <c r="S33" i="97"/>
  <c r="R22" i="103"/>
  <c r="T22" i="99"/>
  <c r="J33" i="97"/>
  <c r="P22" i="99"/>
  <c r="N22" i="103" s="1"/>
  <c r="X12" i="108"/>
  <c r="S23" i="97"/>
  <c r="R12" i="103"/>
  <c r="J23" i="97"/>
  <c r="T12" i="99"/>
  <c r="P12" i="99"/>
  <c r="N12" i="103" s="1"/>
  <c r="X15" i="108"/>
  <c r="R15" i="103"/>
  <c r="S26" i="97"/>
  <c r="J26" i="97"/>
  <c r="P15" i="99"/>
  <c r="N15" i="103" s="1"/>
  <c r="T15" i="99"/>
  <c r="X18" i="108"/>
  <c r="T18" i="99"/>
  <c r="J29" i="97"/>
  <c r="P18" i="99"/>
  <c r="N18" i="103" s="1"/>
  <c r="R18" i="103"/>
  <c r="S29" i="97"/>
  <c r="X17" i="108"/>
  <c r="J28" i="97"/>
  <c r="S28" i="97"/>
  <c r="P17" i="99"/>
  <c r="N17" i="103" s="1"/>
  <c r="R17" i="103"/>
  <c r="T17" i="99"/>
  <c r="X11" i="108"/>
  <c r="S22" i="97"/>
  <c r="J22" i="97"/>
  <c r="T11" i="99"/>
  <c r="R11" i="103"/>
  <c r="P11" i="99"/>
  <c r="N11" i="103" s="1"/>
  <c r="X13" i="108"/>
  <c r="R13" i="103"/>
  <c r="T13" i="99"/>
  <c r="S24" i="97"/>
  <c r="P13" i="99"/>
  <c r="N13" i="103" s="1"/>
  <c r="J24" i="97"/>
  <c r="X9" i="108"/>
  <c r="R9" i="103"/>
  <c r="J20" i="97"/>
  <c r="X16" i="108"/>
  <c r="S27" i="97"/>
  <c r="T16" i="99"/>
  <c r="R16" i="103"/>
  <c r="P16" i="99"/>
  <c r="N16" i="103" s="1"/>
  <c r="J27" i="97"/>
  <c r="X7" i="108"/>
  <c r="R7" i="103"/>
  <c r="J18" i="97"/>
  <c r="X26" i="108"/>
  <c r="S37" i="97"/>
  <c r="T26" i="99"/>
  <c r="J37" i="97"/>
  <c r="P26" i="99"/>
  <c r="N26" i="103" s="1"/>
  <c r="R26" i="103"/>
  <c r="X25" i="108"/>
  <c r="S36" i="97"/>
  <c r="T25" i="99"/>
  <c r="P25" i="99"/>
  <c r="N25" i="103" s="1"/>
  <c r="J36" i="97"/>
  <c r="R25" i="103"/>
  <c r="CK4" i="101"/>
  <c r="AJ25" i="103" l="1"/>
  <c r="V25" i="103"/>
  <c r="W26" i="108"/>
  <c r="I37" i="97"/>
  <c r="S26" i="99"/>
  <c r="Q26" i="103"/>
  <c r="R37" i="97"/>
  <c r="O26" i="99"/>
  <c r="M26" i="103" s="1"/>
  <c r="W7" i="108"/>
  <c r="Q7" i="103"/>
  <c r="I18" i="97"/>
  <c r="W9" i="108"/>
  <c r="I20" i="97"/>
  <c r="Q9" i="103"/>
  <c r="AF13" i="108"/>
  <c r="AJ17" i="103"/>
  <c r="V17" i="103"/>
  <c r="V18" i="103"/>
  <c r="AJ18" i="103"/>
  <c r="W15" i="108"/>
  <c r="Q15" i="103"/>
  <c r="R26" i="97"/>
  <c r="S15" i="99"/>
  <c r="O15" i="99"/>
  <c r="M15" i="103" s="1"/>
  <c r="I26" i="97"/>
  <c r="W12" i="108"/>
  <c r="S12" i="99"/>
  <c r="I23" i="97"/>
  <c r="O12" i="99"/>
  <c r="M12" i="103" s="1"/>
  <c r="Q12" i="103"/>
  <c r="R23" i="97"/>
  <c r="V14" i="103"/>
  <c r="AJ14" i="103"/>
  <c r="V23" i="103"/>
  <c r="AJ23" i="103"/>
  <c r="AF21" i="108"/>
  <c r="AJ10" i="103"/>
  <c r="V10" i="103"/>
  <c r="W19" i="108"/>
  <c r="I30" i="97"/>
  <c r="Q19" i="103"/>
  <c r="R30" i="97"/>
  <c r="S19" i="99"/>
  <c r="O19" i="99"/>
  <c r="M19" i="103" s="1"/>
  <c r="W24" i="108"/>
  <c r="Q24" i="103"/>
  <c r="O24" i="99"/>
  <c r="M24" i="103" s="1"/>
  <c r="R35" i="97"/>
  <c r="S24" i="99"/>
  <c r="I35" i="97"/>
  <c r="AF20" i="108"/>
  <c r="W11" i="108"/>
  <c r="I22" i="97"/>
  <c r="S11" i="99"/>
  <c r="R22" i="97"/>
  <c r="Q11" i="103"/>
  <c r="O11" i="99"/>
  <c r="M11" i="103" s="1"/>
  <c r="AF17" i="108"/>
  <c r="W18" i="108"/>
  <c r="Q18" i="103"/>
  <c r="S18" i="99"/>
  <c r="O18" i="99"/>
  <c r="M18" i="103" s="1"/>
  <c r="I29" i="97"/>
  <c r="R29" i="97"/>
  <c r="AF15" i="108"/>
  <c r="AJ21" i="103"/>
  <c r="V21" i="103"/>
  <c r="W10" i="108"/>
  <c r="Q10" i="103"/>
  <c r="I21" i="97"/>
  <c r="V20" i="103"/>
  <c r="AJ20" i="103"/>
  <c r="W8" i="108"/>
  <c r="I19" i="97"/>
  <c r="Q8" i="103"/>
  <c r="AF25" i="108"/>
  <c r="AF26" i="108"/>
  <c r="AF16" i="108"/>
  <c r="AF11" i="108"/>
  <c r="W17" i="108"/>
  <c r="Q17" i="103"/>
  <c r="S17" i="99"/>
  <c r="O17" i="99"/>
  <c r="M17" i="103" s="1"/>
  <c r="I28" i="97"/>
  <c r="R28" i="97"/>
  <c r="AF12" i="108"/>
  <c r="AF22" i="108"/>
  <c r="AF10" i="108"/>
  <c r="AF19" i="108"/>
  <c r="W16" i="108"/>
  <c r="S16" i="99"/>
  <c r="Q16" i="103"/>
  <c r="I27" i="97"/>
  <c r="O16" i="99"/>
  <c r="M16" i="103" s="1"/>
  <c r="R27" i="97"/>
  <c r="W13" i="108"/>
  <c r="O13" i="99"/>
  <c r="M13" i="103" s="1"/>
  <c r="R24" i="97"/>
  <c r="I24" i="97"/>
  <c r="S13" i="99"/>
  <c r="Q13" i="103"/>
  <c r="AJ11" i="103"/>
  <c r="V11" i="103"/>
  <c r="AF18" i="108"/>
  <c r="V12" i="103"/>
  <c r="AJ12" i="103"/>
  <c r="AJ22" i="103"/>
  <c r="V22" i="103"/>
  <c r="W14" i="108"/>
  <c r="Q14" i="103"/>
  <c r="I25" i="97"/>
  <c r="R25" i="97"/>
  <c r="S14" i="99"/>
  <c r="O14" i="99"/>
  <c r="M14" i="103" s="1"/>
  <c r="AF23" i="108"/>
  <c r="W21" i="108"/>
  <c r="S21" i="99"/>
  <c r="R32" i="97"/>
  <c r="I32" i="97"/>
  <c r="O21" i="99"/>
  <c r="M21" i="103" s="1"/>
  <c r="Q21" i="103"/>
  <c r="AJ24" i="103"/>
  <c r="V24" i="103"/>
  <c r="W20" i="108"/>
  <c r="Q20" i="103"/>
  <c r="O20" i="99"/>
  <c r="M20" i="103" s="1"/>
  <c r="S20" i="99"/>
  <c r="I31" i="97"/>
  <c r="R31" i="97"/>
  <c r="W25" i="108"/>
  <c r="S25" i="99"/>
  <c r="R36" i="97"/>
  <c r="Q25" i="103"/>
  <c r="O25" i="99"/>
  <c r="M25" i="103" s="1"/>
  <c r="I36" i="97"/>
  <c r="V26" i="103"/>
  <c r="AJ26" i="103"/>
  <c r="AJ16" i="103"/>
  <c r="V16" i="103"/>
  <c r="AJ13" i="103"/>
  <c r="V13" i="103"/>
  <c r="V15" i="103"/>
  <c r="AJ15" i="103"/>
  <c r="W22" i="108"/>
  <c r="Q22" i="103"/>
  <c r="R33" i="97"/>
  <c r="I33" i="97"/>
  <c r="O22" i="99"/>
  <c r="M22" i="103" s="1"/>
  <c r="S22" i="99"/>
  <c r="AF14" i="108"/>
  <c r="W23" i="108"/>
  <c r="Q23" i="103"/>
  <c r="I34" i="97"/>
  <c r="O23" i="99"/>
  <c r="M23" i="103" s="1"/>
  <c r="S23" i="99"/>
  <c r="R34" i="97"/>
  <c r="V19" i="103"/>
  <c r="AJ19" i="103"/>
  <c r="AF24" i="108"/>
  <c r="AQ4" i="99"/>
  <c r="BB4" i="99" s="1"/>
  <c r="CK5" i="101"/>
  <c r="CL4" i="101"/>
  <c r="AE17" i="108" l="1"/>
  <c r="AE11" i="108"/>
  <c r="U23" i="103"/>
  <c r="AI23" i="103"/>
  <c r="U22" i="103"/>
  <c r="AI22" i="103"/>
  <c r="U20" i="103"/>
  <c r="AI20" i="103"/>
  <c r="U21" i="103"/>
  <c r="AI21" i="103"/>
  <c r="AI14" i="103"/>
  <c r="U14" i="103"/>
  <c r="V17" i="108"/>
  <c r="R17" i="99"/>
  <c r="N17" i="99"/>
  <c r="L17" i="103" s="1"/>
  <c r="Q28" i="97"/>
  <c r="P17" i="103"/>
  <c r="V24" i="108"/>
  <c r="P24" i="103"/>
  <c r="N24" i="99"/>
  <c r="L24" i="103" s="1"/>
  <c r="Q35" i="97"/>
  <c r="R24" i="99"/>
  <c r="AI19" i="103"/>
  <c r="U19" i="103"/>
  <c r="AI26" i="103"/>
  <c r="U26" i="103"/>
  <c r="AI13" i="103"/>
  <c r="U13" i="103"/>
  <c r="V23" i="108"/>
  <c r="Q34" i="97"/>
  <c r="R23" i="99"/>
  <c r="P23" i="103"/>
  <c r="N23" i="99"/>
  <c r="L23" i="103" s="1"/>
  <c r="V22" i="108"/>
  <c r="Q33" i="97"/>
  <c r="P22" i="103"/>
  <c r="N22" i="99"/>
  <c r="L22" i="103" s="1"/>
  <c r="R22" i="99"/>
  <c r="V25" i="108"/>
  <c r="N25" i="99"/>
  <c r="L25" i="103" s="1"/>
  <c r="Q36" i="97"/>
  <c r="P25" i="103"/>
  <c r="R25" i="99"/>
  <c r="V21" i="108"/>
  <c r="N21" i="99"/>
  <c r="L21" i="103" s="1"/>
  <c r="R21" i="99"/>
  <c r="Q32" i="97"/>
  <c r="P21" i="103"/>
  <c r="AE16" i="108"/>
  <c r="U17" i="103"/>
  <c r="AI17" i="103"/>
  <c r="V8" i="108"/>
  <c r="P8" i="103"/>
  <c r="N8" i="99"/>
  <c r="L8" i="103" s="1"/>
  <c r="Q19" i="97"/>
  <c r="R8" i="99"/>
  <c r="V11" i="108"/>
  <c r="Q22" i="97"/>
  <c r="R11" i="99"/>
  <c r="P11" i="103"/>
  <c r="N11" i="99"/>
  <c r="L11" i="103" s="1"/>
  <c r="AE12" i="108"/>
  <c r="V15" i="108"/>
  <c r="N15" i="99"/>
  <c r="L15" i="103" s="1"/>
  <c r="R15" i="99"/>
  <c r="Q26" i="97"/>
  <c r="P15" i="103"/>
  <c r="V7" i="108"/>
  <c r="R7" i="99"/>
  <c r="N7" i="99"/>
  <c r="L7" i="103" s="1"/>
  <c r="P7" i="103"/>
  <c r="Q18" i="97"/>
  <c r="AE26" i="108"/>
  <c r="AE22" i="108"/>
  <c r="AI25" i="103"/>
  <c r="U25" i="103"/>
  <c r="AE21" i="108"/>
  <c r="AE14" i="108"/>
  <c r="AI16" i="103"/>
  <c r="U16" i="103"/>
  <c r="V10" i="108"/>
  <c r="N10" i="99"/>
  <c r="L10" i="103" s="1"/>
  <c r="Q21" i="97"/>
  <c r="P10" i="103"/>
  <c r="R10" i="99"/>
  <c r="AE18" i="108"/>
  <c r="AE24" i="108"/>
  <c r="AE19" i="108"/>
  <c r="U15" i="103"/>
  <c r="AI15" i="103"/>
  <c r="AE20" i="108"/>
  <c r="V14" i="108"/>
  <c r="Q25" i="97"/>
  <c r="R14" i="99"/>
  <c r="N14" i="99"/>
  <c r="L14" i="103" s="1"/>
  <c r="P14" i="103"/>
  <c r="V13" i="108"/>
  <c r="Q24" i="97"/>
  <c r="R13" i="99"/>
  <c r="P13" i="103"/>
  <c r="N13" i="99"/>
  <c r="L13" i="103" s="1"/>
  <c r="V16" i="108"/>
  <c r="Q27" i="97"/>
  <c r="P16" i="103"/>
  <c r="N16" i="99"/>
  <c r="L16" i="103" s="1"/>
  <c r="R16" i="99"/>
  <c r="V18" i="108"/>
  <c r="Q29" i="97"/>
  <c r="N18" i="99"/>
  <c r="L18" i="103" s="1"/>
  <c r="P18" i="103"/>
  <c r="R18" i="99"/>
  <c r="U11" i="103"/>
  <c r="AI11" i="103"/>
  <c r="U24" i="103"/>
  <c r="AI24" i="103"/>
  <c r="U12" i="103"/>
  <c r="AI12" i="103"/>
  <c r="AE23" i="108"/>
  <c r="AE25" i="108"/>
  <c r="V20" i="108"/>
  <c r="P20" i="103"/>
  <c r="R20" i="99"/>
  <c r="N20" i="99"/>
  <c r="L20" i="103" s="1"/>
  <c r="Q31" i="97"/>
  <c r="AE13" i="108"/>
  <c r="AI18" i="103"/>
  <c r="U18" i="103"/>
  <c r="V19" i="108"/>
  <c r="N19" i="99"/>
  <c r="L19" i="103" s="1"/>
  <c r="Q30" i="97"/>
  <c r="P19" i="103"/>
  <c r="R19" i="99"/>
  <c r="V12" i="108"/>
  <c r="P12" i="103"/>
  <c r="Q23" i="97"/>
  <c r="R12" i="99"/>
  <c r="N12" i="99"/>
  <c r="L12" i="103" s="1"/>
  <c r="AE15" i="108"/>
  <c r="V9" i="108"/>
  <c r="P9" i="103"/>
  <c r="N9" i="99"/>
  <c r="L9" i="103" s="1"/>
  <c r="R9" i="99"/>
  <c r="Q20" i="97"/>
  <c r="V26" i="108"/>
  <c r="Q37" i="97"/>
  <c r="N26" i="99"/>
  <c r="L26" i="103" s="1"/>
  <c r="P26" i="103"/>
  <c r="R26" i="99"/>
  <c r="CL5" i="101"/>
  <c r="CK6" i="101"/>
  <c r="AQ5" i="99"/>
  <c r="BB5" i="99" s="1"/>
  <c r="AD19" i="108" l="1"/>
  <c r="AD20" i="108"/>
  <c r="AD13" i="108"/>
  <c r="AD7" i="108"/>
  <c r="AD8" i="108"/>
  <c r="T21" i="103"/>
  <c r="AH21" i="103"/>
  <c r="AH25" i="103"/>
  <c r="T25" i="103"/>
  <c r="T26" i="103"/>
  <c r="AH26" i="103"/>
  <c r="AH19" i="103"/>
  <c r="T19" i="103"/>
  <c r="AD15" i="108"/>
  <c r="AD11" i="108"/>
  <c r="AH8" i="103"/>
  <c r="T8" i="103"/>
  <c r="AD23" i="108"/>
  <c r="AD26" i="108"/>
  <c r="T9" i="103"/>
  <c r="AH9" i="103"/>
  <c r="T16" i="103"/>
  <c r="AH16" i="103"/>
  <c r="AD14" i="108"/>
  <c r="AD10" i="108"/>
  <c r="AD21" i="108"/>
  <c r="AD22" i="108"/>
  <c r="AD24" i="108"/>
  <c r="T12" i="103"/>
  <c r="AH12" i="103"/>
  <c r="T20" i="103"/>
  <c r="AH20" i="103"/>
  <c r="AH18" i="103"/>
  <c r="T18" i="103"/>
  <c r="AH13" i="103"/>
  <c r="T13" i="103"/>
  <c r="AH7" i="103"/>
  <c r="T7" i="103"/>
  <c r="T24" i="103"/>
  <c r="AH24" i="103"/>
  <c r="AD17" i="108"/>
  <c r="AD18" i="108"/>
  <c r="AD16" i="108"/>
  <c r="AH14" i="103"/>
  <c r="T14" i="103"/>
  <c r="AH10" i="103"/>
  <c r="T10" i="103"/>
  <c r="T11" i="103"/>
  <c r="AH11" i="103"/>
  <c r="AD25" i="108"/>
  <c r="AH22" i="103"/>
  <c r="T22" i="103"/>
  <c r="T23" i="103"/>
  <c r="AH23" i="103"/>
  <c r="AD9" i="108"/>
  <c r="AD12" i="108"/>
  <c r="T15" i="103"/>
  <c r="AH15" i="103"/>
  <c r="AH17" i="103"/>
  <c r="T17" i="103"/>
  <c r="AQ6" i="99"/>
  <c r="BB6" i="99" s="1"/>
  <c r="CK7" i="101"/>
  <c r="CL6" i="101"/>
  <c r="CL7" i="101" l="1"/>
  <c r="AQ7" i="99"/>
  <c r="BB7" i="99" s="1"/>
  <c r="G122" i="97"/>
  <c r="O8" i="99"/>
  <c r="G47" i="97"/>
  <c r="AH18" i="101"/>
  <c r="G125" i="97"/>
  <c r="H72" i="97"/>
  <c r="E126" i="97"/>
  <c r="F126" i="97"/>
  <c r="E95" i="97"/>
  <c r="G126" i="97"/>
  <c r="F99" i="97"/>
  <c r="AG15" i="101"/>
  <c r="AH20" i="101"/>
  <c r="E97" i="97"/>
  <c r="AG11" i="101"/>
  <c r="F48" i="97"/>
  <c r="AH21" i="101"/>
  <c r="H127" i="97"/>
  <c r="S7" i="99"/>
  <c r="H96" i="97"/>
  <c r="H98" i="97"/>
  <c r="P8" i="99"/>
  <c r="E73" i="97"/>
  <c r="F49" i="97"/>
  <c r="AH15" i="101"/>
  <c r="H100" i="97"/>
  <c r="F73" i="97"/>
  <c r="AH10" i="101"/>
  <c r="O10" i="99"/>
  <c r="S9" i="99"/>
  <c r="E101" i="97"/>
  <c r="E100" i="97"/>
  <c r="E96" i="97"/>
  <c r="G45" i="97"/>
  <c r="H74" i="97"/>
  <c r="H73" i="97"/>
  <c r="O7" i="99"/>
  <c r="E49" i="97"/>
  <c r="G70" i="97"/>
  <c r="F101" i="97"/>
  <c r="E69" i="97"/>
  <c r="R20" i="97"/>
  <c r="E122" i="97"/>
  <c r="AH13" i="101"/>
  <c r="H124" i="97"/>
  <c r="AG13" i="101"/>
  <c r="F74" i="97"/>
  <c r="G101" i="97"/>
  <c r="G127" i="97"/>
  <c r="AG18" i="101"/>
  <c r="AG26" i="101"/>
  <c r="AG21" i="101"/>
  <c r="F43" i="97"/>
  <c r="E44" i="97"/>
  <c r="AF20" i="101"/>
  <c r="E48" i="97"/>
  <c r="F46" i="97"/>
  <c r="H46" i="97"/>
  <c r="G100" i="97"/>
  <c r="H71" i="97"/>
  <c r="H97" i="97"/>
  <c r="AF12" i="101"/>
  <c r="F45" i="97"/>
  <c r="F75" i="97"/>
  <c r="AF18" i="101"/>
  <c r="G44" i="97"/>
  <c r="AH24" i="101"/>
  <c r="AH22" i="101"/>
  <c r="AF21" i="101"/>
  <c r="F123" i="97"/>
  <c r="F96" i="97"/>
  <c r="H47" i="97"/>
  <c r="AG25" i="101"/>
  <c r="F69" i="97"/>
  <c r="G123" i="97"/>
  <c r="G72" i="97"/>
  <c r="H121" i="97"/>
  <c r="F71" i="97"/>
  <c r="S20" i="97"/>
  <c r="AH9" i="101" s="1"/>
  <c r="H99" i="97"/>
  <c r="S10" i="99"/>
  <c r="H75" i="97"/>
  <c r="AF15" i="101"/>
  <c r="T7" i="99"/>
  <c r="P7" i="99"/>
  <c r="G48" i="97"/>
  <c r="F95" i="97"/>
  <c r="O9" i="99"/>
  <c r="AF8" i="101"/>
  <c r="H122" i="97"/>
  <c r="S8" i="99"/>
  <c r="AG12" i="101"/>
  <c r="E99" i="97"/>
  <c r="G97" i="97"/>
  <c r="G98" i="97"/>
  <c r="E124" i="97"/>
  <c r="E71" i="97"/>
  <c r="G71" i="97"/>
  <c r="AG22" i="101"/>
  <c r="AS18" i="96"/>
  <c r="AH26" i="101"/>
  <c r="AH12" i="101"/>
  <c r="H49" i="97"/>
  <c r="AF9" i="101"/>
  <c r="F125" i="97"/>
  <c r="AH11" i="101"/>
  <c r="H69" i="97"/>
  <c r="F124" i="97"/>
  <c r="AF24" i="101"/>
  <c r="S18" i="97"/>
  <c r="AH7" i="101" s="1"/>
  <c r="AG14" i="101"/>
  <c r="G69" i="97"/>
  <c r="E127" i="97"/>
  <c r="F100" i="97"/>
  <c r="AF22" i="101"/>
  <c r="G95" i="97"/>
  <c r="AG23" i="101"/>
  <c r="AG20" i="101"/>
  <c r="AG24" i="101"/>
  <c r="E46" i="97"/>
  <c r="AF26" i="101"/>
  <c r="AH14" i="101"/>
  <c r="G75" i="97"/>
  <c r="F47" i="97"/>
  <c r="F121" i="97"/>
  <c r="AF25" i="101"/>
  <c r="AF11" i="101"/>
  <c r="AG19" i="101"/>
  <c r="AF19" i="101"/>
  <c r="S19" i="97"/>
  <c r="AH8" i="101" s="1"/>
  <c r="E72" i="97"/>
  <c r="H45" i="97"/>
  <c r="AF16" i="101"/>
  <c r="T8" i="99"/>
  <c r="AH19" i="101"/>
  <c r="F70" i="97"/>
  <c r="AF10" i="101"/>
  <c r="H123" i="97"/>
  <c r="E123" i="97"/>
  <c r="E43" i="97"/>
  <c r="H48" i="97"/>
  <c r="E75" i="97"/>
  <c r="H126" i="97"/>
  <c r="G99" i="97"/>
  <c r="R21" i="97"/>
  <c r="F72" i="97"/>
  <c r="G124" i="97"/>
  <c r="AF13" i="101"/>
  <c r="H95" i="97"/>
  <c r="G73" i="97"/>
  <c r="AH17" i="101"/>
  <c r="R18" i="97"/>
  <c r="AG7" i="101" s="1"/>
  <c r="P9" i="99"/>
  <c r="G96" i="97"/>
  <c r="F44" i="97"/>
  <c r="AF17" i="101"/>
  <c r="F98" i="97"/>
  <c r="H44" i="97"/>
  <c r="F122" i="97"/>
  <c r="G46" i="97"/>
  <c r="AG16" i="101"/>
  <c r="E70" i="97"/>
  <c r="E98" i="97"/>
  <c r="G49" i="97"/>
  <c r="H101" i="97"/>
  <c r="T9" i="99"/>
  <c r="AH16" i="101"/>
  <c r="AG17" i="101"/>
  <c r="AF14" i="101"/>
  <c r="H43" i="97"/>
  <c r="E121" i="97"/>
  <c r="F127" i="97"/>
  <c r="H125" i="97"/>
  <c r="AH25" i="101"/>
  <c r="E45" i="97"/>
  <c r="G121" i="97"/>
  <c r="AF7" i="101"/>
  <c r="I8" i="107"/>
  <c r="G74" i="97"/>
  <c r="E47" i="97"/>
  <c r="H70" i="97"/>
  <c r="F97" i="97"/>
  <c r="AF23" i="101"/>
  <c r="E125" i="97"/>
  <c r="AH23" i="101"/>
  <c r="E74" i="97"/>
  <c r="G43" i="97"/>
  <c r="R19" i="97"/>
  <c r="AS19" i="96"/>
  <c r="M9" i="107"/>
  <c r="I9" i="107"/>
  <c r="R59" i="108" l="1"/>
  <c r="M10" i="103"/>
  <c r="AI10" i="103" s="1"/>
  <c r="T35" i="108"/>
  <c r="R33" i="108"/>
  <c r="T61" i="108"/>
  <c r="R36" i="108"/>
  <c r="U36" i="108"/>
  <c r="N9" i="103"/>
  <c r="R38" i="108"/>
  <c r="R34" i="108"/>
  <c r="U62" i="108"/>
  <c r="U34" i="108"/>
  <c r="U33" i="108"/>
  <c r="S35" i="108"/>
  <c r="R90" i="108"/>
  <c r="U113" i="108"/>
  <c r="T112" i="108"/>
  <c r="R58" i="108"/>
  <c r="AF9" i="108"/>
  <c r="U87" i="108"/>
  <c r="S36" i="108"/>
  <c r="U60" i="108"/>
  <c r="R32" i="108"/>
  <c r="R110" i="108"/>
  <c r="T114" i="108"/>
  <c r="T38" i="108"/>
  <c r="AF7" i="108"/>
  <c r="S38" i="108"/>
  <c r="R63" i="108"/>
  <c r="S64" i="108"/>
  <c r="T36" i="108"/>
  <c r="R60" i="108"/>
  <c r="S61" i="108"/>
  <c r="S115" i="108"/>
  <c r="T116" i="108"/>
  <c r="R114" i="108"/>
  <c r="U64" i="108"/>
  <c r="S62" i="108"/>
  <c r="AF8" i="108"/>
  <c r="S84" i="108"/>
  <c r="T110" i="108"/>
  <c r="T115" i="108"/>
  <c r="S112" i="108"/>
  <c r="U90" i="108"/>
  <c r="T62" i="108"/>
  <c r="R87" i="108"/>
  <c r="T33" i="108"/>
  <c r="S113" i="108"/>
  <c r="U111" i="108"/>
  <c r="S88" i="108"/>
  <c r="U84" i="108"/>
  <c r="AE10" i="108"/>
  <c r="T85" i="108"/>
  <c r="T59" i="108"/>
  <c r="T34" i="108"/>
  <c r="T88" i="108"/>
  <c r="U35" i="108"/>
  <c r="U112" i="108"/>
  <c r="R35" i="108"/>
  <c r="R85" i="108"/>
  <c r="U58" i="108"/>
  <c r="S87" i="108"/>
  <c r="AE9" i="108"/>
  <c r="N8" i="103"/>
  <c r="AJ8" i="103" s="1"/>
  <c r="U88" i="108"/>
  <c r="S110" i="108"/>
  <c r="U37" i="108"/>
  <c r="U86" i="108"/>
  <c r="U61" i="108"/>
  <c r="R116" i="108"/>
  <c r="T86" i="108"/>
  <c r="T111" i="108"/>
  <c r="T90" i="108"/>
  <c r="T32" i="108"/>
  <c r="P18" i="97"/>
  <c r="AC7" i="108" s="1"/>
  <c r="S111" i="108"/>
  <c r="T60" i="108"/>
  <c r="S86" i="108"/>
  <c r="R84" i="108"/>
  <c r="U38" i="108"/>
  <c r="N7" i="103"/>
  <c r="S116" i="108"/>
  <c r="U59" i="108"/>
  <c r="M9" i="103"/>
  <c r="U32" i="108"/>
  <c r="S114" i="108"/>
  <c r="T63" i="108"/>
  <c r="S85" i="108"/>
  <c r="AE7" i="108"/>
  <c r="U115" i="108"/>
  <c r="T113" i="108"/>
  <c r="R37" i="108"/>
  <c r="S59" i="108"/>
  <c r="S32" i="108"/>
  <c r="T58" i="108"/>
  <c r="U63" i="108"/>
  <c r="R61" i="108"/>
  <c r="S58" i="108"/>
  <c r="S33" i="108"/>
  <c r="S90" i="108"/>
  <c r="S60" i="108"/>
  <c r="M7" i="103"/>
  <c r="AI7" i="103" s="1"/>
  <c r="R64" i="108"/>
  <c r="S63" i="108"/>
  <c r="T89" i="108"/>
  <c r="R112" i="108"/>
  <c r="S37" i="108"/>
  <c r="R86" i="108"/>
  <c r="U116" i="108"/>
  <c r="T64" i="108"/>
  <c r="R111" i="108"/>
  <c r="S34" i="108"/>
  <c r="R62" i="108"/>
  <c r="S89" i="108"/>
  <c r="U85" i="108"/>
  <c r="T87" i="108"/>
  <c r="M8" i="103"/>
  <c r="AI8" i="103" s="1"/>
  <c r="R89" i="108"/>
  <c r="R88" i="108"/>
  <c r="R115" i="108"/>
  <c r="R113" i="108"/>
  <c r="U89" i="108"/>
  <c r="T84" i="108"/>
  <c r="AE8" i="108"/>
  <c r="T37" i="108"/>
  <c r="U110" i="108"/>
  <c r="U114" i="108"/>
  <c r="P19" i="97"/>
  <c r="AC8" i="108" s="1"/>
  <c r="AG8" i="101"/>
  <c r="BW7" i="101"/>
  <c r="Q8" i="110"/>
  <c r="BW8" i="101"/>
  <c r="AG10" i="101"/>
  <c r="U8" i="103"/>
  <c r="U8" i="99"/>
  <c r="M8" i="107"/>
  <c r="U9" i="103"/>
  <c r="AG9" i="101"/>
  <c r="Q7" i="110"/>
  <c r="U7" i="99"/>
  <c r="Q8" i="99"/>
  <c r="Z8" i="99"/>
  <c r="U10" i="103"/>
  <c r="T18" i="97"/>
  <c r="AS20" i="96"/>
  <c r="M10" i="107" s="1"/>
  <c r="AI7" i="101"/>
  <c r="Q7" i="99"/>
  <c r="V8" i="103"/>
  <c r="Z7" i="99"/>
  <c r="T19" i="97"/>
  <c r="AI9" i="103" l="1"/>
  <c r="AJ7" i="101"/>
  <c r="R7" i="110"/>
  <c r="AA7" i="99"/>
  <c r="AA8" i="99" s="1"/>
  <c r="BX7" i="101"/>
  <c r="O7" i="103"/>
  <c r="AK7" i="103" s="1"/>
  <c r="AG7" i="108"/>
  <c r="V7" i="99"/>
  <c r="AY7" i="103" s="1"/>
  <c r="AJ9" i="103"/>
  <c r="AJ7" i="103"/>
  <c r="O8" i="103"/>
  <c r="AK8" i="103" s="1"/>
  <c r="AL8" i="103" s="1"/>
  <c r="AG8" i="108"/>
  <c r="BX8" i="101"/>
  <c r="P20" i="97"/>
  <c r="AF71" i="99"/>
  <c r="W62" i="110"/>
  <c r="BF62" i="103"/>
  <c r="W57" i="110"/>
  <c r="CB61" i="101"/>
  <c r="I10" i="107"/>
  <c r="Q9" i="110"/>
  <c r="Q9" i="99"/>
  <c r="CB70" i="101"/>
  <c r="AF59" i="99"/>
  <c r="CB74" i="101"/>
  <c r="BW9" i="101"/>
  <c r="BF63" i="103"/>
  <c r="AN64" i="101"/>
  <c r="W60" i="110"/>
  <c r="CB57" i="101"/>
  <c r="U9" i="99"/>
  <c r="W64" i="110"/>
  <c r="W63" i="110"/>
  <c r="BF60" i="103"/>
  <c r="AF62" i="99"/>
  <c r="CB69" i="101"/>
  <c r="AF74" i="99"/>
  <c r="U7" i="103"/>
  <c r="AF55" i="99"/>
  <c r="W7" i="103"/>
  <c r="AS21" i="96"/>
  <c r="AF69" i="99"/>
  <c r="CB62" i="101"/>
  <c r="AN57" i="101"/>
  <c r="AF66" i="99"/>
  <c r="AN61" i="101"/>
  <c r="AF63" i="99"/>
  <c r="AF65" i="99"/>
  <c r="CB68" i="101"/>
  <c r="V7" i="103"/>
  <c r="V9" i="103"/>
  <c r="W56" i="110"/>
  <c r="BF61" i="103"/>
  <c r="AN55" i="101"/>
  <c r="AN63" i="101"/>
  <c r="CB63" i="101"/>
  <c r="AF72" i="99"/>
  <c r="AF70" i="99"/>
  <c r="AN58" i="101"/>
  <c r="W58" i="110"/>
  <c r="AF73" i="99"/>
  <c r="CB71" i="101"/>
  <c r="BF57" i="103"/>
  <c r="AI8" i="101"/>
  <c r="Z9" i="99"/>
  <c r="CB66" i="101"/>
  <c r="CB72" i="101"/>
  <c r="AN59" i="101"/>
  <c r="W59" i="110"/>
  <c r="BF58" i="103"/>
  <c r="CB60" i="101"/>
  <c r="AF56" i="99"/>
  <c r="AO8" i="99" s="1"/>
  <c r="AF64" i="99"/>
  <c r="CB73" i="101"/>
  <c r="T20" i="97"/>
  <c r="AF68" i="99"/>
  <c r="AN56" i="101"/>
  <c r="W55" i="110"/>
  <c r="BF64" i="103"/>
  <c r="CB64" i="101"/>
  <c r="AN62" i="101"/>
  <c r="AF60" i="99"/>
  <c r="CB58" i="101"/>
  <c r="AF58" i="99"/>
  <c r="CB59" i="101"/>
  <c r="AF67" i="99"/>
  <c r="CB65" i="101"/>
  <c r="AF61" i="99"/>
  <c r="BF56" i="103"/>
  <c r="AN60" i="101"/>
  <c r="BF55" i="103"/>
  <c r="CB55" i="101"/>
  <c r="CB56" i="101"/>
  <c r="W61" i="110"/>
  <c r="AF57" i="99"/>
  <c r="BF59" i="103"/>
  <c r="CB67" i="101"/>
  <c r="M11" i="107"/>
  <c r="I11" i="107"/>
  <c r="AP8" i="99" l="1"/>
  <c r="V8" i="99"/>
  <c r="AY8" i="103" s="1"/>
  <c r="AL7" i="103"/>
  <c r="AJ8" i="101"/>
  <c r="BG62" i="101"/>
  <c r="BG55" i="101"/>
  <c r="BG63" i="101"/>
  <c r="BG56" i="101"/>
  <c r="BG59" i="101"/>
  <c r="BG60" i="101"/>
  <c r="BG58" i="101"/>
  <c r="BG64" i="101"/>
  <c r="BG61" i="101"/>
  <c r="BG57" i="101"/>
  <c r="R8" i="110"/>
  <c r="R9" i="110" s="1"/>
  <c r="AY51" i="103"/>
  <c r="AG9" i="108"/>
  <c r="O9" i="103"/>
  <c r="P21" i="97"/>
  <c r="BX9" i="101"/>
  <c r="AA9" i="99"/>
  <c r="AC9" i="108"/>
  <c r="V9" i="99"/>
  <c r="CJ8" i="101"/>
  <c r="W77" i="110"/>
  <c r="BF65" i="103"/>
  <c r="AF76" i="99"/>
  <c r="BF72" i="103"/>
  <c r="AN71" i="101"/>
  <c r="W68" i="110"/>
  <c r="AN73" i="101"/>
  <c r="AF8" i="110"/>
  <c r="BF69" i="103"/>
  <c r="AP57" i="103"/>
  <c r="AN68" i="101"/>
  <c r="Z10" i="99"/>
  <c r="AF79" i="99"/>
  <c r="BF68" i="103"/>
  <c r="W71" i="110"/>
  <c r="CB79" i="101"/>
  <c r="AF77" i="99"/>
  <c r="AP72" i="103"/>
  <c r="AP62" i="103"/>
  <c r="BF71" i="103"/>
  <c r="AN65" i="101"/>
  <c r="CB75" i="101"/>
  <c r="W8" i="103"/>
  <c r="AF78" i="99"/>
  <c r="AP59" i="103"/>
  <c r="AF75" i="99"/>
  <c r="AP69" i="103"/>
  <c r="AN67" i="101"/>
  <c r="BW10" i="101"/>
  <c r="AP67" i="103"/>
  <c r="BF73" i="103"/>
  <c r="W78" i="110"/>
  <c r="T21" i="97"/>
  <c r="AP70" i="103"/>
  <c r="AN72" i="101"/>
  <c r="W73" i="110"/>
  <c r="AN66" i="101"/>
  <c r="CB76" i="101"/>
  <c r="CB77" i="101"/>
  <c r="AO9" i="99"/>
  <c r="AP61" i="103"/>
  <c r="W74" i="110"/>
  <c r="W65" i="110"/>
  <c r="AP63" i="103"/>
  <c r="AP60" i="103"/>
  <c r="AP66" i="103"/>
  <c r="BF70" i="103"/>
  <c r="BF67" i="103"/>
  <c r="W72" i="110"/>
  <c r="AP73" i="103"/>
  <c r="AI9" i="101"/>
  <c r="AN70" i="101"/>
  <c r="W79" i="110"/>
  <c r="AP65" i="103"/>
  <c r="CJ9" i="101"/>
  <c r="W67" i="110"/>
  <c r="AP64" i="103"/>
  <c r="AS22" i="96"/>
  <c r="W75" i="110"/>
  <c r="BF74" i="103"/>
  <c r="AN74" i="101"/>
  <c r="W76" i="110"/>
  <c r="AP58" i="103"/>
  <c r="CB78" i="101"/>
  <c r="AP56" i="103"/>
  <c r="AP74" i="103"/>
  <c r="U10" i="99"/>
  <c r="AP71" i="103"/>
  <c r="Q10" i="99"/>
  <c r="AP55" i="103"/>
  <c r="AP68" i="103"/>
  <c r="AN69" i="101"/>
  <c r="W66" i="110"/>
  <c r="BF66" i="103"/>
  <c r="W69" i="110"/>
  <c r="Q10" i="110"/>
  <c r="W70" i="110"/>
  <c r="I12" i="107"/>
  <c r="M12" i="107"/>
  <c r="AG8" i="110" l="1"/>
  <c r="AH8" i="110" s="1"/>
  <c r="AS8" i="110" s="1"/>
  <c r="AJ9" i="101"/>
  <c r="AP9" i="99"/>
  <c r="P22" i="97"/>
  <c r="BR59" i="103"/>
  <c r="BM59" i="103"/>
  <c r="BM60" i="103"/>
  <c r="BR60" i="103"/>
  <c r="BR64" i="103"/>
  <c r="BM64" i="103"/>
  <c r="BM55" i="103"/>
  <c r="BR55" i="103"/>
  <c r="BR61" i="103"/>
  <c r="BM61" i="103"/>
  <c r="BM57" i="103"/>
  <c r="BR57" i="103"/>
  <c r="BM62" i="103"/>
  <c r="BR62" i="103"/>
  <c r="BR56" i="103"/>
  <c r="BM56" i="103"/>
  <c r="BR63" i="103"/>
  <c r="BM63" i="103"/>
  <c r="BM58" i="103"/>
  <c r="BR58" i="103"/>
  <c r="R10" i="110"/>
  <c r="BG67" i="101"/>
  <c r="BG71" i="101"/>
  <c r="BG66" i="101"/>
  <c r="BG74" i="101"/>
  <c r="BG68" i="101"/>
  <c r="BG70" i="101"/>
  <c r="W14" i="101" s="1"/>
  <c r="BG72" i="101"/>
  <c r="BG69" i="101"/>
  <c r="BG65" i="101"/>
  <c r="W13" i="101" s="1"/>
  <c r="BG73" i="101"/>
  <c r="O10" i="103"/>
  <c r="AG10" i="108"/>
  <c r="BX10" i="101"/>
  <c r="AC10" i="108"/>
  <c r="AA10" i="99"/>
  <c r="AK9" i="103"/>
  <c r="AL9" i="103" s="1"/>
  <c r="BM68" i="103"/>
  <c r="BR68" i="103"/>
  <c r="BM66" i="103"/>
  <c r="BR66" i="103"/>
  <c r="BM65" i="103"/>
  <c r="BG5" i="99" s="1"/>
  <c r="BR65" i="103"/>
  <c r="BL5" i="99" s="1"/>
  <c r="BR69" i="103"/>
  <c r="BM69" i="103"/>
  <c r="BR74" i="103"/>
  <c r="BM74" i="103"/>
  <c r="BM70" i="103"/>
  <c r="BG6" i="99" s="1"/>
  <c r="BR70" i="103"/>
  <c r="BL6" i="99" s="1"/>
  <c r="BR72" i="103"/>
  <c r="BM72" i="103"/>
  <c r="BR71" i="103"/>
  <c r="BM71" i="103"/>
  <c r="BR67" i="103"/>
  <c r="BM67" i="103"/>
  <c r="BM73" i="103"/>
  <c r="BR73" i="103"/>
  <c r="AY9" i="103"/>
  <c r="V10" i="99"/>
  <c r="AY52" i="103"/>
  <c r="AF10" i="110"/>
  <c r="CB84" i="101"/>
  <c r="AF80" i="99"/>
  <c r="BF79" i="103"/>
  <c r="AF9" i="110"/>
  <c r="AI10" i="101"/>
  <c r="Z11" i="99"/>
  <c r="Q11" i="110"/>
  <c r="AN75" i="101"/>
  <c r="AP75" i="103"/>
  <c r="BW11" i="101"/>
  <c r="AP77" i="103"/>
  <c r="Q11" i="99"/>
  <c r="BF77" i="103"/>
  <c r="AF83" i="99"/>
  <c r="T22" i="97"/>
  <c r="AI11" i="101"/>
  <c r="AF81" i="99"/>
  <c r="W80" i="110"/>
  <c r="BF76" i="103"/>
  <c r="U11" i="99"/>
  <c r="AP76" i="103"/>
  <c r="CB81" i="101"/>
  <c r="W84" i="110"/>
  <c r="W9" i="103"/>
  <c r="CJ10" i="101"/>
  <c r="W83" i="110"/>
  <c r="AN78" i="101"/>
  <c r="W82" i="110"/>
  <c r="BF75" i="103"/>
  <c r="CB80" i="101"/>
  <c r="W81" i="110"/>
  <c r="AP79" i="103"/>
  <c r="AN76" i="101"/>
  <c r="AO10" i="99"/>
  <c r="AN79" i="101"/>
  <c r="AS23" i="96"/>
  <c r="CB83" i="101"/>
  <c r="AF82" i="99"/>
  <c r="AN77" i="101"/>
  <c r="AP78" i="103"/>
  <c r="AF84" i="99"/>
  <c r="BF78" i="103"/>
  <c r="CB82" i="101"/>
  <c r="M13" i="107"/>
  <c r="I13" i="107"/>
  <c r="AJ10" i="101" l="1"/>
  <c r="AG9" i="110"/>
  <c r="AH9" i="110" s="1"/>
  <c r="AS9" i="110" s="1"/>
  <c r="AJ11" i="101"/>
  <c r="BG75" i="101"/>
  <c r="W15" i="101" s="1"/>
  <c r="BG77" i="101"/>
  <c r="BG79" i="101"/>
  <c r="BG78" i="101"/>
  <c r="BG76" i="101"/>
  <c r="AG11" i="108"/>
  <c r="O11" i="103"/>
  <c r="AK11" i="103" s="1"/>
  <c r="AL11" i="103" s="1"/>
  <c r="P23" i="97"/>
  <c r="AP10" i="99"/>
  <c r="BX11" i="101"/>
  <c r="AA11" i="99"/>
  <c r="AC11" i="108"/>
  <c r="R11" i="110"/>
  <c r="AK10" i="103"/>
  <c r="AL10" i="103" s="1"/>
  <c r="BM76" i="103"/>
  <c r="BR76" i="103"/>
  <c r="BR78" i="103"/>
  <c r="BM78" i="103"/>
  <c r="BM77" i="103"/>
  <c r="BR77" i="103"/>
  <c r="BM75" i="103"/>
  <c r="BG7" i="99" s="1"/>
  <c r="BR75" i="103"/>
  <c r="BL7" i="99" s="1"/>
  <c r="BM79" i="103"/>
  <c r="BR79" i="103"/>
  <c r="AY10" i="103"/>
  <c r="V11" i="99"/>
  <c r="AY53" i="103"/>
  <c r="AN82" i="101"/>
  <c r="AN80" i="101"/>
  <c r="AN81" i="101"/>
  <c r="AN83" i="101"/>
  <c r="AN84" i="101"/>
  <c r="Z12" i="99"/>
  <c r="W87" i="110"/>
  <c r="AN86" i="101"/>
  <c r="AP84" i="103"/>
  <c r="W86" i="110"/>
  <c r="AP83" i="103"/>
  <c r="Q12" i="110"/>
  <c r="W10" i="103"/>
  <c r="W89" i="110"/>
  <c r="AP88" i="103"/>
  <c r="AF86" i="99"/>
  <c r="AP81" i="103"/>
  <c r="AN87" i="101"/>
  <c r="AF89" i="99"/>
  <c r="BF84" i="103"/>
  <c r="CB89" i="101"/>
  <c r="AP82" i="103"/>
  <c r="AN89" i="101"/>
  <c r="AF87" i="99"/>
  <c r="AP89" i="103"/>
  <c r="BF81" i="103"/>
  <c r="AP85" i="103"/>
  <c r="AF85" i="99"/>
  <c r="AO11" i="99" s="1"/>
  <c r="W11" i="103"/>
  <c r="AN88" i="101"/>
  <c r="CB86" i="101"/>
  <c r="AP87" i="103"/>
  <c r="BF82" i="103"/>
  <c r="AS24" i="96"/>
  <c r="CB85" i="101"/>
  <c r="CJ11" i="101" s="1"/>
  <c r="AF88" i="99"/>
  <c r="BF83" i="103"/>
  <c r="U12" i="99"/>
  <c r="T23" i="97"/>
  <c r="CB88" i="101"/>
  <c r="BF80" i="103"/>
  <c r="AP86" i="103"/>
  <c r="AP80" i="103"/>
  <c r="AN85" i="101"/>
  <c r="W85" i="110"/>
  <c r="CB87" i="101"/>
  <c r="BW12" i="101"/>
  <c r="W88" i="110"/>
  <c r="Q12" i="99"/>
  <c r="I14" i="107"/>
  <c r="M14" i="107"/>
  <c r="AS25" i="96"/>
  <c r="I15" i="107"/>
  <c r="M15" i="107"/>
  <c r="AS26" i="96"/>
  <c r="M16" i="107"/>
  <c r="AS27" i="96"/>
  <c r="I16" i="107"/>
  <c r="BG84" i="101" l="1"/>
  <c r="BG83" i="101"/>
  <c r="BG81" i="101"/>
  <c r="BG80" i="101"/>
  <c r="W16" i="101" s="1"/>
  <c r="BG82" i="101"/>
  <c r="AG10" i="110"/>
  <c r="AH10" i="110" s="1"/>
  <c r="AS10" i="110" s="1"/>
  <c r="P26" i="97"/>
  <c r="P25" i="97"/>
  <c r="P24" i="97"/>
  <c r="BG86" i="101"/>
  <c r="BG87" i="101"/>
  <c r="BG85" i="101"/>
  <c r="W17" i="101" s="1"/>
  <c r="BG88" i="101"/>
  <c r="BG89" i="101"/>
  <c r="AP11" i="99"/>
  <c r="AG12" i="108"/>
  <c r="AA12" i="99"/>
  <c r="BX12" i="101"/>
  <c r="O12" i="103"/>
  <c r="R12" i="110"/>
  <c r="AC12" i="108"/>
  <c r="AD62" i="91"/>
  <c r="AD69" i="91"/>
  <c r="AD60" i="91"/>
  <c r="AD53" i="91"/>
  <c r="AD67" i="91"/>
  <c r="BM83" i="103"/>
  <c r="BR83" i="103"/>
  <c r="BM82" i="103"/>
  <c r="BR82" i="103"/>
  <c r="BM84" i="103"/>
  <c r="BR84" i="103"/>
  <c r="BM80" i="103"/>
  <c r="BG8" i="99" s="1"/>
  <c r="BR80" i="103"/>
  <c r="BL8" i="99" s="1"/>
  <c r="BR81" i="103"/>
  <c r="BM81" i="103"/>
  <c r="AY11" i="103"/>
  <c r="V12" i="99"/>
  <c r="AY54" i="103"/>
  <c r="P27" i="97"/>
  <c r="AC15" i="108"/>
  <c r="AF11" i="110"/>
  <c r="CB90" i="101"/>
  <c r="Z15" i="99"/>
  <c r="Q13" i="110"/>
  <c r="BF86" i="103"/>
  <c r="Q15" i="99"/>
  <c r="Z16" i="99"/>
  <c r="T26" i="97"/>
  <c r="M17" i="107"/>
  <c r="AI12" i="101"/>
  <c r="Z14" i="99"/>
  <c r="I17" i="107"/>
  <c r="BW14" i="101"/>
  <c r="U14" i="99"/>
  <c r="BW16" i="101"/>
  <c r="Q16" i="110"/>
  <c r="Q16" i="99"/>
  <c r="BF88" i="103"/>
  <c r="U13" i="99"/>
  <c r="BF87" i="103"/>
  <c r="W94" i="110"/>
  <c r="U15" i="99"/>
  <c r="T27" i="97"/>
  <c r="T25" i="97"/>
  <c r="AS28" i="96"/>
  <c r="AF94" i="99"/>
  <c r="AF90" i="99"/>
  <c r="W93" i="110"/>
  <c r="BW13" i="101"/>
  <c r="W92" i="110"/>
  <c r="Q15" i="110"/>
  <c r="W91" i="110"/>
  <c r="Q14" i="110"/>
  <c r="T24" i="97"/>
  <c r="AI13" i="101" s="1"/>
  <c r="Z13" i="99"/>
  <c r="W90" i="110"/>
  <c r="Q14" i="99"/>
  <c r="AF92" i="99"/>
  <c r="AF93" i="99"/>
  <c r="AI14" i="101"/>
  <c r="Q13" i="99"/>
  <c r="BF85" i="103"/>
  <c r="BF89" i="103"/>
  <c r="AF91" i="99"/>
  <c r="U16" i="99"/>
  <c r="CB93" i="101"/>
  <c r="AI15" i="101"/>
  <c r="CB92" i="101"/>
  <c r="BW15" i="101"/>
  <c r="CB94" i="101"/>
  <c r="CB91" i="101"/>
  <c r="AG11" i="110" l="1"/>
  <c r="AJ13" i="101"/>
  <c r="AJ14" i="101"/>
  <c r="AJ12" i="101"/>
  <c r="AG13" i="108"/>
  <c r="R13" i="110"/>
  <c r="O13" i="103"/>
  <c r="BX13" i="101"/>
  <c r="BX14" i="101" s="1"/>
  <c r="AA13" i="99"/>
  <c r="AA14" i="99" s="1"/>
  <c r="O14" i="103"/>
  <c r="AG14" i="108"/>
  <c r="AG15" i="108"/>
  <c r="O15" i="103"/>
  <c r="AK15" i="103" s="1"/>
  <c r="AL15" i="103" s="1"/>
  <c r="AH11" i="110"/>
  <c r="AS11" i="110" s="1"/>
  <c r="AC13" i="108"/>
  <c r="AC14" i="108"/>
  <c r="AK12" i="103"/>
  <c r="AL12" i="103" s="1"/>
  <c r="AD54" i="91"/>
  <c r="AD55" i="91"/>
  <c r="AD77" i="91"/>
  <c r="AD66" i="91"/>
  <c r="CK8" i="101"/>
  <c r="CL8" i="101" s="1"/>
  <c r="BM85" i="103"/>
  <c r="BG9" i="99" s="1"/>
  <c r="BR85" i="103"/>
  <c r="BL9" i="99" s="1"/>
  <c r="BR88" i="103"/>
  <c r="BM88" i="103"/>
  <c r="BR87" i="103"/>
  <c r="BM87" i="103"/>
  <c r="BM89" i="103"/>
  <c r="BR89" i="103"/>
  <c r="BM86" i="103"/>
  <c r="BR86" i="103"/>
  <c r="AY12" i="103"/>
  <c r="V13" i="99"/>
  <c r="AY55" i="103"/>
  <c r="AJ15" i="101"/>
  <c r="AG16" i="108"/>
  <c r="O16" i="103"/>
  <c r="P28" i="97"/>
  <c r="AC16" i="108"/>
  <c r="AF96" i="99"/>
  <c r="AP92" i="103"/>
  <c r="W97" i="110"/>
  <c r="CB96" i="101"/>
  <c r="AF99" i="99"/>
  <c r="BF94" i="103"/>
  <c r="W99" i="110"/>
  <c r="BF91" i="103"/>
  <c r="Q17" i="99"/>
  <c r="Q17" i="110"/>
  <c r="AN99" i="101"/>
  <c r="AF97" i="99"/>
  <c r="CB102" i="101"/>
  <c r="W98" i="110"/>
  <c r="AN95" i="101"/>
  <c r="CB103" i="101"/>
  <c r="AN109" i="101"/>
  <c r="BW17" i="101"/>
  <c r="BF92" i="103"/>
  <c r="T28" i="97"/>
  <c r="AN106" i="101"/>
  <c r="AI16" i="101"/>
  <c r="AN92" i="101"/>
  <c r="AN90" i="101"/>
  <c r="M18" i="107"/>
  <c r="BF93" i="103"/>
  <c r="Z17" i="99"/>
  <c r="AN93" i="101"/>
  <c r="AF100" i="99"/>
  <c r="AN108" i="101"/>
  <c r="CB101" i="101"/>
  <c r="AF104" i="99"/>
  <c r="AN91" i="101"/>
  <c r="AN94" i="101"/>
  <c r="AF102" i="99"/>
  <c r="W12" i="103"/>
  <c r="AN104" i="101"/>
  <c r="AS29" i="96"/>
  <c r="AF101" i="99"/>
  <c r="W15" i="103"/>
  <c r="AN98" i="101"/>
  <c r="AN103" i="101"/>
  <c r="AN107" i="101"/>
  <c r="CB104" i="101"/>
  <c r="AN97" i="101"/>
  <c r="AF103" i="99"/>
  <c r="AN96" i="101"/>
  <c r="CB97" i="101"/>
  <c r="AP94" i="103"/>
  <c r="AN102" i="101"/>
  <c r="I18" i="107"/>
  <c r="CB95" i="101"/>
  <c r="CB98" i="101"/>
  <c r="AF95" i="99"/>
  <c r="AO12" i="99" s="1"/>
  <c r="AN101" i="101"/>
  <c r="AP93" i="103"/>
  <c r="BF90" i="103"/>
  <c r="CB99" i="101"/>
  <c r="AN105" i="101"/>
  <c r="AN100" i="101"/>
  <c r="AP90" i="103"/>
  <c r="U17" i="99"/>
  <c r="W95" i="110"/>
  <c r="AF98" i="99"/>
  <c r="AP91" i="103"/>
  <c r="W96" i="110"/>
  <c r="CB100" i="101"/>
  <c r="BG96" i="101" l="1"/>
  <c r="BG97" i="101"/>
  <c r="BG99" i="101"/>
  <c r="BG98" i="101"/>
  <c r="BG94" i="101"/>
  <c r="BG93" i="101"/>
  <c r="BG91" i="101"/>
  <c r="BG90" i="101"/>
  <c r="W18" i="101" s="1"/>
  <c r="BG92" i="101"/>
  <c r="BG95" i="101"/>
  <c r="W19" i="101" s="1"/>
  <c r="AP12" i="99"/>
  <c r="BG100" i="101"/>
  <c r="W20" i="101" s="1"/>
  <c r="BG101" i="101"/>
  <c r="BG102" i="101"/>
  <c r="BG103" i="101"/>
  <c r="BG104" i="101"/>
  <c r="AK13" i="103"/>
  <c r="AL13" i="103" s="1"/>
  <c r="AK14" i="103"/>
  <c r="AL14" i="103" s="1"/>
  <c r="R14" i="110"/>
  <c r="AD79" i="91"/>
  <c r="AD64" i="91"/>
  <c r="AD70" i="91"/>
  <c r="AD72" i="91"/>
  <c r="AD68" i="91"/>
  <c r="AD56" i="91"/>
  <c r="AD57" i="91"/>
  <c r="AD61" i="91"/>
  <c r="AD63" i="91"/>
  <c r="AD71" i="91"/>
  <c r="CK9" i="101"/>
  <c r="CL9" i="101" s="1"/>
  <c r="AQ8" i="99"/>
  <c r="BB8" i="99" s="1"/>
  <c r="R15" i="110"/>
  <c r="BX15" i="101"/>
  <c r="AA15" i="99"/>
  <c r="BM90" i="103"/>
  <c r="BG10" i="99" s="1"/>
  <c r="BR90" i="103"/>
  <c r="BL10" i="99" s="1"/>
  <c r="BR93" i="103"/>
  <c r="BM93" i="103"/>
  <c r="BM91" i="103"/>
  <c r="BR91" i="103"/>
  <c r="BM92" i="103"/>
  <c r="BR92" i="103"/>
  <c r="BR94" i="103"/>
  <c r="BM94" i="103"/>
  <c r="AY56" i="103"/>
  <c r="AY13" i="103"/>
  <c r="V14" i="99"/>
  <c r="AJ16" i="101"/>
  <c r="BG109" i="101"/>
  <c r="BG108" i="101"/>
  <c r="BG105" i="101"/>
  <c r="W21" i="101" s="1"/>
  <c r="BG106" i="101"/>
  <c r="BG107" i="101"/>
  <c r="O17" i="103"/>
  <c r="AG17" i="108"/>
  <c r="P29" i="97"/>
  <c r="AC17" i="108"/>
  <c r="AK16" i="103"/>
  <c r="AL16" i="103" s="1"/>
  <c r="AF12" i="110"/>
  <c r="CB105" i="101"/>
  <c r="AF106" i="99"/>
  <c r="AP109" i="103"/>
  <c r="AP111" i="103"/>
  <c r="CJ12" i="101"/>
  <c r="BF95" i="103"/>
  <c r="BF99" i="103"/>
  <c r="M19" i="107"/>
  <c r="W109" i="110"/>
  <c r="AN113" i="101"/>
  <c r="W16" i="103"/>
  <c r="AP96" i="103"/>
  <c r="U18" i="99"/>
  <c r="CB109" i="101"/>
  <c r="W105" i="110"/>
  <c r="Q18" i="99"/>
  <c r="W104" i="110"/>
  <c r="AP95" i="103"/>
  <c r="AS30" i="96"/>
  <c r="AP98" i="103"/>
  <c r="AI17" i="101"/>
  <c r="W103" i="110"/>
  <c r="AP112" i="103"/>
  <c r="Z18" i="99"/>
  <c r="W13" i="103"/>
  <c r="AP97" i="103"/>
  <c r="W14" i="103"/>
  <c r="W100" i="110"/>
  <c r="AP99" i="103"/>
  <c r="AP114" i="103"/>
  <c r="W102" i="110"/>
  <c r="CB107" i="101"/>
  <c r="AF107" i="99"/>
  <c r="AP103" i="103"/>
  <c r="W108" i="110"/>
  <c r="W101" i="110"/>
  <c r="BF97" i="103"/>
  <c r="AP100" i="103"/>
  <c r="AP101" i="103"/>
  <c r="I19" i="107"/>
  <c r="BW18" i="101"/>
  <c r="BF96" i="103"/>
  <c r="CB106" i="101"/>
  <c r="CB108" i="101"/>
  <c r="AP104" i="103"/>
  <c r="BF98" i="103"/>
  <c r="W106" i="110"/>
  <c r="AN112" i="101"/>
  <c r="Q18" i="110"/>
  <c r="AP102" i="103"/>
  <c r="AP106" i="103"/>
  <c r="AF105" i="99"/>
  <c r="AN114" i="101"/>
  <c r="AP107" i="103"/>
  <c r="AP113" i="103"/>
  <c r="AN110" i="101"/>
  <c r="AP110" i="103"/>
  <c r="AP108" i="103"/>
  <c r="W107" i="110"/>
  <c r="AF108" i="99"/>
  <c r="T29" i="97"/>
  <c r="AP105" i="103"/>
  <c r="AF109" i="99"/>
  <c r="AN111" i="101"/>
  <c r="AG12" i="110" l="1"/>
  <c r="AH12" i="110" s="1"/>
  <c r="AS12" i="110" s="1"/>
  <c r="AJ17" i="101"/>
  <c r="AD88" i="91"/>
  <c r="AD91" i="91"/>
  <c r="AD65" i="91"/>
  <c r="AD59" i="91"/>
  <c r="AD74" i="91"/>
  <c r="AD85" i="91"/>
  <c r="AD58" i="91"/>
  <c r="AD75" i="91"/>
  <c r="AQ9" i="99"/>
  <c r="BB9" i="99" s="1"/>
  <c r="R16" i="110"/>
  <c r="BX16" i="101"/>
  <c r="AA16" i="99"/>
  <c r="BM95" i="103"/>
  <c r="BG11" i="99" s="1"/>
  <c r="BR95" i="103"/>
  <c r="BL11" i="99" s="1"/>
  <c r="BR99" i="103"/>
  <c r="BM99" i="103"/>
  <c r="BR98" i="103"/>
  <c r="BM98" i="103"/>
  <c r="BM96" i="103"/>
  <c r="BR96" i="103"/>
  <c r="BM97" i="103"/>
  <c r="BR97" i="103"/>
  <c r="AY14" i="103"/>
  <c r="V15" i="99"/>
  <c r="AY57" i="103"/>
  <c r="BG113" i="101"/>
  <c r="BG112" i="101"/>
  <c r="BG110" i="101"/>
  <c r="W22" i="101" s="1"/>
  <c r="BG114" i="101"/>
  <c r="BG111" i="101"/>
  <c r="AG18" i="108"/>
  <c r="O18" i="103"/>
  <c r="P30" i="97"/>
  <c r="AC18" i="108"/>
  <c r="AK17" i="103"/>
  <c r="AL17" i="103" s="1"/>
  <c r="AF13" i="110"/>
  <c r="CB114" i="101"/>
  <c r="BW19" i="101"/>
  <c r="AP119" i="103"/>
  <c r="BF102" i="103"/>
  <c r="W114" i="110"/>
  <c r="W111" i="110"/>
  <c r="BF103" i="103"/>
  <c r="AF111" i="99"/>
  <c r="T30" i="97"/>
  <c r="AP118" i="103"/>
  <c r="CB110" i="101"/>
  <c r="BF101" i="103"/>
  <c r="AF112" i="99"/>
  <c r="CJ13" i="101"/>
  <c r="BF100" i="103"/>
  <c r="AP116" i="103"/>
  <c r="W112" i="110"/>
  <c r="Q19" i="99"/>
  <c r="AI18" i="101"/>
  <c r="CB111" i="101"/>
  <c r="W110" i="110"/>
  <c r="AS31" i="96"/>
  <c r="CB112" i="101"/>
  <c r="U19" i="99"/>
  <c r="AO13" i="99"/>
  <c r="AN116" i="101"/>
  <c r="W113" i="110"/>
  <c r="I20" i="107"/>
  <c r="AF110" i="99"/>
  <c r="AN118" i="101"/>
  <c r="BF104" i="103"/>
  <c r="Z19" i="99"/>
  <c r="AN119" i="101"/>
  <c r="AN115" i="101"/>
  <c r="AF114" i="99"/>
  <c r="Q19" i="110"/>
  <c r="CB113" i="101"/>
  <c r="W17" i="103"/>
  <c r="AF113" i="99"/>
  <c r="AP115" i="103"/>
  <c r="AN117" i="101"/>
  <c r="AP117" i="103"/>
  <c r="I21" i="107"/>
  <c r="M20" i="107"/>
  <c r="AG13" i="110" l="1"/>
  <c r="AH13" i="110" s="1"/>
  <c r="AS13" i="110" s="1"/>
  <c r="BG117" i="101"/>
  <c r="BG115" i="101"/>
  <c r="W23" i="101" s="1"/>
  <c r="BG119" i="101"/>
  <c r="BG118" i="101"/>
  <c r="BG116" i="101"/>
  <c r="AP13" i="99"/>
  <c r="AD97" i="91"/>
  <c r="AD76" i="91"/>
  <c r="AD90" i="91"/>
  <c r="AD95" i="91"/>
  <c r="AD86" i="91"/>
  <c r="AD92" i="91"/>
  <c r="AD73" i="91"/>
  <c r="CK10" i="101"/>
  <c r="CL10" i="101" s="1"/>
  <c r="R17" i="110"/>
  <c r="AA17" i="99"/>
  <c r="BX17" i="101"/>
  <c r="BM104" i="103"/>
  <c r="BR104" i="103"/>
  <c r="BM100" i="103"/>
  <c r="BG12" i="99" s="1"/>
  <c r="BR100" i="103"/>
  <c r="BL12" i="99" s="1"/>
  <c r="BR102" i="103"/>
  <c r="BM102" i="103"/>
  <c r="BR103" i="103"/>
  <c r="BM103" i="103"/>
  <c r="BM101" i="103"/>
  <c r="BR101" i="103"/>
  <c r="AY15" i="103"/>
  <c r="V16" i="99"/>
  <c r="AY58" i="103"/>
  <c r="AJ18" i="101"/>
  <c r="O19" i="103"/>
  <c r="AG19" i="108"/>
  <c r="P31" i="97"/>
  <c r="AC19" i="108"/>
  <c r="AK18" i="103"/>
  <c r="AL18" i="103" s="1"/>
  <c r="AP124" i="103"/>
  <c r="AF116" i="99"/>
  <c r="AF115" i="99"/>
  <c r="AN120" i="101"/>
  <c r="AI19" i="101"/>
  <c r="AS32" i="96"/>
  <c r="W117" i="110"/>
  <c r="W115" i="110"/>
  <c r="T31" i="97"/>
  <c r="Q20" i="110"/>
  <c r="AP120" i="103"/>
  <c r="Z20" i="99"/>
  <c r="AP121" i="103"/>
  <c r="AN121" i="101"/>
  <c r="AF119" i="99"/>
  <c r="AF118" i="99"/>
  <c r="BW20" i="101"/>
  <c r="AN124" i="101"/>
  <c r="CB115" i="101"/>
  <c r="CB117" i="101"/>
  <c r="AN122" i="101"/>
  <c r="BF106" i="103"/>
  <c r="BF107" i="103"/>
  <c r="CB116" i="101"/>
  <c r="W119" i="110"/>
  <c r="CB118" i="101"/>
  <c r="U20" i="99"/>
  <c r="AP123" i="103"/>
  <c r="BF109" i="103"/>
  <c r="AN123" i="101"/>
  <c r="BF108" i="103"/>
  <c r="Q20" i="99"/>
  <c r="W18" i="103"/>
  <c r="AF117" i="99"/>
  <c r="CB119" i="101"/>
  <c r="W118" i="110"/>
  <c r="I22" i="107"/>
  <c r="W116" i="110"/>
  <c r="M21" i="107"/>
  <c r="BF105" i="103"/>
  <c r="AP122" i="103"/>
  <c r="M22" i="107"/>
  <c r="AD96" i="91" l="1"/>
  <c r="AD99" i="91"/>
  <c r="AD83" i="91"/>
  <c r="AD89" i="91"/>
  <c r="AD81" i="91"/>
  <c r="AD82" i="91"/>
  <c r="AD78" i="91"/>
  <c r="AD84" i="91"/>
  <c r="AD87" i="91"/>
  <c r="AD80" i="91"/>
  <c r="CK11" i="101"/>
  <c r="CL11" i="101" s="1"/>
  <c r="AQ10" i="99"/>
  <c r="BB10" i="99" s="1"/>
  <c r="R18" i="110"/>
  <c r="AJ19" i="101"/>
  <c r="BX18" i="101"/>
  <c r="AA18" i="99"/>
  <c r="BR109" i="103"/>
  <c r="BM109" i="103"/>
  <c r="BR108" i="103"/>
  <c r="BM108" i="103"/>
  <c r="BM105" i="103"/>
  <c r="BG13" i="99" s="1"/>
  <c r="BR105" i="103"/>
  <c r="BL13" i="99" s="1"/>
  <c r="BM106" i="103"/>
  <c r="BR106" i="103"/>
  <c r="BM107" i="103"/>
  <c r="BR107" i="103"/>
  <c r="AY16" i="103"/>
  <c r="V17" i="99"/>
  <c r="AY59" i="103"/>
  <c r="BG120" i="101"/>
  <c r="W24" i="101" s="1"/>
  <c r="BG122" i="101"/>
  <c r="BG121" i="101"/>
  <c r="BG124" i="101"/>
  <c r="BG123" i="101"/>
  <c r="O20" i="103"/>
  <c r="AG20" i="108"/>
  <c r="P32" i="97"/>
  <c r="AC20" i="108"/>
  <c r="AK19" i="103"/>
  <c r="AL19" i="103" s="1"/>
  <c r="AF14" i="110"/>
  <c r="Q21" i="99"/>
  <c r="AP127" i="103"/>
  <c r="W124" i="110"/>
  <c r="Q21" i="110"/>
  <c r="BW21" i="101"/>
  <c r="AN127" i="101"/>
  <c r="T32" i="97"/>
  <c r="AN128" i="101"/>
  <c r="AP125" i="103"/>
  <c r="CB120" i="101"/>
  <c r="U21" i="99"/>
  <c r="AP126" i="103"/>
  <c r="CB122" i="101"/>
  <c r="W123" i="110"/>
  <c r="BF110" i="103"/>
  <c r="AN126" i="101"/>
  <c r="W120" i="110"/>
  <c r="CB124" i="101"/>
  <c r="AF123" i="99"/>
  <c r="AS33" i="96"/>
  <c r="AF124" i="99"/>
  <c r="AF121" i="99"/>
  <c r="AO14" i="99"/>
  <c r="BF111" i="103"/>
  <c r="AF122" i="99"/>
  <c r="AN125" i="101"/>
  <c r="BF113" i="103"/>
  <c r="Z21" i="99"/>
  <c r="CB121" i="101"/>
  <c r="CJ14" i="101"/>
  <c r="AN129" i="101"/>
  <c r="AP129" i="103"/>
  <c r="AF120" i="99"/>
  <c r="CB123" i="101"/>
  <c r="BF112" i="103"/>
  <c r="W121" i="110"/>
  <c r="AI20" i="101"/>
  <c r="AP128" i="103"/>
  <c r="W122" i="110"/>
  <c r="BF114" i="103"/>
  <c r="W19" i="103"/>
  <c r="AG14" i="110" l="1"/>
  <c r="AH14" i="110" s="1"/>
  <c r="AS14" i="110" s="1"/>
  <c r="AP14" i="99"/>
  <c r="CK12" i="101"/>
  <c r="CL12" i="101" s="1"/>
  <c r="AD105" i="91"/>
  <c r="AD100" i="91"/>
  <c r="AD103" i="91"/>
  <c r="AD107" i="91"/>
  <c r="AD93" i="91"/>
  <c r="AD94" i="91"/>
  <c r="AD101" i="91"/>
  <c r="AD106" i="91"/>
  <c r="AQ12" i="99"/>
  <c r="BB12" i="99" s="1"/>
  <c r="AQ11" i="99"/>
  <c r="BB11" i="99" s="1"/>
  <c r="R19" i="110"/>
  <c r="BG125" i="101"/>
  <c r="W25" i="101" s="1"/>
  <c r="BG128" i="101"/>
  <c r="BG127" i="101"/>
  <c r="BG129" i="101"/>
  <c r="BG126" i="101"/>
  <c r="AA19" i="99"/>
  <c r="BX19" i="101"/>
  <c r="BM112" i="103"/>
  <c r="BR112" i="103"/>
  <c r="BR113" i="103"/>
  <c r="BM113" i="103"/>
  <c r="BR111" i="103"/>
  <c r="BM111" i="103"/>
  <c r="BR114" i="103"/>
  <c r="BM114" i="103"/>
  <c r="BR110" i="103"/>
  <c r="BL14" i="99" s="1"/>
  <c r="BM110" i="103"/>
  <c r="BG14" i="99" s="1"/>
  <c r="AY17" i="103"/>
  <c r="V18" i="99"/>
  <c r="AY60" i="103"/>
  <c r="AJ20" i="101"/>
  <c r="AG21" i="108"/>
  <c r="O21" i="103"/>
  <c r="P33" i="97"/>
  <c r="AC21" i="108"/>
  <c r="AK20" i="103"/>
  <c r="AL20" i="103" s="1"/>
  <c r="AP130" i="103"/>
  <c r="AN132" i="101"/>
  <c r="AF127" i="99"/>
  <c r="AN134" i="101"/>
  <c r="BF115" i="103"/>
  <c r="AS34" i="96"/>
  <c r="CB128" i="101"/>
  <c r="W128" i="110"/>
  <c r="AF128" i="99"/>
  <c r="CB126" i="101"/>
  <c r="Z22" i="99"/>
  <c r="AN130" i="101"/>
  <c r="AF126" i="99"/>
  <c r="AP132" i="103"/>
  <c r="T33" i="97"/>
  <c r="W127" i="110"/>
  <c r="AP134" i="103"/>
  <c r="I23" i="107"/>
  <c r="AN133" i="101"/>
  <c r="CB129" i="101"/>
  <c r="Q22" i="110"/>
  <c r="W20" i="103"/>
  <c r="AP131" i="103"/>
  <c r="AF125" i="99"/>
  <c r="BW22" i="101"/>
  <c r="AP133" i="103"/>
  <c r="W125" i="110"/>
  <c r="BF117" i="103"/>
  <c r="U22" i="99"/>
  <c r="AI21" i="101"/>
  <c r="BF118" i="103"/>
  <c r="AF129" i="99"/>
  <c r="Q22" i="99"/>
  <c r="AN131" i="101"/>
  <c r="CB125" i="101"/>
  <c r="W126" i="110"/>
  <c r="BF116" i="103"/>
  <c r="CB127" i="101"/>
  <c r="BF119" i="103"/>
  <c r="M23" i="107"/>
  <c r="W129" i="110"/>
  <c r="AD111" i="91" l="1"/>
  <c r="AD112" i="91"/>
  <c r="AD102" i="91"/>
  <c r="AD98" i="91"/>
  <c r="R20" i="110"/>
  <c r="AJ21" i="101"/>
  <c r="BX20" i="101"/>
  <c r="AA20" i="99"/>
  <c r="BR117" i="103"/>
  <c r="BM117" i="103"/>
  <c r="BM115" i="103"/>
  <c r="BG15" i="99" s="1"/>
  <c r="BR115" i="103"/>
  <c r="BL15" i="99" s="1"/>
  <c r="BM116" i="103"/>
  <c r="BR116" i="103"/>
  <c r="BM119" i="103"/>
  <c r="BR119" i="103"/>
  <c r="BM118" i="103"/>
  <c r="BR118" i="103"/>
  <c r="AY18" i="103"/>
  <c r="V19" i="99"/>
  <c r="AY61" i="103"/>
  <c r="BG134" i="101"/>
  <c r="BG131" i="101"/>
  <c r="BG130" i="101"/>
  <c r="W26" i="101" s="1"/>
  <c r="BG132" i="101"/>
  <c r="BG133" i="101"/>
  <c r="AG22" i="108"/>
  <c r="O22" i="103"/>
  <c r="P34" i="97"/>
  <c r="AC22" i="108"/>
  <c r="AK21" i="103"/>
  <c r="AL21" i="103" s="1"/>
  <c r="AF15" i="110"/>
  <c r="AN139" i="101"/>
  <c r="W131" i="110"/>
  <c r="AI22" i="101"/>
  <c r="AP138" i="103"/>
  <c r="BF121" i="103"/>
  <c r="AN136" i="101"/>
  <c r="I24" i="107"/>
  <c r="AF132" i="99"/>
  <c r="AP137" i="103"/>
  <c r="W134" i="110"/>
  <c r="BW23" i="101"/>
  <c r="AS35" i="96"/>
  <c r="CB130" i="101"/>
  <c r="AF134" i="99"/>
  <c r="AF133" i="99"/>
  <c r="AP139" i="103"/>
  <c r="BF124" i="103"/>
  <c r="M24" i="107"/>
  <c r="AF131" i="99"/>
  <c r="CB132" i="101"/>
  <c r="BF120" i="103"/>
  <c r="AN138" i="101"/>
  <c r="U23" i="99"/>
  <c r="AP136" i="103"/>
  <c r="Q23" i="99"/>
  <c r="BF122" i="103"/>
  <c r="W130" i="110"/>
  <c r="T34" i="97"/>
  <c r="W21" i="103"/>
  <c r="BF123" i="103"/>
  <c r="AN137" i="101"/>
  <c r="Z23" i="99"/>
  <c r="W132" i="110"/>
  <c r="CB131" i="101"/>
  <c r="Q23" i="110"/>
  <c r="W133" i="110"/>
  <c r="M25" i="107"/>
  <c r="AP135" i="103"/>
  <c r="CB133" i="101"/>
  <c r="CJ15" i="101"/>
  <c r="AO15" i="99"/>
  <c r="CB134" i="101"/>
  <c r="AN135" i="101"/>
  <c r="AF130" i="99"/>
  <c r="AG15" i="110" l="1"/>
  <c r="AH15" i="110" s="1"/>
  <c r="AS15" i="110" s="1"/>
  <c r="AP15" i="99"/>
  <c r="AD104" i="91"/>
  <c r="CK13" i="101"/>
  <c r="CL13" i="101" s="1"/>
  <c r="R21" i="110"/>
  <c r="BG138" i="101"/>
  <c r="BG137" i="101"/>
  <c r="BG136" i="101"/>
  <c r="BG139" i="101"/>
  <c r="BG135" i="101"/>
  <c r="W27" i="101" s="1"/>
  <c r="AA21" i="99"/>
  <c r="BX21" i="101"/>
  <c r="BM122" i="103"/>
  <c r="BR122" i="103"/>
  <c r="BM124" i="103"/>
  <c r="BR124" i="103"/>
  <c r="BR121" i="103"/>
  <c r="BM121" i="103"/>
  <c r="BR120" i="103"/>
  <c r="BL16" i="99" s="1"/>
  <c r="BM120" i="103"/>
  <c r="BG16" i="99" s="1"/>
  <c r="BM123" i="103"/>
  <c r="BR123" i="103"/>
  <c r="AY19" i="103"/>
  <c r="V20" i="99"/>
  <c r="AY62" i="103"/>
  <c r="AJ22" i="101"/>
  <c r="P35" i="97"/>
  <c r="O23" i="103"/>
  <c r="AG23" i="108"/>
  <c r="AK22" i="103"/>
  <c r="AL22" i="103" s="1"/>
  <c r="AC23" i="108"/>
  <c r="BF127" i="103"/>
  <c r="AN142" i="101"/>
  <c r="AN143" i="101"/>
  <c r="BF128" i="103"/>
  <c r="AF138" i="99"/>
  <c r="W135" i="110"/>
  <c r="W137" i="110"/>
  <c r="AF137" i="99"/>
  <c r="CB139" i="101"/>
  <c r="AF139" i="99"/>
  <c r="Z24" i="99"/>
  <c r="AP142" i="103"/>
  <c r="AI23" i="101"/>
  <c r="Q24" i="110"/>
  <c r="CB136" i="101"/>
  <c r="AS36" i="96"/>
  <c r="AF136" i="99"/>
  <c r="CB135" i="101"/>
  <c r="AN140" i="101"/>
  <c r="U24" i="99"/>
  <c r="BF129" i="103"/>
  <c r="CB138" i="101"/>
  <c r="Q24" i="99"/>
  <c r="W139" i="110"/>
  <c r="W136" i="110"/>
  <c r="AP140" i="103"/>
  <c r="AP141" i="103"/>
  <c r="BW24" i="101"/>
  <c r="W138" i="110"/>
  <c r="CB137" i="101"/>
  <c r="BF125" i="103"/>
  <c r="T35" i="97"/>
  <c r="AN144" i="101"/>
  <c r="I25" i="107"/>
  <c r="AF135" i="99"/>
  <c r="AN141" i="101"/>
  <c r="AP144" i="103"/>
  <c r="BF126" i="103"/>
  <c r="W22" i="103"/>
  <c r="AP143" i="103"/>
  <c r="M26" i="107"/>
  <c r="AD113" i="91" l="1"/>
  <c r="AD118" i="91"/>
  <c r="AD121" i="91"/>
  <c r="AD108" i="91"/>
  <c r="AD110" i="91"/>
  <c r="AD116" i="91"/>
  <c r="AD109" i="91"/>
  <c r="CK14" i="101"/>
  <c r="CL14" i="101" s="1"/>
  <c r="AQ13" i="99"/>
  <c r="BB13" i="99" s="1"/>
  <c r="R22" i="110"/>
  <c r="BX22" i="101"/>
  <c r="AA22" i="99"/>
  <c r="BR127" i="103"/>
  <c r="BM127" i="103"/>
  <c r="BM129" i="103"/>
  <c r="BR129" i="103"/>
  <c r="BM125" i="103"/>
  <c r="BG17" i="99" s="1"/>
  <c r="BR125" i="103"/>
  <c r="BL17" i="99" s="1"/>
  <c r="BM128" i="103"/>
  <c r="BR128" i="103"/>
  <c r="BM126" i="103"/>
  <c r="BR126" i="103"/>
  <c r="AY20" i="103"/>
  <c r="V21" i="99"/>
  <c r="AY63" i="103"/>
  <c r="AJ23" i="101"/>
  <c r="BG143" i="101"/>
  <c r="BG144" i="101"/>
  <c r="BG141" i="101"/>
  <c r="BG142" i="101"/>
  <c r="BG140" i="101"/>
  <c r="W28" i="101" s="1"/>
  <c r="O24" i="103"/>
  <c r="AG24" i="108"/>
  <c r="P36" i="97"/>
  <c r="AC24" i="108"/>
  <c r="AK23" i="103"/>
  <c r="AL23" i="103" s="1"/>
  <c r="I26" i="107"/>
  <c r="AP146" i="103"/>
  <c r="BF132" i="103"/>
  <c r="W141" i="110"/>
  <c r="AN149" i="101"/>
  <c r="AF141" i="99"/>
  <c r="U25" i="99"/>
  <c r="AS37" i="96"/>
  <c r="AN145" i="101"/>
  <c r="BF130" i="103"/>
  <c r="AP147" i="103"/>
  <c r="AO16" i="99"/>
  <c r="T36" i="97"/>
  <c r="W142" i="110"/>
  <c r="BW25" i="101"/>
  <c r="Z25" i="99"/>
  <c r="AP145" i="103"/>
  <c r="AF143" i="99"/>
  <c r="AP149" i="103"/>
  <c r="AI24" i="101"/>
  <c r="CB143" i="101"/>
  <c r="AP148" i="103"/>
  <c r="CB142" i="101"/>
  <c r="CJ16" i="101"/>
  <c r="AF140" i="99"/>
  <c r="BF134" i="103"/>
  <c r="BF133" i="103"/>
  <c r="W144" i="110"/>
  <c r="W23" i="103"/>
  <c r="CB141" i="101"/>
  <c r="Q25" i="99"/>
  <c r="AN147" i="101"/>
  <c r="AN146" i="101"/>
  <c r="CB144" i="101"/>
  <c r="CB140" i="101"/>
  <c r="AF144" i="99"/>
  <c r="Q25" i="110"/>
  <c r="AN148" i="101"/>
  <c r="BF131" i="103"/>
  <c r="W143" i="110"/>
  <c r="AF142" i="99"/>
  <c r="W140" i="110"/>
  <c r="AF16" i="110"/>
  <c r="AG16" i="110" l="1"/>
  <c r="AH16" i="110" s="1"/>
  <c r="AS16" i="110" s="1"/>
  <c r="AP16" i="99"/>
  <c r="AD126" i="91"/>
  <c r="AD125" i="91"/>
  <c r="AD117" i="91"/>
  <c r="AD115" i="91"/>
  <c r="AD119" i="91"/>
  <c r="AD114" i="91"/>
  <c r="AD123" i="91"/>
  <c r="AD122" i="91"/>
  <c r="AQ14" i="99"/>
  <c r="BB14" i="99" s="1"/>
  <c r="R23" i="110"/>
  <c r="AJ24" i="101"/>
  <c r="AA23" i="99"/>
  <c r="BX23" i="101"/>
  <c r="BR131" i="103"/>
  <c r="BM131" i="103"/>
  <c r="BM130" i="103"/>
  <c r="BG18" i="99" s="1"/>
  <c r="BR130" i="103"/>
  <c r="BL18" i="99" s="1"/>
  <c r="BR134" i="103"/>
  <c r="BM134" i="103"/>
  <c r="BM132" i="103"/>
  <c r="BR132" i="103"/>
  <c r="BM133" i="103"/>
  <c r="BR133" i="103"/>
  <c r="AY21" i="103"/>
  <c r="V22" i="99"/>
  <c r="AY64" i="103"/>
  <c r="BG147" i="101"/>
  <c r="BG146" i="101"/>
  <c r="BG145" i="101"/>
  <c r="W29" i="101" s="1"/>
  <c r="BG148" i="101"/>
  <c r="BG149" i="101"/>
  <c r="AG25" i="108"/>
  <c r="O25" i="103"/>
  <c r="P37" i="97"/>
  <c r="AC25" i="108"/>
  <c r="AK24" i="103"/>
  <c r="AL24" i="103" s="1"/>
  <c r="BF136" i="103"/>
  <c r="BF137" i="103"/>
  <c r="AN150" i="101"/>
  <c r="AF148" i="99"/>
  <c r="CB147" i="101"/>
  <c r="Q26" i="110"/>
  <c r="AF146" i="99"/>
  <c r="I27" i="107"/>
  <c r="BW26" i="101"/>
  <c r="AP152" i="103"/>
  <c r="AN154" i="101"/>
  <c r="AN152" i="101"/>
  <c r="U26" i="99"/>
  <c r="W148" i="110"/>
  <c r="BF138" i="103"/>
  <c r="W145" i="110"/>
  <c r="AP151" i="103"/>
  <c r="CB148" i="101"/>
  <c r="CB145" i="101"/>
  <c r="AF149" i="99"/>
  <c r="W24" i="103"/>
  <c r="Z26" i="99"/>
  <c r="AP150" i="103"/>
  <c r="AP153" i="103"/>
  <c r="M27" i="107"/>
  <c r="Q26" i="99"/>
  <c r="W149" i="110"/>
  <c r="W146" i="110"/>
  <c r="AN153" i="101"/>
  <c r="CB149" i="101"/>
  <c r="W147" i="110"/>
  <c r="AN151" i="101"/>
  <c r="AF145" i="99"/>
  <c r="AF147" i="99"/>
  <c r="BF139" i="103"/>
  <c r="T37" i="97"/>
  <c r="BF135" i="103"/>
  <c r="AP154" i="103"/>
  <c r="CB146" i="101"/>
  <c r="AI25" i="101"/>
  <c r="AD124" i="91" l="1"/>
  <c r="AD127" i="91"/>
  <c r="AD120" i="91"/>
  <c r="AD128" i="91"/>
  <c r="CK15" i="101"/>
  <c r="CL15" i="101" s="1"/>
  <c r="AQ15" i="99"/>
  <c r="BB15" i="99" s="1"/>
  <c r="R24" i="110"/>
  <c r="BG154" i="101"/>
  <c r="BG150" i="101"/>
  <c r="W30" i="101" s="1"/>
  <c r="BG152" i="101"/>
  <c r="BG153" i="101"/>
  <c r="BG151" i="101"/>
  <c r="AA24" i="99"/>
  <c r="BX24" i="101"/>
  <c r="BM137" i="103"/>
  <c r="BR137" i="103"/>
  <c r="BR135" i="103"/>
  <c r="BL19" i="99" s="1"/>
  <c r="BM135" i="103"/>
  <c r="BG19" i="99" s="1"/>
  <c r="BM138" i="103"/>
  <c r="BR138" i="103"/>
  <c r="BR136" i="103"/>
  <c r="BM136" i="103"/>
  <c r="BM139" i="103"/>
  <c r="BR139" i="103"/>
  <c r="AY65" i="103"/>
  <c r="AY22" i="103"/>
  <c r="V23" i="99"/>
  <c r="AJ25" i="101"/>
  <c r="AG26" i="108"/>
  <c r="O26" i="103"/>
  <c r="AK25" i="103"/>
  <c r="AL25" i="103" s="1"/>
  <c r="AC26" i="108"/>
  <c r="AF17" i="110"/>
  <c r="W25" i="103"/>
  <c r="W152" i="110"/>
  <c r="AP158" i="103"/>
  <c r="AI26" i="101"/>
  <c r="BF144" i="103"/>
  <c r="AN157" i="101"/>
  <c r="W150" i="110"/>
  <c r="AN159" i="101"/>
  <c r="CB154" i="101"/>
  <c r="AF151" i="99"/>
  <c r="W151" i="110"/>
  <c r="AF152" i="99"/>
  <c r="AF153" i="99"/>
  <c r="AP156" i="103"/>
  <c r="AF154" i="99"/>
  <c r="BF141" i="103"/>
  <c r="AP159" i="103"/>
  <c r="CB151" i="101"/>
  <c r="AN156" i="101"/>
  <c r="BF140" i="103"/>
  <c r="CJ17" i="101"/>
  <c r="AN155" i="101"/>
  <c r="AF150" i="99"/>
  <c r="CB152" i="101"/>
  <c r="W154" i="110"/>
  <c r="AP157" i="103"/>
  <c r="CB150" i="101"/>
  <c r="W153" i="110"/>
  <c r="BF143" i="103"/>
  <c r="BF142" i="103"/>
  <c r="AN158" i="101"/>
  <c r="AO17" i="99"/>
  <c r="AP155" i="103"/>
  <c r="CB153" i="101"/>
  <c r="AG17" i="110" l="1"/>
  <c r="AH17" i="110" s="1"/>
  <c r="AS17" i="110" s="1"/>
  <c r="AP17" i="99"/>
  <c r="AD132" i="91"/>
  <c r="AD135" i="91"/>
  <c r="AD129" i="91"/>
  <c r="AD130" i="91"/>
  <c r="AD131" i="91"/>
  <c r="R25" i="110"/>
  <c r="BX25" i="101"/>
  <c r="AA25" i="99"/>
  <c r="BR140" i="103"/>
  <c r="BL20" i="99" s="1"/>
  <c r="BM140" i="103"/>
  <c r="BG20" i="99" s="1"/>
  <c r="BM141" i="103"/>
  <c r="BR141" i="103"/>
  <c r="BR144" i="103"/>
  <c r="BM144" i="103"/>
  <c r="BM142" i="103"/>
  <c r="BR142" i="103"/>
  <c r="BR143" i="103"/>
  <c r="BM143" i="103"/>
  <c r="AY23" i="103"/>
  <c r="V24" i="99"/>
  <c r="AY66" i="103"/>
  <c r="AJ26" i="101"/>
  <c r="BG158" i="101"/>
  <c r="BG155" i="101"/>
  <c r="W31" i="101" s="1"/>
  <c r="BG157" i="101"/>
  <c r="BG159" i="101"/>
  <c r="BG156" i="101"/>
  <c r="AK26" i="103"/>
  <c r="AL26" i="103" s="1"/>
  <c r="W155" i="110"/>
  <c r="AP164" i="103"/>
  <c r="AP162" i="103"/>
  <c r="AP163" i="103"/>
  <c r="AF157" i="99"/>
  <c r="CB156" i="101"/>
  <c r="AN161" i="101"/>
  <c r="AP160" i="103"/>
  <c r="W156" i="110"/>
  <c r="AN162" i="101"/>
  <c r="BF146" i="103"/>
  <c r="W159" i="110"/>
  <c r="CB157" i="101"/>
  <c r="BF145" i="103"/>
  <c r="AF159" i="99"/>
  <c r="AN164" i="101"/>
  <c r="AF156" i="99"/>
  <c r="AN163" i="101"/>
  <c r="W158" i="110"/>
  <c r="AP161" i="103"/>
  <c r="BF149" i="103"/>
  <c r="CB155" i="101"/>
  <c r="CB159" i="101"/>
  <c r="CB158" i="101"/>
  <c r="AF155" i="99"/>
  <c r="W157" i="110"/>
  <c r="BF147" i="103"/>
  <c r="AF158" i="99"/>
  <c r="AP165" i="103"/>
  <c r="BF148" i="103"/>
  <c r="AN165" i="101"/>
  <c r="AN160" i="101"/>
  <c r="W26" i="103"/>
  <c r="AD142" i="91" l="1"/>
  <c r="R26" i="110"/>
  <c r="AA26" i="99"/>
  <c r="BX26" i="101"/>
  <c r="BR149" i="103"/>
  <c r="BM149" i="103"/>
  <c r="BM148" i="103"/>
  <c r="BR148" i="103"/>
  <c r="BM147" i="103"/>
  <c r="BR147" i="103"/>
  <c r="BM145" i="103"/>
  <c r="BR145" i="103"/>
  <c r="BM146" i="103"/>
  <c r="BR146" i="103"/>
  <c r="AY24" i="103"/>
  <c r="V25" i="99"/>
  <c r="AY67" i="103"/>
  <c r="BG163" i="101"/>
  <c r="BG164" i="101"/>
  <c r="BG162" i="101"/>
  <c r="BG165" i="101"/>
  <c r="W33" i="101" s="1"/>
  <c r="BG160" i="101"/>
  <c r="W32" i="101" s="1"/>
  <c r="BG161" i="101"/>
  <c r="AF18" i="110"/>
  <c r="W165" i="110"/>
  <c r="BF150" i="103"/>
  <c r="BF153" i="103"/>
  <c r="CB164" i="101"/>
  <c r="AF163" i="99"/>
  <c r="CB160" i="101"/>
  <c r="CB165" i="101"/>
  <c r="BF152" i="103"/>
  <c r="AF162" i="99"/>
  <c r="AO18" i="99"/>
  <c r="AF161" i="99"/>
  <c r="CB162" i="101"/>
  <c r="CB161" i="101"/>
  <c r="CJ18" i="101"/>
  <c r="BF154" i="103"/>
  <c r="AF165" i="99"/>
  <c r="BF151" i="103"/>
  <c r="W162" i="110"/>
  <c r="W161" i="110"/>
  <c r="W163" i="110"/>
  <c r="W164" i="110"/>
  <c r="AF160" i="99"/>
  <c r="W160" i="110"/>
  <c r="AF164" i="99"/>
  <c r="CB163" i="101"/>
  <c r="AG18" i="110" l="1"/>
  <c r="AH18" i="110" s="1"/>
  <c r="AS18" i="110" s="1"/>
  <c r="AP18" i="99"/>
  <c r="AD147" i="91"/>
  <c r="AD146" i="91"/>
  <c r="AD141" i="91"/>
  <c r="AD137" i="91"/>
  <c r="AD134" i="91"/>
  <c r="AD133" i="91"/>
  <c r="AD136" i="91"/>
  <c r="BR150" i="103"/>
  <c r="BM150" i="103"/>
  <c r="BR151" i="103"/>
  <c r="BM151" i="103"/>
  <c r="BR153" i="103"/>
  <c r="BM153" i="103"/>
  <c r="BM152" i="103"/>
  <c r="BR152" i="103"/>
  <c r="BM154" i="103"/>
  <c r="BR154" i="103"/>
  <c r="AY25" i="103"/>
  <c r="V26" i="99"/>
  <c r="AY26" i="103" s="1"/>
  <c r="AY68" i="103"/>
  <c r="AF19" i="110"/>
  <c r="BF163" i="103"/>
  <c r="BF157" i="103"/>
  <c r="CJ19" i="101"/>
  <c r="BF155" i="103"/>
  <c r="BF165" i="103"/>
  <c r="BF164" i="103"/>
  <c r="BF161" i="103"/>
  <c r="BF162" i="103"/>
  <c r="AO19" i="99"/>
  <c r="BF156" i="103"/>
  <c r="BF159" i="103"/>
  <c r="BF158" i="103"/>
  <c r="BF160" i="103"/>
  <c r="AG19" i="110" l="1"/>
  <c r="AH19" i="110" s="1"/>
  <c r="AS19" i="110" s="1"/>
  <c r="AP19" i="99"/>
  <c r="AD140" i="91"/>
  <c r="AD139" i="91"/>
  <c r="AD144" i="91"/>
  <c r="AD151" i="91"/>
  <c r="AD152" i="91"/>
  <c r="CK16" i="101"/>
  <c r="CL16" i="101" s="1"/>
  <c r="BR165" i="103"/>
  <c r="BM165" i="103"/>
  <c r="BM160" i="103"/>
  <c r="BR160" i="103"/>
  <c r="BM163" i="103"/>
  <c r="BR163" i="103"/>
  <c r="BR161" i="103"/>
  <c r="BM161" i="103"/>
  <c r="BM164" i="103"/>
  <c r="BR164" i="103"/>
  <c r="BM162" i="103"/>
  <c r="BR162" i="103"/>
  <c r="BM157" i="103"/>
  <c r="BR157" i="103"/>
  <c r="BR158" i="103"/>
  <c r="BM158" i="103"/>
  <c r="BR156" i="103"/>
  <c r="BM156" i="103"/>
  <c r="BM159" i="103"/>
  <c r="BR159" i="103"/>
  <c r="BM155" i="103"/>
  <c r="BR155" i="103"/>
  <c r="AY70" i="103"/>
  <c r="AY69" i="103"/>
  <c r="AD138" i="91" l="1"/>
  <c r="AD145" i="91"/>
  <c r="CK17" i="101"/>
  <c r="CL17" i="101" s="1"/>
  <c r="AD143" i="91"/>
  <c r="AQ17" i="99"/>
  <c r="BB17" i="99" s="1"/>
  <c r="AQ16" i="99"/>
  <c r="BB16" i="99" s="1"/>
  <c r="AD150" i="91" l="1"/>
  <c r="AD149" i="91"/>
  <c r="AD148" i="91"/>
  <c r="AD158" i="91"/>
  <c r="AD163" i="91" l="1"/>
  <c r="AD156" i="91"/>
  <c r="AD157" i="91"/>
  <c r="AD153" i="91"/>
  <c r="AD155" i="91"/>
  <c r="AD159" i="91"/>
  <c r="AD154" i="91"/>
  <c r="AD161" i="91" l="1"/>
  <c r="AD160" i="91"/>
  <c r="AD162" i="91"/>
  <c r="CK18" i="101"/>
  <c r="CL18" i="101" l="1"/>
  <c r="CK19" i="101"/>
  <c r="CL19" i="101" s="1"/>
  <c r="AQ18" i="99"/>
  <c r="BB18" i="99" s="1"/>
  <c r="AQ19" i="99" l="1"/>
  <c r="BB19" i="99" s="1"/>
  <c r="AE65" i="91" l="1"/>
  <c r="AE66" i="91"/>
  <c r="AE68" i="91"/>
  <c r="AE78" i="91"/>
  <c r="AE80" i="91"/>
  <c r="AE82" i="91"/>
  <c r="AE79" i="91"/>
  <c r="AE81" i="91"/>
  <c r="AH73" i="91"/>
  <c r="AF73" i="91"/>
  <c r="AF63" i="91"/>
  <c r="AH67" i="91"/>
  <c r="AH65" i="91"/>
  <c r="AH63" i="91"/>
  <c r="AF143" i="91"/>
  <c r="AE108" i="91"/>
  <c r="AE109" i="91"/>
  <c r="AE147" i="91"/>
  <c r="AE144" i="91"/>
  <c r="AE145" i="91"/>
  <c r="AE134" i="91"/>
  <c r="AE136" i="91"/>
  <c r="AE137" i="91"/>
  <c r="AE135" i="91"/>
  <c r="AE128" i="91"/>
  <c r="AE130" i="91"/>
  <c r="AE132" i="91"/>
  <c r="AE131" i="91"/>
  <c r="AE122" i="91"/>
  <c r="AE118" i="91"/>
  <c r="AE119" i="91"/>
  <c r="AE155" i="91"/>
  <c r="AE154" i="91"/>
  <c r="AE157" i="91"/>
  <c r="AE156" i="91"/>
  <c r="AE140" i="91"/>
  <c r="AE141" i="91"/>
  <c r="AE142" i="91"/>
  <c r="AE139" i="91"/>
  <c r="AE97" i="91"/>
  <c r="AE96" i="91"/>
  <c r="AE94" i="91"/>
  <c r="AE117" i="91"/>
  <c r="AE105" i="91"/>
  <c r="AE107" i="91"/>
  <c r="AE104" i="91"/>
  <c r="AE102" i="91"/>
  <c r="AE98" i="91"/>
  <c r="AE99" i="91"/>
  <c r="AE120" i="91"/>
  <c r="AE115" i="91"/>
  <c r="AE101" i="91"/>
  <c r="AE100" i="91"/>
  <c r="AE112" i="91"/>
  <c r="AE146" i="91"/>
  <c r="AE121" i="91"/>
  <c r="AE116" i="91"/>
  <c r="AE114" i="91"/>
  <c r="AE106" i="91"/>
  <c r="AE110" i="91"/>
  <c r="AE111" i="91"/>
  <c r="AE129" i="91"/>
  <c r="AE138" i="91"/>
  <c r="AE95" i="91"/>
  <c r="AF146" i="91"/>
  <c r="AF144" i="91"/>
  <c r="AF147" i="91"/>
  <c r="AF145" i="91"/>
  <c r="AH153" i="91"/>
  <c r="AH11" i="91"/>
  <c r="AH6" i="91"/>
  <c r="AH5" i="91"/>
  <c r="AH7" i="91"/>
  <c r="AH10" i="91"/>
  <c r="AH13" i="91"/>
  <c r="AH12" i="91"/>
  <c r="AF4" i="91"/>
  <c r="AH9" i="91"/>
  <c r="AH8" i="91"/>
  <c r="AH4" i="91"/>
  <c r="AE48" i="91"/>
  <c r="AE50" i="91"/>
  <c r="AE55" i="91"/>
  <c r="AE56" i="91"/>
  <c r="AE58" i="91"/>
  <c r="AE61" i="91"/>
  <c r="AE62" i="91"/>
  <c r="AE52" i="91"/>
  <c r="AE60" i="91"/>
  <c r="AE57" i="91"/>
  <c r="AE59" i="91"/>
  <c r="AE51" i="91"/>
  <c r="AE54" i="91"/>
  <c r="AE84" i="91"/>
  <c r="AE85" i="91"/>
  <c r="AE86" i="91"/>
  <c r="AE87" i="91"/>
  <c r="AE89" i="91"/>
  <c r="AE90" i="91"/>
  <c r="AE88" i="91"/>
  <c r="AE63" i="91"/>
  <c r="AE73" i="91"/>
  <c r="AE14" i="91"/>
  <c r="AE45" i="91"/>
  <c r="AE20" i="91"/>
  <c r="AE36" i="91"/>
  <c r="AE40" i="91"/>
  <c r="AE41" i="91"/>
  <c r="AE44" i="91"/>
  <c r="AE47" i="91"/>
  <c r="AE49" i="91"/>
  <c r="AE46" i="91"/>
  <c r="AE42" i="91"/>
  <c r="AE24" i="91"/>
  <c r="AE30" i="91"/>
  <c r="AE32" i="91"/>
  <c r="AE37" i="91"/>
  <c r="AE27" i="91"/>
  <c r="AE39" i="91"/>
  <c r="AE34" i="91"/>
  <c r="AE162" i="91"/>
  <c r="AE158" i="91"/>
  <c r="AE151" i="91"/>
  <c r="AE148" i="91"/>
  <c r="AE152" i="91"/>
  <c r="AE25" i="91"/>
  <c r="AE22" i="91"/>
  <c r="AE31" i="91"/>
  <c r="AE26" i="91"/>
  <c r="AE19" i="91"/>
  <c r="AE18" i="91"/>
  <c r="AE35" i="91"/>
  <c r="AE29" i="91"/>
  <c r="AE21" i="91"/>
  <c r="AE15" i="91"/>
  <c r="AE16" i="91"/>
  <c r="AE28" i="91"/>
  <c r="AE38" i="91"/>
  <c r="AE17" i="91"/>
  <c r="AE149" i="91"/>
  <c r="AE150" i="91"/>
  <c r="AE91" i="91"/>
  <c r="AE92" i="91"/>
  <c r="AE125" i="91"/>
  <c r="AE127" i="91"/>
  <c r="AE159" i="91"/>
  <c r="AE124" i="91"/>
  <c r="AE126" i="91"/>
  <c r="AE160" i="91"/>
  <c r="AE161" i="91"/>
  <c r="AE103" i="91"/>
  <c r="AE113" i="91"/>
  <c r="AE93" i="91"/>
  <c r="AE153" i="91"/>
  <c r="AE133" i="91"/>
  <c r="AE143" i="91"/>
  <c r="AE163" i="91"/>
  <c r="AG87" i="91"/>
  <c r="AG86" i="91"/>
  <c r="AG84" i="91"/>
  <c r="AG85" i="91"/>
  <c r="AG98" i="91"/>
  <c r="AG57" i="91"/>
  <c r="AG62" i="91"/>
  <c r="AG61" i="91"/>
  <c r="AG59" i="91"/>
  <c r="AG55" i="91"/>
  <c r="AG60" i="91"/>
  <c r="AG49" i="91"/>
  <c r="AG51" i="91"/>
  <c r="AG58" i="91"/>
  <c r="AG44" i="91"/>
  <c r="AG52" i="91"/>
  <c r="AG47" i="91"/>
  <c r="AG30" i="91"/>
  <c r="AG41" i="91"/>
  <c r="AG39" i="91"/>
  <c r="AG25" i="91"/>
  <c r="AG36" i="91"/>
  <c r="AG50" i="91"/>
  <c r="AG42" i="91"/>
  <c r="AG54" i="91"/>
  <c r="AG48" i="91"/>
  <c r="AG18" i="91"/>
  <c r="AG56" i="91"/>
  <c r="AG45" i="91"/>
  <c r="AG94" i="91"/>
  <c r="AG97" i="91"/>
  <c r="AG95" i="91"/>
  <c r="AG96" i="91"/>
  <c r="AG89" i="91"/>
  <c r="AG91" i="91"/>
  <c r="AG88" i="91"/>
  <c r="AG90" i="91"/>
  <c r="AG92" i="91"/>
  <c r="AG75" i="91"/>
  <c r="AG76" i="91"/>
  <c r="AG74" i="91"/>
  <c r="AG77" i="91"/>
  <c r="AG79" i="91"/>
  <c r="AG80" i="91"/>
  <c r="AG81" i="91"/>
  <c r="AG78" i="91"/>
  <c r="AG82" i="91"/>
  <c r="AG71" i="91"/>
  <c r="AG64" i="91"/>
  <c r="AG70" i="91"/>
  <c r="AG69" i="91"/>
  <c r="AG68" i="91"/>
  <c r="AG65" i="91"/>
  <c r="AG66" i="91"/>
  <c r="AG67" i="91"/>
  <c r="AG72" i="91"/>
  <c r="AE43" i="91"/>
  <c r="AE53" i="91"/>
  <c r="AE4" i="91"/>
  <c r="AE33" i="91"/>
  <c r="AE23" i="91"/>
  <c r="AE11" i="91"/>
  <c r="AE10" i="91"/>
  <c r="AE9" i="91"/>
  <c r="AE5" i="91"/>
  <c r="AE8" i="91"/>
  <c r="AE123" i="91"/>
  <c r="AG151" i="91"/>
  <c r="AG149" i="91"/>
  <c r="AG148" i="91"/>
  <c r="AG152" i="91"/>
  <c r="AG150" i="91"/>
  <c r="AG135" i="91"/>
  <c r="AG155" i="91"/>
  <c r="AG111" i="91"/>
  <c r="AG109" i="91"/>
  <c r="AG112" i="91"/>
  <c r="AG108" i="91"/>
  <c r="AG110" i="91"/>
  <c r="AG106" i="91"/>
  <c r="AG104" i="91"/>
  <c r="AG129" i="91"/>
  <c r="AG120" i="91"/>
  <c r="AG122" i="91"/>
  <c r="AG119" i="91"/>
  <c r="AG118" i="91"/>
  <c r="AG126" i="91"/>
  <c r="AG124" i="91"/>
  <c r="AG22" i="91"/>
  <c r="AG31" i="91"/>
  <c r="AG32" i="91"/>
  <c r="AG34" i="91"/>
  <c r="AG24" i="91"/>
  <c r="AG35" i="91"/>
  <c r="AG19" i="91"/>
  <c r="AG38" i="91"/>
  <c r="AG27" i="91"/>
  <c r="AG20" i="91"/>
  <c r="AG14" i="91"/>
  <c r="AG99" i="91"/>
  <c r="AG102" i="91"/>
  <c r="AG101" i="91"/>
  <c r="AG100" i="91"/>
  <c r="AG138" i="91"/>
  <c r="AG141" i="91"/>
  <c r="AG140" i="91"/>
  <c r="AG162" i="91"/>
  <c r="AG161" i="91"/>
  <c r="AG160" i="91"/>
  <c r="AG114" i="91"/>
  <c r="AG116" i="91"/>
  <c r="AG117" i="91"/>
  <c r="AE6" i="91"/>
  <c r="AE7" i="91"/>
  <c r="AG145" i="91"/>
  <c r="AG147" i="91"/>
  <c r="AG134" i="91"/>
  <c r="AG131" i="91"/>
  <c r="AG125" i="91"/>
  <c r="AG139" i="91"/>
  <c r="AE12" i="91"/>
  <c r="AG146" i="91"/>
  <c r="AG144" i="91"/>
  <c r="AG137" i="91"/>
  <c r="AG154" i="91"/>
  <c r="AG107" i="91"/>
  <c r="AG132" i="91"/>
  <c r="AG128" i="91"/>
  <c r="AG121" i="91"/>
  <c r="AG142" i="91"/>
  <c r="AG159" i="91"/>
  <c r="AE13" i="91"/>
  <c r="AG136" i="91"/>
  <c r="AG156" i="91"/>
  <c r="AG157" i="91"/>
  <c r="AG105" i="91"/>
  <c r="AG130" i="91"/>
  <c r="AG127" i="91"/>
  <c r="AG40" i="91"/>
  <c r="AG46" i="91"/>
  <c r="AG26" i="91"/>
  <c r="AG17" i="91"/>
  <c r="AG15" i="91"/>
  <c r="AG29" i="91"/>
  <c r="AG21" i="91"/>
  <c r="AG37" i="91"/>
  <c r="AG28" i="91"/>
  <c r="AG16" i="91"/>
  <c r="AG158" i="91"/>
  <c r="AG115" i="91"/>
  <c r="AG63" i="91"/>
  <c r="AG73" i="91"/>
  <c r="AG93" i="91"/>
  <c r="AG33" i="91"/>
  <c r="AG53" i="91"/>
  <c r="AG23" i="91"/>
  <c r="AG7" i="91"/>
  <c r="AG9" i="91"/>
  <c r="AG5" i="91"/>
  <c r="AG12" i="91"/>
  <c r="AG8" i="91"/>
  <c r="AG10" i="91"/>
  <c r="AG103" i="91"/>
  <c r="AG153" i="91"/>
  <c r="AG133" i="91"/>
  <c r="AG143" i="91"/>
  <c r="AG163" i="91"/>
  <c r="AH163" i="91"/>
  <c r="AF163" i="91"/>
  <c r="AG11" i="91"/>
  <c r="AG123" i="91"/>
  <c r="AG113" i="91"/>
  <c r="AG13" i="91"/>
  <c r="AG43" i="91"/>
  <c r="AG6" i="91"/>
  <c r="AG4" i="91"/>
  <c r="AE64" i="91"/>
  <c r="AE67" i="91"/>
  <c r="AE72" i="91"/>
  <c r="AE69" i="91"/>
  <c r="AE70" i="91"/>
  <c r="AE71" i="91"/>
  <c r="AE74" i="91"/>
  <c r="AE76" i="91"/>
  <c r="AE75" i="91"/>
  <c r="AE77" i="91"/>
  <c r="AF72" i="91"/>
  <c r="AF70" i="91"/>
  <c r="AF66" i="91"/>
  <c r="AF69" i="91"/>
  <c r="AF65" i="91"/>
  <c r="AF71" i="91"/>
  <c r="AF67" i="91"/>
  <c r="AF68" i="91"/>
  <c r="AF64" i="91"/>
  <c r="AF79" i="91"/>
  <c r="AF81" i="91"/>
  <c r="AF80" i="91"/>
  <c r="AF82" i="91"/>
  <c r="AF78" i="91"/>
  <c r="AF76" i="91"/>
  <c r="AF77" i="91"/>
  <c r="AF74" i="91"/>
  <c r="AF75" i="91"/>
  <c r="AH75" i="91"/>
  <c r="AH76" i="91"/>
  <c r="AH77" i="91"/>
  <c r="AH74" i="91"/>
  <c r="AH79" i="91"/>
  <c r="AH82" i="91"/>
  <c r="AH78" i="91"/>
  <c r="AH80" i="91"/>
  <c r="AH81" i="91"/>
  <c r="AH71" i="91"/>
  <c r="AH69" i="91"/>
  <c r="AH66" i="91"/>
  <c r="AH68" i="91"/>
  <c r="AH70" i="91"/>
  <c r="AH64" i="91"/>
  <c r="AH72" i="91"/>
  <c r="AH107" i="91"/>
  <c r="AH155" i="91"/>
  <c r="AH109" i="91"/>
  <c r="AF134" i="91"/>
  <c r="AH140" i="91"/>
  <c r="AH138" i="91"/>
  <c r="AH121" i="91"/>
  <c r="AH142" i="91"/>
  <c r="AF136" i="91"/>
  <c r="AG83" i="91"/>
  <c r="AH119" i="91"/>
  <c r="AH157" i="91"/>
  <c r="AF135" i="91"/>
  <c r="AH141" i="91"/>
  <c r="AH122" i="91"/>
  <c r="AH110" i="91"/>
  <c r="AH120" i="91"/>
  <c r="AH156" i="91"/>
  <c r="AF137" i="91"/>
  <c r="AH111" i="91"/>
  <c r="AH118" i="91"/>
  <c r="AH112" i="91"/>
  <c r="AH139" i="91"/>
  <c r="AH154" i="91"/>
  <c r="AH33" i="91"/>
  <c r="AH23" i="91"/>
  <c r="AH113" i="91"/>
  <c r="AF153" i="91"/>
  <c r="AF123" i="91"/>
  <c r="G34" i="98" s="1"/>
  <c r="AF113" i="91"/>
  <c r="AH123" i="91"/>
  <c r="AH143" i="91"/>
  <c r="AH133" i="91"/>
  <c r="AF103" i="91"/>
  <c r="AH53" i="91"/>
  <c r="AH43" i="91"/>
  <c r="AH14" i="91"/>
  <c r="AH101" i="91"/>
  <c r="AH100" i="91"/>
  <c r="AF93" i="91"/>
  <c r="AH102" i="91"/>
  <c r="AF90" i="91"/>
  <c r="AH95" i="91"/>
  <c r="AH99" i="91"/>
  <c r="AH103" i="91"/>
  <c r="AF92" i="91"/>
  <c r="AF88" i="91"/>
  <c r="AH89" i="91"/>
  <c r="AH104" i="91"/>
  <c r="AH91" i="91"/>
  <c r="AH92" i="91"/>
  <c r="AH106" i="91"/>
  <c r="AH90" i="91"/>
  <c r="AE83" i="91"/>
  <c r="AH117" i="91"/>
  <c r="AF162" i="91"/>
  <c r="AF111" i="91"/>
  <c r="AH40" i="91"/>
  <c r="AH29" i="91"/>
  <c r="AF117" i="91"/>
  <c r="AH45" i="91"/>
  <c r="AH147" i="91"/>
  <c r="AF98" i="91"/>
  <c r="AF157" i="91"/>
  <c r="AH129" i="91"/>
  <c r="AF20" i="91"/>
  <c r="AH161" i="91"/>
  <c r="AF148" i="91"/>
  <c r="AF36" i="91"/>
  <c r="AF138" i="91"/>
  <c r="AF112" i="91"/>
  <c r="AF28" i="91"/>
  <c r="AF120" i="91"/>
  <c r="AF31" i="91"/>
  <c r="AF139" i="91"/>
  <c r="AF124" i="91"/>
  <c r="AH25" i="91"/>
  <c r="AF127" i="91"/>
  <c r="AH124" i="91"/>
  <c r="AH127" i="91"/>
  <c r="AF161" i="91"/>
  <c r="AH135" i="91"/>
  <c r="AF116" i="91"/>
  <c r="AF94" i="91"/>
  <c r="AF18" i="91"/>
  <c r="AF159" i="91"/>
  <c r="AH28" i="91"/>
  <c r="AF132" i="91"/>
  <c r="AH57" i="91"/>
  <c r="AH149" i="91"/>
  <c r="AH136" i="91"/>
  <c r="AF104" i="91"/>
  <c r="AH50" i="91"/>
  <c r="AH162" i="91"/>
  <c r="AH132" i="91"/>
  <c r="AF160" i="91"/>
  <c r="AF25" i="91"/>
  <c r="AH16" i="91"/>
  <c r="AF151" i="91"/>
  <c r="AH128" i="91"/>
  <c r="AF96" i="91"/>
  <c r="AH36" i="91"/>
  <c r="AH146" i="91"/>
  <c r="AF125" i="91"/>
  <c r="AH19" i="91"/>
  <c r="AH148" i="91"/>
  <c r="AF105" i="91"/>
  <c r="AH47" i="91"/>
  <c r="AH20" i="91"/>
  <c r="AF95" i="91"/>
  <c r="AF118" i="91"/>
  <c r="AF97" i="91"/>
  <c r="AF126" i="91"/>
  <c r="AH39" i="91"/>
  <c r="AH27" i="91"/>
  <c r="AH158" i="91"/>
  <c r="AH114" i="91"/>
  <c r="AF131" i="91"/>
  <c r="AH159" i="91"/>
  <c r="AH145" i="91"/>
  <c r="AF150" i="91"/>
  <c r="AF21" i="91"/>
  <c r="AF130" i="91"/>
  <c r="AH160" i="91"/>
  <c r="AH125" i="91"/>
  <c r="AF99" i="91"/>
  <c r="AF110" i="91"/>
  <c r="AF27" i="91"/>
  <c r="AH31" i="91"/>
  <c r="AH21" i="91"/>
  <c r="AH17" i="91"/>
  <c r="AH134" i="91"/>
  <c r="AH137" i="91"/>
  <c r="AF107" i="91"/>
  <c r="AF158" i="91"/>
  <c r="AF154" i="91"/>
  <c r="AH144" i="91"/>
  <c r="AH131" i="91"/>
  <c r="AF34" i="91"/>
  <c r="AF101" i="91"/>
  <c r="AF42" i="91"/>
  <c r="AH116" i="91"/>
  <c r="AH22" i="91"/>
  <c r="AF100" i="91"/>
  <c r="AF142" i="91"/>
  <c r="AF128" i="91"/>
  <c r="AH48" i="91"/>
  <c r="AF102" i="91"/>
  <c r="AF129" i="91"/>
  <c r="AH15" i="91"/>
  <c r="AH130" i="91"/>
  <c r="AF155" i="91"/>
  <c r="AF108" i="91"/>
  <c r="AF24" i="91"/>
  <c r="AF121" i="91"/>
  <c r="AH18" i="91"/>
  <c r="AF149" i="91"/>
  <c r="AF29" i="91"/>
  <c r="AH42" i="91"/>
  <c r="AH152" i="91"/>
  <c r="AF109" i="91"/>
  <c r="AH126" i="91"/>
  <c r="AH38" i="91"/>
  <c r="AF152" i="91"/>
  <c r="AF140" i="91"/>
  <c r="AH35" i="91"/>
  <c r="AF106" i="91"/>
  <c r="AF122" i="91"/>
  <c r="AF39" i="91"/>
  <c r="AH151" i="91"/>
  <c r="AF16" i="91"/>
  <c r="AF141" i="91"/>
  <c r="AF119" i="91"/>
  <c r="AH150" i="91"/>
  <c r="AF17" i="91"/>
  <c r="AF156" i="91"/>
  <c r="AH34" i="91"/>
  <c r="AH115" i="91"/>
  <c r="AH30" i="91"/>
  <c r="AF114" i="91"/>
  <c r="AH26" i="91"/>
  <c r="AF115" i="91"/>
  <c r="AF19" i="91"/>
  <c r="AF133" i="91"/>
  <c r="AH108" i="91"/>
  <c r="AH97" i="91"/>
  <c r="AF54" i="91"/>
  <c r="AF30" i="91"/>
  <c r="AF46" i="91"/>
  <c r="AF49" i="91"/>
  <c r="AF57" i="91"/>
  <c r="AF26" i="91"/>
  <c r="AF44" i="91"/>
  <c r="AF56" i="91"/>
  <c r="AF60" i="91"/>
  <c r="AF41" i="91"/>
  <c r="AF35" i="91"/>
  <c r="AF15" i="91"/>
  <c r="AF22" i="91"/>
  <c r="AF37" i="91"/>
  <c r="AF61" i="91"/>
  <c r="AF47" i="91"/>
  <c r="AF40" i="91"/>
  <c r="AF45" i="91"/>
  <c r="AF58" i="91"/>
  <c r="AF51" i="91"/>
  <c r="AF55" i="91"/>
  <c r="AF32" i="91"/>
  <c r="AF62" i="91"/>
  <c r="AF52" i="91"/>
  <c r="AF48" i="91"/>
  <c r="AF59" i="91"/>
  <c r="AF50" i="91"/>
  <c r="AF38" i="91"/>
  <c r="AH88" i="91"/>
  <c r="AH98" i="91"/>
  <c r="AH94" i="91"/>
  <c r="AF87" i="91"/>
  <c r="AF85" i="91"/>
  <c r="AF89" i="91"/>
  <c r="AH37" i="91"/>
  <c r="AH55" i="91"/>
  <c r="AH56" i="91"/>
  <c r="AH46" i="91"/>
  <c r="AF86" i="91"/>
  <c r="AH84" i="91"/>
  <c r="AF84" i="91"/>
  <c r="AH61" i="91"/>
  <c r="AH54" i="91"/>
  <c r="AH51" i="91"/>
  <c r="AH60" i="91"/>
  <c r="AH87" i="91"/>
  <c r="AH59" i="91"/>
  <c r="AH85" i="91"/>
  <c r="AH32" i="91"/>
  <c r="AH58" i="91"/>
  <c r="AH96" i="91"/>
  <c r="AH62" i="91"/>
  <c r="AH52" i="91"/>
  <c r="AH44" i="91"/>
  <c r="AH86" i="91"/>
  <c r="AH24" i="91"/>
  <c r="AF91" i="91"/>
  <c r="AH41" i="91"/>
  <c r="AH105" i="91"/>
  <c r="AH49" i="91"/>
  <c r="AH93" i="91"/>
  <c r="AF10" i="91"/>
  <c r="AF8" i="91"/>
  <c r="AF23" i="91"/>
  <c r="AF13" i="91"/>
  <c r="AF14" i="91"/>
  <c r="AF53" i="91"/>
  <c r="AF43" i="91"/>
  <c r="AF9" i="91"/>
  <c r="AF5" i="91"/>
  <c r="AF12" i="91"/>
  <c r="AF33" i="91"/>
  <c r="AF7" i="91"/>
  <c r="AF6" i="91"/>
  <c r="AF11" i="91"/>
  <c r="AF83" i="91"/>
  <c r="AH83" i="91"/>
  <c r="CZ111" i="98"/>
  <c r="CZ138" i="98"/>
  <c r="AV103" i="98"/>
  <c r="BA95" i="98"/>
  <c r="BA146" i="98"/>
  <c r="AV105" i="98"/>
  <c r="CZ98" i="98"/>
  <c r="AV149" i="98"/>
  <c r="AV122" i="98"/>
  <c r="BA110" i="98"/>
  <c r="BA154" i="98"/>
  <c r="CZ164" i="98"/>
  <c r="AV132" i="98"/>
  <c r="BF114" i="98"/>
  <c r="BF99" i="98"/>
  <c r="CZ96" i="98"/>
  <c r="BF158" i="98"/>
  <c r="AV150" i="98"/>
  <c r="CZ151" i="98"/>
  <c r="AV140" i="98"/>
  <c r="BF141" i="98"/>
  <c r="AV99" i="98"/>
  <c r="AV135" i="98"/>
  <c r="BA115" i="98"/>
  <c r="BF126" i="98"/>
  <c r="CZ153" i="98"/>
  <c r="CZ104" i="98"/>
  <c r="CZ117" i="98"/>
  <c r="BF145" i="98"/>
  <c r="BA142" i="98"/>
  <c r="BF135" i="98"/>
  <c r="BF147" i="98"/>
  <c r="AV143" i="98"/>
  <c r="BF148" i="98"/>
  <c r="BA151" i="98"/>
  <c r="AV120" i="98"/>
  <c r="BF134" i="98"/>
  <c r="BA136" i="98"/>
  <c r="BF109" i="98"/>
  <c r="AV162" i="98"/>
  <c r="AV153" i="98"/>
  <c r="BA100" i="98"/>
  <c r="BF125" i="98"/>
  <c r="BF155" i="98"/>
  <c r="BA152" i="98"/>
  <c r="BA112" i="98"/>
  <c r="BA99" i="98"/>
  <c r="BF124" i="98"/>
  <c r="AV124" i="98"/>
  <c r="AV130" i="98"/>
  <c r="BF100" i="98"/>
  <c r="AV106" i="98"/>
  <c r="AV137" i="98"/>
  <c r="CZ146" i="98"/>
  <c r="BF153" i="98"/>
  <c r="BF107" i="98"/>
  <c r="BA133" i="98"/>
  <c r="AV148" i="98"/>
  <c r="AV133" i="98"/>
  <c r="BF146" i="98"/>
  <c r="BF101" i="98"/>
  <c r="BA134" i="98"/>
  <c r="BA156" i="98"/>
  <c r="CZ114" i="98"/>
  <c r="BF108" i="98"/>
  <c r="AV101" i="98"/>
  <c r="AV159" i="98"/>
  <c r="BF97" i="98"/>
  <c r="BF136" i="98"/>
  <c r="CZ115" i="98"/>
  <c r="BA130" i="98"/>
  <c r="AV163" i="98"/>
  <c r="AV155" i="98"/>
  <c r="CZ158" i="98"/>
  <c r="BF106" i="98"/>
  <c r="AV114" i="98"/>
  <c r="AV127" i="98"/>
  <c r="BF111" i="98"/>
  <c r="AV102" i="98"/>
  <c r="CZ145" i="98"/>
  <c r="BA104" i="98"/>
  <c r="AV139" i="98"/>
  <c r="CZ103" i="98"/>
  <c r="CZ149" i="98"/>
  <c r="CZ101" i="98"/>
  <c r="BA108" i="98"/>
  <c r="AV112" i="98"/>
  <c r="BA148" i="98"/>
  <c r="AV97" i="98"/>
  <c r="CZ118" i="98"/>
  <c r="BA127" i="98"/>
  <c r="BA129" i="98"/>
  <c r="CZ150" i="98"/>
  <c r="BF117" i="98"/>
  <c r="BA123" i="98"/>
  <c r="CZ95" i="98"/>
  <c r="BF131" i="98"/>
  <c r="CZ123" i="98"/>
  <c r="AV119" i="98"/>
  <c r="AV107" i="98"/>
  <c r="BF159" i="98"/>
  <c r="BF120" i="98"/>
  <c r="BA125" i="98"/>
  <c r="BA149" i="98"/>
  <c r="BF105" i="98"/>
  <c r="BA97" i="98"/>
  <c r="AV158" i="98"/>
  <c r="AV113" i="98"/>
  <c r="BA155" i="98"/>
  <c r="CZ131" i="98"/>
  <c r="BF164" i="98"/>
  <c r="CZ134" i="98"/>
  <c r="BA145" i="98"/>
  <c r="AV142" i="98"/>
  <c r="BA159" i="98"/>
  <c r="CZ112" i="98"/>
  <c r="CZ121" i="98"/>
  <c r="BA132" i="98"/>
  <c r="CZ116" i="98"/>
  <c r="CZ119" i="98"/>
  <c r="AV141" i="98"/>
  <c r="BF150" i="98"/>
  <c r="CZ144" i="98"/>
  <c r="CZ108" i="98"/>
  <c r="CZ107" i="98"/>
  <c r="BF152" i="98"/>
  <c r="BA105" i="98"/>
  <c r="CZ135" i="98"/>
  <c r="BF157" i="98"/>
  <c r="BA158" i="98"/>
  <c r="CZ141" i="98"/>
  <c r="BA162" i="98"/>
  <c r="BA121" i="98"/>
  <c r="CZ113" i="98"/>
  <c r="CZ130" i="98"/>
  <c r="CZ110" i="98"/>
  <c r="AV123" i="98"/>
  <c r="BF156" i="98"/>
  <c r="CZ120" i="98"/>
  <c r="BA109" i="98"/>
  <c r="BF122" i="98"/>
  <c r="AV134" i="98"/>
  <c r="AV160" i="98"/>
  <c r="AV95" i="98"/>
  <c r="CZ160" i="98"/>
  <c r="AV129" i="98"/>
  <c r="BA120" i="98"/>
  <c r="CZ102" i="98"/>
  <c r="CZ137" i="98"/>
  <c r="CZ127" i="98"/>
  <c r="BA164" i="98"/>
  <c r="AV151" i="98"/>
  <c r="AV131" i="98"/>
  <c r="AV145" i="98"/>
  <c r="BA122" i="98"/>
  <c r="BF118" i="98"/>
  <c r="CZ125" i="98"/>
  <c r="CZ142" i="98"/>
  <c r="BF162" i="98"/>
  <c r="BF119" i="98"/>
  <c r="AV161" i="98"/>
  <c r="CZ100" i="98"/>
  <c r="BA107" i="98"/>
  <c r="BA147" i="98"/>
  <c r="CZ162" i="98"/>
  <c r="BF140" i="98"/>
  <c r="BF149" i="98"/>
  <c r="BA103" i="98"/>
  <c r="BA124" i="98"/>
  <c r="CZ132" i="98"/>
  <c r="CZ122" i="98"/>
  <c r="CZ133" i="98"/>
  <c r="BA135" i="98"/>
  <c r="CZ154" i="98"/>
  <c r="BA160" i="98"/>
  <c r="BF128" i="98"/>
  <c r="BA117" i="98"/>
  <c r="BF139" i="98"/>
  <c r="AV117" i="98"/>
  <c r="BF104" i="98"/>
  <c r="CZ148" i="98"/>
  <c r="AV121" i="98"/>
  <c r="AV152" i="98"/>
  <c r="BF121" i="98"/>
  <c r="CZ106" i="98"/>
  <c r="AV138" i="98"/>
  <c r="BA131" i="98"/>
  <c r="AV104" i="98"/>
  <c r="BA116" i="98"/>
  <c r="BA144" i="98"/>
  <c r="BF98" i="98"/>
  <c r="BF132" i="98"/>
  <c r="BF160" i="98"/>
  <c r="BA111" i="98"/>
  <c r="CZ124" i="98"/>
  <c r="BF116" i="98"/>
  <c r="CZ161" i="98"/>
  <c r="BF151" i="98"/>
  <c r="AV157" i="98"/>
  <c r="BF130" i="98"/>
  <c r="AV125" i="98"/>
  <c r="BF96" i="98"/>
  <c r="AV147" i="98"/>
  <c r="BF110" i="98"/>
  <c r="BA113" i="98"/>
  <c r="CZ159" i="98"/>
  <c r="AV100" i="98"/>
  <c r="CZ156" i="98"/>
  <c r="BF144" i="98"/>
  <c r="AV136" i="98"/>
  <c r="BF115" i="98"/>
  <c r="BF103" i="98"/>
  <c r="BF154" i="98"/>
  <c r="CZ97" i="98"/>
  <c r="BF127" i="98"/>
  <c r="BA118" i="98"/>
  <c r="BF138" i="98"/>
  <c r="AV116" i="98"/>
  <c r="BF133" i="98"/>
  <c r="BA141" i="98"/>
  <c r="BF137" i="98"/>
  <c r="CZ109" i="98"/>
  <c r="BA101" i="98"/>
  <c r="AV126" i="98"/>
  <c r="BA138" i="98"/>
  <c r="AV144" i="98"/>
  <c r="AV108" i="98"/>
  <c r="CZ129" i="98"/>
  <c r="BF102" i="98"/>
  <c r="CZ140" i="98"/>
  <c r="AV156" i="98"/>
  <c r="BA161" i="98"/>
  <c r="CZ152" i="98"/>
  <c r="BA114" i="98"/>
  <c r="AV164" i="98"/>
  <c r="BA139" i="98"/>
  <c r="CZ99" i="98"/>
  <c r="BF142" i="98"/>
  <c r="CZ147" i="98"/>
  <c r="BF123" i="98"/>
  <c r="BA140" i="98"/>
  <c r="AV118" i="98"/>
  <c r="BA153" i="98"/>
  <c r="BA126" i="98"/>
  <c r="BA119" i="98"/>
  <c r="BA150" i="98"/>
  <c r="BF163" i="98"/>
  <c r="CZ157" i="98"/>
  <c r="CZ139" i="98"/>
  <c r="CZ163" i="98"/>
  <c r="AV110" i="98"/>
  <c r="AV115" i="98"/>
  <c r="BA102" i="98"/>
  <c r="AV146" i="98"/>
  <c r="CZ126" i="98"/>
  <c r="BA96" i="98"/>
  <c r="CZ128" i="98"/>
  <c r="AV98" i="98"/>
  <c r="AV111" i="98"/>
  <c r="BA137" i="98"/>
  <c r="BF95" i="98"/>
  <c r="AV154" i="98"/>
  <c r="AV96" i="98"/>
  <c r="BF161" i="98"/>
  <c r="BA106" i="98"/>
  <c r="BF113" i="98"/>
  <c r="BA157" i="98"/>
  <c r="BF143" i="98"/>
  <c r="BF112" i="98"/>
  <c r="BA163" i="98"/>
  <c r="BF129" i="98"/>
  <c r="CZ105" i="98"/>
  <c r="AV128" i="98"/>
  <c r="AV109" i="98"/>
  <c r="CZ155" i="98"/>
  <c r="BA143" i="98"/>
  <c r="CZ143" i="98"/>
  <c r="BA98" i="98"/>
  <c r="BA128" i="98"/>
  <c r="CZ136" i="98"/>
  <c r="G29" i="98" l="1"/>
  <c r="G28" i="98" s="1"/>
  <c r="F34" i="98"/>
  <c r="I33" i="98"/>
  <c r="I30" i="98"/>
  <c r="G33" i="98"/>
  <c r="I32" i="98"/>
  <c r="G30" i="98"/>
  <c r="I31" i="98"/>
  <c r="G32" i="98"/>
  <c r="G31" i="98"/>
  <c r="I34" i="98"/>
  <c r="I29" i="98"/>
  <c r="I28" i="98" s="1"/>
  <c r="F33" i="98"/>
  <c r="F30" i="98"/>
  <c r="F32" i="98"/>
  <c r="F31" i="98"/>
  <c r="F29" i="98"/>
  <c r="F28" i="98" s="1"/>
  <c r="H30" i="98"/>
  <c r="H32" i="98"/>
  <c r="H33" i="98"/>
  <c r="H31" i="98"/>
  <c r="H29" i="98"/>
  <c r="H28" i="98" s="1"/>
  <c r="H34" i="98"/>
  <c r="AU53" i="98"/>
  <c r="BE8" i="98"/>
  <c r="AU74" i="98"/>
  <c r="AU52" i="98"/>
  <c r="AZ84" i="98"/>
  <c r="CY162" i="98"/>
  <c r="AU99" i="98"/>
  <c r="AU148" i="98"/>
  <c r="AU152" i="98"/>
  <c r="AZ89" i="98"/>
  <c r="AU63" i="98"/>
  <c r="CY114" i="98"/>
  <c r="BE42" i="98"/>
  <c r="BE99" i="98"/>
  <c r="CY36" i="98"/>
  <c r="BE144" i="98"/>
  <c r="AU32" i="98"/>
  <c r="AZ45" i="98"/>
  <c r="BE97" i="98"/>
  <c r="AZ125" i="98"/>
  <c r="AU20" i="98"/>
  <c r="BE133" i="98"/>
  <c r="AU126" i="98"/>
  <c r="AZ60" i="98"/>
  <c r="CY75" i="98"/>
  <c r="AZ9" i="98"/>
  <c r="AZ156" i="98"/>
  <c r="AU51" i="98"/>
  <c r="AU113" i="98"/>
  <c r="BE141" i="98"/>
  <c r="CY124" i="98"/>
  <c r="CY98" i="98"/>
  <c r="BE29" i="98"/>
  <c r="AZ42" i="98"/>
  <c r="AZ87" i="98"/>
  <c r="BE104" i="98"/>
  <c r="BE161" i="98"/>
  <c r="CY93" i="98"/>
  <c r="BE60" i="98"/>
  <c r="CY150" i="98"/>
  <c r="BE107" i="98"/>
  <c r="BE145" i="98"/>
  <c r="BE68" i="98"/>
  <c r="CY128" i="98"/>
  <c r="BE129" i="98"/>
  <c r="CY76" i="98"/>
  <c r="CY39" i="98"/>
  <c r="CY148" i="98"/>
  <c r="AZ37" i="98"/>
  <c r="CY34" i="98"/>
  <c r="CY106" i="98"/>
  <c r="BE26" i="98"/>
  <c r="AZ26" i="98"/>
  <c r="AU55" i="98"/>
  <c r="CY25" i="98"/>
  <c r="AU130" i="98"/>
  <c r="BE34" i="98"/>
  <c r="AU94" i="98"/>
  <c r="AZ110" i="98"/>
  <c r="AU104" i="98"/>
  <c r="AZ121" i="98"/>
  <c r="BE24" i="98"/>
  <c r="AU24" i="98"/>
  <c r="BE158" i="98"/>
  <c r="BE151" i="98"/>
  <c r="BE143" i="98"/>
  <c r="AZ69" i="98"/>
  <c r="AU105" i="98"/>
  <c r="CY61" i="98"/>
  <c r="CY20" i="98"/>
  <c r="CY40" i="98"/>
  <c r="AZ124" i="98"/>
  <c r="AU151" i="98"/>
  <c r="BE33" i="98"/>
  <c r="BE148" i="98"/>
  <c r="CY156" i="98"/>
  <c r="CY122" i="98"/>
  <c r="CY116" i="98"/>
  <c r="AX164" i="98"/>
  <c r="BC125" i="98"/>
  <c r="DB21" i="98"/>
  <c r="DB44" i="98"/>
  <c r="DB100" i="98"/>
  <c r="DB11" i="98"/>
  <c r="BH14" i="98"/>
  <c r="DB155" i="98"/>
  <c r="DB94" i="98"/>
  <c r="BH108" i="98"/>
  <c r="AX39" i="98"/>
  <c r="AX155" i="98"/>
  <c r="DB130" i="98"/>
  <c r="AX45" i="98"/>
  <c r="BC80" i="98"/>
  <c r="DB120" i="98"/>
  <c r="AX119" i="98"/>
  <c r="BC56" i="98"/>
  <c r="DB66" i="98"/>
  <c r="BC124" i="98"/>
  <c r="AX113" i="98"/>
  <c r="BH121" i="98"/>
  <c r="BC10" i="98"/>
  <c r="AX21" i="98"/>
  <c r="AX115" i="98"/>
  <c r="DB146" i="98"/>
  <c r="DB122" i="98"/>
  <c r="DB22" i="98"/>
  <c r="AX161" i="98"/>
  <c r="BH71" i="98"/>
  <c r="BC136" i="98"/>
  <c r="AX29" i="98"/>
  <c r="BH148" i="98"/>
  <c r="DB134" i="98"/>
  <c r="AX133" i="98"/>
  <c r="AX32" i="98"/>
  <c r="DB82" i="98"/>
  <c r="BC9" i="98"/>
  <c r="AX40" i="98"/>
  <c r="BC122" i="98"/>
  <c r="BH56" i="98"/>
  <c r="BH47" i="98"/>
  <c r="BC67" i="98"/>
  <c r="DB6" i="98"/>
  <c r="BC31" i="98"/>
  <c r="BC62" i="98"/>
  <c r="BC34" i="98"/>
  <c r="BC86" i="98"/>
  <c r="DB53" i="98"/>
  <c r="DB164" i="98"/>
  <c r="BC102" i="98"/>
  <c r="DB51" i="98"/>
  <c r="BH45" i="98"/>
  <c r="BC164" i="98"/>
  <c r="AX50" i="98"/>
  <c r="AX58" i="98"/>
  <c r="BH29" i="98"/>
  <c r="BC42" i="98"/>
  <c r="DB128" i="98"/>
  <c r="BH103" i="98"/>
  <c r="BC89" i="98"/>
  <c r="BH52" i="98"/>
  <c r="BC73" i="98"/>
  <c r="AX71" i="98"/>
  <c r="AX137" i="98"/>
  <c r="BH41" i="98"/>
  <c r="BC159" i="98"/>
  <c r="BH62" i="98"/>
  <c r="DB36" i="98"/>
  <c r="DB28" i="98"/>
  <c r="DB117" i="98"/>
  <c r="DB46" i="98"/>
  <c r="BC99" i="98"/>
  <c r="AX48" i="98"/>
  <c r="DB103" i="98"/>
  <c r="DB33" i="98"/>
  <c r="BH132" i="98"/>
  <c r="AX134" i="98"/>
  <c r="AX116" i="98"/>
  <c r="DB114" i="98"/>
  <c r="AX131" i="98"/>
  <c r="BC41" i="98"/>
  <c r="BH70" i="98"/>
  <c r="BC126" i="98"/>
  <c r="BC138" i="98"/>
  <c r="BC109" i="98"/>
  <c r="DB19" i="98"/>
  <c r="DB93" i="98"/>
  <c r="BC92" i="98"/>
  <c r="BC78" i="98"/>
  <c r="BH65" i="98"/>
  <c r="DB127" i="98"/>
  <c r="BC117" i="98"/>
  <c r="BH18" i="98"/>
  <c r="DB80" i="98"/>
  <c r="BC97" i="98"/>
  <c r="AX42" i="98"/>
  <c r="AX67" i="98"/>
  <c r="BC69" i="98"/>
  <c r="BC139" i="98"/>
  <c r="BC70" i="98"/>
  <c r="BH31" i="98"/>
  <c r="AX99" i="98"/>
  <c r="BH115" i="98"/>
  <c r="AX146" i="98"/>
  <c r="BC43" i="98"/>
  <c r="DB62" i="98"/>
  <c r="BC47" i="98"/>
  <c r="DB14" i="98"/>
  <c r="BH105" i="98"/>
  <c r="BH151" i="98"/>
  <c r="DB25" i="98"/>
  <c r="AX54" i="98"/>
  <c r="DB59" i="98"/>
  <c r="AX16" i="98"/>
  <c r="DB10" i="98"/>
  <c r="DB12" i="98"/>
  <c r="BH112" i="98"/>
  <c r="DB136" i="98"/>
  <c r="BC104" i="98"/>
  <c r="AX120" i="98"/>
  <c r="DB23" i="98"/>
  <c r="BC40" i="98"/>
  <c r="AX11" i="98"/>
  <c r="AX123" i="98"/>
  <c r="BH49" i="98"/>
  <c r="BC36" i="98"/>
  <c r="DB84" i="98"/>
  <c r="DB104" i="98"/>
  <c r="BC142" i="98"/>
  <c r="AX145" i="98"/>
  <c r="BC59" i="98"/>
  <c r="BC44" i="98"/>
  <c r="BC16" i="98"/>
  <c r="AX118" i="98"/>
  <c r="DB150" i="98"/>
  <c r="BC55" i="98"/>
  <c r="BH85" i="98"/>
  <c r="BH128" i="98"/>
  <c r="AX52" i="98"/>
  <c r="BH51" i="98"/>
  <c r="DB20" i="98"/>
  <c r="DB152" i="98"/>
  <c r="AX162" i="98"/>
  <c r="BC65" i="98"/>
  <c r="BH24" i="98"/>
  <c r="AX126" i="98"/>
  <c r="BC108" i="98"/>
  <c r="BC150" i="98"/>
  <c r="AX72" i="98"/>
  <c r="AX30" i="98"/>
  <c r="AX156" i="98"/>
  <c r="DB34" i="98"/>
  <c r="BH78" i="98"/>
  <c r="BH77" i="98"/>
  <c r="BH101" i="98"/>
  <c r="BH11" i="98"/>
  <c r="AX7" i="98"/>
  <c r="BH95" i="98"/>
  <c r="DB8" i="98"/>
  <c r="AX62" i="98"/>
  <c r="BC130" i="98"/>
  <c r="BC153" i="98"/>
  <c r="BC140" i="98"/>
  <c r="BC91" i="98"/>
  <c r="BC76" i="98"/>
  <c r="BC116" i="98"/>
  <c r="DB151" i="98"/>
  <c r="DB95" i="98"/>
  <c r="BC26" i="98"/>
  <c r="DB97" i="98"/>
  <c r="DB145" i="98"/>
  <c r="AX61" i="98"/>
  <c r="DB98" i="98"/>
  <c r="BH139" i="98"/>
  <c r="BC33" i="98"/>
  <c r="BC105" i="98"/>
  <c r="DB61" i="98"/>
  <c r="BH32" i="98"/>
  <c r="BH141" i="98"/>
  <c r="BH7" i="98"/>
  <c r="BH118" i="98"/>
  <c r="DB69" i="98"/>
  <c r="AX63" i="98"/>
  <c r="BH137" i="98"/>
  <c r="AX64" i="98"/>
  <c r="AX65" i="98"/>
  <c r="BC114" i="98"/>
  <c r="DB24" i="98"/>
  <c r="AX129" i="98"/>
  <c r="BH30" i="98"/>
  <c r="BH19" i="98"/>
  <c r="BH160" i="98"/>
  <c r="BC28" i="98"/>
  <c r="BH15" i="98"/>
  <c r="DB71" i="98"/>
  <c r="DB108" i="98"/>
  <c r="DB116" i="98"/>
  <c r="BH135" i="98"/>
  <c r="BC21" i="98"/>
  <c r="BC110" i="98"/>
  <c r="AX46" i="98"/>
  <c r="DB162" i="98"/>
  <c r="AX66" i="98"/>
  <c r="BC121" i="98"/>
  <c r="BC146" i="98"/>
  <c r="DB54" i="98"/>
  <c r="AX144" i="98"/>
  <c r="BC94" i="98"/>
  <c r="DB121" i="98"/>
  <c r="AX111" i="98"/>
  <c r="BH25" i="98"/>
  <c r="DB129" i="98"/>
  <c r="DB41" i="98"/>
  <c r="AX103" i="98"/>
  <c r="DB7" i="98"/>
  <c r="AX57" i="98"/>
  <c r="BC19" i="98"/>
  <c r="BC57" i="98"/>
  <c r="AX60" i="98"/>
  <c r="BC83" i="98"/>
  <c r="BC54" i="98"/>
  <c r="DB26" i="98"/>
  <c r="BC35" i="98"/>
  <c r="AX17" i="98"/>
  <c r="AX56" i="98"/>
  <c r="BC96" i="98"/>
  <c r="DB126" i="98"/>
  <c r="BC148" i="98"/>
  <c r="AX106" i="98"/>
  <c r="AX27" i="98"/>
  <c r="DB123" i="98"/>
  <c r="DB68" i="98"/>
  <c r="BC157" i="98"/>
  <c r="BH145" i="98"/>
  <c r="BH116" i="98"/>
  <c r="BH130" i="98"/>
  <c r="BH120" i="98"/>
  <c r="DB18" i="98"/>
  <c r="AX80" i="98"/>
  <c r="AX34" i="98"/>
  <c r="AX152" i="98"/>
  <c r="BH107" i="98"/>
  <c r="DB40" i="98"/>
  <c r="BH68" i="98"/>
  <c r="BH126" i="98"/>
  <c r="BC11" i="98"/>
  <c r="DB101" i="98"/>
  <c r="BH133" i="98"/>
  <c r="AX89" i="98"/>
  <c r="BH58" i="98"/>
  <c r="BC37" i="98"/>
  <c r="BH102" i="98"/>
  <c r="BH99" i="98"/>
  <c r="BH123" i="98"/>
  <c r="BC101" i="98"/>
  <c r="BH163" i="98"/>
  <c r="AX78" i="98"/>
  <c r="DB91" i="98"/>
  <c r="BC14" i="98"/>
  <c r="DB115" i="98"/>
  <c r="BH12" i="98"/>
  <c r="BH93" i="98"/>
  <c r="AX96" i="98"/>
  <c r="BC30" i="98"/>
  <c r="AX160" i="98"/>
  <c r="BC66" i="98"/>
  <c r="AX138" i="98"/>
  <c r="BH43" i="98"/>
  <c r="DB83" i="98"/>
  <c r="BH73" i="98"/>
  <c r="AX142" i="98"/>
  <c r="DB109" i="98"/>
  <c r="AX14" i="98"/>
  <c r="DB16" i="98"/>
  <c r="BH79" i="98"/>
  <c r="BC61" i="98"/>
  <c r="DB132" i="98"/>
  <c r="BH152" i="98"/>
  <c r="BH87" i="98"/>
  <c r="BC7" i="98"/>
  <c r="BH90" i="98"/>
  <c r="BH82" i="98"/>
  <c r="BC156" i="98"/>
  <c r="DB131" i="98"/>
  <c r="BC154" i="98"/>
  <c r="BH154" i="98"/>
  <c r="BC84" i="98"/>
  <c r="AX140" i="98"/>
  <c r="AX104" i="98"/>
  <c r="AX31" i="98"/>
  <c r="AX158" i="98"/>
  <c r="BC24" i="98"/>
  <c r="DB138" i="98"/>
  <c r="DB154" i="98"/>
  <c r="BH92" i="98"/>
  <c r="BC115" i="98"/>
  <c r="BH109" i="98"/>
  <c r="BH159" i="98"/>
  <c r="DB38" i="98"/>
  <c r="BC23" i="98"/>
  <c r="AX97" i="98"/>
  <c r="DB42" i="98"/>
  <c r="DB57" i="98"/>
  <c r="BC88" i="98"/>
  <c r="AX135" i="98"/>
  <c r="DB87" i="98"/>
  <c r="AX124" i="98"/>
  <c r="AX136" i="98"/>
  <c r="BC39" i="98"/>
  <c r="DB161" i="98"/>
  <c r="DB111" i="98"/>
  <c r="DB64" i="98"/>
  <c r="BH22" i="98"/>
  <c r="BC113" i="98"/>
  <c r="BC82" i="98"/>
  <c r="BH6" i="98"/>
  <c r="DB17" i="98"/>
  <c r="BC17" i="98"/>
  <c r="DB163" i="98"/>
  <c r="DB67" i="98"/>
  <c r="BC144" i="98"/>
  <c r="DB81" i="98"/>
  <c r="BC127" i="98"/>
  <c r="BC85" i="98"/>
  <c r="BH104" i="98"/>
  <c r="BC100" i="98"/>
  <c r="BC53" i="98"/>
  <c r="BC131" i="98"/>
  <c r="BC155" i="98"/>
  <c r="DB153" i="98"/>
  <c r="BH37" i="98"/>
  <c r="AX43" i="98"/>
  <c r="BC49" i="98"/>
  <c r="AX93" i="98"/>
  <c r="AX100" i="98"/>
  <c r="BH127" i="98"/>
  <c r="AX84" i="98"/>
  <c r="BH161" i="98"/>
  <c r="AX25" i="98"/>
  <c r="AX82" i="98"/>
  <c r="BC8" i="98"/>
  <c r="AX41" i="98"/>
  <c r="DB50" i="98"/>
  <c r="BC79" i="98"/>
  <c r="BH134" i="98"/>
  <c r="BC143" i="98"/>
  <c r="BH60" i="98"/>
  <c r="AX15" i="98"/>
  <c r="BH96" i="98"/>
  <c r="DB125" i="98"/>
  <c r="DB63" i="98"/>
  <c r="BB13" i="98"/>
  <c r="BB108" i="98"/>
  <c r="BG97" i="98"/>
  <c r="AW129" i="98"/>
  <c r="BB25" i="98"/>
  <c r="DA112" i="98"/>
  <c r="DA155" i="98"/>
  <c r="AW24" i="98"/>
  <c r="DA78" i="98"/>
  <c r="BG162" i="98"/>
  <c r="DA20" i="98"/>
  <c r="BB31" i="98"/>
  <c r="BG107" i="98"/>
  <c r="DA54" i="98"/>
  <c r="AW87" i="98"/>
  <c r="BG57" i="98"/>
  <c r="AW119" i="98"/>
  <c r="AW28" i="98"/>
  <c r="BG31" i="98"/>
  <c r="DA77" i="98"/>
  <c r="DA149" i="98"/>
  <c r="DA124" i="98"/>
  <c r="AW146" i="98"/>
  <c r="AW18" i="98"/>
  <c r="DA10" i="98"/>
  <c r="DA31" i="98"/>
  <c r="DA160" i="98"/>
  <c r="DA65" i="98"/>
  <c r="BG28" i="98"/>
  <c r="BG75" i="98"/>
  <c r="BB97" i="98"/>
  <c r="DA93" i="98"/>
  <c r="BG30" i="98"/>
  <c r="DA126" i="98"/>
  <c r="BG158" i="98"/>
  <c r="DA12" i="98"/>
  <c r="DA100" i="98"/>
  <c r="BB128" i="98"/>
  <c r="BG29" i="98"/>
  <c r="BG106" i="98"/>
  <c r="DA101" i="98"/>
  <c r="BG10" i="98"/>
  <c r="BG104" i="98"/>
  <c r="BG141" i="98"/>
  <c r="BB155" i="98"/>
  <c r="BB12" i="98"/>
  <c r="BB91" i="98"/>
  <c r="BG13" i="98"/>
  <c r="DA113" i="98"/>
  <c r="BG131" i="98"/>
  <c r="BB116" i="98"/>
  <c r="BB147" i="98"/>
  <c r="BB16" i="98"/>
  <c r="DA109" i="98"/>
  <c r="DA142" i="98"/>
  <c r="DA132" i="98"/>
  <c r="DA111" i="98"/>
  <c r="AW118" i="98"/>
  <c r="BB64" i="98"/>
  <c r="BB59" i="98"/>
  <c r="AW105" i="98"/>
  <c r="AW13" i="98"/>
  <c r="BG32" i="98"/>
  <c r="BG109" i="98"/>
  <c r="BG34" i="98"/>
  <c r="DA36" i="98"/>
  <c r="BB103" i="98"/>
  <c r="DA164" i="98"/>
  <c r="AW159" i="98"/>
  <c r="BG125" i="98"/>
  <c r="BB111" i="98"/>
  <c r="AW120" i="98"/>
  <c r="AW6" i="98"/>
  <c r="BG157" i="98"/>
  <c r="AW136" i="98"/>
  <c r="DA86" i="98"/>
  <c r="AW147" i="98"/>
  <c r="BB21" i="98"/>
  <c r="DA104" i="98"/>
  <c r="BG15" i="98"/>
  <c r="BG120" i="98"/>
  <c r="BB98" i="98"/>
  <c r="CZ69" i="98"/>
  <c r="BA63" i="98"/>
  <c r="BF53" i="98"/>
  <c r="BF10" i="98"/>
  <c r="BA66" i="98"/>
  <c r="AV30" i="98"/>
  <c r="BA52" i="98"/>
  <c r="AV29" i="98"/>
  <c r="BF14" i="98"/>
  <c r="CZ45" i="98"/>
  <c r="BF46" i="98"/>
  <c r="BF8" i="98"/>
  <c r="BA9" i="98"/>
  <c r="CZ90" i="98"/>
  <c r="AV32" i="98"/>
  <c r="CZ79" i="98"/>
  <c r="BA39" i="98"/>
  <c r="CZ49" i="98"/>
  <c r="BF30" i="98"/>
  <c r="CZ77" i="98"/>
  <c r="AV43" i="98"/>
  <c r="AV72" i="98"/>
  <c r="BF89" i="98"/>
  <c r="BA43" i="98"/>
  <c r="CZ41" i="98"/>
  <c r="CZ12" i="98"/>
  <c r="AV13" i="98"/>
  <c r="BA21" i="98"/>
  <c r="BF23" i="98"/>
  <c r="AV84" i="98"/>
  <c r="CZ60" i="98"/>
  <c r="BA75" i="98"/>
  <c r="BF22" i="98"/>
  <c r="BF26" i="98"/>
  <c r="AV51" i="98"/>
  <c r="AV55" i="98"/>
  <c r="BA16" i="98"/>
  <c r="CZ32" i="98"/>
  <c r="AV50" i="98"/>
  <c r="BA88" i="98"/>
  <c r="CZ18" i="98"/>
  <c r="AV7" i="98"/>
  <c r="CZ52" i="98"/>
  <c r="AV33" i="98"/>
  <c r="CZ16" i="98"/>
  <c r="BA32" i="98"/>
  <c r="BF32" i="98"/>
  <c r="AV38" i="98"/>
  <c r="BF15" i="98"/>
  <c r="AV77" i="98"/>
  <c r="BA47" i="98"/>
  <c r="BA31" i="98"/>
  <c r="CZ19" i="98"/>
  <c r="AV8" i="98"/>
  <c r="BF63" i="98"/>
  <c r="CZ92" i="98"/>
  <c r="BA62" i="98"/>
  <c r="CZ70" i="98"/>
  <c r="AV70" i="98"/>
  <c r="BF66" i="98"/>
  <c r="BF58" i="98"/>
  <c r="BF91" i="98"/>
  <c r="BF5" i="98"/>
  <c r="CZ57" i="98"/>
  <c r="AV71" i="98"/>
  <c r="BF56" i="98"/>
  <c r="AV47" i="98"/>
  <c r="AV18" i="98"/>
  <c r="BF33" i="98"/>
  <c r="CZ7" i="98"/>
  <c r="AV41" i="98"/>
  <c r="AV76" i="98"/>
  <c r="BF37" i="98"/>
  <c r="BF21" i="98"/>
  <c r="BA5" i="98"/>
  <c r="BF87" i="98"/>
  <c r="BA64" i="98"/>
  <c r="BF84" i="98"/>
  <c r="BA46" i="98"/>
  <c r="CZ65" i="98"/>
  <c r="AV17" i="98"/>
  <c r="BA42" i="98"/>
  <c r="BF52" i="98"/>
  <c r="CZ20" i="98"/>
  <c r="BF24" i="98"/>
  <c r="BA10" i="98"/>
  <c r="CZ5" i="98"/>
  <c r="CZ81" i="98"/>
  <c r="BA22" i="98"/>
  <c r="BF94" i="98"/>
  <c r="AV10" i="98"/>
  <c r="BF51" i="98"/>
  <c r="BF67" i="98"/>
  <c r="AV12" i="98"/>
  <c r="AV34" i="98"/>
  <c r="BF38" i="98"/>
  <c r="CZ88" i="98"/>
  <c r="AV83" i="98"/>
  <c r="BA44" i="98"/>
  <c r="BF11" i="98"/>
  <c r="BA70" i="98"/>
  <c r="BA85" i="98"/>
  <c r="AV48" i="98"/>
  <c r="BF25" i="98"/>
  <c r="CZ13" i="98"/>
  <c r="AV67" i="98"/>
  <c r="AV19" i="98"/>
  <c r="CZ75" i="98"/>
  <c r="AV22" i="98"/>
  <c r="CZ36" i="98"/>
  <c r="BA34" i="98"/>
  <c r="BA23" i="98"/>
  <c r="BA48" i="98"/>
  <c r="BF55" i="98"/>
  <c r="BA76" i="98"/>
  <c r="AV39" i="98"/>
  <c r="BA94" i="98"/>
  <c r="BA25" i="98"/>
  <c r="BA54" i="98"/>
  <c r="CZ71" i="98"/>
  <c r="AV94" i="98"/>
  <c r="BF40" i="98"/>
  <c r="BA91" i="98"/>
  <c r="BF48" i="98"/>
  <c r="CZ47" i="98"/>
  <c r="CZ80" i="98"/>
  <c r="BF7" i="98"/>
  <c r="AV24" i="98"/>
  <c r="CZ73" i="98"/>
  <c r="BA28" i="98"/>
  <c r="AV82" i="98"/>
  <c r="BF93" i="98"/>
  <c r="BA27" i="98"/>
  <c r="AV44" i="98"/>
  <c r="CZ50" i="98"/>
  <c r="BF49" i="98"/>
  <c r="CZ91" i="98"/>
  <c r="BF74" i="98"/>
  <c r="BA49" i="98"/>
  <c r="CZ28" i="98"/>
  <c r="CZ37" i="98"/>
  <c r="BA68" i="98"/>
  <c r="BF73" i="98"/>
  <c r="CZ44" i="98"/>
  <c r="CZ40" i="98"/>
  <c r="AV69" i="98"/>
  <c r="AV46" i="98"/>
  <c r="BF79" i="98"/>
  <c r="BA92" i="98"/>
  <c r="CZ78" i="98"/>
  <c r="BF71" i="98"/>
  <c r="BA41" i="98"/>
  <c r="CZ30" i="98"/>
  <c r="CZ74" i="98"/>
  <c r="CZ87" i="98"/>
  <c r="BA40" i="98"/>
  <c r="BF47" i="98"/>
  <c r="BF57" i="98"/>
  <c r="AV23" i="98"/>
  <c r="BA89" i="98"/>
  <c r="BA87" i="98"/>
  <c r="BF62" i="98"/>
  <c r="BA82" i="98"/>
  <c r="CZ22" i="98"/>
  <c r="BF80" i="98"/>
  <c r="AV91" i="98"/>
  <c r="BF92" i="98"/>
  <c r="CZ17" i="98"/>
  <c r="BA78" i="98"/>
  <c r="BF27" i="98"/>
  <c r="BF50" i="98"/>
  <c r="BA20" i="98"/>
  <c r="AU5" i="98"/>
  <c r="BE96" i="98"/>
  <c r="AU29" i="98"/>
  <c r="CY104" i="98"/>
  <c r="AU58" i="98"/>
  <c r="AZ155" i="98"/>
  <c r="CY6" i="98"/>
  <c r="AU83" i="98"/>
  <c r="AU92" i="98"/>
  <c r="AZ159" i="98"/>
  <c r="CY88" i="98"/>
  <c r="CY164" i="98"/>
  <c r="AU43" i="98"/>
  <c r="AU103" i="98"/>
  <c r="CY59" i="98"/>
  <c r="AU54" i="98"/>
  <c r="AZ15" i="98"/>
  <c r="BE139" i="98"/>
  <c r="AU100" i="98"/>
  <c r="CY101" i="98"/>
  <c r="AU149" i="98"/>
  <c r="CY67" i="98"/>
  <c r="AZ164" i="98"/>
  <c r="BE113" i="98"/>
  <c r="AZ153" i="98"/>
  <c r="BE72" i="98"/>
  <c r="AU115" i="98"/>
  <c r="BE153" i="98"/>
  <c r="BE134" i="98"/>
  <c r="CY28" i="98"/>
  <c r="CY108" i="98"/>
  <c r="AU64" i="98"/>
  <c r="BE46" i="98"/>
  <c r="CY99" i="98"/>
  <c r="BE16" i="98"/>
  <c r="BE123" i="98"/>
  <c r="CY151" i="98"/>
  <c r="AU56" i="98"/>
  <c r="CY157" i="98"/>
  <c r="AU38" i="98"/>
  <c r="AZ116" i="98"/>
  <c r="AU47" i="98"/>
  <c r="CY102" i="98"/>
  <c r="AU76" i="98"/>
  <c r="CY131" i="98"/>
  <c r="BE15" i="98"/>
  <c r="BE98" i="98"/>
  <c r="BE137" i="98"/>
  <c r="AZ149" i="98"/>
  <c r="AU93" i="98"/>
  <c r="BE77" i="98"/>
  <c r="BE6" i="98"/>
  <c r="CY155" i="98"/>
  <c r="CY110" i="98"/>
  <c r="CY13" i="98"/>
  <c r="CY80" i="98"/>
  <c r="AU27" i="98"/>
  <c r="AU140" i="98"/>
  <c r="AZ29" i="98"/>
  <c r="BE110" i="98"/>
  <c r="AZ114" i="98"/>
  <c r="AU41" i="98"/>
  <c r="AZ134" i="98"/>
  <c r="BE118" i="98"/>
  <c r="CY74" i="98"/>
  <c r="CY10" i="98"/>
  <c r="AZ34" i="98"/>
  <c r="CY144" i="98"/>
  <c r="CY154" i="98"/>
  <c r="AZ150" i="98"/>
  <c r="BE48" i="98"/>
  <c r="AZ144" i="98"/>
  <c r="CY58" i="98"/>
  <c r="BE162" i="98"/>
  <c r="AU19" i="98"/>
  <c r="CY95" i="98"/>
  <c r="AU101" i="98"/>
  <c r="AZ25" i="98"/>
  <c r="BE75" i="98"/>
  <c r="AZ161" i="98"/>
  <c r="AU142" i="98"/>
  <c r="AZ33" i="98"/>
  <c r="AZ106" i="98"/>
  <c r="AU88" i="98"/>
  <c r="AU114" i="98"/>
  <c r="BE88" i="98"/>
  <c r="AZ17" i="98"/>
  <c r="AZ141" i="98"/>
  <c r="CY47" i="98"/>
  <c r="CY38" i="98"/>
  <c r="CY57" i="98"/>
  <c r="AU117" i="98"/>
  <c r="AU143" i="98"/>
  <c r="BE146" i="98"/>
  <c r="BE58" i="98"/>
  <c r="AU146" i="98"/>
  <c r="BE122" i="98"/>
  <c r="BE12" i="98"/>
  <c r="BE21" i="98"/>
  <c r="CY135" i="98"/>
  <c r="AZ28" i="98"/>
  <c r="CY149" i="98"/>
  <c r="AZ20" i="98"/>
  <c r="AU145" i="98"/>
  <c r="AU106" i="98"/>
  <c r="AU75" i="98"/>
  <c r="AZ129" i="98"/>
  <c r="AZ107" i="98"/>
  <c r="BE81" i="98"/>
  <c r="BE128" i="98"/>
  <c r="AU131" i="98"/>
  <c r="BE80" i="98"/>
  <c r="BE117" i="98"/>
  <c r="BE22" i="98"/>
  <c r="AZ126" i="98"/>
  <c r="CY35" i="98"/>
  <c r="BE142" i="98"/>
  <c r="CY97" i="98"/>
  <c r="AZ151" i="98"/>
  <c r="AU70" i="98"/>
  <c r="AZ55" i="98"/>
  <c r="AZ74" i="98"/>
  <c r="AU7" i="98"/>
  <c r="CY140" i="98"/>
  <c r="AZ67" i="98"/>
  <c r="BE10" i="98"/>
  <c r="AZ104" i="98"/>
  <c r="AZ51" i="98"/>
  <c r="CY90" i="98"/>
  <c r="AU25" i="98"/>
  <c r="AZ38" i="98"/>
  <c r="BE152" i="98"/>
  <c r="AZ148" i="98"/>
  <c r="BE94" i="98"/>
  <c r="BE9" i="98"/>
  <c r="AZ145" i="98"/>
  <c r="CY51" i="98"/>
  <c r="AU46" i="98"/>
  <c r="CY79" i="98"/>
  <c r="CY147" i="98"/>
  <c r="CY143" i="98"/>
  <c r="AU147" i="98"/>
  <c r="AZ71" i="98"/>
  <c r="AZ133" i="98"/>
  <c r="AZ65" i="98"/>
  <c r="AU21" i="98"/>
  <c r="AZ111" i="98"/>
  <c r="BE157" i="98"/>
  <c r="CY145" i="98"/>
  <c r="CY134" i="98"/>
  <c r="AU36" i="98"/>
  <c r="CY27" i="98"/>
  <c r="AZ22" i="98"/>
  <c r="AZ14" i="98"/>
  <c r="CY115" i="98"/>
  <c r="BE13" i="98"/>
  <c r="AU154" i="98"/>
  <c r="AZ50" i="98"/>
  <c r="BE73" i="98"/>
  <c r="AZ23" i="98"/>
  <c r="BE78" i="98"/>
  <c r="AZ162" i="98"/>
  <c r="BE127" i="98"/>
  <c r="AZ95" i="98"/>
  <c r="CY54" i="98"/>
  <c r="BE61" i="98"/>
  <c r="CY50" i="98"/>
  <c r="AU87" i="98"/>
  <c r="BE130" i="98"/>
  <c r="CY7" i="98"/>
  <c r="CY158" i="98"/>
  <c r="AZ68" i="98"/>
  <c r="CY8" i="98"/>
  <c r="CY14" i="98"/>
  <c r="AU96" i="98"/>
  <c r="AZ139" i="98"/>
  <c r="AU137" i="98"/>
  <c r="CY103" i="98"/>
  <c r="BE7" i="98"/>
  <c r="CY68" i="98"/>
  <c r="AZ41" i="98"/>
  <c r="BE115" i="98"/>
  <c r="AZ122" i="98"/>
  <c r="AU14" i="98"/>
  <c r="BE11" i="98"/>
  <c r="AU160" i="98"/>
  <c r="BE91" i="98"/>
  <c r="AZ56" i="98"/>
  <c r="BE40" i="98"/>
  <c r="AZ112" i="98"/>
  <c r="BE17" i="98"/>
  <c r="AU116" i="98"/>
  <c r="AZ157" i="98"/>
  <c r="BE164" i="98"/>
  <c r="BE89" i="98"/>
  <c r="CY125" i="98"/>
  <c r="BE156" i="98"/>
  <c r="CY113" i="98"/>
  <c r="BE112" i="98"/>
  <c r="CY85" i="98"/>
  <c r="AU18" i="98"/>
  <c r="BE135" i="98"/>
  <c r="AZ97" i="98"/>
  <c r="AZ118" i="98"/>
  <c r="CY44" i="98"/>
  <c r="AZ64" i="98"/>
  <c r="AZ47" i="98"/>
  <c r="BE126" i="98"/>
  <c r="AZ18" i="98"/>
  <c r="CY123" i="98"/>
  <c r="AU128" i="98"/>
  <c r="AU98" i="98"/>
  <c r="CY89" i="98"/>
  <c r="AZ59" i="98"/>
  <c r="AZ103" i="98"/>
  <c r="AZ127" i="98"/>
  <c r="CY84" i="98"/>
  <c r="AU62" i="98"/>
  <c r="AZ53" i="98"/>
  <c r="AZ120" i="98"/>
  <c r="AZ113" i="98"/>
  <c r="BE95" i="98"/>
  <c r="AZ140" i="98"/>
  <c r="CY62" i="98"/>
  <c r="AU89" i="98"/>
  <c r="CY12" i="98"/>
  <c r="BE82" i="98"/>
  <c r="AZ94" i="98"/>
  <c r="AZ102" i="98"/>
  <c r="AU163" i="98"/>
  <c r="AU164" i="98"/>
  <c r="AZ138" i="98"/>
  <c r="CY56" i="98"/>
  <c r="CY65" i="98"/>
  <c r="AZ77" i="98"/>
  <c r="AU134" i="98"/>
  <c r="AZ128" i="98"/>
  <c r="AU81" i="98"/>
  <c r="BE59" i="98"/>
  <c r="BE111" i="98"/>
  <c r="AU123" i="98"/>
  <c r="CY77" i="98"/>
  <c r="BE92" i="98"/>
  <c r="AZ39" i="98"/>
  <c r="AZ115" i="98"/>
  <c r="CY94" i="98"/>
  <c r="AU68" i="98"/>
  <c r="BE108" i="98"/>
  <c r="AU33" i="98"/>
  <c r="BE41" i="98"/>
  <c r="AZ76" i="98"/>
  <c r="AZ90" i="98"/>
  <c r="AU85" i="98"/>
  <c r="CY23" i="98"/>
  <c r="AZ132" i="98"/>
  <c r="AU66" i="98"/>
  <c r="CY130" i="98"/>
  <c r="AU49" i="98"/>
  <c r="BE121" i="98"/>
  <c r="CY24" i="98"/>
  <c r="AU135" i="98"/>
  <c r="BE25" i="98"/>
  <c r="BE47" i="98"/>
  <c r="AZ8" i="98"/>
  <c r="AZ91" i="98"/>
  <c r="CY121" i="98"/>
  <c r="AZ52" i="98"/>
  <c r="AU111" i="98"/>
  <c r="AZ136" i="98"/>
  <c r="CY127" i="98"/>
  <c r="AZ78" i="98"/>
  <c r="AU60" i="98"/>
  <c r="BE45" i="98"/>
  <c r="CY16" i="98"/>
  <c r="CY78" i="98"/>
  <c r="AU69" i="98"/>
  <c r="BE149" i="98"/>
  <c r="AZ63" i="98"/>
  <c r="AU161" i="98"/>
  <c r="BE109" i="98"/>
  <c r="BE20" i="98"/>
  <c r="AU124" i="98"/>
  <c r="AZ108" i="98"/>
  <c r="AU112" i="98"/>
  <c r="AU141" i="98"/>
  <c r="BE147" i="98"/>
  <c r="AZ43" i="98"/>
  <c r="AZ21" i="98"/>
  <c r="CY18" i="98"/>
  <c r="AZ11" i="98"/>
  <c r="AZ31" i="98"/>
  <c r="CY133" i="98"/>
  <c r="AU91" i="98"/>
  <c r="BE66" i="98"/>
  <c r="CY139" i="98"/>
  <c r="BE30" i="98"/>
  <c r="CY107" i="98"/>
  <c r="AU35" i="98"/>
  <c r="BE76" i="98"/>
  <c r="CY19" i="98"/>
  <c r="BE67" i="98"/>
  <c r="AU132" i="98"/>
  <c r="AZ117" i="98"/>
  <c r="AZ6" i="98"/>
  <c r="BE114" i="98"/>
  <c r="AU138" i="98"/>
  <c r="BE70" i="98"/>
  <c r="AU12" i="98"/>
  <c r="AU78" i="98"/>
  <c r="CY30" i="98"/>
  <c r="CY111" i="98"/>
  <c r="AU37" i="98"/>
  <c r="AZ152" i="98"/>
  <c r="BE35" i="98"/>
  <c r="AU86" i="98"/>
  <c r="AZ131" i="98"/>
  <c r="AU30" i="98"/>
  <c r="BE50" i="98"/>
  <c r="AZ58" i="98"/>
  <c r="AZ13" i="98"/>
  <c r="AU102" i="98"/>
  <c r="AZ16" i="98"/>
  <c r="AU28" i="98"/>
  <c r="AZ7" i="98"/>
  <c r="AU71" i="98"/>
  <c r="CY15" i="98"/>
  <c r="AU50" i="98"/>
  <c r="CY32" i="98"/>
  <c r="CY126" i="98"/>
  <c r="BE38" i="98"/>
  <c r="AU153" i="98"/>
  <c r="CY45" i="98"/>
  <c r="BE159" i="98"/>
  <c r="AZ30" i="98"/>
  <c r="AU133" i="98"/>
  <c r="AZ99" i="98"/>
  <c r="AZ62" i="98"/>
  <c r="AZ40" i="98"/>
  <c r="AZ5" i="98"/>
  <c r="BE64" i="98"/>
  <c r="CY136" i="98"/>
  <c r="BE140" i="98"/>
  <c r="AZ130" i="98"/>
  <c r="CY53" i="98"/>
  <c r="AU110" i="98"/>
  <c r="AZ73" i="98"/>
  <c r="AZ88" i="98"/>
  <c r="CY137" i="98"/>
  <c r="AU77" i="98"/>
  <c r="BE57" i="98"/>
  <c r="BE85" i="98"/>
  <c r="BE160" i="98"/>
  <c r="CY69" i="98"/>
  <c r="AZ158" i="98"/>
  <c r="AZ98" i="98"/>
  <c r="AZ82" i="98"/>
  <c r="BE132" i="98"/>
  <c r="AZ93" i="98"/>
  <c r="BE74" i="98"/>
  <c r="AZ46" i="98"/>
  <c r="AU158" i="98"/>
  <c r="AU34" i="98"/>
  <c r="BE116" i="98"/>
  <c r="AZ80" i="98"/>
  <c r="BE54" i="98"/>
  <c r="CY82" i="98"/>
  <c r="AZ160" i="98"/>
  <c r="AZ12" i="98"/>
  <c r="AU90" i="98"/>
  <c r="CY129" i="98"/>
  <c r="AU13" i="98"/>
  <c r="BE154" i="98"/>
  <c r="AZ147" i="98"/>
  <c r="BE36" i="98"/>
  <c r="BE103" i="98"/>
  <c r="AU6" i="98"/>
  <c r="AZ49" i="98"/>
  <c r="AU125" i="98"/>
  <c r="BE119" i="98"/>
  <c r="CY92" i="98"/>
  <c r="CY161" i="98"/>
  <c r="AU40" i="98"/>
  <c r="BE155" i="98"/>
  <c r="AU23" i="98"/>
  <c r="AZ36" i="98"/>
  <c r="BE136" i="98"/>
  <c r="AU162" i="98"/>
  <c r="AU59" i="98"/>
  <c r="AZ54" i="98"/>
  <c r="AZ83" i="98"/>
  <c r="BE51" i="98"/>
  <c r="AZ137" i="98"/>
  <c r="CY81" i="98"/>
  <c r="AZ86" i="98"/>
  <c r="AU48" i="98"/>
  <c r="CY70" i="98"/>
  <c r="AU122" i="98"/>
  <c r="AZ92" i="98"/>
  <c r="BE163" i="98"/>
  <c r="CY5" i="98"/>
  <c r="AU9" i="98"/>
  <c r="AU97" i="98"/>
  <c r="CY112" i="98"/>
  <c r="AU139" i="98"/>
  <c r="AU65" i="98"/>
  <c r="AZ48" i="98"/>
  <c r="BE131" i="98"/>
  <c r="AZ79" i="98"/>
  <c r="CY60" i="98"/>
  <c r="BE106" i="98"/>
  <c r="CY52" i="98"/>
  <c r="CY29" i="98"/>
  <c r="CY31" i="98"/>
  <c r="CY11" i="98"/>
  <c r="AZ85" i="98"/>
  <c r="AU72" i="98"/>
  <c r="CY163" i="98"/>
  <c r="AU118" i="98"/>
  <c r="BE5" i="98"/>
  <c r="AZ154" i="98"/>
  <c r="AU79" i="98"/>
  <c r="CY49" i="98"/>
  <c r="AZ61" i="98"/>
  <c r="AU17" i="98"/>
  <c r="AZ101" i="98"/>
  <c r="AU84" i="98"/>
  <c r="CY43" i="98"/>
  <c r="AZ123" i="98"/>
  <c r="AU127" i="98"/>
  <c r="AU156" i="98"/>
  <c r="BE138" i="98"/>
  <c r="AZ19" i="98"/>
  <c r="CY91" i="98"/>
  <c r="AU119" i="98"/>
  <c r="CY152" i="98"/>
  <c r="BE62" i="98"/>
  <c r="AZ44" i="98"/>
  <c r="AU26" i="98"/>
  <c r="AZ142" i="98"/>
  <c r="AZ57" i="98"/>
  <c r="BE27" i="98"/>
  <c r="AZ100" i="98"/>
  <c r="AZ96" i="98"/>
  <c r="AU95" i="98"/>
  <c r="AU155" i="98"/>
  <c r="AU61" i="98"/>
  <c r="CY46" i="98"/>
  <c r="AZ35" i="98"/>
  <c r="AZ109" i="98"/>
  <c r="CY42" i="98"/>
  <c r="BE105" i="98"/>
  <c r="AU159" i="98"/>
  <c r="AU11" i="98"/>
  <c r="AU22" i="98"/>
  <c r="AU136" i="98"/>
  <c r="CY73" i="98"/>
  <c r="CY63" i="98"/>
  <c r="CY160" i="98"/>
  <c r="AU73" i="98"/>
  <c r="CY87" i="98"/>
  <c r="BE43" i="98"/>
  <c r="AZ66" i="98"/>
  <c r="AU121" i="98"/>
  <c r="AZ135" i="98"/>
  <c r="CY55" i="98"/>
  <c r="AZ72" i="98"/>
  <c r="AZ27" i="98"/>
  <c r="BE65" i="98"/>
  <c r="CY117" i="98"/>
  <c r="CY37" i="98"/>
  <c r="CY138" i="98"/>
  <c r="AZ146" i="98"/>
  <c r="CY71" i="98"/>
  <c r="AU42" i="98"/>
  <c r="AZ10" i="98"/>
  <c r="BE84" i="98"/>
  <c r="CY100" i="98"/>
  <c r="CY142" i="98"/>
  <c r="BE102" i="98"/>
  <c r="CY96" i="98"/>
  <c r="AU108" i="98"/>
  <c r="CY21" i="98"/>
  <c r="AZ32" i="98"/>
  <c r="AU39" i="98"/>
  <c r="CY72" i="98"/>
  <c r="BE19" i="98"/>
  <c r="AU15" i="98"/>
  <c r="AU80" i="98"/>
  <c r="BE101" i="98"/>
  <c r="AU45" i="98"/>
  <c r="AU57" i="98"/>
  <c r="BE120" i="98"/>
  <c r="AZ163" i="98"/>
  <c r="BE125" i="98"/>
  <c r="BE100" i="98"/>
  <c r="CY159" i="98"/>
  <c r="AZ70" i="98"/>
  <c r="CY48" i="98"/>
  <c r="AZ143" i="98"/>
  <c r="BE83" i="98"/>
  <c r="CY41" i="98"/>
  <c r="CY22" i="98"/>
  <c r="AU144" i="98"/>
  <c r="CY120" i="98"/>
  <c r="BE37" i="98"/>
  <c r="AZ75" i="98"/>
  <c r="BE14" i="98"/>
  <c r="BE18" i="98"/>
  <c r="BE150" i="98"/>
  <c r="CY83" i="98"/>
  <c r="AU44" i="98"/>
  <c r="AU31" i="98"/>
  <c r="BE55" i="98"/>
  <c r="CY86" i="98"/>
  <c r="CY26" i="98"/>
  <c r="BE32" i="98"/>
  <c r="AU129" i="98"/>
  <c r="CY33" i="98"/>
  <c r="BE79" i="98"/>
  <c r="BE86" i="98"/>
  <c r="AZ24" i="98"/>
  <c r="CY153" i="98"/>
  <c r="CY66" i="98"/>
  <c r="BE39" i="98"/>
  <c r="BE93" i="98"/>
  <c r="CY132" i="98"/>
  <c r="AZ119" i="98"/>
  <c r="BE69" i="98"/>
  <c r="CY17" i="98"/>
  <c r="AU157" i="98"/>
  <c r="CY109" i="98"/>
  <c r="BE31" i="98"/>
  <c r="BE71" i="98"/>
  <c r="BE23" i="98"/>
  <c r="BE87" i="98"/>
  <c r="AZ81" i="98"/>
  <c r="BE49" i="98"/>
  <c r="AU8" i="98"/>
  <c r="BE56" i="98"/>
  <c r="BE44" i="98"/>
  <c r="CY105" i="98"/>
  <c r="AU107" i="98"/>
  <c r="CY141" i="98"/>
  <c r="AU16" i="98"/>
  <c r="CY119" i="98"/>
  <c r="BE52" i="98"/>
  <c r="AZ105" i="98"/>
  <c r="AU109" i="98"/>
  <c r="CY146" i="98"/>
  <c r="CY9" i="98"/>
  <c r="BE53" i="98"/>
  <c r="BE28" i="98"/>
  <c r="BE124" i="98"/>
  <c r="BE63" i="98"/>
  <c r="AU10" i="98"/>
  <c r="AU82" i="98"/>
  <c r="AU150" i="98"/>
  <c r="AU120" i="98"/>
  <c r="CY118" i="98"/>
  <c r="BE90" i="98"/>
  <c r="AU67" i="98"/>
  <c r="CY64" i="98"/>
  <c r="BF42" i="98"/>
  <c r="AV65" i="98"/>
  <c r="AV37" i="98"/>
  <c r="BF69" i="98"/>
  <c r="BA61" i="98"/>
  <c r="AV93" i="98"/>
  <c r="CZ55" i="98"/>
  <c r="CZ24" i="98"/>
  <c r="CZ83" i="98"/>
  <c r="BA53" i="98"/>
  <c r="AV90" i="98"/>
  <c r="CZ31" i="98"/>
  <c r="AV68" i="98"/>
  <c r="CZ23" i="98"/>
  <c r="AV49" i="98"/>
  <c r="BA36" i="98"/>
  <c r="AV88" i="98"/>
  <c r="BF16" i="98"/>
  <c r="BF13" i="98"/>
  <c r="BF31" i="98"/>
  <c r="AV14" i="98"/>
  <c r="AV40" i="98"/>
  <c r="BF43" i="98"/>
  <c r="BF20" i="98"/>
  <c r="CZ33" i="98"/>
  <c r="BF28" i="98"/>
  <c r="CZ53" i="98"/>
  <c r="CZ6" i="98"/>
  <c r="BA45" i="98"/>
  <c r="BA77" i="98"/>
  <c r="AV73" i="98"/>
  <c r="CZ93" i="98"/>
  <c r="CZ21" i="98"/>
  <c r="CZ85" i="98"/>
  <c r="AV92" i="98"/>
  <c r="CZ72" i="98"/>
  <c r="BA51" i="98"/>
  <c r="CZ25" i="98"/>
  <c r="AV61" i="98"/>
  <c r="AV21" i="98"/>
  <c r="BA79" i="98"/>
  <c r="BA33" i="98"/>
  <c r="AV16" i="98"/>
  <c r="CZ38" i="98"/>
  <c r="CZ48" i="98"/>
  <c r="AV20" i="98"/>
  <c r="AV6" i="98"/>
  <c r="BF59" i="98"/>
  <c r="AV56" i="98"/>
  <c r="BF86" i="98"/>
  <c r="CZ54" i="98"/>
  <c r="BF61" i="98"/>
  <c r="AV52" i="98"/>
  <c r="BF88" i="98"/>
  <c r="BF76" i="98"/>
  <c r="CZ76" i="98"/>
  <c r="BA18" i="98"/>
  <c r="BF85" i="98"/>
  <c r="BA65" i="98"/>
  <c r="CZ42" i="98"/>
  <c r="BA30" i="98"/>
  <c r="CZ61" i="98"/>
  <c r="BF60" i="98"/>
  <c r="AV59" i="98"/>
  <c r="AV27" i="98"/>
  <c r="CZ8" i="98"/>
  <c r="CZ43" i="98"/>
  <c r="CZ64" i="98"/>
  <c r="CZ14" i="98"/>
  <c r="BF81" i="98"/>
  <c r="BF34" i="98"/>
  <c r="BA26" i="98"/>
  <c r="BF41" i="98"/>
  <c r="BA17" i="98"/>
  <c r="BF12" i="98"/>
  <c r="AV66" i="98"/>
  <c r="CZ9" i="98"/>
  <c r="BF54" i="98"/>
  <c r="CZ39" i="98"/>
  <c r="CZ27" i="98"/>
  <c r="AV45" i="98"/>
  <c r="AV81" i="98"/>
  <c r="AV25" i="98"/>
  <c r="BF39" i="98"/>
  <c r="AV9" i="98"/>
  <c r="CZ58" i="98"/>
  <c r="AV89" i="98"/>
  <c r="AV28" i="98"/>
  <c r="BA13" i="98"/>
  <c r="BF17" i="98"/>
  <c r="BA8" i="98"/>
  <c r="BA69" i="98"/>
  <c r="BA56" i="98"/>
  <c r="BA24" i="98"/>
  <c r="BA71" i="98"/>
  <c r="BF83" i="98"/>
  <c r="BA80" i="98"/>
  <c r="AV78" i="98"/>
  <c r="BF68" i="98"/>
  <c r="AV57" i="98"/>
  <c r="AV63" i="98"/>
  <c r="BA19" i="98"/>
  <c r="CZ29" i="98"/>
  <c r="AV64" i="98"/>
  <c r="CZ34" i="98"/>
  <c r="CZ35" i="98"/>
  <c r="CZ62" i="98"/>
  <c r="CZ15" i="98"/>
  <c r="BA15" i="98"/>
  <c r="BA29" i="98"/>
  <c r="AV87" i="98"/>
  <c r="BA58" i="98"/>
  <c r="CZ66" i="98"/>
  <c r="AV15" i="98"/>
  <c r="BA86" i="98"/>
  <c r="AV62" i="98"/>
  <c r="BA73" i="98"/>
  <c r="AV36" i="98"/>
  <c r="BA35" i="98"/>
  <c r="CZ67" i="98"/>
  <c r="AV58" i="98"/>
  <c r="AV74" i="98"/>
  <c r="BA14" i="98"/>
  <c r="BA84" i="98"/>
  <c r="CZ82" i="98"/>
  <c r="AV42" i="98"/>
  <c r="AV54" i="98"/>
  <c r="BF19" i="98"/>
  <c r="BA6" i="98"/>
  <c r="AV79" i="98"/>
  <c r="BA37" i="98"/>
  <c r="BA12" i="98"/>
  <c r="BF77" i="98"/>
  <c r="CZ46" i="98"/>
  <c r="BA7" i="98"/>
  <c r="BA81" i="98"/>
  <c r="AV60" i="98"/>
  <c r="BA11" i="98"/>
  <c r="BA72" i="98"/>
  <c r="BF35" i="98"/>
  <c r="AV86" i="98"/>
  <c r="BF36" i="98"/>
  <c r="BA60" i="98"/>
  <c r="AV53" i="98"/>
  <c r="BF78" i="98"/>
  <c r="BA55" i="98"/>
  <c r="BF75" i="98"/>
  <c r="AV75" i="98"/>
  <c r="CZ94" i="98"/>
  <c r="AV11" i="98"/>
  <c r="BF82" i="98"/>
  <c r="BA93" i="98"/>
  <c r="BA67" i="98"/>
  <c r="BA74" i="98"/>
  <c r="CZ11" i="98"/>
  <c r="AV26" i="98"/>
  <c r="BA38" i="98"/>
  <c r="CZ68" i="98"/>
  <c r="BF18" i="98"/>
  <c r="CZ84" i="98"/>
  <c r="BA57" i="98"/>
  <c r="BF9" i="98"/>
  <c r="CZ89" i="98"/>
  <c r="BA50" i="98"/>
  <c r="BF65" i="98"/>
  <c r="CZ63" i="98"/>
  <c r="BF70" i="98"/>
  <c r="AV85" i="98"/>
  <c r="BF6" i="98"/>
  <c r="BA59" i="98"/>
  <c r="BA90" i="98"/>
  <c r="CZ56" i="98"/>
  <c r="AV5" i="98"/>
  <c r="AV80" i="98"/>
  <c r="BF29" i="98"/>
  <c r="BF90" i="98"/>
  <c r="BA83" i="98"/>
  <c r="CZ26" i="98"/>
  <c r="BF44" i="98"/>
  <c r="CZ10" i="98"/>
  <c r="AV31" i="98"/>
  <c r="CZ59" i="98"/>
  <c r="BF45" i="98"/>
  <c r="AV35" i="98"/>
  <c r="CZ51" i="98"/>
  <c r="CZ86" i="98"/>
  <c r="BF72" i="98"/>
  <c r="BF64" i="98"/>
  <c r="DB160" i="98"/>
  <c r="DB107" i="98"/>
  <c r="DB65" i="98"/>
  <c r="DB99" i="98"/>
  <c r="BH9" i="98"/>
  <c r="BC134" i="98"/>
  <c r="BC152" i="98"/>
  <c r="AX163" i="98"/>
  <c r="BC118" i="98"/>
  <c r="DB27" i="98"/>
  <c r="BH138" i="98"/>
  <c r="BC135" i="98"/>
  <c r="DB74" i="98"/>
  <c r="BH63" i="98"/>
  <c r="DB113" i="98"/>
  <c r="AX117" i="98"/>
  <c r="AX74" i="98"/>
  <c r="AX55" i="98"/>
  <c r="BC98" i="98"/>
  <c r="AX83" i="98"/>
  <c r="BH144" i="98"/>
  <c r="BC22" i="98"/>
  <c r="DB48" i="98"/>
  <c r="BC137" i="98"/>
  <c r="AX159" i="98"/>
  <c r="AX13" i="98"/>
  <c r="AX107" i="98"/>
  <c r="BC132" i="98"/>
  <c r="BH17" i="98"/>
  <c r="BC75" i="98"/>
  <c r="AX108" i="98"/>
  <c r="BH61" i="98"/>
  <c r="BC25" i="98"/>
  <c r="BH158" i="98"/>
  <c r="BH10" i="98"/>
  <c r="AX98" i="98"/>
  <c r="BC74" i="98"/>
  <c r="BH76" i="98"/>
  <c r="DB86" i="98"/>
  <c r="BH88" i="98"/>
  <c r="BC103" i="98"/>
  <c r="AX37" i="98"/>
  <c r="BC162" i="98"/>
  <c r="AX148" i="98"/>
  <c r="AX105" i="98"/>
  <c r="BC20" i="98"/>
  <c r="DB60" i="98"/>
  <c r="BH83" i="98"/>
  <c r="BC163" i="98"/>
  <c r="AX87" i="98"/>
  <c r="DB55" i="98"/>
  <c r="BC50" i="98"/>
  <c r="BH42" i="98"/>
  <c r="AX75" i="98"/>
  <c r="DB112" i="98"/>
  <c r="BH23" i="98"/>
  <c r="DB124" i="98"/>
  <c r="AX101" i="98"/>
  <c r="BH142" i="98"/>
  <c r="BC15" i="98"/>
  <c r="AX157" i="98"/>
  <c r="AX81" i="98"/>
  <c r="BH136" i="98"/>
  <c r="BC38" i="98"/>
  <c r="AX18" i="98"/>
  <c r="BH111" i="98"/>
  <c r="BH143" i="98"/>
  <c r="AX112" i="98"/>
  <c r="DB92" i="98"/>
  <c r="DB76" i="98"/>
  <c r="BH150" i="98"/>
  <c r="BH149" i="98"/>
  <c r="BC48" i="98"/>
  <c r="DB156" i="98"/>
  <c r="BC128" i="98"/>
  <c r="AX22" i="98"/>
  <c r="BH75" i="98"/>
  <c r="BC133" i="98"/>
  <c r="BC18" i="98"/>
  <c r="AX51" i="98"/>
  <c r="BH117" i="98"/>
  <c r="AX24" i="98"/>
  <c r="AX23" i="98"/>
  <c r="AX95" i="98"/>
  <c r="AX90" i="98"/>
  <c r="DB137" i="98"/>
  <c r="BH53" i="98"/>
  <c r="AX154" i="98"/>
  <c r="BC51" i="98"/>
  <c r="BC120" i="98"/>
  <c r="BH57" i="98"/>
  <c r="BC95" i="98"/>
  <c r="AX114" i="98"/>
  <c r="BH156" i="98"/>
  <c r="DB141" i="98"/>
  <c r="BC119" i="98"/>
  <c r="DB89" i="98"/>
  <c r="DB35" i="98"/>
  <c r="BH129" i="98"/>
  <c r="BC45" i="98"/>
  <c r="DB110" i="98"/>
  <c r="BH80" i="98"/>
  <c r="BH162" i="98"/>
  <c r="AX94" i="98"/>
  <c r="DB133" i="98"/>
  <c r="BH119" i="98"/>
  <c r="BH125" i="98"/>
  <c r="BC149" i="98"/>
  <c r="DB43" i="98"/>
  <c r="BH20" i="98"/>
  <c r="BC60" i="98"/>
  <c r="AX121" i="98"/>
  <c r="BH48" i="98"/>
  <c r="AX49" i="98"/>
  <c r="BH44" i="98"/>
  <c r="AX143" i="98"/>
  <c r="DB56" i="98"/>
  <c r="BH8" i="98"/>
  <c r="BH147" i="98"/>
  <c r="DB139" i="98"/>
  <c r="DB58" i="98"/>
  <c r="DB75" i="98"/>
  <c r="BH50" i="98"/>
  <c r="DB157" i="98"/>
  <c r="BC58" i="98"/>
  <c r="BC87" i="98"/>
  <c r="BH86" i="98"/>
  <c r="BH81" i="98"/>
  <c r="AX33" i="98"/>
  <c r="BH64" i="98"/>
  <c r="AX77" i="98"/>
  <c r="BH16" i="98"/>
  <c r="DB144" i="98"/>
  <c r="BH46" i="98"/>
  <c r="BH89" i="98"/>
  <c r="BC6" i="98"/>
  <c r="AX127" i="98"/>
  <c r="AX26" i="98"/>
  <c r="DB52" i="98"/>
  <c r="AX73" i="98"/>
  <c r="DB9" i="98"/>
  <c r="BC68" i="98"/>
  <c r="AX79" i="98"/>
  <c r="AX86" i="98"/>
  <c r="AX125" i="98"/>
  <c r="BC71" i="98"/>
  <c r="DB77" i="98"/>
  <c r="BH21" i="98"/>
  <c r="AX150" i="98"/>
  <c r="BC52" i="98"/>
  <c r="BH98" i="98"/>
  <c r="AX151" i="98"/>
  <c r="BH28" i="98"/>
  <c r="AX128" i="98"/>
  <c r="BC63" i="98"/>
  <c r="DB32" i="98"/>
  <c r="BH74" i="98"/>
  <c r="BH5" i="98"/>
  <c r="BC106" i="98"/>
  <c r="DB79" i="98"/>
  <c r="BH33" i="98"/>
  <c r="AX92" i="98"/>
  <c r="BH54" i="98"/>
  <c r="DB29" i="98"/>
  <c r="DB119" i="98"/>
  <c r="BH91" i="98"/>
  <c r="BC27" i="98"/>
  <c r="AX20" i="98"/>
  <c r="AX139" i="98"/>
  <c r="AX147" i="98"/>
  <c r="BH122" i="98"/>
  <c r="AX68" i="98"/>
  <c r="AX9" i="98"/>
  <c r="AX6" i="98"/>
  <c r="AX102" i="98"/>
  <c r="DB143" i="98"/>
  <c r="BC129" i="98"/>
  <c r="DB105" i="98"/>
  <c r="BC64" i="98"/>
  <c r="DB96" i="98"/>
  <c r="BH155" i="98"/>
  <c r="BH13" i="98"/>
  <c r="DB102" i="98"/>
  <c r="DB45" i="98"/>
  <c r="AX47" i="98"/>
  <c r="DB78" i="98"/>
  <c r="DB5" i="98"/>
  <c r="BH66" i="98"/>
  <c r="BH114" i="98"/>
  <c r="BH164" i="98"/>
  <c r="AX91" i="98"/>
  <c r="AX12" i="98"/>
  <c r="DB118" i="98"/>
  <c r="DB158" i="98"/>
  <c r="BH100" i="98"/>
  <c r="BC77" i="98"/>
  <c r="DB147" i="98"/>
  <c r="BC145" i="98"/>
  <c r="AX70" i="98"/>
  <c r="AX59" i="98"/>
  <c r="AX44" i="98"/>
  <c r="DB88" i="98"/>
  <c r="AX130" i="98"/>
  <c r="BH39" i="98"/>
  <c r="BH97" i="98"/>
  <c r="DB31" i="98"/>
  <c r="DB72" i="98"/>
  <c r="DB70" i="98"/>
  <c r="AX85" i="98"/>
  <c r="AX38" i="98"/>
  <c r="DB90" i="98"/>
  <c r="BH106" i="98"/>
  <c r="BH40" i="98"/>
  <c r="BC12" i="98"/>
  <c r="BH67" i="98"/>
  <c r="BH38" i="98"/>
  <c r="BC32" i="98"/>
  <c r="AX153" i="98"/>
  <c r="BC5" i="98"/>
  <c r="BH72" i="98"/>
  <c r="BH69" i="98"/>
  <c r="BH113" i="98"/>
  <c r="BH34" i="98"/>
  <c r="BC111" i="98"/>
  <c r="AX141" i="98"/>
  <c r="BC160" i="98"/>
  <c r="BC93" i="98"/>
  <c r="AX53" i="98"/>
  <c r="BC29" i="98"/>
  <c r="BC81" i="98"/>
  <c r="DB49" i="98"/>
  <c r="DB47" i="98"/>
  <c r="BC90" i="98"/>
  <c r="AX35" i="98"/>
  <c r="BH157" i="98"/>
  <c r="AX8" i="98"/>
  <c r="AX109" i="98"/>
  <c r="BH140" i="98"/>
  <c r="BC151" i="98"/>
  <c r="BH55" i="98"/>
  <c r="AX132" i="98"/>
  <c r="BH36" i="98"/>
  <c r="BH124" i="98"/>
  <c r="BC141" i="98"/>
  <c r="BC13" i="98"/>
  <c r="AX5" i="98"/>
  <c r="AX36" i="98"/>
  <c r="BH146" i="98"/>
  <c r="BC112" i="98"/>
  <c r="BH27" i="98"/>
  <c r="DB30" i="98"/>
  <c r="BH59" i="98"/>
  <c r="DB15" i="98"/>
  <c r="DB135" i="98"/>
  <c r="DB142" i="98"/>
  <c r="BH153" i="98"/>
  <c r="BC107" i="98"/>
  <c r="BH110" i="98"/>
  <c r="DB149" i="98"/>
  <c r="BH26" i="98"/>
  <c r="BC161" i="98"/>
  <c r="DB13" i="98"/>
  <c r="AX69" i="98"/>
  <c r="AX149" i="98"/>
  <c r="BC72" i="98"/>
  <c r="DB140" i="98"/>
  <c r="BC158" i="98"/>
  <c r="AX19" i="98"/>
  <c r="BC123" i="98"/>
  <c r="BC147" i="98"/>
  <c r="DB39" i="98"/>
  <c r="DB159" i="98"/>
  <c r="AX110" i="98"/>
  <c r="BH35" i="98"/>
  <c r="DB73" i="98"/>
  <c r="DB106" i="98"/>
  <c r="AX10" i="98"/>
  <c r="AX28" i="98"/>
  <c r="BH84" i="98"/>
  <c r="BH94" i="98"/>
  <c r="DB85" i="98"/>
  <c r="AX88" i="98"/>
  <c r="AX76" i="98"/>
  <c r="DB37" i="98"/>
  <c r="BC46" i="98"/>
  <c r="AX122" i="98"/>
  <c r="DB148" i="98"/>
  <c r="BH131" i="98"/>
  <c r="BB32" i="98"/>
  <c r="BB122" i="98"/>
  <c r="BB72" i="98"/>
  <c r="AW156" i="98"/>
  <c r="AW89" i="98"/>
  <c r="AW107" i="98"/>
  <c r="BG60" i="98"/>
  <c r="BG94" i="98"/>
  <c r="DA46" i="98"/>
  <c r="BG83" i="98"/>
  <c r="BG93" i="98"/>
  <c r="AW90" i="98"/>
  <c r="BB115" i="98"/>
  <c r="AW60" i="98"/>
  <c r="BG96" i="98"/>
  <c r="AW40" i="98"/>
  <c r="DA32" i="98"/>
  <c r="BB50" i="98"/>
  <c r="DA58" i="98"/>
  <c r="BB63" i="98"/>
  <c r="BG74" i="98"/>
  <c r="BG164" i="98"/>
  <c r="BB29" i="98"/>
  <c r="AW73" i="98"/>
  <c r="AW83" i="98"/>
  <c r="DA115" i="98"/>
  <c r="AW23" i="98"/>
  <c r="BB15" i="98"/>
  <c r="BG119" i="98"/>
  <c r="BB84" i="98"/>
  <c r="AW93" i="98"/>
  <c r="BB6" i="98"/>
  <c r="BG110" i="98"/>
  <c r="BB22" i="98"/>
  <c r="AW63" i="98"/>
  <c r="BG98" i="98"/>
  <c r="DA33" i="98"/>
  <c r="BB88" i="98"/>
  <c r="BB163" i="98"/>
  <c r="BB150" i="98"/>
  <c r="BB38" i="98"/>
  <c r="BG47" i="98"/>
  <c r="DA133" i="98"/>
  <c r="BB161" i="98"/>
  <c r="BG143" i="98"/>
  <c r="BG55" i="98"/>
  <c r="BG160" i="98"/>
  <c r="DA60" i="98"/>
  <c r="AW153" i="98"/>
  <c r="DA26" i="98"/>
  <c r="BB70" i="98"/>
  <c r="BB80" i="98"/>
  <c r="BB145" i="98"/>
  <c r="BG91" i="98"/>
  <c r="DA66" i="98"/>
  <c r="BB46" i="98"/>
  <c r="AW140" i="98"/>
  <c r="DA84" i="98"/>
  <c r="DA73" i="98"/>
  <c r="BB94" i="98"/>
  <c r="BB62" i="98"/>
  <c r="DA15" i="98"/>
  <c r="DA102" i="98"/>
  <c r="BB90" i="98"/>
  <c r="DA57" i="98"/>
  <c r="DA89" i="98"/>
  <c r="BG148" i="98"/>
  <c r="BG86" i="98"/>
  <c r="BB37" i="98"/>
  <c r="BG72" i="98"/>
  <c r="AW117" i="98"/>
  <c r="BG140" i="98"/>
  <c r="AW161" i="98"/>
  <c r="DA59" i="98"/>
  <c r="BG66" i="98"/>
  <c r="AW64" i="98"/>
  <c r="BB133" i="98"/>
  <c r="BB106" i="98"/>
  <c r="BB49" i="98"/>
  <c r="BG45" i="98"/>
  <c r="AW114" i="98"/>
  <c r="BG5" i="98"/>
  <c r="AW154" i="98"/>
  <c r="DA39" i="98"/>
  <c r="DA67" i="98"/>
  <c r="AW52" i="98"/>
  <c r="BB86" i="98"/>
  <c r="DA85" i="98"/>
  <c r="BB154" i="98"/>
  <c r="AW109" i="98"/>
  <c r="AW38" i="98"/>
  <c r="BB134" i="98"/>
  <c r="AW111" i="98"/>
  <c r="BB156" i="98"/>
  <c r="DA74" i="98"/>
  <c r="BG67" i="98"/>
  <c r="AW84" i="98"/>
  <c r="DA148" i="98"/>
  <c r="AW39" i="98"/>
  <c r="DA114" i="98"/>
  <c r="BB27" i="98"/>
  <c r="AW102" i="98"/>
  <c r="BB55" i="98"/>
  <c r="AW127" i="98"/>
  <c r="DA16" i="98"/>
  <c r="DA118" i="98"/>
  <c r="BB157" i="98"/>
  <c r="AW82" i="98"/>
  <c r="BG49" i="98"/>
  <c r="BB146" i="98"/>
  <c r="BB20" i="98"/>
  <c r="BG153" i="98"/>
  <c r="BB152" i="98"/>
  <c r="DA157" i="98"/>
  <c r="AW79" i="98"/>
  <c r="AW42" i="98"/>
  <c r="BB164" i="98"/>
  <c r="BG78" i="98"/>
  <c r="BB54" i="98"/>
  <c r="DA137" i="98"/>
  <c r="DA56" i="98"/>
  <c r="AW125" i="98"/>
  <c r="DA117" i="98"/>
  <c r="AW110" i="98"/>
  <c r="DA119" i="98"/>
  <c r="BB17" i="98"/>
  <c r="AW7" i="98"/>
  <c r="BB79" i="98"/>
  <c r="DA134" i="98"/>
  <c r="DA24" i="98"/>
  <c r="BG135" i="98"/>
  <c r="DA42" i="98"/>
  <c r="BB105" i="98"/>
  <c r="DA145" i="98"/>
  <c r="BG163" i="98"/>
  <c r="AW143" i="98"/>
  <c r="DA49" i="98"/>
  <c r="BB11" i="98"/>
  <c r="BG133" i="98"/>
  <c r="AW15" i="98"/>
  <c r="BG16" i="98"/>
  <c r="DA72" i="98"/>
  <c r="AW144" i="98"/>
  <c r="AW121" i="98"/>
  <c r="DA90" i="98"/>
  <c r="BG134" i="98"/>
  <c r="AW48" i="98"/>
  <c r="BB160" i="98"/>
  <c r="BG81" i="98"/>
  <c r="BB141" i="98"/>
  <c r="BB60" i="98"/>
  <c r="DA70" i="98"/>
  <c r="DA131" i="98"/>
  <c r="BG50" i="98"/>
  <c r="BB136" i="98"/>
  <c r="AW58" i="98"/>
  <c r="BB76" i="98"/>
  <c r="BG14" i="98"/>
  <c r="AW32" i="98"/>
  <c r="BB109" i="98"/>
  <c r="BG35" i="98"/>
  <c r="DA17" i="98"/>
  <c r="DA147" i="98"/>
  <c r="DA50" i="98"/>
  <c r="AW33" i="98"/>
  <c r="AW30" i="98"/>
  <c r="DA108" i="98"/>
  <c r="BB39" i="98"/>
  <c r="DA98" i="98"/>
  <c r="BG73" i="98"/>
  <c r="BB153" i="98"/>
  <c r="DA143" i="98"/>
  <c r="DA91" i="98"/>
  <c r="BB127" i="98"/>
  <c r="DA123" i="98"/>
  <c r="DA107" i="98"/>
  <c r="BG147" i="98"/>
  <c r="BB7" i="98"/>
  <c r="DA35" i="98"/>
  <c r="BB58" i="98"/>
  <c r="BG19" i="98"/>
  <c r="BG12" i="98"/>
  <c r="DA79" i="98"/>
  <c r="AW27" i="98"/>
  <c r="AW66" i="98"/>
  <c r="BB69" i="98"/>
  <c r="DA99" i="98"/>
  <c r="BB87" i="98"/>
  <c r="AW31" i="98"/>
  <c r="AW68" i="98"/>
  <c r="BG25" i="98"/>
  <c r="AW96" i="98"/>
  <c r="BB151" i="98"/>
  <c r="AW106" i="98"/>
  <c r="DA61" i="98"/>
  <c r="BB121" i="98"/>
  <c r="BG161" i="98"/>
  <c r="DA87" i="98"/>
  <c r="DA152" i="98"/>
  <c r="BB119" i="98"/>
  <c r="DA45" i="98"/>
  <c r="BG76" i="98"/>
  <c r="DA156" i="98"/>
  <c r="AW164" i="98"/>
  <c r="BG36" i="98"/>
  <c r="AW49" i="98"/>
  <c r="AW22" i="98"/>
  <c r="DA76" i="98"/>
  <c r="AW138" i="98"/>
  <c r="AW51" i="98"/>
  <c r="AW45" i="98"/>
  <c r="BG87" i="98"/>
  <c r="AW77" i="98"/>
  <c r="DA51" i="98"/>
  <c r="BB130" i="98"/>
  <c r="BB129" i="98"/>
  <c r="BB73" i="98"/>
  <c r="DA43" i="98"/>
  <c r="DA9" i="98"/>
  <c r="DA37" i="98"/>
  <c r="BG39" i="98"/>
  <c r="BB24" i="98"/>
  <c r="AW54" i="98"/>
  <c r="BG11" i="98"/>
  <c r="BB100" i="98"/>
  <c r="AW123" i="98"/>
  <c r="DA136" i="98"/>
  <c r="AW59" i="98"/>
  <c r="BG155" i="98"/>
  <c r="BG92" i="98"/>
  <c r="DA96" i="98"/>
  <c r="BB28" i="98"/>
  <c r="AW162" i="98"/>
  <c r="BG130" i="98"/>
  <c r="BB44" i="98"/>
  <c r="BB9" i="98"/>
  <c r="BB159" i="98"/>
  <c r="DA94" i="98"/>
  <c r="BB71" i="98"/>
  <c r="BG33" i="98"/>
  <c r="AW108" i="98"/>
  <c r="BG44" i="98"/>
  <c r="AW36" i="98"/>
  <c r="AW160" i="98"/>
  <c r="AW150" i="98"/>
  <c r="AW57" i="98"/>
  <c r="AW56" i="98"/>
  <c r="BG99" i="98"/>
  <c r="BB66" i="98"/>
  <c r="AW145" i="98"/>
  <c r="DA22" i="98"/>
  <c r="BB83" i="98"/>
  <c r="BB47" i="98"/>
  <c r="DA55" i="98"/>
  <c r="BG149" i="98"/>
  <c r="BG118" i="98"/>
  <c r="BG52" i="98"/>
  <c r="DA27" i="98"/>
  <c r="BB120" i="98"/>
  <c r="BB75" i="98"/>
  <c r="BB51" i="98"/>
  <c r="BG51" i="98"/>
  <c r="AW85" i="98"/>
  <c r="AW47" i="98"/>
  <c r="DA154" i="98"/>
  <c r="AW35" i="98"/>
  <c r="BG80" i="98"/>
  <c r="DA140" i="98"/>
  <c r="BB78" i="98"/>
  <c r="BG56" i="98"/>
  <c r="BB40" i="98"/>
  <c r="BG89" i="98"/>
  <c r="AW103" i="98"/>
  <c r="AW80" i="98"/>
  <c r="BG117" i="98"/>
  <c r="BG43" i="98"/>
  <c r="BG124" i="98"/>
  <c r="BG58" i="98"/>
  <c r="BB61" i="98"/>
  <c r="BB43" i="98"/>
  <c r="BB101" i="98"/>
  <c r="AW37" i="98"/>
  <c r="BG26" i="98"/>
  <c r="BB95" i="98"/>
  <c r="BB35" i="98"/>
  <c r="AW148" i="98"/>
  <c r="AW133" i="98"/>
  <c r="BG145" i="98"/>
  <c r="BG90" i="98"/>
  <c r="DA40" i="98"/>
  <c r="BB123" i="98"/>
  <c r="BG71" i="98"/>
  <c r="DA129" i="98"/>
  <c r="AW151" i="98"/>
  <c r="BB56" i="98"/>
  <c r="AW99" i="98"/>
  <c r="DA135" i="98"/>
  <c r="DA23" i="98"/>
  <c r="BG95" i="98"/>
  <c r="AW81" i="98"/>
  <c r="AW61" i="98"/>
  <c r="AW86" i="98"/>
  <c r="BB18" i="98"/>
  <c r="AW130" i="98"/>
  <c r="BG114" i="98"/>
  <c r="DA144" i="98"/>
  <c r="AW132" i="98"/>
  <c r="DA159" i="98"/>
  <c r="AW139" i="98"/>
  <c r="AW115" i="98"/>
  <c r="BB42" i="98"/>
  <c r="BG84" i="98"/>
  <c r="DA82" i="98"/>
  <c r="AW126" i="98"/>
  <c r="BB143" i="98"/>
  <c r="BB8" i="98"/>
  <c r="DA34" i="98"/>
  <c r="DA146" i="98"/>
  <c r="DA53" i="98"/>
  <c r="BG128" i="98"/>
  <c r="DA141" i="98"/>
  <c r="DA75" i="98"/>
  <c r="BB113" i="98"/>
  <c r="AW21" i="98"/>
  <c r="DA151" i="98"/>
  <c r="AW20" i="98"/>
  <c r="BG9" i="98"/>
  <c r="AW113" i="98"/>
  <c r="BG100" i="98"/>
  <c r="DA48" i="98"/>
  <c r="DA18" i="98"/>
  <c r="BB34" i="98"/>
  <c r="DA138" i="98"/>
  <c r="AW131" i="98"/>
  <c r="BG138" i="98"/>
  <c r="BB162" i="98"/>
  <c r="AW29" i="98"/>
  <c r="BG6" i="98"/>
  <c r="BG108" i="98"/>
  <c r="BG23" i="98"/>
  <c r="AW149" i="98"/>
  <c r="AW11" i="98"/>
  <c r="DA83" i="98"/>
  <c r="AW8" i="98"/>
  <c r="BB126" i="98"/>
  <c r="AW94" i="98"/>
  <c r="BG102" i="98"/>
  <c r="AW141" i="98"/>
  <c r="AW101" i="98"/>
  <c r="DA125" i="98"/>
  <c r="DA95" i="98"/>
  <c r="AW14" i="98"/>
  <c r="BG142" i="98"/>
  <c r="BG20" i="98"/>
  <c r="BB104" i="98"/>
  <c r="AW55" i="98"/>
  <c r="BB45" i="98"/>
  <c r="BG136" i="98"/>
  <c r="DA121" i="98"/>
  <c r="BB14" i="98"/>
  <c r="DA158" i="98"/>
  <c r="BB140" i="98"/>
  <c r="BB82" i="98"/>
  <c r="BG127" i="98"/>
  <c r="BG121" i="98"/>
  <c r="BB135" i="98"/>
  <c r="BG42" i="98"/>
  <c r="DA7" i="98"/>
  <c r="AW71" i="98"/>
  <c r="AW43" i="98"/>
  <c r="AW9" i="98"/>
  <c r="BB30" i="98"/>
  <c r="AW135" i="98"/>
  <c r="AW70" i="98"/>
  <c r="DA122" i="98"/>
  <c r="AW104" i="98"/>
  <c r="BB142" i="98"/>
  <c r="DA161" i="98"/>
  <c r="BG48" i="98"/>
  <c r="BB138" i="98"/>
  <c r="DA29" i="98"/>
  <c r="BG132" i="98"/>
  <c r="AW69" i="98"/>
  <c r="BG24" i="98"/>
  <c r="BB144" i="98"/>
  <c r="DA81" i="98"/>
  <c r="BB10" i="98"/>
  <c r="BG22" i="98"/>
  <c r="BB85" i="98"/>
  <c r="DA6" i="98"/>
  <c r="BB102" i="98"/>
  <c r="DA162" i="98"/>
  <c r="BG70" i="98"/>
  <c r="BG129" i="98"/>
  <c r="AW100" i="98"/>
  <c r="BG17" i="98"/>
  <c r="AW137" i="98"/>
  <c r="BG21" i="98"/>
  <c r="BG103" i="98"/>
  <c r="BB77" i="98"/>
  <c r="BB112" i="98"/>
  <c r="DA88" i="98"/>
  <c r="AW163" i="98"/>
  <c r="DA116" i="98"/>
  <c r="BB65" i="98"/>
  <c r="AW72" i="98"/>
  <c r="BB74" i="98"/>
  <c r="DA153" i="98"/>
  <c r="DA38" i="98"/>
  <c r="DA41" i="98"/>
  <c r="DA11" i="98"/>
  <c r="DA14" i="98"/>
  <c r="DA80" i="98"/>
  <c r="BB158" i="98"/>
  <c r="AW158" i="98"/>
  <c r="BB41" i="98"/>
  <c r="AW134" i="98"/>
  <c r="BG46" i="98"/>
  <c r="BB19" i="98"/>
  <c r="BG62" i="98"/>
  <c r="BB139" i="98"/>
  <c r="BB81" i="98"/>
  <c r="BG156" i="98"/>
  <c r="DA103" i="98"/>
  <c r="DA130" i="98"/>
  <c r="BG18" i="98"/>
  <c r="DA68" i="98"/>
  <c r="AW10" i="98"/>
  <c r="BG105" i="98"/>
  <c r="AW34" i="98"/>
  <c r="BG41" i="98"/>
  <c r="BB131" i="98"/>
  <c r="BG7" i="98"/>
  <c r="AW25" i="98"/>
  <c r="BG154" i="98"/>
  <c r="DA30" i="98"/>
  <c r="BG59" i="98"/>
  <c r="BG159" i="98"/>
  <c r="BB137" i="98"/>
  <c r="BG63" i="98"/>
  <c r="BB68" i="98"/>
  <c r="AW26" i="98"/>
  <c r="AW44" i="98"/>
  <c r="BB124" i="98"/>
  <c r="AW17" i="98"/>
  <c r="DA52" i="98"/>
  <c r="BG139" i="98"/>
  <c r="AW98" i="98"/>
  <c r="AW124" i="98"/>
  <c r="AW155" i="98"/>
  <c r="BB33" i="98"/>
  <c r="DA13" i="98"/>
  <c r="AW112" i="98"/>
  <c r="AW50" i="98"/>
  <c r="BG113" i="98"/>
  <c r="BG111" i="98"/>
  <c r="DA120" i="98"/>
  <c r="DA62" i="98"/>
  <c r="BG101" i="98"/>
  <c r="BG116" i="98"/>
  <c r="BG150" i="98"/>
  <c r="AW122" i="98"/>
  <c r="AW65" i="98"/>
  <c r="DA139" i="98"/>
  <c r="AW78" i="98"/>
  <c r="BG40" i="98"/>
  <c r="BG53" i="98"/>
  <c r="BB53" i="98"/>
  <c r="AW116" i="98"/>
  <c r="AW46" i="98"/>
  <c r="AW67" i="98"/>
  <c r="AW76" i="98"/>
  <c r="BB99" i="98"/>
  <c r="DA64" i="98"/>
  <c r="DA28" i="98"/>
  <c r="BG69" i="98"/>
  <c r="BB107" i="98"/>
  <c r="AW91" i="98"/>
  <c r="DA47" i="98"/>
  <c r="BG122" i="98"/>
  <c r="DA5" i="98"/>
  <c r="DA92" i="98"/>
  <c r="BG79" i="98"/>
  <c r="AW88" i="98"/>
  <c r="DA128" i="98"/>
  <c r="BG37" i="98"/>
  <c r="DA25" i="98"/>
  <c r="DA19" i="98"/>
  <c r="AW152" i="98"/>
  <c r="AW41" i="98"/>
  <c r="BB117" i="98"/>
  <c r="BB96" i="98"/>
  <c r="BB89" i="98"/>
  <c r="DA71" i="98"/>
  <c r="BB125" i="98"/>
  <c r="BB110" i="98"/>
  <c r="DA69" i="98"/>
  <c r="DA63" i="98"/>
  <c r="BB114" i="98"/>
  <c r="BG126" i="98"/>
  <c r="BB148" i="98"/>
  <c r="BG112" i="98"/>
  <c r="BB52" i="98"/>
  <c r="BG68" i="98"/>
  <c r="DA150" i="98"/>
  <c r="DA127" i="98"/>
  <c r="DA105" i="98"/>
  <c r="AW157" i="98"/>
  <c r="BB57" i="98"/>
  <c r="BG115" i="98"/>
  <c r="BB36" i="98"/>
  <c r="BG123" i="98"/>
  <c r="BG65" i="98"/>
  <c r="DA44" i="98"/>
  <c r="BB67" i="98"/>
  <c r="BG88" i="98"/>
  <c r="BG77" i="98"/>
  <c r="BG38" i="98"/>
  <c r="BB132" i="98"/>
  <c r="BB5" i="98"/>
  <c r="AW5" i="98"/>
  <c r="BG152" i="98"/>
  <c r="BG27" i="98"/>
  <c r="BB118" i="98"/>
  <c r="BG82" i="98"/>
  <c r="AW142" i="98"/>
  <c r="AW53" i="98"/>
  <c r="AW95" i="98"/>
  <c r="DA21" i="98"/>
  <c r="BB149" i="98"/>
  <c r="BG85" i="98"/>
  <c r="BG61" i="98"/>
  <c r="BB26" i="98"/>
  <c r="DA97" i="98"/>
  <c r="BG8" i="98"/>
  <c r="AW62" i="98"/>
  <c r="BG137" i="98"/>
  <c r="BG146" i="98"/>
  <c r="BG151" i="98"/>
  <c r="AW92" i="98"/>
  <c r="BB23" i="98"/>
  <c r="BG54" i="98"/>
  <c r="BB93" i="98"/>
  <c r="AW16" i="98"/>
  <c r="BB48" i="98"/>
  <c r="AW12" i="98"/>
  <c r="AW128" i="98"/>
  <c r="AW75" i="98"/>
  <c r="AW19" i="98"/>
  <c r="DA8" i="98"/>
  <c r="AW97" i="98"/>
  <c r="BG64" i="98"/>
  <c r="AW74" i="98"/>
  <c r="DA106" i="98"/>
  <c r="DA163" i="98"/>
  <c r="DA110" i="98"/>
  <c r="BB92" i="98"/>
  <c r="BG144" i="98"/>
  <c r="BO112" i="98" l="1"/>
  <c r="BO122" i="98"/>
  <c r="BO51" i="98"/>
  <c r="BO9" i="98"/>
  <c r="BO127" i="98"/>
  <c r="BO108" i="98"/>
  <c r="BO35" i="98"/>
  <c r="BO83" i="98"/>
  <c r="BO28" i="98"/>
  <c r="BO67" i="98"/>
  <c r="BO33" i="98"/>
  <c r="BO117" i="98"/>
  <c r="BO78" i="98"/>
  <c r="BO102" i="98"/>
  <c r="BO137" i="98"/>
  <c r="BO133" i="98"/>
  <c r="BO49" i="98"/>
  <c r="BO19" i="98"/>
  <c r="BO104" i="98"/>
  <c r="BO45" i="98"/>
  <c r="BO120" i="98"/>
  <c r="BO93" i="98"/>
  <c r="BO89" i="98"/>
  <c r="BO87" i="98"/>
  <c r="BO131" i="98"/>
  <c r="BO71" i="98"/>
  <c r="BO17" i="98"/>
  <c r="BO130" i="98"/>
  <c r="BO164" i="98"/>
  <c r="BO100" i="98"/>
  <c r="BO56" i="98"/>
  <c r="BO15" i="98"/>
  <c r="BO160" i="98"/>
  <c r="BO50" i="98"/>
  <c r="BO99" i="98"/>
  <c r="BO80" i="98"/>
  <c r="BO96" i="98"/>
  <c r="BO73" i="98"/>
  <c r="BO77" i="98"/>
  <c r="BO135" i="98"/>
  <c r="BO14" i="98"/>
  <c r="BO52" i="98"/>
  <c r="BO86" i="98"/>
  <c r="BO149" i="98"/>
  <c r="BO53" i="98"/>
  <c r="BO38" i="98"/>
  <c r="BO143" i="98"/>
  <c r="BO141" i="98"/>
  <c r="BO163" i="98"/>
  <c r="BO157" i="98"/>
  <c r="BO106" i="98"/>
  <c r="BO6" i="98"/>
  <c r="BO24" i="98"/>
  <c r="BO129" i="98"/>
  <c r="BO136" i="98"/>
  <c r="BO147" i="98"/>
  <c r="BO138" i="98"/>
  <c r="BO114" i="98"/>
  <c r="BO124" i="98"/>
  <c r="BO69" i="98"/>
  <c r="BO144" i="98"/>
  <c r="BO39" i="98"/>
  <c r="BO8" i="98"/>
  <c r="BO20" i="98"/>
  <c r="BO55" i="98"/>
  <c r="BO142" i="98"/>
  <c r="BO26" i="98"/>
  <c r="BO41" i="98"/>
  <c r="BO63" i="98"/>
  <c r="BO88" i="98"/>
  <c r="BO12" i="98"/>
  <c r="BO29" i="98"/>
  <c r="BO34" i="98"/>
  <c r="BO57" i="98"/>
  <c r="BO126" i="98"/>
  <c r="BO18" i="98"/>
  <c r="BO59" i="98"/>
  <c r="BO13" i="98"/>
  <c r="BO72" i="98"/>
  <c r="BO31" i="98"/>
  <c r="BO47" i="98"/>
  <c r="BO98" i="98"/>
  <c r="BO105" i="98"/>
  <c r="BO119" i="98"/>
  <c r="BO121" i="98"/>
  <c r="BO44" i="98"/>
  <c r="BO118" i="98"/>
  <c r="BO151" i="98"/>
  <c r="BO101" i="98"/>
  <c r="BO42" i="98"/>
  <c r="BO65" i="98"/>
  <c r="BO36" i="98"/>
  <c r="BO161" i="98"/>
  <c r="BO30" i="98"/>
  <c r="BO16" i="98"/>
  <c r="BO10" i="98"/>
  <c r="BO60" i="98"/>
  <c r="BO139" i="98"/>
  <c r="BO40" i="98"/>
  <c r="BO97" i="98"/>
  <c r="BO70" i="98"/>
  <c r="BO116" i="98"/>
  <c r="BO103" i="98"/>
  <c r="BO125" i="98"/>
  <c r="BO82" i="98"/>
  <c r="BO115" i="98"/>
  <c r="BO162" i="98"/>
  <c r="BO37" i="98"/>
  <c r="BO154" i="98"/>
  <c r="BO92" i="98"/>
  <c r="BO79" i="98"/>
  <c r="BO75" i="98"/>
  <c r="BO85" i="98"/>
  <c r="BO66" i="98"/>
  <c r="BO155" i="98"/>
  <c r="BO128" i="98"/>
  <c r="BO158" i="98"/>
  <c r="BO159" i="98"/>
  <c r="BO68" i="98"/>
  <c r="BO64" i="98"/>
  <c r="BO58" i="98"/>
  <c r="BO21" i="98"/>
  <c r="BO134" i="98"/>
  <c r="BO5" i="98"/>
  <c r="BO150" i="98"/>
  <c r="BO132" i="98"/>
  <c r="BO46" i="98"/>
  <c r="BO113" i="98"/>
  <c r="BO94" i="98"/>
  <c r="BO109" i="98"/>
  <c r="BO111" i="98"/>
  <c r="BO90" i="98"/>
  <c r="BO11" i="98"/>
  <c r="BO76" i="98"/>
  <c r="BO27" i="98"/>
  <c r="BO95" i="98"/>
  <c r="BO81" i="98"/>
  <c r="BO148" i="98"/>
  <c r="BO7" i="98"/>
  <c r="BO22" i="98"/>
  <c r="BO140" i="98"/>
  <c r="BO153" i="98"/>
  <c r="BO43" i="98"/>
  <c r="BO107" i="98"/>
  <c r="BO23" i="98"/>
  <c r="BO156" i="98"/>
  <c r="BO54" i="98"/>
  <c r="BO48" i="98"/>
  <c r="BO61" i="98"/>
  <c r="BO146" i="98"/>
  <c r="BO110" i="98"/>
  <c r="BO91" i="98"/>
  <c r="BO62" i="98"/>
  <c r="BO145" i="98"/>
  <c r="BO25" i="98"/>
  <c r="BO84" i="98"/>
  <c r="BO74" i="98"/>
  <c r="BO123" i="98"/>
  <c r="BO32" i="98"/>
  <c r="BO152" i="98"/>
  <c r="BT109" i="98"/>
  <c r="BT50" i="98"/>
  <c r="BT70" i="98"/>
  <c r="BT128" i="98"/>
  <c r="BT161" i="98"/>
  <c r="BT41" i="98"/>
  <c r="BT136" i="98"/>
  <c r="BT55" i="98"/>
  <c r="BT75" i="98"/>
  <c r="BT66" i="98"/>
  <c r="BT140" i="98"/>
  <c r="BT65" i="98"/>
  <c r="BT119" i="98"/>
  <c r="BT21" i="98"/>
  <c r="BT143" i="98"/>
  <c r="BT37" i="98"/>
  <c r="BT157" i="98"/>
  <c r="BT44" i="98"/>
  <c r="BT82" i="98"/>
  <c r="BT89" i="98"/>
  <c r="BT60" i="98"/>
  <c r="BT56" i="98"/>
  <c r="BT151" i="98"/>
  <c r="BT8" i="98"/>
  <c r="BT102" i="98"/>
  <c r="BT122" i="98"/>
  <c r="BT76" i="98"/>
  <c r="BT149" i="98"/>
  <c r="BT26" i="98"/>
  <c r="BT155" i="98"/>
  <c r="BT96" i="98"/>
  <c r="BT112" i="98"/>
  <c r="BT86" i="98"/>
  <c r="BT68" i="98"/>
  <c r="BT106" i="98"/>
  <c r="BT141" i="98"/>
  <c r="BT79" i="98"/>
  <c r="BT100" i="98"/>
  <c r="BT154" i="98"/>
  <c r="BT116" i="98"/>
  <c r="BT127" i="98"/>
  <c r="BT14" i="98"/>
  <c r="BT153" i="98"/>
  <c r="BT108" i="98"/>
  <c r="BT133" i="98"/>
  <c r="BT101" i="98"/>
  <c r="BT90" i="98"/>
  <c r="BT162" i="98"/>
  <c r="BT88" i="98"/>
  <c r="BT48" i="98"/>
  <c r="BT45" i="98"/>
  <c r="BT145" i="98"/>
  <c r="BT91" i="98"/>
  <c r="BT117" i="98"/>
  <c r="BT6" i="98"/>
  <c r="BT120" i="98"/>
  <c r="BT164" i="98"/>
  <c r="BT139" i="98"/>
  <c r="BT148" i="98"/>
  <c r="BT135" i="98"/>
  <c r="BT57" i="98"/>
  <c r="BT22" i="98"/>
  <c r="BT85" i="98"/>
  <c r="BT94" i="98"/>
  <c r="BT17" i="98"/>
  <c r="BT156" i="98"/>
  <c r="BT9" i="98"/>
  <c r="BT32" i="98"/>
  <c r="BT159" i="98"/>
  <c r="BT13" i="98"/>
  <c r="BT27" i="98"/>
  <c r="BT104" i="98"/>
  <c r="BT36" i="98"/>
  <c r="BT67" i="98"/>
  <c r="BT71" i="98"/>
  <c r="BT25" i="98"/>
  <c r="BT118" i="98"/>
  <c r="BT5" i="98"/>
  <c r="BT83" i="98"/>
  <c r="BT24" i="98"/>
  <c r="BT87" i="98"/>
  <c r="BT114" i="98"/>
  <c r="BT77" i="98"/>
  <c r="BT146" i="98"/>
  <c r="BT110" i="98"/>
  <c r="BT30" i="98"/>
  <c r="BT52" i="98"/>
  <c r="BT59" i="98"/>
  <c r="BT78" i="98"/>
  <c r="BT115" i="98"/>
  <c r="BT98" i="98"/>
  <c r="BT95" i="98"/>
  <c r="BT63" i="98"/>
  <c r="BT15" i="98"/>
  <c r="BT107" i="98"/>
  <c r="BT72" i="98"/>
  <c r="BT38" i="98"/>
  <c r="BT62" i="98"/>
  <c r="BT99" i="98"/>
  <c r="BT130" i="98"/>
  <c r="BT158" i="98"/>
  <c r="BT129" i="98"/>
  <c r="BT12" i="98"/>
  <c r="BT43" i="98"/>
  <c r="BT97" i="98"/>
  <c r="BT84" i="98"/>
  <c r="BT123" i="98"/>
  <c r="BT31" i="98"/>
  <c r="BT138" i="98"/>
  <c r="BT10" i="98"/>
  <c r="BT152" i="98"/>
  <c r="BT18" i="98"/>
  <c r="BT103" i="98"/>
  <c r="BT80" i="98"/>
  <c r="BT40" i="98"/>
  <c r="BT124" i="98"/>
  <c r="BT47" i="98"/>
  <c r="BT134" i="98"/>
  <c r="BT69" i="98"/>
  <c r="BT73" i="98"/>
  <c r="BT144" i="98"/>
  <c r="BT132" i="98"/>
  <c r="BT19" i="98"/>
  <c r="BT11" i="98"/>
  <c r="BT105" i="98"/>
  <c r="BT160" i="98"/>
  <c r="BT46" i="98"/>
  <c r="BT150" i="98"/>
  <c r="BT126" i="98"/>
  <c r="BT111" i="98"/>
  <c r="BT33" i="98"/>
  <c r="BT131" i="98"/>
  <c r="BT42" i="98"/>
  <c r="BT34" i="98"/>
  <c r="BT113" i="98"/>
  <c r="BT58" i="98"/>
  <c r="BT16" i="98"/>
  <c r="BT54" i="98"/>
  <c r="BT39" i="98"/>
  <c r="BT142" i="98"/>
  <c r="BT93" i="98"/>
  <c r="BT163" i="98"/>
  <c r="BT137" i="98"/>
  <c r="BT81" i="98"/>
  <c r="BT35" i="98"/>
  <c r="BT23" i="98"/>
  <c r="BT61" i="98"/>
  <c r="BT7" i="98"/>
  <c r="BT51" i="98"/>
  <c r="BT121" i="98"/>
  <c r="BT29" i="98"/>
  <c r="BT147" i="98"/>
  <c r="BT49" i="98"/>
  <c r="BT125" i="98"/>
  <c r="BT53" i="98"/>
  <c r="BT92" i="98"/>
  <c r="BT20" i="98"/>
  <c r="BT64" i="98"/>
  <c r="BT28" i="98"/>
  <c r="BT74" i="98"/>
  <c r="DF104" i="98"/>
  <c r="DF119" i="98"/>
  <c r="DF159" i="98"/>
  <c r="DF56" i="98"/>
  <c r="DF68" i="98"/>
  <c r="DF85" i="98"/>
  <c r="DF157" i="98"/>
  <c r="DF100" i="98"/>
  <c r="DF76" i="98"/>
  <c r="DF120" i="98"/>
  <c r="DF107" i="98"/>
  <c r="DF12" i="98"/>
  <c r="DF89" i="98"/>
  <c r="DF79" i="98"/>
  <c r="DF36" i="98"/>
  <c r="DF160" i="98"/>
  <c r="DF153" i="98"/>
  <c r="DF41" i="98"/>
  <c r="DF108" i="98"/>
  <c r="DF20" i="98"/>
  <c r="DF123" i="98"/>
  <c r="DF51" i="98"/>
  <c r="DF143" i="98"/>
  <c r="DF129" i="98"/>
  <c r="DF11" i="98"/>
  <c r="DF8" i="98"/>
  <c r="DF71" i="98"/>
  <c r="DF138" i="98"/>
  <c r="DF9" i="98"/>
  <c r="DF98" i="98"/>
  <c r="DF78" i="98"/>
  <c r="DF121" i="98"/>
  <c r="DF91" i="98"/>
  <c r="DF94" i="98"/>
  <c r="DF118" i="98"/>
  <c r="DF33" i="98"/>
  <c r="DF28" i="98"/>
  <c r="DF163" i="98"/>
  <c r="DF6" i="98"/>
  <c r="DF75" i="98"/>
  <c r="DF29" i="98"/>
  <c r="DF13" i="98"/>
  <c r="DF126" i="98"/>
  <c r="DF54" i="98"/>
  <c r="DF124" i="98"/>
  <c r="DF158" i="98"/>
  <c r="DF133" i="98"/>
  <c r="DF88" i="98"/>
  <c r="DF31" i="98"/>
  <c r="DF63" i="98"/>
  <c r="DF16" i="98"/>
  <c r="DF156" i="98"/>
  <c r="DF67" i="98"/>
  <c r="DF106" i="98"/>
  <c r="DF84" i="98"/>
  <c r="DF125" i="98"/>
  <c r="DF46" i="98"/>
  <c r="DF40" i="98"/>
  <c r="DF127" i="98"/>
  <c r="DF86" i="98"/>
  <c r="DF151" i="98"/>
  <c r="DF105" i="98"/>
  <c r="DF45" i="98"/>
  <c r="DF111" i="98"/>
  <c r="DF139" i="98"/>
  <c r="DF7" i="98"/>
  <c r="DF25" i="98"/>
  <c r="DF65" i="98"/>
  <c r="DF53" i="98"/>
  <c r="DF48" i="98"/>
  <c r="DF72" i="98"/>
  <c r="DF115" i="98"/>
  <c r="DF44" i="98"/>
  <c r="DF10" i="98"/>
  <c r="DF99" i="98"/>
  <c r="DF144" i="98"/>
  <c r="DF122" i="98"/>
  <c r="DF102" i="98"/>
  <c r="DF136" i="98"/>
  <c r="DF22" i="98"/>
  <c r="DF35" i="98"/>
  <c r="DF162" i="98"/>
  <c r="DF112" i="98"/>
  <c r="DF14" i="98"/>
  <c r="DF92" i="98"/>
  <c r="DF154" i="98"/>
  <c r="DF164" i="98"/>
  <c r="DF38" i="98"/>
  <c r="DF148" i="98"/>
  <c r="DF52" i="98"/>
  <c r="DF97" i="98"/>
  <c r="DF27" i="98"/>
  <c r="DF62" i="98"/>
  <c r="DF131" i="98"/>
  <c r="DF66" i="98"/>
  <c r="DF116" i="98"/>
  <c r="DF109" i="98"/>
  <c r="DF73" i="98"/>
  <c r="DF146" i="98"/>
  <c r="DF49" i="98"/>
  <c r="DF58" i="98"/>
  <c r="DF82" i="98"/>
  <c r="DF83" i="98"/>
  <c r="DF93" i="98"/>
  <c r="DF90" i="98"/>
  <c r="DF103" i="98"/>
  <c r="DF130" i="98"/>
  <c r="DF61" i="98"/>
  <c r="DF132" i="98"/>
  <c r="DF59" i="98"/>
  <c r="DF113" i="98"/>
  <c r="DF137" i="98"/>
  <c r="DF141" i="98"/>
  <c r="DF26" i="98"/>
  <c r="DF96" i="98"/>
  <c r="DF18" i="98"/>
  <c r="DF39" i="98"/>
  <c r="DF87" i="98"/>
  <c r="DF69" i="98"/>
  <c r="DF15" i="98"/>
  <c r="DF21" i="98"/>
  <c r="DF135" i="98"/>
  <c r="DF145" i="98"/>
  <c r="DF114" i="98"/>
  <c r="DF110" i="98"/>
  <c r="DF155" i="98"/>
  <c r="DF55" i="98"/>
  <c r="DF161" i="98"/>
  <c r="DF43" i="98"/>
  <c r="DF34" i="98"/>
  <c r="DF42" i="98"/>
  <c r="DF80" i="98"/>
  <c r="DF149" i="98"/>
  <c r="DF47" i="98"/>
  <c r="DF30" i="98"/>
  <c r="DF23" i="98"/>
  <c r="DF142" i="98"/>
  <c r="DF81" i="98"/>
  <c r="DF5" i="98"/>
  <c r="DF60" i="98"/>
  <c r="DF147" i="98"/>
  <c r="DF64" i="98"/>
  <c r="DF95" i="98"/>
  <c r="DF140" i="98"/>
  <c r="DF17" i="98"/>
  <c r="DF50" i="98"/>
  <c r="DF150" i="98"/>
  <c r="DF101" i="98"/>
  <c r="DF70" i="98"/>
  <c r="DF32" i="98"/>
  <c r="DF134" i="98"/>
  <c r="DF24" i="98"/>
  <c r="DF117" i="98"/>
  <c r="DF57" i="98"/>
  <c r="DF77" i="98"/>
  <c r="DF152" i="98"/>
  <c r="DF19" i="98"/>
  <c r="DF128" i="98"/>
  <c r="DF37" i="98"/>
  <c r="DF74" i="98"/>
  <c r="BY129" i="98"/>
  <c r="BY85" i="98"/>
  <c r="BY114" i="98"/>
  <c r="BY7" i="98"/>
  <c r="BY43" i="98"/>
  <c r="BY136" i="98"/>
  <c r="BY30" i="98"/>
  <c r="BY108" i="98"/>
  <c r="BY90" i="98"/>
  <c r="BY51" i="98"/>
  <c r="BY120" i="98"/>
  <c r="BY96" i="98"/>
  <c r="BY84" i="98"/>
  <c r="BY68" i="98"/>
  <c r="BY110" i="98"/>
  <c r="BY89" i="98"/>
  <c r="BY116" i="98"/>
  <c r="BY8" i="98"/>
  <c r="BY130" i="98"/>
  <c r="BY157" i="98"/>
  <c r="BY144" i="98"/>
  <c r="BY138" i="98"/>
  <c r="BY88" i="98"/>
  <c r="BY97" i="98"/>
  <c r="BY118" i="98"/>
  <c r="BY67" i="98"/>
  <c r="BY6" i="98"/>
  <c r="BY24" i="98"/>
  <c r="BY64" i="98"/>
  <c r="BY121" i="98"/>
  <c r="BY29" i="98"/>
  <c r="BY25" i="98"/>
  <c r="BY162" i="98"/>
  <c r="BY87" i="98"/>
  <c r="BY31" i="98"/>
  <c r="BY164" i="98"/>
  <c r="BY103" i="98"/>
  <c r="BY146" i="98"/>
  <c r="BY5" i="98"/>
  <c r="BY98" i="98"/>
  <c r="BY18" i="98"/>
  <c r="BY125" i="98"/>
  <c r="BY55" i="98"/>
  <c r="BY155" i="98"/>
  <c r="BY156" i="98"/>
  <c r="BY20" i="98"/>
  <c r="BY32" i="98"/>
  <c r="BY152" i="98"/>
  <c r="BY60" i="98"/>
  <c r="BY83" i="98"/>
  <c r="BY9" i="98"/>
  <c r="BY71" i="98"/>
  <c r="BY113" i="98"/>
  <c r="BY70" i="98"/>
  <c r="BY56" i="98"/>
  <c r="BY75" i="98"/>
  <c r="BY134" i="98"/>
  <c r="BY63" i="98"/>
  <c r="BY133" i="98"/>
  <c r="BY135" i="98"/>
  <c r="BY72" i="98"/>
  <c r="BY37" i="98"/>
  <c r="BY59" i="98"/>
  <c r="BY148" i="98"/>
  <c r="BY82" i="98"/>
  <c r="BY17" i="98"/>
  <c r="BY52" i="98"/>
  <c r="BY12" i="98"/>
  <c r="BY153" i="98"/>
  <c r="BY14" i="98"/>
  <c r="BY45" i="98"/>
  <c r="BY38" i="98"/>
  <c r="BY140" i="98"/>
  <c r="BY139" i="98"/>
  <c r="BY137" i="98"/>
  <c r="BY26" i="98"/>
  <c r="BY15" i="98"/>
  <c r="BY69" i="98"/>
  <c r="BY65" i="98"/>
  <c r="BY23" i="98"/>
  <c r="BY127" i="98"/>
  <c r="BY10" i="98"/>
  <c r="BY34" i="98"/>
  <c r="BY21" i="98"/>
  <c r="BY92" i="98"/>
  <c r="BY53" i="98"/>
  <c r="BY39" i="98"/>
  <c r="BY124" i="98"/>
  <c r="BY66" i="98"/>
  <c r="BY41" i="98"/>
  <c r="BY106" i="98"/>
  <c r="BY93" i="98"/>
  <c r="BY46" i="98"/>
  <c r="BY159" i="98"/>
  <c r="BY158" i="98"/>
  <c r="BY86" i="98"/>
  <c r="BY73" i="98"/>
  <c r="BY150" i="98"/>
  <c r="BY57" i="98"/>
  <c r="BY149" i="98"/>
  <c r="BY100" i="98"/>
  <c r="BY112" i="98"/>
  <c r="BY122" i="98"/>
  <c r="BY11" i="98"/>
  <c r="BY36" i="98"/>
  <c r="BY115" i="98"/>
  <c r="BY42" i="98"/>
  <c r="BY94" i="98"/>
  <c r="BY145" i="98"/>
  <c r="BY111" i="98"/>
  <c r="BY62" i="98"/>
  <c r="BY22" i="98"/>
  <c r="BY19" i="98"/>
  <c r="BY28" i="98"/>
  <c r="BY78" i="98"/>
  <c r="BY77" i="98"/>
  <c r="BY101" i="98"/>
  <c r="BY16" i="98"/>
  <c r="BY76" i="98"/>
  <c r="BY74" i="98"/>
  <c r="BY126" i="98"/>
  <c r="BY48" i="98"/>
  <c r="BY49" i="98"/>
  <c r="BY95" i="98"/>
  <c r="BY79" i="98"/>
  <c r="BY27" i="98"/>
  <c r="BY33" i="98"/>
  <c r="BY50" i="98"/>
  <c r="BY141" i="98"/>
  <c r="BY44" i="98"/>
  <c r="BY151" i="98"/>
  <c r="BY160" i="98"/>
  <c r="BY143" i="98"/>
  <c r="BY104" i="98"/>
  <c r="BY35" i="98"/>
  <c r="BY102" i="98"/>
  <c r="BY61" i="98"/>
  <c r="BY119" i="98"/>
  <c r="BY128" i="98"/>
  <c r="BY109" i="98"/>
  <c r="BY107" i="98"/>
  <c r="BY142" i="98"/>
  <c r="BY47" i="98"/>
  <c r="BY105" i="98"/>
  <c r="BY54" i="98"/>
  <c r="BY163" i="98"/>
  <c r="BY161" i="98"/>
  <c r="BY117" i="98"/>
  <c r="BY99" i="98"/>
  <c r="BY91" i="98"/>
  <c r="BY154" i="98"/>
  <c r="BY81" i="98"/>
  <c r="BY123" i="98"/>
  <c r="BY13" i="98"/>
  <c r="BY58" i="98"/>
  <c r="BY131" i="98"/>
  <c r="BY40" i="98"/>
  <c r="BY80" i="98"/>
  <c r="BY132" i="98"/>
  <c r="BY147" i="98"/>
  <c r="BP98" i="98"/>
  <c r="BP119" i="98"/>
  <c r="BP99" i="98"/>
  <c r="BP142" i="98"/>
  <c r="BP39" i="98"/>
  <c r="BP120" i="98"/>
  <c r="BP149" i="98"/>
  <c r="BP35" i="98"/>
  <c r="BP151" i="98"/>
  <c r="BP110" i="98"/>
  <c r="BP71" i="98"/>
  <c r="BP55" i="98"/>
  <c r="BP135" i="98"/>
  <c r="BP84" i="98"/>
  <c r="BP14" i="98"/>
  <c r="BP51" i="98"/>
  <c r="BP63" i="98"/>
  <c r="BP68" i="98"/>
  <c r="BP92" i="98"/>
  <c r="BP128" i="98"/>
  <c r="BP157" i="98"/>
  <c r="BP122" i="98"/>
  <c r="BP9" i="98"/>
  <c r="BP113" i="98"/>
  <c r="BP5" i="98"/>
  <c r="BP67" i="98"/>
  <c r="BP121" i="98"/>
  <c r="BP50" i="98"/>
  <c r="BP79" i="98"/>
  <c r="BP31" i="98"/>
  <c r="BP60" i="98"/>
  <c r="BP45" i="98"/>
  <c r="BP47" i="98"/>
  <c r="BP96" i="98"/>
  <c r="BP146" i="98"/>
  <c r="BP59" i="98"/>
  <c r="BP143" i="98"/>
  <c r="BP108" i="98"/>
  <c r="BP125" i="98"/>
  <c r="BP23" i="98"/>
  <c r="BP42" i="98"/>
  <c r="BP61" i="98"/>
  <c r="BP150" i="98"/>
  <c r="BP22" i="98"/>
  <c r="BP97" i="98"/>
  <c r="BP10" i="98"/>
  <c r="BP7" i="98"/>
  <c r="BP58" i="98"/>
  <c r="BP26" i="98"/>
  <c r="BP105" i="98"/>
  <c r="BP88" i="98"/>
  <c r="BP85" i="98"/>
  <c r="BP129" i="98"/>
  <c r="BP13" i="98"/>
  <c r="BP69" i="98"/>
  <c r="BP147" i="98"/>
  <c r="BP161" i="98"/>
  <c r="BP139" i="98"/>
  <c r="BP153" i="98"/>
  <c r="BP109" i="98"/>
  <c r="BP32" i="98"/>
  <c r="BP30" i="98"/>
  <c r="BP70" i="98"/>
  <c r="BP29" i="98"/>
  <c r="BP117" i="98"/>
  <c r="BP15" i="98"/>
  <c r="BP133" i="98"/>
  <c r="BP40" i="98"/>
  <c r="BP74" i="98"/>
  <c r="BP138" i="98"/>
  <c r="BP86" i="98"/>
  <c r="BP87" i="98"/>
  <c r="BP100" i="98"/>
  <c r="BP111" i="98"/>
  <c r="BP107" i="98"/>
  <c r="BP62" i="98"/>
  <c r="BP36" i="98"/>
  <c r="BP124" i="98"/>
  <c r="BP65" i="98"/>
  <c r="BP144" i="98"/>
  <c r="BP126" i="98"/>
  <c r="BP115" i="98"/>
  <c r="BP102" i="98"/>
  <c r="BP78" i="98"/>
  <c r="BP104" i="98"/>
  <c r="BP101" i="98"/>
  <c r="BP12" i="98"/>
  <c r="BP112" i="98"/>
  <c r="BP163" i="98"/>
  <c r="BP53" i="98"/>
  <c r="BP37" i="98"/>
  <c r="BP134" i="98"/>
  <c r="BP152" i="98"/>
  <c r="BP148" i="98"/>
  <c r="BP83" i="98"/>
  <c r="BP64" i="98"/>
  <c r="BP137" i="98"/>
  <c r="BP162" i="98"/>
  <c r="BP159" i="98"/>
  <c r="BP6" i="98"/>
  <c r="BP38" i="98"/>
  <c r="BP80" i="98"/>
  <c r="BP48" i="98"/>
  <c r="BP72" i="98"/>
  <c r="BP17" i="98"/>
  <c r="BP132" i="98"/>
  <c r="BP76" i="98"/>
  <c r="BP93" i="98"/>
  <c r="BP75" i="98"/>
  <c r="BP95" i="98"/>
  <c r="BP89" i="98"/>
  <c r="BP44" i="98"/>
  <c r="BP41" i="98"/>
  <c r="BP57" i="98"/>
  <c r="BP123" i="98"/>
  <c r="BP16" i="98"/>
  <c r="BP66" i="98"/>
  <c r="BP18" i="98"/>
  <c r="BP158" i="98"/>
  <c r="BP91" i="98"/>
  <c r="BP160" i="98"/>
  <c r="BP34" i="98"/>
  <c r="BP21" i="98"/>
  <c r="BP25" i="98"/>
  <c r="BP73" i="98"/>
  <c r="BP81" i="98"/>
  <c r="BP136" i="98"/>
  <c r="BP43" i="98"/>
  <c r="BP46" i="98"/>
  <c r="BP49" i="98"/>
  <c r="BP90" i="98"/>
  <c r="BP155" i="98"/>
  <c r="BP141" i="98"/>
  <c r="BP19" i="98"/>
  <c r="BP114" i="98"/>
  <c r="BP24" i="98"/>
  <c r="BP145" i="98"/>
  <c r="BP56" i="98"/>
  <c r="BP94" i="98"/>
  <c r="BP52" i="98"/>
  <c r="BP164" i="98"/>
  <c r="BP33" i="98"/>
  <c r="BP8" i="98"/>
  <c r="BP131" i="98"/>
  <c r="BP156" i="98"/>
  <c r="BP106" i="98"/>
  <c r="BP127" i="98"/>
  <c r="BP154" i="98"/>
  <c r="BP103" i="98"/>
  <c r="BP82" i="98"/>
  <c r="BP28" i="98"/>
  <c r="BP54" i="98"/>
  <c r="BP11" i="98"/>
  <c r="BP20" i="98"/>
  <c r="BP77" i="98"/>
  <c r="BP118" i="98"/>
  <c r="BP27" i="98"/>
  <c r="BP116" i="98"/>
  <c r="BP130" i="98"/>
  <c r="BP140" i="98"/>
  <c r="BU147" i="98"/>
  <c r="BU98" i="98"/>
  <c r="BU141" i="98"/>
  <c r="BU163" i="98"/>
  <c r="BU13" i="98"/>
  <c r="BU65" i="98"/>
  <c r="BU89" i="98"/>
  <c r="BU73" i="98"/>
  <c r="BU162" i="98"/>
  <c r="BU52" i="98"/>
  <c r="BU148" i="98"/>
  <c r="BU143" i="98"/>
  <c r="BU11" i="98"/>
  <c r="BU136" i="98"/>
  <c r="BU121" i="98"/>
  <c r="BU41" i="98"/>
  <c r="BU55" i="98"/>
  <c r="BU124" i="98"/>
  <c r="BU87" i="98"/>
  <c r="BU133" i="98"/>
  <c r="BU85" i="98"/>
  <c r="BU53" i="98"/>
  <c r="BU150" i="98"/>
  <c r="BU61" i="98"/>
  <c r="BU91" i="98"/>
  <c r="BU103" i="98"/>
  <c r="BU31" i="98"/>
  <c r="BU132" i="98"/>
  <c r="BU54" i="98"/>
  <c r="BU14" i="98"/>
  <c r="BU34" i="98"/>
  <c r="BU94" i="98"/>
  <c r="BU109" i="98"/>
  <c r="BU26" i="98"/>
  <c r="BU99" i="98"/>
  <c r="BU27" i="98"/>
  <c r="BU93" i="98"/>
  <c r="BU58" i="98"/>
  <c r="BU101" i="98"/>
  <c r="BU5" i="98"/>
  <c r="BU117" i="98"/>
  <c r="BU75" i="98"/>
  <c r="BU15" i="98"/>
  <c r="BU67" i="98"/>
  <c r="BU9" i="98"/>
  <c r="BU86" i="98"/>
  <c r="BU35" i="98"/>
  <c r="BU63" i="98"/>
  <c r="BU107" i="98"/>
  <c r="BU155" i="98"/>
  <c r="BU116" i="98"/>
  <c r="BU164" i="98"/>
  <c r="BU25" i="98"/>
  <c r="BU42" i="98"/>
  <c r="BU123" i="98"/>
  <c r="BU60" i="98"/>
  <c r="BU146" i="98"/>
  <c r="BU157" i="98"/>
  <c r="BU137" i="98"/>
  <c r="BU57" i="98"/>
  <c r="BU125" i="98"/>
  <c r="BU159" i="98"/>
  <c r="BU69" i="98"/>
  <c r="BU19" i="98"/>
  <c r="BU149" i="98"/>
  <c r="BU154" i="98"/>
  <c r="BU145" i="98"/>
  <c r="BU119" i="98"/>
  <c r="BU112" i="98"/>
  <c r="BU50" i="98"/>
  <c r="BU100" i="98"/>
  <c r="BU46" i="98"/>
  <c r="BU7" i="98"/>
  <c r="BU138" i="98"/>
  <c r="BU23" i="98"/>
  <c r="BU90" i="98"/>
  <c r="BU68" i="98"/>
  <c r="BU33" i="98"/>
  <c r="BU114" i="98"/>
  <c r="BU17" i="98"/>
  <c r="BU32" i="98"/>
  <c r="BU88" i="98"/>
  <c r="BU95" i="98"/>
  <c r="BU66" i="98"/>
  <c r="BU128" i="98"/>
  <c r="BU126" i="98"/>
  <c r="BU152" i="98"/>
  <c r="BU97" i="98"/>
  <c r="BU30" i="98"/>
  <c r="BU160" i="98"/>
  <c r="BU81" i="98"/>
  <c r="BU74" i="98"/>
  <c r="BU28" i="98"/>
  <c r="BU102" i="98"/>
  <c r="BU158" i="98"/>
  <c r="BU36" i="98"/>
  <c r="BU64" i="98"/>
  <c r="BU113" i="98"/>
  <c r="BU104" i="98"/>
  <c r="BU80" i="98"/>
  <c r="BU71" i="98"/>
  <c r="BU48" i="98"/>
  <c r="BU131" i="98"/>
  <c r="BU8" i="98"/>
  <c r="BU79" i="98"/>
  <c r="BU139" i="98"/>
  <c r="BU39" i="98"/>
  <c r="BU70" i="98"/>
  <c r="BU78" i="98"/>
  <c r="BU134" i="98"/>
  <c r="BU43" i="98"/>
  <c r="BU18" i="98"/>
  <c r="BU51" i="98"/>
  <c r="BU96" i="98"/>
  <c r="BU44" i="98"/>
  <c r="BU59" i="98"/>
  <c r="BU83" i="98"/>
  <c r="BU92" i="98"/>
  <c r="BU151" i="98"/>
  <c r="BU129" i="98"/>
  <c r="BU144" i="98"/>
  <c r="BU37" i="98"/>
  <c r="BU161" i="98"/>
  <c r="BU142" i="98"/>
  <c r="BU120" i="98"/>
  <c r="BU38" i="98"/>
  <c r="BU111" i="98"/>
  <c r="BU77" i="98"/>
  <c r="BU105" i="98"/>
  <c r="BU16" i="98"/>
  <c r="BU118" i="98"/>
  <c r="BU12" i="98"/>
  <c r="BU115" i="98"/>
  <c r="BU140" i="98"/>
  <c r="BU45" i="98"/>
  <c r="BU76" i="98"/>
  <c r="BU62" i="98"/>
  <c r="BU20" i="98"/>
  <c r="BU47" i="98"/>
  <c r="BU106" i="98"/>
  <c r="BU153" i="98"/>
  <c r="BU108" i="98"/>
  <c r="BU49" i="98"/>
  <c r="BU40" i="98"/>
  <c r="BU122" i="98"/>
  <c r="BU24" i="98"/>
  <c r="BU110" i="98"/>
  <c r="BU29" i="98"/>
  <c r="BU22" i="98"/>
  <c r="BU10" i="98"/>
  <c r="BU135" i="98"/>
  <c r="BU156" i="98"/>
  <c r="BU84" i="98"/>
  <c r="BU56" i="98"/>
  <c r="BU72" i="98"/>
  <c r="BU6" i="98"/>
  <c r="BU21" i="98"/>
  <c r="BU130" i="98"/>
  <c r="BU127" i="98"/>
  <c r="BU82" i="98"/>
  <c r="DG61" i="98"/>
  <c r="DG132" i="98"/>
  <c r="DG21" i="98"/>
  <c r="DG120" i="98"/>
  <c r="DG77" i="98"/>
  <c r="DG144" i="98"/>
  <c r="DG88" i="98"/>
  <c r="DG33" i="98"/>
  <c r="DG32" i="98"/>
  <c r="DG161" i="98"/>
  <c r="DG157" i="98"/>
  <c r="DG126" i="98"/>
  <c r="DG30" i="98"/>
  <c r="DG121" i="98"/>
  <c r="DG73" i="98"/>
  <c r="DG103" i="98"/>
  <c r="DG29" i="98"/>
  <c r="DG158" i="98"/>
  <c r="DG98" i="98"/>
  <c r="DG117" i="98"/>
  <c r="DG35" i="98"/>
  <c r="DG63" i="98"/>
  <c r="DG80" i="98"/>
  <c r="DG76" i="98"/>
  <c r="DG96" i="98"/>
  <c r="DG36" i="98"/>
  <c r="DG149" i="98"/>
  <c r="DG122" i="98"/>
  <c r="DG105" i="98"/>
  <c r="DG106" i="98"/>
  <c r="DG111" i="98"/>
  <c r="DG148" i="98"/>
  <c r="DG119" i="98"/>
  <c r="DG48" i="98"/>
  <c r="DG138" i="98"/>
  <c r="DG28" i="98"/>
  <c r="DG18" i="98"/>
  <c r="DG129" i="98"/>
  <c r="DG39" i="98"/>
  <c r="DG78" i="98"/>
  <c r="DG26" i="98"/>
  <c r="DG153" i="98"/>
  <c r="DG143" i="98"/>
  <c r="DG114" i="98"/>
  <c r="DG62" i="98"/>
  <c r="DG83" i="98"/>
  <c r="DG23" i="98"/>
  <c r="DG82" i="98"/>
  <c r="DG134" i="98"/>
  <c r="DG11" i="98"/>
  <c r="DG9" i="98"/>
  <c r="DG151" i="98"/>
  <c r="DG71" i="98"/>
  <c r="DG13" i="98"/>
  <c r="DG24" i="98"/>
  <c r="DG162" i="98"/>
  <c r="DG15" i="98"/>
  <c r="DG44" i="98"/>
  <c r="DG6" i="98"/>
  <c r="DG112" i="98"/>
  <c r="DG100" i="98"/>
  <c r="DG113" i="98"/>
  <c r="DG95" i="98"/>
  <c r="DG57" i="98"/>
  <c r="DG93" i="98"/>
  <c r="DG125" i="98"/>
  <c r="DG20" i="98"/>
  <c r="DG130" i="98"/>
  <c r="DG5" i="98"/>
  <c r="DG22" i="98"/>
  <c r="DG12" i="98"/>
  <c r="DG54" i="98"/>
  <c r="DG118" i="98"/>
  <c r="DG128" i="98"/>
  <c r="DG107" i="98"/>
  <c r="DG99" i="98"/>
  <c r="DG69" i="98"/>
  <c r="DG102" i="98"/>
  <c r="DG141" i="98"/>
  <c r="DG124" i="98"/>
  <c r="DG140" i="98"/>
  <c r="DG146" i="98"/>
  <c r="DG16" i="98"/>
  <c r="DG52" i="98"/>
  <c r="DG87" i="98"/>
  <c r="DG159" i="98"/>
  <c r="DG66" i="98"/>
  <c r="DG142" i="98"/>
  <c r="DG25" i="98"/>
  <c r="DG41" i="98"/>
  <c r="DG123" i="98"/>
  <c r="DG43" i="98"/>
  <c r="DG64" i="98"/>
  <c r="DG47" i="98"/>
  <c r="DG14" i="98"/>
  <c r="DG135" i="98"/>
  <c r="DG53" i="98"/>
  <c r="DG156" i="98"/>
  <c r="DG109" i="98"/>
  <c r="DG97" i="98"/>
  <c r="DG59" i="98"/>
  <c r="DG116" i="98"/>
  <c r="DG160" i="98"/>
  <c r="DG55" i="98"/>
  <c r="DG110" i="98"/>
  <c r="DG145" i="98"/>
  <c r="DG164" i="98"/>
  <c r="DG10" i="98"/>
  <c r="DG60" i="98"/>
  <c r="DG8" i="98"/>
  <c r="DG155" i="98"/>
  <c r="DG127" i="98"/>
  <c r="DG89" i="98"/>
  <c r="DG50" i="98"/>
  <c r="DG115" i="98"/>
  <c r="DG150" i="98"/>
  <c r="DG38" i="98"/>
  <c r="DG31" i="98"/>
  <c r="DG17" i="98"/>
  <c r="DG136" i="98"/>
  <c r="DG40" i="98"/>
  <c r="DG86" i="98"/>
  <c r="DG137" i="98"/>
  <c r="DG92" i="98"/>
  <c r="DG49" i="98"/>
  <c r="DG75" i="98"/>
  <c r="DG74" i="98"/>
  <c r="DG42" i="98"/>
  <c r="DG85" i="98"/>
  <c r="DG45" i="98"/>
  <c r="DG108" i="98"/>
  <c r="DG19" i="98"/>
  <c r="DG131" i="98"/>
  <c r="DG68" i="98"/>
  <c r="DG104" i="98"/>
  <c r="DG51" i="98"/>
  <c r="DG152" i="98"/>
  <c r="DG139" i="98"/>
  <c r="DG7" i="98"/>
  <c r="DG81" i="98"/>
  <c r="DG90" i="98"/>
  <c r="DG101" i="98"/>
  <c r="DG79" i="98"/>
  <c r="DG37" i="98"/>
  <c r="DG65" i="98"/>
  <c r="DG67" i="98"/>
  <c r="DG84" i="98"/>
  <c r="DG58" i="98"/>
  <c r="DG91" i="98"/>
  <c r="DG163" i="98"/>
  <c r="DG72" i="98"/>
  <c r="DG133" i="98"/>
  <c r="DG56" i="98"/>
  <c r="DG27" i="98"/>
  <c r="DG70" i="98"/>
  <c r="DG147" i="98"/>
  <c r="DG94" i="98"/>
  <c r="DG34" i="98"/>
  <c r="DG154" i="98"/>
  <c r="DG46" i="98"/>
  <c r="BZ48" i="98"/>
  <c r="BZ101" i="98"/>
  <c r="BZ131" i="98"/>
  <c r="BZ80" i="98"/>
  <c r="BZ24" i="98"/>
  <c r="BZ144" i="98"/>
  <c r="BZ95" i="98"/>
  <c r="BZ76" i="98"/>
  <c r="BZ147" i="98"/>
  <c r="BZ30" i="98"/>
  <c r="BZ36" i="98"/>
  <c r="BZ9" i="98"/>
  <c r="BZ105" i="98"/>
  <c r="BZ143" i="98"/>
  <c r="BZ84" i="98"/>
  <c r="CH84" i="98" s="1"/>
  <c r="BZ16" i="98"/>
  <c r="BZ38" i="98"/>
  <c r="BZ132" i="98"/>
  <c r="BZ46" i="98"/>
  <c r="BZ110" i="98"/>
  <c r="BZ91" i="98"/>
  <c r="BZ35" i="98"/>
  <c r="BZ29" i="98"/>
  <c r="BZ114" i="98"/>
  <c r="BZ122" i="98"/>
  <c r="BZ93" i="98"/>
  <c r="BZ77" i="98"/>
  <c r="BZ123" i="98"/>
  <c r="BZ141" i="98"/>
  <c r="BZ32" i="98"/>
  <c r="BZ67" i="98"/>
  <c r="BZ74" i="98"/>
  <c r="BZ65" i="98"/>
  <c r="BZ56" i="98"/>
  <c r="BZ102" i="98"/>
  <c r="BZ103" i="98"/>
  <c r="BZ71" i="98"/>
  <c r="CM71" i="98" s="1"/>
  <c r="BZ42" i="98"/>
  <c r="BZ66" i="98"/>
  <c r="BZ128" i="98"/>
  <c r="BZ151" i="98"/>
  <c r="BZ162" i="98"/>
  <c r="BZ150" i="98"/>
  <c r="BZ92" i="98"/>
  <c r="BZ17" i="98"/>
  <c r="BZ145" i="98"/>
  <c r="BZ149" i="98"/>
  <c r="BZ21" i="98"/>
  <c r="BZ159" i="98"/>
  <c r="BZ129" i="98"/>
  <c r="BZ69" i="98"/>
  <c r="BZ155" i="98"/>
  <c r="BZ37" i="98"/>
  <c r="BZ127" i="98"/>
  <c r="BZ47" i="98"/>
  <c r="BZ148" i="98"/>
  <c r="BZ63" i="98"/>
  <c r="BZ82" i="98"/>
  <c r="BZ156" i="98"/>
  <c r="BZ135" i="98"/>
  <c r="BZ19" i="98"/>
  <c r="BZ160" i="98"/>
  <c r="BZ115" i="98"/>
  <c r="BZ140" i="98"/>
  <c r="BZ83" i="98"/>
  <c r="BZ107" i="98"/>
  <c r="BZ86" i="98"/>
  <c r="BZ45" i="98"/>
  <c r="BZ54" i="98"/>
  <c r="BZ125" i="98"/>
  <c r="BZ75" i="98"/>
  <c r="BZ62" i="98"/>
  <c r="BZ90" i="98"/>
  <c r="BZ34" i="98"/>
  <c r="BZ25" i="98"/>
  <c r="BZ164" i="98"/>
  <c r="BZ163" i="98"/>
  <c r="BZ153" i="98"/>
  <c r="BZ137" i="98"/>
  <c r="BZ119" i="98"/>
  <c r="BZ14" i="98"/>
  <c r="BZ64" i="98"/>
  <c r="BZ136" i="98"/>
  <c r="BZ112" i="98"/>
  <c r="BZ11" i="98"/>
  <c r="BZ58" i="98"/>
  <c r="BZ117" i="98"/>
  <c r="BZ161" i="98"/>
  <c r="BZ139" i="98"/>
  <c r="BZ40" i="98"/>
  <c r="BZ72" i="98"/>
  <c r="BZ55" i="98"/>
  <c r="CR55" i="98" s="1"/>
  <c r="BZ85" i="98"/>
  <c r="BZ18" i="98"/>
  <c r="BZ142" i="98"/>
  <c r="BZ39" i="98"/>
  <c r="BZ157" i="98"/>
  <c r="BZ154" i="98"/>
  <c r="BZ7" i="98"/>
  <c r="BZ61" i="98"/>
  <c r="BZ138" i="98"/>
  <c r="BZ23" i="98"/>
  <c r="BZ5" i="98"/>
  <c r="BZ81" i="98"/>
  <c r="BZ28" i="98"/>
  <c r="BZ78" i="98"/>
  <c r="BZ49" i="98"/>
  <c r="BZ94" i="98"/>
  <c r="BZ43" i="98"/>
  <c r="BZ51" i="98"/>
  <c r="BZ98" i="98"/>
  <c r="BZ12" i="98"/>
  <c r="BZ15" i="98"/>
  <c r="BZ53" i="98"/>
  <c r="BZ152" i="98"/>
  <c r="BZ126" i="98"/>
  <c r="BZ44" i="98"/>
  <c r="BZ79" i="98"/>
  <c r="BZ118" i="98"/>
  <c r="BZ146" i="98"/>
  <c r="BZ27" i="98"/>
  <c r="BZ41" i="98"/>
  <c r="BZ113" i="98"/>
  <c r="BZ104" i="98"/>
  <c r="BZ60" i="98"/>
  <c r="BZ57" i="98"/>
  <c r="BZ133" i="98"/>
  <c r="BZ106" i="98"/>
  <c r="BZ50" i="98"/>
  <c r="BZ52" i="98"/>
  <c r="BZ20" i="98"/>
  <c r="BZ121" i="98"/>
  <c r="BZ108" i="98"/>
  <c r="BZ99" i="98"/>
  <c r="BZ124" i="98"/>
  <c r="BZ26" i="98"/>
  <c r="BZ59" i="98"/>
  <c r="BZ134" i="98"/>
  <c r="BZ97" i="98"/>
  <c r="BZ87" i="98"/>
  <c r="BZ96" i="98"/>
  <c r="BZ70" i="98"/>
  <c r="BZ109" i="98"/>
  <c r="BZ6" i="98"/>
  <c r="BZ89" i="98"/>
  <c r="BZ22" i="98"/>
  <c r="BZ68" i="98"/>
  <c r="BZ88" i="98"/>
  <c r="BZ100" i="98"/>
  <c r="BZ130" i="98"/>
  <c r="BZ116" i="98"/>
  <c r="BZ73" i="98"/>
  <c r="BZ33" i="98"/>
  <c r="BZ31" i="98"/>
  <c r="BZ8" i="98"/>
  <c r="BZ10" i="98"/>
  <c r="BZ111" i="98"/>
  <c r="BZ158" i="98"/>
  <c r="BZ120" i="98"/>
  <c r="CR120" i="98" s="1"/>
  <c r="BZ13" i="98"/>
  <c r="BN115" i="98"/>
  <c r="BN69" i="98"/>
  <c r="BN80" i="98"/>
  <c r="BN18" i="98"/>
  <c r="BN101" i="98"/>
  <c r="BN39" i="98"/>
  <c r="BN91" i="98"/>
  <c r="BN49" i="98"/>
  <c r="BN90" i="98"/>
  <c r="BN62" i="98"/>
  <c r="BN33" i="98"/>
  <c r="BN78" i="98"/>
  <c r="BN37" i="98"/>
  <c r="BN82" i="98"/>
  <c r="BN92" i="98"/>
  <c r="BN106" i="98"/>
  <c r="BN102" i="98"/>
  <c r="BN135" i="98"/>
  <c r="BN73" i="98"/>
  <c r="BN55" i="98"/>
  <c r="BN22" i="98"/>
  <c r="BN87" i="98"/>
  <c r="BN29" i="98"/>
  <c r="BN34" i="98"/>
  <c r="BN77" i="98"/>
  <c r="BN72" i="98"/>
  <c r="BN151" i="98"/>
  <c r="BN126" i="98"/>
  <c r="BN142" i="98"/>
  <c r="BN131" i="98"/>
  <c r="BN124" i="98"/>
  <c r="BN97" i="98"/>
  <c r="BN139" i="98"/>
  <c r="BN132" i="98"/>
  <c r="BN46" i="98"/>
  <c r="BN120" i="98"/>
  <c r="BN95" i="98"/>
  <c r="BN152" i="98"/>
  <c r="BN41" i="98"/>
  <c r="BN13" i="98"/>
  <c r="BN128" i="98"/>
  <c r="BN86" i="98"/>
  <c r="BN100" i="98"/>
  <c r="BN65" i="98"/>
  <c r="BN158" i="98"/>
  <c r="BN110" i="98"/>
  <c r="BN83" i="98"/>
  <c r="BN64" i="98"/>
  <c r="BN109" i="98"/>
  <c r="BN161" i="98"/>
  <c r="BN146" i="98"/>
  <c r="BN38" i="98"/>
  <c r="BN105" i="98"/>
  <c r="BN45" i="98"/>
  <c r="BN24" i="98"/>
  <c r="BN11" i="98"/>
  <c r="BN25" i="98"/>
  <c r="BN42" i="98"/>
  <c r="BN143" i="98"/>
  <c r="BN67" i="98"/>
  <c r="BN157" i="98"/>
  <c r="BN66" i="98"/>
  <c r="BN159" i="98"/>
  <c r="BN84" i="98"/>
  <c r="BN118" i="98"/>
  <c r="BN43" i="98"/>
  <c r="BN40" i="98"/>
  <c r="BN130" i="98"/>
  <c r="BN138" i="98"/>
  <c r="BN156" i="98"/>
  <c r="BN144" i="98"/>
  <c r="BN19" i="98"/>
  <c r="BN141" i="98"/>
  <c r="BN68" i="98"/>
  <c r="BN114" i="98"/>
  <c r="BN76" i="98"/>
  <c r="BN125" i="98"/>
  <c r="BN17" i="98"/>
  <c r="BN121" i="98"/>
  <c r="BN7" i="98"/>
  <c r="BN54" i="98"/>
  <c r="BN163" i="98"/>
  <c r="BN119" i="98"/>
  <c r="BN117" i="98"/>
  <c r="BN134" i="98"/>
  <c r="BN94" i="98"/>
  <c r="BN9" i="98"/>
  <c r="BN140" i="98"/>
  <c r="BN35" i="98"/>
  <c r="BN28" i="98"/>
  <c r="BN44" i="98"/>
  <c r="BN60" i="98"/>
  <c r="BN53" i="98"/>
  <c r="BN12" i="98"/>
  <c r="BN8" i="98"/>
  <c r="BN6" i="98"/>
  <c r="BN59" i="98"/>
  <c r="BN57" i="98"/>
  <c r="BN70" i="98"/>
  <c r="BN122" i="98"/>
  <c r="BN23" i="98"/>
  <c r="BN31" i="98"/>
  <c r="BN10" i="98"/>
  <c r="BN111" i="98"/>
  <c r="BN104" i="98"/>
  <c r="BN98" i="98"/>
  <c r="BN71" i="98"/>
  <c r="BN149" i="98"/>
  <c r="BN88" i="98"/>
  <c r="BN160" i="98"/>
  <c r="BN32" i="98"/>
  <c r="BN116" i="98"/>
  <c r="BN129" i="98"/>
  <c r="BN27" i="98"/>
  <c r="BN93" i="98"/>
  <c r="BN56" i="98"/>
  <c r="BN148" i="98"/>
  <c r="BN89" i="98"/>
  <c r="BN153" i="98"/>
  <c r="BN145" i="98"/>
  <c r="BN137" i="98"/>
  <c r="BN155" i="98"/>
  <c r="BN61" i="98"/>
  <c r="BN108" i="98"/>
  <c r="BN107" i="98"/>
  <c r="BN50" i="98"/>
  <c r="BN26" i="98"/>
  <c r="BN154" i="98"/>
  <c r="BN5" i="98"/>
  <c r="BN52" i="98"/>
  <c r="BN48" i="98"/>
  <c r="BN30" i="98"/>
  <c r="BN20" i="98"/>
  <c r="BN21" i="98"/>
  <c r="BN103" i="98"/>
  <c r="BN147" i="98"/>
  <c r="BN47" i="98"/>
  <c r="BN96" i="98"/>
  <c r="BN75" i="98"/>
  <c r="BN164" i="98"/>
  <c r="BN150" i="98"/>
  <c r="BN112" i="98"/>
  <c r="BN81" i="98"/>
  <c r="BN133" i="98"/>
  <c r="BN85" i="98"/>
  <c r="BN136" i="98"/>
  <c r="BN58" i="98"/>
  <c r="BN162" i="98"/>
  <c r="BN79" i="98"/>
  <c r="BN14" i="98"/>
  <c r="BN63" i="98"/>
  <c r="BN16" i="98"/>
  <c r="BN99" i="98"/>
  <c r="BN36" i="98"/>
  <c r="BN127" i="98"/>
  <c r="BN51" i="98"/>
  <c r="BN74" i="98"/>
  <c r="BN15" i="98"/>
  <c r="BN123" i="98"/>
  <c r="BN113" i="98"/>
  <c r="BW132" i="98"/>
  <c r="BW5" i="98"/>
  <c r="BW90" i="98"/>
  <c r="BW96" i="98"/>
  <c r="BW121" i="98"/>
  <c r="BW35" i="98"/>
  <c r="BW30" i="98"/>
  <c r="BW83" i="98"/>
  <c r="BW150" i="98"/>
  <c r="BW44" i="98"/>
  <c r="BW22" i="98"/>
  <c r="BW143" i="98"/>
  <c r="BW40" i="98"/>
  <c r="BW9" i="98"/>
  <c r="BW88" i="98"/>
  <c r="BW161" i="98"/>
  <c r="BW108" i="98"/>
  <c r="BW84" i="98"/>
  <c r="BW38" i="98"/>
  <c r="BW73" i="98"/>
  <c r="BW75" i="98"/>
  <c r="BW11" i="98"/>
  <c r="BW125" i="98"/>
  <c r="BW129" i="98"/>
  <c r="BW80" i="98"/>
  <c r="BW68" i="98"/>
  <c r="BW86" i="98"/>
  <c r="BW72" i="98"/>
  <c r="BW116" i="98"/>
  <c r="BW85" i="98"/>
  <c r="BW136" i="98"/>
  <c r="BW111" i="98"/>
  <c r="BW144" i="98"/>
  <c r="BW148" i="98"/>
  <c r="BW16" i="98"/>
  <c r="BW115" i="98"/>
  <c r="BW55" i="98"/>
  <c r="BW156" i="98"/>
  <c r="BW145" i="98"/>
  <c r="BW69" i="98"/>
  <c r="BW118" i="98"/>
  <c r="BW141" i="98"/>
  <c r="BW162" i="98"/>
  <c r="BW140" i="98"/>
  <c r="BW18" i="98"/>
  <c r="BW23" i="98"/>
  <c r="BW65" i="98"/>
  <c r="BW152" i="98"/>
  <c r="BW61" i="98"/>
  <c r="BW8" i="98"/>
  <c r="BW74" i="98"/>
  <c r="BW36" i="98"/>
  <c r="BW15" i="98"/>
  <c r="BW81" i="98"/>
  <c r="BW110" i="98"/>
  <c r="BW51" i="98"/>
  <c r="BW104" i="98"/>
  <c r="BW13" i="98"/>
  <c r="BW56" i="98"/>
  <c r="BW91" i="98"/>
  <c r="BW54" i="98"/>
  <c r="BW122" i="98"/>
  <c r="BW24" i="98"/>
  <c r="BW20" i="98"/>
  <c r="BW70" i="98"/>
  <c r="BW17" i="98"/>
  <c r="BW46" i="98"/>
  <c r="BW147" i="98"/>
  <c r="BW50" i="98"/>
  <c r="BW59" i="98"/>
  <c r="BW53" i="98"/>
  <c r="BW45" i="98"/>
  <c r="BW21" i="98"/>
  <c r="BW120" i="98"/>
  <c r="BW94" i="98"/>
  <c r="BW160" i="98"/>
  <c r="BW142" i="98"/>
  <c r="BW66" i="98"/>
  <c r="BW31" i="98"/>
  <c r="BW99" i="98"/>
  <c r="BW117" i="98"/>
  <c r="BW124" i="98"/>
  <c r="BW33" i="98"/>
  <c r="BW106" i="98"/>
  <c r="BW64" i="98"/>
  <c r="BW37" i="98"/>
  <c r="BW131" i="98"/>
  <c r="BW52" i="98"/>
  <c r="BW138" i="98"/>
  <c r="BW63" i="98"/>
  <c r="BW77" i="98"/>
  <c r="BW130" i="98"/>
  <c r="BW151" i="98"/>
  <c r="BW29" i="98"/>
  <c r="BW146" i="98"/>
  <c r="BW32" i="98"/>
  <c r="BW7" i="98"/>
  <c r="BW163" i="98"/>
  <c r="BW28" i="98"/>
  <c r="BW133" i="98"/>
  <c r="BW47" i="98"/>
  <c r="BW123" i="98"/>
  <c r="BW107" i="98"/>
  <c r="BW42" i="98"/>
  <c r="BW155" i="98"/>
  <c r="BW102" i="98"/>
  <c r="BW127" i="98"/>
  <c r="BW137" i="98"/>
  <c r="BW157" i="98"/>
  <c r="BW134" i="98"/>
  <c r="BW14" i="98"/>
  <c r="BW101" i="98"/>
  <c r="BW112" i="98"/>
  <c r="BW57" i="98"/>
  <c r="BW89" i="98"/>
  <c r="BW153" i="98"/>
  <c r="BW158" i="98"/>
  <c r="BW27" i="98"/>
  <c r="BW12" i="98"/>
  <c r="BW60" i="98"/>
  <c r="BW39" i="98"/>
  <c r="BW87" i="98"/>
  <c r="BW135" i="98"/>
  <c r="BW6" i="98"/>
  <c r="BW159" i="98"/>
  <c r="BW114" i="98"/>
  <c r="BW10" i="98"/>
  <c r="BW103" i="98"/>
  <c r="BW26" i="98"/>
  <c r="BW98" i="98"/>
  <c r="BW126" i="98"/>
  <c r="BW100" i="98"/>
  <c r="BW49" i="98"/>
  <c r="BW113" i="98"/>
  <c r="BW95" i="98"/>
  <c r="BW76" i="98"/>
  <c r="BW67" i="98"/>
  <c r="BW92" i="98"/>
  <c r="BW48" i="98"/>
  <c r="BW109" i="98"/>
  <c r="BW19" i="98"/>
  <c r="BW25" i="98"/>
  <c r="BW71" i="98"/>
  <c r="BW43" i="98"/>
  <c r="BW164" i="98"/>
  <c r="BW41" i="98"/>
  <c r="BW34" i="98"/>
  <c r="BW78" i="98"/>
  <c r="BW93" i="98"/>
  <c r="BW62" i="98"/>
  <c r="BW139" i="98"/>
  <c r="BW154" i="98"/>
  <c r="BW79" i="98"/>
  <c r="BW128" i="98"/>
  <c r="BW119" i="98"/>
  <c r="BW82" i="98"/>
  <c r="BW149" i="98"/>
  <c r="BW105" i="98"/>
  <c r="BW58" i="98"/>
  <c r="BW97" i="98"/>
  <c r="DD69" i="98"/>
  <c r="DD68" i="98"/>
  <c r="DD90" i="98"/>
  <c r="DD38" i="98"/>
  <c r="DD126" i="98"/>
  <c r="DD10" i="98"/>
  <c r="DD138" i="98"/>
  <c r="DD11" i="98"/>
  <c r="DD95" i="98"/>
  <c r="DD137" i="98"/>
  <c r="DD110" i="98"/>
  <c r="DD51" i="98"/>
  <c r="DD118" i="98"/>
  <c r="DD86" i="98"/>
  <c r="DD27" i="98"/>
  <c r="DD103" i="98"/>
  <c r="DD146" i="98"/>
  <c r="DD122" i="98"/>
  <c r="DD144" i="98"/>
  <c r="DD149" i="98"/>
  <c r="DD128" i="98"/>
  <c r="DD77" i="98"/>
  <c r="DD157" i="98"/>
  <c r="DD70" i="98"/>
  <c r="DD49" i="98"/>
  <c r="DD106" i="98"/>
  <c r="DD101" i="98"/>
  <c r="DD56" i="98"/>
  <c r="DD21" i="98"/>
  <c r="DD84" i="98"/>
  <c r="DD74" i="98"/>
  <c r="DD25" i="98"/>
  <c r="DD120" i="98"/>
  <c r="DD151" i="98"/>
  <c r="DD92" i="98"/>
  <c r="DD150" i="98"/>
  <c r="DD82" i="98"/>
  <c r="DD13" i="98"/>
  <c r="DD67" i="98"/>
  <c r="DD22" i="98"/>
  <c r="DD89" i="98"/>
  <c r="DD44" i="98"/>
  <c r="DD6" i="98"/>
  <c r="DD17" i="98"/>
  <c r="DD102" i="98"/>
  <c r="DD135" i="98"/>
  <c r="DD23" i="98"/>
  <c r="DD63" i="98"/>
  <c r="DD60" i="98"/>
  <c r="DD59" i="98"/>
  <c r="DD99" i="98"/>
  <c r="DD155" i="98"/>
  <c r="DD143" i="98"/>
  <c r="DD65" i="98"/>
  <c r="DD12" i="98"/>
  <c r="DD57" i="98"/>
  <c r="DD50" i="98"/>
  <c r="DD29" i="98"/>
  <c r="DD45" i="98"/>
  <c r="DD136" i="98"/>
  <c r="DD28" i="98"/>
  <c r="DD156" i="98"/>
  <c r="DD123" i="98"/>
  <c r="DD39" i="98"/>
  <c r="DD87" i="98"/>
  <c r="DD140" i="98"/>
  <c r="DD111" i="98"/>
  <c r="DD72" i="98"/>
  <c r="DD132" i="98"/>
  <c r="DD117" i="98"/>
  <c r="DD73" i="98"/>
  <c r="DD33" i="98"/>
  <c r="DD113" i="98"/>
  <c r="DD127" i="98"/>
  <c r="DD112" i="98"/>
  <c r="DD41" i="98"/>
  <c r="DD160" i="98"/>
  <c r="DD130" i="98"/>
  <c r="DD164" i="98"/>
  <c r="DD20" i="98"/>
  <c r="DD100" i="98"/>
  <c r="DD161" i="98"/>
  <c r="DD32" i="98"/>
  <c r="DD9" i="98"/>
  <c r="DD36" i="98"/>
  <c r="DD18" i="98"/>
  <c r="DD125" i="98"/>
  <c r="DD114" i="98"/>
  <c r="DD134" i="98"/>
  <c r="DD109" i="98"/>
  <c r="DD142" i="98"/>
  <c r="DD78" i="98"/>
  <c r="DD75" i="98"/>
  <c r="DD108" i="98"/>
  <c r="DD81" i="98"/>
  <c r="DD98" i="98"/>
  <c r="DD80" i="98"/>
  <c r="DD147" i="98"/>
  <c r="DD154" i="98"/>
  <c r="DD79" i="98"/>
  <c r="DD133" i="98"/>
  <c r="DD145" i="98"/>
  <c r="DD153" i="98"/>
  <c r="DD37" i="98"/>
  <c r="DD35" i="98"/>
  <c r="DD61" i="98"/>
  <c r="DD46" i="98"/>
  <c r="DD83" i="98"/>
  <c r="DD54" i="98"/>
  <c r="DD129" i="98"/>
  <c r="DD30" i="98"/>
  <c r="DD43" i="98"/>
  <c r="DD76" i="98"/>
  <c r="DD47" i="98"/>
  <c r="DD93" i="98"/>
  <c r="DD34" i="98"/>
  <c r="DD71" i="98"/>
  <c r="DD107" i="98"/>
  <c r="DD124" i="98"/>
  <c r="DD88" i="98"/>
  <c r="DD42" i="98"/>
  <c r="DD48" i="98"/>
  <c r="DD162" i="98"/>
  <c r="DD7" i="98"/>
  <c r="DD66" i="98"/>
  <c r="DD152" i="98"/>
  <c r="DD16" i="98"/>
  <c r="DD139" i="98"/>
  <c r="DD52" i="98"/>
  <c r="DD19" i="98"/>
  <c r="DD116" i="98"/>
  <c r="DD85" i="98"/>
  <c r="DD141" i="98"/>
  <c r="DD163" i="98"/>
  <c r="DD14" i="98"/>
  <c r="DD115" i="98"/>
  <c r="DD121" i="98"/>
  <c r="DD24" i="98"/>
  <c r="DD15" i="98"/>
  <c r="DD26" i="98"/>
  <c r="DD55" i="98"/>
  <c r="DD40" i="98"/>
  <c r="DD91" i="98"/>
  <c r="DD96" i="98"/>
  <c r="DD105" i="98"/>
  <c r="DD62" i="98"/>
  <c r="DD5" i="98"/>
  <c r="DD31" i="98"/>
  <c r="DD58" i="98"/>
  <c r="DD97" i="98"/>
  <c r="DD104" i="98"/>
  <c r="DD158" i="98"/>
  <c r="DD159" i="98"/>
  <c r="DD53" i="98"/>
  <c r="DD119" i="98"/>
  <c r="DD131" i="98"/>
  <c r="DD148" i="98"/>
  <c r="DD8" i="98"/>
  <c r="DD64" i="98"/>
  <c r="DD94" i="98"/>
  <c r="BR12" i="98"/>
  <c r="BR100" i="98"/>
  <c r="BR103" i="98"/>
  <c r="BR107" i="98"/>
  <c r="BR90" i="98"/>
  <c r="BR66" i="98"/>
  <c r="BR50" i="98"/>
  <c r="BR156" i="98"/>
  <c r="BR60" i="98"/>
  <c r="BR138" i="98"/>
  <c r="BR51" i="98"/>
  <c r="BR78" i="98"/>
  <c r="BR37" i="98"/>
  <c r="BR150" i="98"/>
  <c r="BR158" i="98"/>
  <c r="BR27" i="98"/>
  <c r="BR135" i="98"/>
  <c r="BR95" i="98"/>
  <c r="BR82" i="98"/>
  <c r="BR13" i="98"/>
  <c r="BR110" i="98"/>
  <c r="BR18" i="98"/>
  <c r="BR97" i="98"/>
  <c r="BR80" i="98"/>
  <c r="BR24" i="98"/>
  <c r="BR128" i="98"/>
  <c r="BR30" i="98"/>
  <c r="BR49" i="98"/>
  <c r="BR41" i="98"/>
  <c r="BR157" i="98"/>
  <c r="BR55" i="98"/>
  <c r="BR122" i="98"/>
  <c r="BR136" i="98"/>
  <c r="BR61" i="98"/>
  <c r="BR132" i="98"/>
  <c r="BR96" i="98"/>
  <c r="BR163" i="98"/>
  <c r="BR120" i="98"/>
  <c r="BR113" i="98"/>
  <c r="BR40" i="98"/>
  <c r="BR98" i="98"/>
  <c r="BR139" i="98"/>
  <c r="BR74" i="98"/>
  <c r="BR9" i="98"/>
  <c r="BR104" i="98"/>
  <c r="BR92" i="98"/>
  <c r="BR105" i="98"/>
  <c r="BR162" i="98"/>
  <c r="BR164" i="98"/>
  <c r="BR84" i="98"/>
  <c r="BR75" i="98"/>
  <c r="BR142" i="98"/>
  <c r="BR140" i="98"/>
  <c r="BR19" i="98"/>
  <c r="BR31" i="98"/>
  <c r="BR39" i="98"/>
  <c r="BR126" i="98"/>
  <c r="BR114" i="98"/>
  <c r="BR109" i="98"/>
  <c r="BR79" i="98"/>
  <c r="BR87" i="98"/>
  <c r="BR83" i="98"/>
  <c r="BR32" i="98"/>
  <c r="BR145" i="98"/>
  <c r="BR69" i="98"/>
  <c r="BR112" i="98"/>
  <c r="BR65" i="98"/>
  <c r="BR160" i="98"/>
  <c r="BR125" i="98"/>
  <c r="BR152" i="98"/>
  <c r="BR134" i="98"/>
  <c r="BR42" i="98"/>
  <c r="BR11" i="98"/>
  <c r="BR36" i="98"/>
  <c r="BR53" i="98"/>
  <c r="BR149" i="98"/>
  <c r="BR85" i="98"/>
  <c r="BR141" i="98"/>
  <c r="BR130" i="98"/>
  <c r="BR23" i="98"/>
  <c r="BR154" i="98"/>
  <c r="BR70" i="98"/>
  <c r="BR64" i="98"/>
  <c r="BR20" i="98"/>
  <c r="BR108" i="98"/>
  <c r="BR15" i="98"/>
  <c r="BR146" i="98"/>
  <c r="BR159" i="98"/>
  <c r="BR56" i="98"/>
  <c r="BR54" i="98"/>
  <c r="BR73" i="98"/>
  <c r="BR143" i="98"/>
  <c r="BR131" i="98"/>
  <c r="BR151" i="98"/>
  <c r="BR38" i="98"/>
  <c r="BR153" i="98"/>
  <c r="BR88" i="98"/>
  <c r="BR117" i="98"/>
  <c r="BR155" i="98"/>
  <c r="BR118" i="98"/>
  <c r="BR6" i="98"/>
  <c r="BR129" i="98"/>
  <c r="BR144" i="98"/>
  <c r="BR86" i="98"/>
  <c r="BR123" i="98"/>
  <c r="BR7" i="98"/>
  <c r="BR89" i="98"/>
  <c r="BR115" i="98"/>
  <c r="BR10" i="98"/>
  <c r="BR59" i="98"/>
  <c r="BR52" i="98"/>
  <c r="BR21" i="98"/>
  <c r="BR43" i="98"/>
  <c r="BR16" i="98"/>
  <c r="BR111" i="98"/>
  <c r="BR46" i="98"/>
  <c r="BR124" i="98"/>
  <c r="BR26" i="98"/>
  <c r="BR106" i="98"/>
  <c r="BR76" i="98"/>
  <c r="BR29" i="98"/>
  <c r="BR17" i="98"/>
  <c r="BR72" i="98"/>
  <c r="BR127" i="98"/>
  <c r="BR68" i="98"/>
  <c r="BR35" i="98"/>
  <c r="BR77" i="98"/>
  <c r="BR91" i="98"/>
  <c r="BR121" i="98"/>
  <c r="BR25" i="98"/>
  <c r="BR57" i="98"/>
  <c r="BR8" i="98"/>
  <c r="BR33" i="98"/>
  <c r="BR34" i="98"/>
  <c r="BR14" i="98"/>
  <c r="BR44" i="98"/>
  <c r="BR161" i="98"/>
  <c r="BR67" i="98"/>
  <c r="BR99" i="98"/>
  <c r="BR63" i="98"/>
  <c r="BR22" i="98"/>
  <c r="BR94" i="98"/>
  <c r="BR119" i="98"/>
  <c r="BR101" i="98"/>
  <c r="BR58" i="98"/>
  <c r="BR133" i="98"/>
  <c r="BR45" i="98"/>
  <c r="BR102" i="98"/>
  <c r="BR71" i="98"/>
  <c r="BR93" i="98"/>
  <c r="BR5" i="98"/>
  <c r="BR147" i="98"/>
  <c r="BR116" i="98"/>
  <c r="BR81" i="98"/>
  <c r="BR62" i="98"/>
  <c r="BR28" i="98"/>
  <c r="BR148" i="98"/>
  <c r="BR137" i="98"/>
  <c r="BR48" i="98"/>
  <c r="BR47" i="98"/>
  <c r="BM80" i="98"/>
  <c r="BM124" i="98"/>
  <c r="BM62" i="98"/>
  <c r="BM129" i="98"/>
  <c r="BM17" i="98"/>
  <c r="BM7" i="98"/>
  <c r="BM76" i="98"/>
  <c r="BM86" i="98"/>
  <c r="BM12" i="98"/>
  <c r="BM145" i="98"/>
  <c r="BM74" i="98"/>
  <c r="BM95" i="98"/>
  <c r="BM122" i="98"/>
  <c r="BM153" i="98"/>
  <c r="BM132" i="98"/>
  <c r="BM65" i="98"/>
  <c r="BM33" i="98"/>
  <c r="BM121" i="98"/>
  <c r="BM60" i="98"/>
  <c r="BM81" i="98"/>
  <c r="BM134" i="98"/>
  <c r="BM50" i="98"/>
  <c r="BM77" i="98"/>
  <c r="BM66" i="98"/>
  <c r="BM125" i="98"/>
  <c r="BM25" i="98"/>
  <c r="BM53" i="98"/>
  <c r="BM73" i="98"/>
  <c r="BM142" i="98"/>
  <c r="BM52" i="98"/>
  <c r="BM126" i="98"/>
  <c r="BM117" i="98"/>
  <c r="BM88" i="98"/>
  <c r="BM34" i="98"/>
  <c r="BM68" i="98"/>
  <c r="BM97" i="98"/>
  <c r="BM135" i="98"/>
  <c r="BM127" i="98"/>
  <c r="BM36" i="98"/>
  <c r="BM154" i="98"/>
  <c r="BM35" i="98"/>
  <c r="BM96" i="98"/>
  <c r="BM19" i="98"/>
  <c r="BM57" i="98"/>
  <c r="BM11" i="98"/>
  <c r="BM27" i="98"/>
  <c r="BM10" i="98"/>
  <c r="BM100" i="98"/>
  <c r="BM93" i="98"/>
  <c r="BM89" i="98"/>
  <c r="BM84" i="98"/>
  <c r="BM59" i="98"/>
  <c r="BM56" i="98"/>
  <c r="BM22" i="98"/>
  <c r="BM138" i="98"/>
  <c r="BM40" i="98"/>
  <c r="BM30" i="98"/>
  <c r="BM44" i="98"/>
  <c r="BM28" i="98"/>
  <c r="BM118" i="98"/>
  <c r="BM139" i="98"/>
  <c r="BM43" i="98"/>
  <c r="BM72" i="98"/>
  <c r="BM108" i="98"/>
  <c r="BM47" i="98"/>
  <c r="BM69" i="98"/>
  <c r="BM58" i="98"/>
  <c r="BM164" i="98"/>
  <c r="BM94" i="98"/>
  <c r="BM55" i="98"/>
  <c r="BM21" i="98"/>
  <c r="BM26" i="98"/>
  <c r="BM37" i="98"/>
  <c r="BM162" i="98"/>
  <c r="BM146" i="98"/>
  <c r="BM14" i="98"/>
  <c r="BM82" i="98"/>
  <c r="BM32" i="98"/>
  <c r="BM152" i="98"/>
  <c r="BM8" i="98"/>
  <c r="BM5" i="98"/>
  <c r="BM136" i="98"/>
  <c r="BM102" i="98"/>
  <c r="BM46" i="98"/>
  <c r="BM41" i="98"/>
  <c r="BM158" i="98"/>
  <c r="BM71" i="98"/>
  <c r="BM103" i="98"/>
  <c r="BM147" i="98"/>
  <c r="BM163" i="98"/>
  <c r="BM128" i="98"/>
  <c r="BM160" i="98"/>
  <c r="BM70" i="98"/>
  <c r="BM107" i="98"/>
  <c r="BM78" i="98"/>
  <c r="BM29" i="98"/>
  <c r="BM148" i="98"/>
  <c r="BM6" i="98"/>
  <c r="BM85" i="98"/>
  <c r="BM131" i="98"/>
  <c r="BM51" i="98"/>
  <c r="BM123" i="98"/>
  <c r="BM144" i="98"/>
  <c r="BM159" i="98"/>
  <c r="BM92" i="98"/>
  <c r="BM24" i="98"/>
  <c r="BM156" i="98"/>
  <c r="BM18" i="98"/>
  <c r="BM67" i="98"/>
  <c r="BM16" i="98"/>
  <c r="BM114" i="98"/>
  <c r="BM140" i="98"/>
  <c r="BM90" i="98"/>
  <c r="BM115" i="98"/>
  <c r="BM31" i="98"/>
  <c r="BM149" i="98"/>
  <c r="BM48" i="98"/>
  <c r="BM109" i="98"/>
  <c r="BM119" i="98"/>
  <c r="BM155" i="98"/>
  <c r="BM99" i="98"/>
  <c r="BM106" i="98"/>
  <c r="BM143" i="98"/>
  <c r="BM38" i="98"/>
  <c r="BM42" i="98"/>
  <c r="BM61" i="98"/>
  <c r="BM116" i="98"/>
  <c r="BM15" i="98"/>
  <c r="BM161" i="98"/>
  <c r="BM120" i="98"/>
  <c r="BM130" i="98"/>
  <c r="BM101" i="98"/>
  <c r="BM98" i="98"/>
  <c r="BM63" i="98"/>
  <c r="BM113" i="98"/>
  <c r="BM151" i="98"/>
  <c r="BM105" i="98"/>
  <c r="BM9" i="98"/>
  <c r="BM91" i="98"/>
  <c r="BM112" i="98"/>
  <c r="BM150" i="98"/>
  <c r="BM79" i="98"/>
  <c r="BM157" i="98"/>
  <c r="BM111" i="98"/>
  <c r="BM110" i="98"/>
  <c r="BM13" i="98"/>
  <c r="BM75" i="98"/>
  <c r="BM137" i="98"/>
  <c r="BM23" i="98"/>
  <c r="BM64" i="98"/>
  <c r="BM133" i="98"/>
  <c r="BM54" i="98"/>
  <c r="BM45" i="98"/>
  <c r="BM104" i="98"/>
  <c r="BM83" i="98"/>
  <c r="BM141" i="98"/>
  <c r="BM39" i="98"/>
  <c r="BM87" i="98"/>
  <c r="BM20" i="98"/>
  <c r="BM49" i="98"/>
  <c r="DE24" i="98"/>
  <c r="DE56" i="98"/>
  <c r="DE36" i="98"/>
  <c r="DE76" i="98"/>
  <c r="DE134" i="98"/>
  <c r="DE8" i="98"/>
  <c r="DE89" i="98"/>
  <c r="DE102" i="98"/>
  <c r="DE118" i="98"/>
  <c r="DE103" i="98"/>
  <c r="DE85" i="98"/>
  <c r="DE110" i="98"/>
  <c r="DE88" i="98"/>
  <c r="DE77" i="98"/>
  <c r="DE12" i="98"/>
  <c r="DE66" i="98"/>
  <c r="DE29" i="98"/>
  <c r="DE10" i="98"/>
  <c r="DE144" i="98"/>
  <c r="DE142" i="98"/>
  <c r="DE83" i="98"/>
  <c r="DE105" i="98"/>
  <c r="DE41" i="98"/>
  <c r="DE106" i="98"/>
  <c r="DE86" i="98"/>
  <c r="DE84" i="98"/>
  <c r="DE7" i="98"/>
  <c r="DE117" i="98"/>
  <c r="DE33" i="98"/>
  <c r="DE141" i="98"/>
  <c r="DE108" i="98"/>
  <c r="DE25" i="98"/>
  <c r="DE115" i="98"/>
  <c r="DE57" i="98"/>
  <c r="DE127" i="98"/>
  <c r="DE18" i="98"/>
  <c r="DE65" i="98"/>
  <c r="DE161" i="98"/>
  <c r="DE51" i="98"/>
  <c r="DE31" i="98"/>
  <c r="DE152" i="98"/>
  <c r="DE140" i="98"/>
  <c r="DE5" i="98"/>
  <c r="DE78" i="98"/>
  <c r="DE147" i="98"/>
  <c r="DE73" i="98"/>
  <c r="DE11" i="98"/>
  <c r="DE9" i="98"/>
  <c r="DE155" i="98"/>
  <c r="DE69" i="98"/>
  <c r="DE35" i="98"/>
  <c r="DE130" i="98"/>
  <c r="DE64" i="98"/>
  <c r="DE138" i="98"/>
  <c r="DE151" i="98"/>
  <c r="DE92" i="98"/>
  <c r="DE55" i="98"/>
  <c r="DE82" i="98"/>
  <c r="DE72" i="98"/>
  <c r="DE132" i="98"/>
  <c r="DE133" i="98"/>
  <c r="DE14" i="98"/>
  <c r="DE139" i="98"/>
  <c r="DE123" i="98"/>
  <c r="DE74" i="98"/>
  <c r="DE46" i="98"/>
  <c r="DE48" i="98"/>
  <c r="DE157" i="98"/>
  <c r="DE122" i="98"/>
  <c r="DE13" i="98"/>
  <c r="DE148" i="98"/>
  <c r="DE93" i="98"/>
  <c r="DE62" i="98"/>
  <c r="DE131" i="98"/>
  <c r="DE149" i="98"/>
  <c r="DE100" i="98"/>
  <c r="DE154" i="98"/>
  <c r="DE22" i="98"/>
  <c r="DE19" i="98"/>
  <c r="DE116" i="98"/>
  <c r="DE114" i="98"/>
  <c r="DE81" i="98"/>
  <c r="DE109" i="98"/>
  <c r="DE68" i="98"/>
  <c r="DE40" i="98"/>
  <c r="DE16" i="98"/>
  <c r="DE21" i="98"/>
  <c r="DE45" i="98"/>
  <c r="DE95" i="98"/>
  <c r="DE159" i="98"/>
  <c r="DE126" i="98"/>
  <c r="DE79" i="98"/>
  <c r="DE49" i="98"/>
  <c r="DE143" i="98"/>
  <c r="DE63" i="98"/>
  <c r="DE156" i="98"/>
  <c r="DE145" i="98"/>
  <c r="DE146" i="98"/>
  <c r="DE15" i="98"/>
  <c r="DE163" i="98"/>
  <c r="DE158" i="98"/>
  <c r="DE99" i="98"/>
  <c r="DE44" i="98"/>
  <c r="DE90" i="98"/>
  <c r="DE47" i="98"/>
  <c r="DE120" i="98"/>
  <c r="DE32" i="98"/>
  <c r="DE70" i="98"/>
  <c r="DE153" i="98"/>
  <c r="DE30" i="98"/>
  <c r="DE26" i="98"/>
  <c r="DE121" i="98"/>
  <c r="DE91" i="98"/>
  <c r="DE59" i="98"/>
  <c r="DE23" i="98"/>
  <c r="DE101" i="98"/>
  <c r="DE97" i="98"/>
  <c r="DE28" i="98"/>
  <c r="DE137" i="98"/>
  <c r="DE61" i="98"/>
  <c r="DE112" i="98"/>
  <c r="DE129" i="98"/>
  <c r="DE39" i="98"/>
  <c r="DE162" i="98"/>
  <c r="DE136" i="98"/>
  <c r="DE128" i="98"/>
  <c r="DE42" i="98"/>
  <c r="DE160" i="98"/>
  <c r="DE58" i="98"/>
  <c r="DE124" i="98"/>
  <c r="DE6" i="98"/>
  <c r="DE20" i="98"/>
  <c r="DE27" i="98"/>
  <c r="DE87" i="98"/>
  <c r="DE71" i="98"/>
  <c r="DE111" i="98"/>
  <c r="DE104" i="98"/>
  <c r="DE53" i="98"/>
  <c r="DE54" i="98"/>
  <c r="DE125" i="98"/>
  <c r="DE67" i="98"/>
  <c r="DE80" i="98"/>
  <c r="DE135" i="98"/>
  <c r="DE96" i="98"/>
  <c r="DE60" i="98"/>
  <c r="DE43" i="98"/>
  <c r="DE119" i="98"/>
  <c r="DE50" i="98"/>
  <c r="DE17" i="98"/>
  <c r="DE98" i="98"/>
  <c r="DE113" i="98"/>
  <c r="DE164" i="98"/>
  <c r="DE107" i="98"/>
  <c r="DE34" i="98"/>
  <c r="DE150" i="98"/>
  <c r="DE38" i="98"/>
  <c r="DE75" i="98"/>
  <c r="DE94" i="98"/>
  <c r="DE52" i="98"/>
  <c r="DE37" i="98"/>
  <c r="BS135" i="98"/>
  <c r="BS96" i="98"/>
  <c r="BS66" i="98"/>
  <c r="BS119" i="98"/>
  <c r="BS139" i="98"/>
  <c r="BS72" i="98"/>
  <c r="BS62" i="98"/>
  <c r="BS75" i="98"/>
  <c r="BS51" i="98"/>
  <c r="BS6" i="98"/>
  <c r="BS161" i="98"/>
  <c r="BS93" i="98"/>
  <c r="BS26" i="98"/>
  <c r="BS83" i="98"/>
  <c r="BS125" i="98"/>
  <c r="BS136" i="98"/>
  <c r="BS145" i="98"/>
  <c r="BS20" i="98"/>
  <c r="BS134" i="98"/>
  <c r="BS18" i="98"/>
  <c r="BS116" i="98"/>
  <c r="BS115" i="98"/>
  <c r="BS106" i="98"/>
  <c r="BS34" i="98"/>
  <c r="BS144" i="98"/>
  <c r="BS131" i="98"/>
  <c r="BS31" i="98"/>
  <c r="BS73" i="98"/>
  <c r="BS94" i="98"/>
  <c r="BS30" i="98"/>
  <c r="BS86" i="98"/>
  <c r="BS52" i="98"/>
  <c r="BS104" i="98"/>
  <c r="BS59" i="98"/>
  <c r="BS88" i="98"/>
  <c r="BS120" i="98"/>
  <c r="BS24" i="98"/>
  <c r="BS41" i="98"/>
  <c r="BS44" i="98"/>
  <c r="BS19" i="98"/>
  <c r="BS7" i="98"/>
  <c r="BS67" i="98"/>
  <c r="BS128" i="98"/>
  <c r="BS111" i="98"/>
  <c r="BS126" i="98"/>
  <c r="BS150" i="98"/>
  <c r="BS84" i="98"/>
  <c r="BS23" i="98"/>
  <c r="BS21" i="98"/>
  <c r="BS130" i="98"/>
  <c r="BS14" i="98"/>
  <c r="BS55" i="98"/>
  <c r="BS9" i="98"/>
  <c r="BS154" i="98"/>
  <c r="BS162" i="98"/>
  <c r="BS151" i="98"/>
  <c r="BS60" i="98"/>
  <c r="BS29" i="98"/>
  <c r="BS108" i="98"/>
  <c r="BS28" i="98"/>
  <c r="BS92" i="98"/>
  <c r="BS163" i="98"/>
  <c r="BS17" i="98"/>
  <c r="BS107" i="98"/>
  <c r="BS105" i="98"/>
  <c r="BS160" i="98"/>
  <c r="BS123" i="98"/>
  <c r="BS95" i="98"/>
  <c r="BS64" i="98"/>
  <c r="BS79" i="98"/>
  <c r="BS149" i="98"/>
  <c r="BS103" i="98"/>
  <c r="BS118" i="98"/>
  <c r="BS37" i="98"/>
  <c r="BS153" i="98"/>
  <c r="BS76" i="98"/>
  <c r="BS25" i="98"/>
  <c r="BS159" i="98"/>
  <c r="BS40" i="98"/>
  <c r="BS109" i="98"/>
  <c r="BS78" i="98"/>
  <c r="BS50" i="98"/>
  <c r="BS5" i="98"/>
  <c r="BS137" i="98"/>
  <c r="BS70" i="98"/>
  <c r="BS13" i="98"/>
  <c r="BS98" i="98"/>
  <c r="BS54" i="98"/>
  <c r="BS74" i="98"/>
  <c r="BS122" i="98"/>
  <c r="BS142" i="98"/>
  <c r="BS101" i="98"/>
  <c r="BS152" i="98"/>
  <c r="BS82" i="98"/>
  <c r="BS85" i="98"/>
  <c r="BS56" i="98"/>
  <c r="BS58" i="98"/>
  <c r="BS77" i="98"/>
  <c r="BS87" i="98"/>
  <c r="BS36" i="98"/>
  <c r="BS99" i="98"/>
  <c r="BS132" i="98"/>
  <c r="BS45" i="98"/>
  <c r="BS57" i="98"/>
  <c r="BS65" i="98"/>
  <c r="BS16" i="98"/>
  <c r="BS43" i="98"/>
  <c r="BS69" i="98"/>
  <c r="BS42" i="98"/>
  <c r="BS63" i="98"/>
  <c r="BS133" i="98"/>
  <c r="BS164" i="98"/>
  <c r="BS148" i="98"/>
  <c r="BS22" i="98"/>
  <c r="BS80" i="98"/>
  <c r="BS39" i="98"/>
  <c r="BS121" i="98"/>
  <c r="BS147" i="98"/>
  <c r="BS102" i="98"/>
  <c r="BS100" i="98"/>
  <c r="BS12" i="98"/>
  <c r="BS156" i="98"/>
  <c r="BS32" i="98"/>
  <c r="BS68" i="98"/>
  <c r="BS127" i="98"/>
  <c r="BS11" i="98"/>
  <c r="BS27" i="98"/>
  <c r="BS141" i="98"/>
  <c r="BS81" i="98"/>
  <c r="BS146" i="98"/>
  <c r="BS129" i="98"/>
  <c r="BS10" i="98"/>
  <c r="BS35" i="98"/>
  <c r="BS140" i="98"/>
  <c r="BS110" i="98"/>
  <c r="BS158" i="98"/>
  <c r="BS143" i="98"/>
  <c r="BS8" i="98"/>
  <c r="BS113" i="98"/>
  <c r="BS38" i="98"/>
  <c r="BS15" i="98"/>
  <c r="BS47" i="98"/>
  <c r="BS91" i="98"/>
  <c r="BS48" i="98"/>
  <c r="BS124" i="98"/>
  <c r="BS46" i="98"/>
  <c r="BS71" i="98"/>
  <c r="BS157" i="98"/>
  <c r="BS53" i="98"/>
  <c r="BS114" i="98"/>
  <c r="BS97" i="98"/>
  <c r="BS89" i="98"/>
  <c r="BS33" i="98"/>
  <c r="BS155" i="98"/>
  <c r="BS61" i="98"/>
  <c r="BS138" i="98"/>
  <c r="BS117" i="98"/>
  <c r="BS49" i="98"/>
  <c r="BS112" i="98"/>
  <c r="BS90" i="98"/>
  <c r="BX142" i="98"/>
  <c r="BX38" i="98"/>
  <c r="BX94" i="98"/>
  <c r="BX118" i="98"/>
  <c r="BX110" i="98"/>
  <c r="BX49" i="98"/>
  <c r="BX139" i="98"/>
  <c r="BX32" i="98"/>
  <c r="BX22" i="98"/>
  <c r="BX117" i="98"/>
  <c r="BX164" i="98"/>
  <c r="BX146" i="98"/>
  <c r="BX85" i="98"/>
  <c r="BX43" i="98"/>
  <c r="BX63" i="98"/>
  <c r="BX124" i="98"/>
  <c r="BX107" i="98"/>
  <c r="BX11" i="98"/>
  <c r="BX77" i="98"/>
  <c r="BX163" i="98"/>
  <c r="BX156" i="98"/>
  <c r="BX75" i="98"/>
  <c r="BX119" i="98"/>
  <c r="BX132" i="98"/>
  <c r="BX98" i="98"/>
  <c r="BX19" i="98"/>
  <c r="BX148" i="98"/>
  <c r="BX86" i="98"/>
  <c r="BX13" i="98"/>
  <c r="BX80" i="98"/>
  <c r="BX145" i="98"/>
  <c r="BX137" i="98"/>
  <c r="BX59" i="98"/>
  <c r="BX134" i="98"/>
  <c r="BX40" i="98"/>
  <c r="BX120" i="98"/>
  <c r="BX57" i="98"/>
  <c r="BX28" i="98"/>
  <c r="BX114" i="98"/>
  <c r="BX159" i="98"/>
  <c r="BX122" i="98"/>
  <c r="BX30" i="98"/>
  <c r="BX52" i="98"/>
  <c r="BX27" i="98"/>
  <c r="BX135" i="98"/>
  <c r="BX46" i="98"/>
  <c r="BX95" i="98"/>
  <c r="BX47" i="98"/>
  <c r="BX29" i="98"/>
  <c r="BX91" i="98"/>
  <c r="BX50" i="98"/>
  <c r="BX12" i="98"/>
  <c r="BX10" i="98"/>
  <c r="BX16" i="98"/>
  <c r="BX72" i="98"/>
  <c r="BX24" i="98"/>
  <c r="BX44" i="98"/>
  <c r="BX70" i="98"/>
  <c r="BX138" i="98"/>
  <c r="BX88" i="98"/>
  <c r="BX89" i="98"/>
  <c r="CF89" i="98" s="1"/>
  <c r="BX147" i="98"/>
  <c r="BX96" i="98"/>
  <c r="BX109" i="98"/>
  <c r="BX158" i="98"/>
  <c r="BX8" i="98"/>
  <c r="BX115" i="98"/>
  <c r="BX64" i="98"/>
  <c r="BX48" i="98"/>
  <c r="BX101" i="98"/>
  <c r="BX53" i="98"/>
  <c r="BX20" i="98"/>
  <c r="BX161" i="98"/>
  <c r="BX33" i="98"/>
  <c r="BX73" i="98"/>
  <c r="BX39" i="98"/>
  <c r="BX31" i="98"/>
  <c r="BX79" i="98"/>
  <c r="BX56" i="98"/>
  <c r="BX65" i="98"/>
  <c r="BX83" i="98"/>
  <c r="BX113" i="98"/>
  <c r="BX17" i="98"/>
  <c r="BX36" i="98"/>
  <c r="BX162" i="98"/>
  <c r="BX69" i="98"/>
  <c r="BX144" i="98"/>
  <c r="BX103" i="98"/>
  <c r="CF103" i="98" s="1"/>
  <c r="BX126" i="98"/>
  <c r="BX128" i="98"/>
  <c r="BX78" i="98"/>
  <c r="BX35" i="98"/>
  <c r="BX5" i="98"/>
  <c r="BX62" i="98"/>
  <c r="BX55" i="98"/>
  <c r="BX129" i="98"/>
  <c r="BX87" i="98"/>
  <c r="BX82" i="98"/>
  <c r="BX97" i="98"/>
  <c r="BX84" i="98"/>
  <c r="BX151" i="98"/>
  <c r="BX71" i="98"/>
  <c r="BX90" i="98"/>
  <c r="BX157" i="98"/>
  <c r="BX92" i="98"/>
  <c r="BX111" i="98"/>
  <c r="BX108" i="98"/>
  <c r="BX112" i="98"/>
  <c r="BX136" i="98"/>
  <c r="BX100" i="98"/>
  <c r="BX51" i="98"/>
  <c r="BX106" i="98"/>
  <c r="BX81" i="98"/>
  <c r="BX93" i="98"/>
  <c r="BX152" i="98"/>
  <c r="BX141" i="98"/>
  <c r="BX61" i="98"/>
  <c r="BX37" i="98"/>
  <c r="BX60" i="98"/>
  <c r="BX104" i="98"/>
  <c r="BX99" i="98"/>
  <c r="BX160" i="98"/>
  <c r="BX25" i="98"/>
  <c r="BX131" i="98"/>
  <c r="BX74" i="98"/>
  <c r="BX121" i="98"/>
  <c r="BX143" i="98"/>
  <c r="CF143" i="98" s="1"/>
  <c r="BX127" i="98"/>
  <c r="BX54" i="98"/>
  <c r="BX42" i="98"/>
  <c r="BX67" i="98"/>
  <c r="CK67" i="98" s="1"/>
  <c r="BX14" i="98"/>
  <c r="BX9" i="98"/>
  <c r="BX102" i="98"/>
  <c r="BX26" i="98"/>
  <c r="BX66" i="98"/>
  <c r="BX116" i="98"/>
  <c r="BX130" i="98"/>
  <c r="BX140" i="98"/>
  <c r="BX125" i="98"/>
  <c r="BX23" i="98"/>
  <c r="BX15" i="98"/>
  <c r="BX105" i="98"/>
  <c r="BX58" i="98"/>
  <c r="BX18" i="98"/>
  <c r="BX154" i="98"/>
  <c r="BX155" i="98"/>
  <c r="BX68" i="98"/>
  <c r="BX7" i="98"/>
  <c r="BX21" i="98"/>
  <c r="CF21" i="98" s="1"/>
  <c r="BX41" i="98"/>
  <c r="BX45" i="98"/>
  <c r="BX133" i="98"/>
  <c r="BX150" i="98"/>
  <c r="BX76" i="98"/>
  <c r="BX149" i="98"/>
  <c r="BX34" i="98"/>
  <c r="BX153" i="98"/>
  <c r="BX6" i="98"/>
  <c r="BX123" i="98"/>
  <c r="CH55" i="98"/>
  <c r="CE89" i="98"/>
  <c r="CJ89" i="98"/>
  <c r="CO89" i="98"/>
  <c r="CO120" i="98"/>
  <c r="CE60" i="98"/>
  <c r="CO60" i="98"/>
  <c r="CJ60" i="98"/>
  <c r="CO119" i="98"/>
  <c r="CE119" i="98"/>
  <c r="CJ119" i="98"/>
  <c r="CO6" i="98"/>
  <c r="CE6" i="98"/>
  <c r="CJ6" i="98"/>
  <c r="CE33" i="98"/>
  <c r="CJ33" i="98"/>
  <c r="CO33" i="98"/>
  <c r="CO48" i="98"/>
  <c r="CE48" i="98"/>
  <c r="CJ48" i="98"/>
  <c r="CE24" i="98"/>
  <c r="CO24" i="98"/>
  <c r="CJ24" i="98"/>
  <c r="CO125" i="98"/>
  <c r="CJ125" i="98"/>
  <c r="CE125" i="98"/>
  <c r="CJ63" i="98"/>
  <c r="CJ143" i="98"/>
  <c r="CO143" i="98"/>
  <c r="CE143" i="98"/>
  <c r="CO96" i="98"/>
  <c r="CJ96" i="98"/>
  <c r="CE96" i="98"/>
  <c r="CJ106" i="98"/>
  <c r="CE106" i="98"/>
  <c r="CO106" i="98"/>
  <c r="CO35" i="98"/>
  <c r="CJ35" i="98"/>
  <c r="CE35" i="98"/>
  <c r="CL12" i="98"/>
  <c r="CQ12" i="98"/>
  <c r="CG12" i="98"/>
  <c r="CL146" i="98"/>
  <c r="CQ146" i="98"/>
  <c r="CG146" i="98"/>
  <c r="CQ69" i="98"/>
  <c r="CL69" i="98"/>
  <c r="CG69" i="98"/>
  <c r="CL28" i="98"/>
  <c r="CG28" i="98"/>
  <c r="CQ28" i="98"/>
  <c r="CG151" i="98"/>
  <c r="CQ151" i="98"/>
  <c r="CL151" i="98"/>
  <c r="CQ54" i="98"/>
  <c r="CG54" i="98"/>
  <c r="CL54" i="98"/>
  <c r="CG26" i="98"/>
  <c r="CQ26" i="98"/>
  <c r="CL26" i="98"/>
  <c r="CQ156" i="98"/>
  <c r="CL156" i="98"/>
  <c r="CG156" i="98"/>
  <c r="CG142" i="98"/>
  <c r="CQ142" i="98"/>
  <c r="CL142" i="98"/>
  <c r="CQ55" i="98"/>
  <c r="CG55" i="98"/>
  <c r="CL55" i="98"/>
  <c r="CL43" i="98"/>
  <c r="CG43" i="98"/>
  <c r="CQ43" i="98"/>
  <c r="CQ8" i="98"/>
  <c r="CG8" i="98"/>
  <c r="CL8" i="98"/>
  <c r="CG153" i="98"/>
  <c r="CQ153" i="98"/>
  <c r="CL153" i="98"/>
  <c r="CG39" i="98"/>
  <c r="CQ39" i="98"/>
  <c r="CL39" i="98"/>
  <c r="CL70" i="98"/>
  <c r="CQ70" i="98"/>
  <c r="CG70" i="98"/>
  <c r="CR156" i="98"/>
  <c r="CH156" i="98"/>
  <c r="CM156" i="98"/>
  <c r="CH139" i="98"/>
  <c r="CR139" i="98"/>
  <c r="CM139" i="98"/>
  <c r="CP103" i="98"/>
  <c r="CK103" i="98"/>
  <c r="CK43" i="98"/>
  <c r="CF43" i="98"/>
  <c r="CP43" i="98"/>
  <c r="CR73" i="98"/>
  <c r="CH73" i="98"/>
  <c r="CM73" i="98"/>
  <c r="CH61" i="98"/>
  <c r="CR61" i="98"/>
  <c r="CM61" i="98"/>
  <c r="CR25" i="98"/>
  <c r="CM25" i="98"/>
  <c r="CH25" i="98"/>
  <c r="CK19" i="98"/>
  <c r="CF19" i="98"/>
  <c r="CP19" i="98"/>
  <c r="CR28" i="98"/>
  <c r="CH28" i="98"/>
  <c r="CM28" i="98"/>
  <c r="CR133" i="98"/>
  <c r="CH133" i="98"/>
  <c r="CM133" i="98"/>
  <c r="CK81" i="98"/>
  <c r="CF81" i="98"/>
  <c r="CP81" i="98"/>
  <c r="CR15" i="98"/>
  <c r="CM15" i="98"/>
  <c r="CH15" i="98"/>
  <c r="CH155" i="98"/>
  <c r="CR155" i="98"/>
  <c r="CM155" i="98"/>
  <c r="CK145" i="98"/>
  <c r="CF145" i="98"/>
  <c r="CP145" i="98"/>
  <c r="CK38" i="98"/>
  <c r="CF38" i="98"/>
  <c r="CP38" i="98"/>
  <c r="CP153" i="98"/>
  <c r="CF153" i="98"/>
  <c r="CK153" i="98"/>
  <c r="CK146" i="98"/>
  <c r="CP146" i="98"/>
  <c r="CF146" i="98"/>
  <c r="CK89" i="98"/>
  <c r="CK161" i="98"/>
  <c r="CF161" i="98"/>
  <c r="CP161" i="98"/>
  <c r="CF148" i="98"/>
  <c r="CK148" i="98"/>
  <c r="CP148" i="98"/>
  <c r="CH76" i="98"/>
  <c r="CR76" i="98"/>
  <c r="CM76" i="98"/>
  <c r="CM60" i="98"/>
  <c r="CR60" i="98"/>
  <c r="CH60" i="98"/>
  <c r="CR132" i="98"/>
  <c r="CM132" i="98"/>
  <c r="CH132" i="98"/>
  <c r="CH31" i="98"/>
  <c r="CR31" i="98"/>
  <c r="CM31" i="98"/>
  <c r="CP67" i="98"/>
  <c r="CP26" i="98"/>
  <c r="CF26" i="98"/>
  <c r="CK26" i="98"/>
  <c r="CH145" i="98"/>
  <c r="CR145" i="98"/>
  <c r="CM145" i="98"/>
  <c r="CP42" i="98"/>
  <c r="CK42" i="98"/>
  <c r="CF42" i="98"/>
  <c r="CF50" i="98"/>
  <c r="CP50" i="98"/>
  <c r="CK50" i="98"/>
  <c r="CR105" i="98"/>
  <c r="CM105" i="98"/>
  <c r="CH105" i="98"/>
  <c r="CR153" i="98"/>
  <c r="CH153" i="98"/>
  <c r="CM153" i="98"/>
  <c r="CO154" i="98"/>
  <c r="CE154" i="98"/>
  <c r="CJ154" i="98"/>
  <c r="CO155" i="98"/>
  <c r="CJ155" i="98"/>
  <c r="CE155" i="98"/>
  <c r="CO12" i="98"/>
  <c r="CJ12" i="98"/>
  <c r="CE12" i="98"/>
  <c r="CE67" i="98"/>
  <c r="CO67" i="98"/>
  <c r="CJ67" i="98"/>
  <c r="CO156" i="98"/>
  <c r="CE156" i="98"/>
  <c r="CJ156" i="98"/>
  <c r="CE25" i="98"/>
  <c r="CJ25" i="98"/>
  <c r="CO25" i="98"/>
  <c r="CJ132" i="98"/>
  <c r="CO132" i="98"/>
  <c r="CE132" i="98"/>
  <c r="CO92" i="98"/>
  <c r="CJ92" i="98"/>
  <c r="CE92" i="98"/>
  <c r="CJ57" i="98"/>
  <c r="CO57" i="98"/>
  <c r="CE57" i="98"/>
  <c r="CJ38" i="98"/>
  <c r="CE38" i="98"/>
  <c r="CO38" i="98"/>
  <c r="CJ90" i="98"/>
  <c r="CE90" i="98"/>
  <c r="CO90" i="98"/>
  <c r="CE126" i="98"/>
  <c r="CJ126" i="98"/>
  <c r="CO126" i="98"/>
  <c r="CE114" i="98"/>
  <c r="CO114" i="98"/>
  <c r="CJ114" i="98"/>
  <c r="CG144" i="98"/>
  <c r="CL144" i="98"/>
  <c r="CQ144" i="98"/>
  <c r="CL157" i="98"/>
  <c r="CG157" i="98"/>
  <c r="CQ157" i="98"/>
  <c r="CG123" i="98"/>
  <c r="CQ123" i="98"/>
  <c r="CL123" i="98"/>
  <c r="CG13" i="98"/>
  <c r="CQ13" i="98"/>
  <c r="CL13" i="98"/>
  <c r="CQ114" i="98"/>
  <c r="CG114" i="98"/>
  <c r="CL114" i="98"/>
  <c r="CL138" i="98"/>
  <c r="CQ138" i="98"/>
  <c r="CG138" i="98"/>
  <c r="CL95" i="98"/>
  <c r="CG95" i="98"/>
  <c r="CQ95" i="98"/>
  <c r="CQ27" i="98"/>
  <c r="CL27" i="98"/>
  <c r="CG27" i="98"/>
  <c r="CL136" i="98"/>
  <c r="CQ136" i="98"/>
  <c r="CG136" i="98"/>
  <c r="CG76" i="98"/>
  <c r="CQ76" i="98"/>
  <c r="CL76" i="98"/>
  <c r="CL129" i="98"/>
  <c r="CQ129" i="98"/>
  <c r="CG129" i="98"/>
  <c r="CG11" i="98"/>
  <c r="CL11" i="98"/>
  <c r="CQ11" i="98"/>
  <c r="CQ90" i="98"/>
  <c r="CL90" i="98"/>
  <c r="CG90" i="98"/>
  <c r="CG6" i="98"/>
  <c r="CQ6" i="98"/>
  <c r="CL6" i="98"/>
  <c r="CG65" i="98"/>
  <c r="CL65" i="98"/>
  <c r="CQ65" i="98"/>
  <c r="CP108" i="98"/>
  <c r="CK108" i="98"/>
  <c r="CF108" i="98"/>
  <c r="CF25" i="98"/>
  <c r="CK25" i="98"/>
  <c r="CP25" i="98"/>
  <c r="CF61" i="98"/>
  <c r="CK61" i="98"/>
  <c r="CP61" i="98"/>
  <c r="CF11" i="98"/>
  <c r="CP11" i="98"/>
  <c r="CK11" i="98"/>
  <c r="CP155" i="98"/>
  <c r="CF155" i="98"/>
  <c r="CK155" i="98"/>
  <c r="CP104" i="98"/>
  <c r="CK104" i="98"/>
  <c r="CF104" i="98"/>
  <c r="CH146" i="98"/>
  <c r="CR146" i="98"/>
  <c r="CM146" i="98"/>
  <c r="CP118" i="98"/>
  <c r="CF118" i="98"/>
  <c r="CK118" i="98"/>
  <c r="CR33" i="98"/>
  <c r="CM33" i="98"/>
  <c r="CH33" i="98"/>
  <c r="CH164" i="98"/>
  <c r="CR164" i="98"/>
  <c r="CM164" i="98"/>
  <c r="CM147" i="98"/>
  <c r="CR147" i="98"/>
  <c r="CH147" i="98"/>
  <c r="CF20" i="98"/>
  <c r="CP20" i="98"/>
  <c r="CK20" i="98"/>
  <c r="CH69" i="98"/>
  <c r="CM69" i="98"/>
  <c r="CR69" i="98"/>
  <c r="CM160" i="98"/>
  <c r="CR160" i="98"/>
  <c r="CH160" i="98"/>
  <c r="CK128" i="98"/>
  <c r="CF128" i="98"/>
  <c r="CP128" i="98"/>
  <c r="CR91" i="98"/>
  <c r="CH91" i="98"/>
  <c r="CM91" i="98"/>
  <c r="CF32" i="98"/>
  <c r="CK32" i="98"/>
  <c r="CP32" i="98"/>
  <c r="CP41" i="98"/>
  <c r="CF160" i="98"/>
  <c r="CP160" i="98"/>
  <c r="CK160" i="98"/>
  <c r="CK152" i="98"/>
  <c r="CF152" i="98"/>
  <c r="CP152" i="98"/>
  <c r="CP88" i="98"/>
  <c r="CK88" i="98"/>
  <c r="CF88" i="98"/>
  <c r="CH5" i="98"/>
  <c r="CM5" i="98"/>
  <c r="CR5" i="98"/>
  <c r="CM83" i="98"/>
  <c r="CH83" i="98"/>
  <c r="CR83" i="98"/>
  <c r="CR113" i="98"/>
  <c r="CH113" i="98"/>
  <c r="CM113" i="98"/>
  <c r="CR148" i="98"/>
  <c r="CH148" i="98"/>
  <c r="CM148" i="98"/>
  <c r="CM9" i="98"/>
  <c r="CR9" i="98"/>
  <c r="CH9" i="98"/>
  <c r="CR152" i="98"/>
  <c r="CM152" i="98"/>
  <c r="CH152" i="98"/>
  <c r="CP83" i="98"/>
  <c r="CF83" i="98"/>
  <c r="CK83" i="98"/>
  <c r="CM136" i="98"/>
  <c r="CR136" i="98"/>
  <c r="CH136" i="98"/>
  <c r="CK110" i="98"/>
  <c r="CF110" i="98"/>
  <c r="CP110" i="98"/>
  <c r="CH150" i="98"/>
  <c r="CM150" i="98"/>
  <c r="CR150" i="98"/>
  <c r="CM26" i="98"/>
  <c r="CR26" i="98"/>
  <c r="CH26" i="98"/>
  <c r="CE52" i="98"/>
  <c r="CJ52" i="98"/>
  <c r="CO52" i="98"/>
  <c r="CJ16" i="98"/>
  <c r="CE16" i="98"/>
  <c r="CO16" i="98"/>
  <c r="CO85" i="98"/>
  <c r="CE85" i="98"/>
  <c r="CJ85" i="98"/>
  <c r="CE87" i="98"/>
  <c r="CO87" i="98"/>
  <c r="CJ87" i="98"/>
  <c r="CJ148" i="98"/>
  <c r="CO148" i="98"/>
  <c r="CE148" i="98"/>
  <c r="CJ158" i="98"/>
  <c r="CE158" i="98"/>
  <c r="CO158" i="98"/>
  <c r="CJ17" i="98"/>
  <c r="CE17" i="98"/>
  <c r="CO17" i="98"/>
  <c r="CE78" i="98"/>
  <c r="CO78" i="98"/>
  <c r="CJ78" i="98"/>
  <c r="CE34" i="98"/>
  <c r="CJ34" i="98"/>
  <c r="CO34" i="98"/>
  <c r="CE115" i="98"/>
  <c r="CO115" i="98"/>
  <c r="CJ115" i="98"/>
  <c r="CE56" i="98"/>
  <c r="CO56" i="98"/>
  <c r="CJ56" i="98"/>
  <c r="CE144" i="98"/>
  <c r="CJ144" i="98"/>
  <c r="CO144" i="98"/>
  <c r="CE50" i="98"/>
  <c r="CO50" i="98"/>
  <c r="CJ50" i="98"/>
  <c r="CO123" i="98"/>
  <c r="CJ123" i="98"/>
  <c r="CE123" i="98"/>
  <c r="CE134" i="98"/>
  <c r="CO134" i="98"/>
  <c r="CJ134" i="98"/>
  <c r="CJ51" i="98"/>
  <c r="CE51" i="98"/>
  <c r="CO51" i="98"/>
  <c r="CQ106" i="98"/>
  <c r="CL106" i="98"/>
  <c r="CG106" i="98"/>
  <c r="CG109" i="98"/>
  <c r="CQ109" i="98"/>
  <c r="CL109" i="98"/>
  <c r="CQ135" i="98"/>
  <c r="CL135" i="98"/>
  <c r="CG135" i="98"/>
  <c r="CQ63" i="98"/>
  <c r="CL63" i="98"/>
  <c r="CG63" i="98"/>
  <c r="CL48" i="98"/>
  <c r="CG48" i="98"/>
  <c r="CQ48" i="98"/>
  <c r="CQ41" i="98"/>
  <c r="CL41" i="98"/>
  <c r="CG41" i="98"/>
  <c r="CL46" i="98"/>
  <c r="CG46" i="98"/>
  <c r="CQ46" i="98"/>
  <c r="CL143" i="98"/>
  <c r="CQ143" i="98"/>
  <c r="CG143" i="98"/>
  <c r="CQ132" i="98"/>
  <c r="CL132" i="98"/>
  <c r="CG132" i="98"/>
  <c r="CG38" i="98"/>
  <c r="CL38" i="98"/>
  <c r="CQ38" i="98"/>
  <c r="CG53" i="98"/>
  <c r="CQ53" i="98"/>
  <c r="CL53" i="98"/>
  <c r="CG5" i="98"/>
  <c r="CQ5" i="98"/>
  <c r="CL5" i="98"/>
  <c r="CL149" i="98"/>
  <c r="CG149" i="98"/>
  <c r="CQ149" i="98"/>
  <c r="CQ134" i="98"/>
  <c r="CL134" i="98"/>
  <c r="CG134" i="98"/>
  <c r="CQ21" i="98"/>
  <c r="CG21" i="98"/>
  <c r="CL21" i="98"/>
  <c r="CG52" i="98"/>
  <c r="CL52" i="98"/>
  <c r="CQ52" i="98"/>
  <c r="CL47" i="98"/>
  <c r="CG47" i="98"/>
  <c r="CQ47" i="98"/>
  <c r="CK93" i="98"/>
  <c r="CF93" i="98"/>
  <c r="CP93" i="98"/>
  <c r="CF158" i="98"/>
  <c r="CK158" i="98"/>
  <c r="CP158" i="98"/>
  <c r="CK27" i="98"/>
  <c r="CF27" i="98"/>
  <c r="CP27" i="98"/>
  <c r="CK59" i="98"/>
  <c r="CP59" i="98"/>
  <c r="CF59" i="98"/>
  <c r="CH50" i="98"/>
  <c r="CM50" i="98"/>
  <c r="CR50" i="98"/>
  <c r="CF24" i="98"/>
  <c r="CP24" i="98"/>
  <c r="CK24" i="98"/>
  <c r="CP45" i="98"/>
  <c r="CF45" i="98"/>
  <c r="CK45" i="98"/>
  <c r="CR141" i="98"/>
  <c r="CM141" i="98"/>
  <c r="CH141" i="98"/>
  <c r="CP105" i="98"/>
  <c r="CK105" i="98"/>
  <c r="CF105" i="98"/>
  <c r="CH10" i="98"/>
  <c r="CM10" i="98"/>
  <c r="CR10" i="98"/>
  <c r="CF111" i="98"/>
  <c r="CK111" i="98"/>
  <c r="CP111" i="98"/>
  <c r="CP131" i="98"/>
  <c r="CF131" i="98"/>
  <c r="CK131" i="98"/>
  <c r="CM93" i="98"/>
  <c r="CH93" i="98"/>
  <c r="CR93" i="98"/>
  <c r="CP142" i="98"/>
  <c r="CF142" i="98"/>
  <c r="CK142" i="98"/>
  <c r="CF10" i="98"/>
  <c r="CK10" i="98"/>
  <c r="CP10" i="98"/>
  <c r="CP126" i="98"/>
  <c r="CK126" i="98"/>
  <c r="CF126" i="98"/>
  <c r="CP31" i="98"/>
  <c r="CK31" i="98"/>
  <c r="CF31" i="98"/>
  <c r="CP151" i="98"/>
  <c r="CF151" i="98"/>
  <c r="CK151" i="98"/>
  <c r="CK117" i="98"/>
  <c r="CP117" i="98"/>
  <c r="CF117" i="98"/>
  <c r="CH92" i="98"/>
  <c r="CM92" i="98"/>
  <c r="CR92" i="98"/>
  <c r="CR104" i="98"/>
  <c r="CH104" i="98"/>
  <c r="CM104" i="98"/>
  <c r="CR68" i="98"/>
  <c r="CM68" i="98"/>
  <c r="CH68" i="98"/>
  <c r="CH78" i="98"/>
  <c r="CM78" i="98"/>
  <c r="CR78" i="98"/>
  <c r="CH143" i="98"/>
  <c r="CM143" i="98"/>
  <c r="CR143" i="98"/>
  <c r="CK120" i="98"/>
  <c r="CF120" i="98"/>
  <c r="CP120" i="98"/>
  <c r="CH123" i="98"/>
  <c r="CR123" i="98"/>
  <c r="CM123" i="98"/>
  <c r="CP46" i="98"/>
  <c r="CF46" i="98"/>
  <c r="CK46" i="98"/>
  <c r="CR57" i="98"/>
  <c r="CM57" i="98"/>
  <c r="CH57" i="98"/>
  <c r="CR59" i="98"/>
  <c r="CH59" i="98"/>
  <c r="CM59" i="98"/>
  <c r="CR81" i="98"/>
  <c r="CM81" i="98"/>
  <c r="CH81" i="98"/>
  <c r="CO81" i="98"/>
  <c r="CE81" i="98"/>
  <c r="CJ81" i="98"/>
  <c r="CO131" i="98"/>
  <c r="CE131" i="98"/>
  <c r="CJ131" i="98"/>
  <c r="CE147" i="98"/>
  <c r="CJ147" i="98"/>
  <c r="CO147" i="98"/>
  <c r="CE127" i="98"/>
  <c r="CJ127" i="98"/>
  <c r="CO127" i="98"/>
  <c r="CE137" i="98"/>
  <c r="CJ137" i="98"/>
  <c r="CO137" i="98"/>
  <c r="CJ58" i="98"/>
  <c r="CO58" i="98"/>
  <c r="CE58" i="98"/>
  <c r="CO76" i="98"/>
  <c r="CJ76" i="98"/>
  <c r="CE76" i="98"/>
  <c r="CJ71" i="98"/>
  <c r="CE71" i="98"/>
  <c r="CO71" i="98"/>
  <c r="CJ7" i="98"/>
  <c r="CE7" i="98"/>
  <c r="CO7" i="98"/>
  <c r="CO14" i="98"/>
  <c r="CE14" i="98"/>
  <c r="CJ14" i="98"/>
  <c r="CO83" i="98"/>
  <c r="CE83" i="98"/>
  <c r="CJ83" i="98"/>
  <c r="CE41" i="98"/>
  <c r="CO41" i="98"/>
  <c r="CJ41" i="98"/>
  <c r="CJ66" i="98"/>
  <c r="CO66" i="98"/>
  <c r="CE66" i="98"/>
  <c r="CJ159" i="98"/>
  <c r="CE159" i="98"/>
  <c r="CO159" i="98"/>
  <c r="CO19" i="98"/>
  <c r="CJ19" i="98"/>
  <c r="CE19" i="98"/>
  <c r="CE70" i="98"/>
  <c r="CJ70" i="98"/>
  <c r="CO70" i="98"/>
  <c r="CO95" i="98"/>
  <c r="CJ95" i="98"/>
  <c r="CE95" i="98"/>
  <c r="CO160" i="98"/>
  <c r="CE160" i="98"/>
  <c r="CJ160" i="98"/>
  <c r="CJ74" i="98"/>
  <c r="CE74" i="98"/>
  <c r="CO74" i="98"/>
  <c r="CJ128" i="98"/>
  <c r="CO128" i="98"/>
  <c r="CE128" i="98"/>
  <c r="CG14" i="98"/>
  <c r="CL14" i="98"/>
  <c r="CQ14" i="98"/>
  <c r="CG64" i="98"/>
  <c r="CQ64" i="98"/>
  <c r="CL64" i="98"/>
  <c r="CG100" i="98"/>
  <c r="CQ100" i="98"/>
  <c r="CL100" i="98"/>
  <c r="CG124" i="98"/>
  <c r="CL124" i="98"/>
  <c r="CQ124" i="98"/>
  <c r="CQ73" i="98"/>
  <c r="CG73" i="98"/>
  <c r="CL73" i="98"/>
  <c r="CG158" i="98"/>
  <c r="CL158" i="98"/>
  <c r="CQ158" i="98"/>
  <c r="CL96" i="98"/>
  <c r="CQ96" i="98"/>
  <c r="CG96" i="98"/>
  <c r="CL128" i="98"/>
  <c r="CQ128" i="98"/>
  <c r="CG128" i="98"/>
  <c r="CQ80" i="98"/>
  <c r="CG80" i="98"/>
  <c r="CL80" i="98"/>
  <c r="CL155" i="98"/>
  <c r="CQ155" i="98"/>
  <c r="CG155" i="98"/>
  <c r="CL99" i="98"/>
  <c r="CG99" i="98"/>
  <c r="CQ99" i="98"/>
  <c r="CL66" i="98"/>
  <c r="CQ66" i="98"/>
  <c r="CG66" i="98"/>
  <c r="CQ85" i="98"/>
  <c r="CG85" i="98"/>
  <c r="CL85" i="98"/>
  <c r="CL160" i="98"/>
  <c r="CQ160" i="98"/>
  <c r="CG160" i="98"/>
  <c r="CP149" i="98"/>
  <c r="CF149" i="98"/>
  <c r="CK149" i="98"/>
  <c r="CK132" i="98"/>
  <c r="CP132" i="98"/>
  <c r="CF132" i="98"/>
  <c r="CK71" i="98"/>
  <c r="CP71" i="98"/>
  <c r="CF71" i="98"/>
  <c r="CP139" i="98"/>
  <c r="CF139" i="98"/>
  <c r="CK139" i="98"/>
  <c r="CF98" i="98"/>
  <c r="CK98" i="98"/>
  <c r="CP98" i="98"/>
  <c r="CR163" i="98"/>
  <c r="CM163" i="98"/>
  <c r="CH163" i="98"/>
  <c r="CH157" i="98"/>
  <c r="CM157" i="98"/>
  <c r="CR157" i="98"/>
  <c r="CM112" i="98"/>
  <c r="CH112" i="98"/>
  <c r="CR112" i="98"/>
  <c r="CH42" i="98"/>
  <c r="CR42" i="98"/>
  <c r="CM42" i="98"/>
  <c r="CF100" i="98"/>
  <c r="CK100" i="98"/>
  <c r="CP100" i="98"/>
  <c r="CM34" i="98"/>
  <c r="CR34" i="98"/>
  <c r="CH34" i="98"/>
  <c r="CK86" i="98"/>
  <c r="CF86" i="98"/>
  <c r="CP86" i="98"/>
  <c r="CR23" i="98"/>
  <c r="CH23" i="98"/>
  <c r="CM23" i="98"/>
  <c r="CK73" i="98"/>
  <c r="CF73" i="98"/>
  <c r="CP73" i="98"/>
  <c r="CP135" i="98"/>
  <c r="CF135" i="98"/>
  <c r="CK135" i="98"/>
  <c r="CF8" i="98"/>
  <c r="CP8" i="98"/>
  <c r="CK8" i="98"/>
  <c r="CK102" i="98"/>
  <c r="CP102" i="98"/>
  <c r="CF102" i="98"/>
  <c r="CK12" i="98"/>
  <c r="CF12" i="98"/>
  <c r="CP12" i="98"/>
  <c r="CH107" i="98"/>
  <c r="CM107" i="98"/>
  <c r="CR107" i="98"/>
  <c r="CM116" i="98"/>
  <c r="CH116" i="98"/>
  <c r="CR116" i="98"/>
  <c r="CM111" i="98"/>
  <c r="CH111" i="98"/>
  <c r="CR111" i="98"/>
  <c r="CH27" i="98"/>
  <c r="CM27" i="98"/>
  <c r="CR27" i="98"/>
  <c r="CR100" i="98"/>
  <c r="CH100" i="98"/>
  <c r="CM100" i="98"/>
  <c r="CH118" i="98"/>
  <c r="CM118" i="98"/>
  <c r="CR118" i="98"/>
  <c r="CP72" i="98"/>
  <c r="CK72" i="98"/>
  <c r="CF72" i="98"/>
  <c r="CH72" i="98"/>
  <c r="CR72" i="98"/>
  <c r="CM72" i="98"/>
  <c r="CK77" i="98"/>
  <c r="CP77" i="98"/>
  <c r="CF77" i="98"/>
  <c r="CR48" i="98"/>
  <c r="CH48" i="98"/>
  <c r="CM48" i="98"/>
  <c r="CF34" i="98"/>
  <c r="CP34" i="98"/>
  <c r="CK34" i="98"/>
  <c r="CR80" i="98"/>
  <c r="CM80" i="98"/>
  <c r="CH80" i="98"/>
  <c r="CM79" i="98"/>
  <c r="CR79" i="98"/>
  <c r="CH79" i="98"/>
  <c r="CO163" i="98"/>
  <c r="CJ163" i="98"/>
  <c r="CE163" i="98"/>
  <c r="CJ73" i="98"/>
  <c r="CO73" i="98"/>
  <c r="CE73" i="98"/>
  <c r="CE9" i="98"/>
  <c r="CJ9" i="98"/>
  <c r="CO9" i="98"/>
  <c r="CJ30" i="98"/>
  <c r="CE30" i="98"/>
  <c r="CO30" i="98"/>
  <c r="CJ39" i="98"/>
  <c r="CE39" i="98"/>
  <c r="CO39" i="98"/>
  <c r="CO82" i="98"/>
  <c r="CJ82" i="98"/>
  <c r="CE82" i="98"/>
  <c r="CE141" i="98"/>
  <c r="CO141" i="98"/>
  <c r="CJ141" i="98"/>
  <c r="CE110" i="98"/>
  <c r="CJ110" i="98"/>
  <c r="CO110" i="98"/>
  <c r="CO146" i="98"/>
  <c r="CE146" i="98"/>
  <c r="CJ146" i="98"/>
  <c r="CO107" i="98"/>
  <c r="CE107" i="98"/>
  <c r="CJ107" i="98"/>
  <c r="CJ88" i="98"/>
  <c r="CO88" i="98"/>
  <c r="CE88" i="98"/>
  <c r="CE62" i="98"/>
  <c r="CO62" i="98"/>
  <c r="CJ62" i="98"/>
  <c r="CO102" i="98"/>
  <c r="CJ102" i="98"/>
  <c r="CE102" i="98"/>
  <c r="CJ124" i="98"/>
  <c r="CE124" i="98"/>
  <c r="CO124" i="98"/>
  <c r="CJ136" i="98"/>
  <c r="CE136" i="98"/>
  <c r="CO136" i="98"/>
  <c r="CE80" i="98"/>
  <c r="CJ80" i="98"/>
  <c r="CO80" i="98"/>
  <c r="CJ5" i="98"/>
  <c r="CE5" i="98"/>
  <c r="CO5" i="98"/>
  <c r="CQ56" i="98"/>
  <c r="CG56" i="98"/>
  <c r="CL56" i="98"/>
  <c r="CL92" i="98"/>
  <c r="CG92" i="98"/>
  <c r="CQ92" i="98"/>
  <c r="CG45" i="98"/>
  <c r="CQ45" i="98"/>
  <c r="CL45" i="98"/>
  <c r="CQ68" i="98"/>
  <c r="CG68" i="98"/>
  <c r="CL68" i="98"/>
  <c r="CL163" i="98"/>
  <c r="CG163" i="98"/>
  <c r="CQ163" i="98"/>
  <c r="CL130" i="98"/>
  <c r="CQ130" i="98"/>
  <c r="CG130" i="98"/>
  <c r="CG17" i="98"/>
  <c r="CL17" i="98"/>
  <c r="CQ17" i="98"/>
  <c r="CQ115" i="98"/>
  <c r="CG115" i="98"/>
  <c r="CL115" i="98"/>
  <c r="CL71" i="98"/>
  <c r="CG71" i="98"/>
  <c r="CQ71" i="98"/>
  <c r="CL82" i="98"/>
  <c r="CG82" i="98"/>
  <c r="CQ82" i="98"/>
  <c r="CG131" i="98"/>
  <c r="CQ131" i="98"/>
  <c r="CL131" i="98"/>
  <c r="CG125" i="98"/>
  <c r="CQ125" i="98"/>
  <c r="CL125" i="98"/>
  <c r="CL87" i="98"/>
  <c r="CG87" i="98"/>
  <c r="CQ87" i="98"/>
  <c r="CL103" i="98"/>
  <c r="CQ103" i="98"/>
  <c r="CG103" i="98"/>
  <c r="CG116" i="98"/>
  <c r="CQ116" i="98"/>
  <c r="CL116" i="98"/>
  <c r="CQ93" i="98"/>
  <c r="CL93" i="98"/>
  <c r="CG93" i="98"/>
  <c r="CL140" i="98"/>
  <c r="CQ140" i="98"/>
  <c r="CG140" i="98"/>
  <c r="CR38" i="98"/>
  <c r="CM38" i="98"/>
  <c r="CH38" i="98"/>
  <c r="CF29" i="98"/>
  <c r="CK29" i="98"/>
  <c r="CP29" i="98"/>
  <c r="CP70" i="98"/>
  <c r="CF70" i="98"/>
  <c r="CK70" i="98"/>
  <c r="CF87" i="98"/>
  <c r="CK87" i="98"/>
  <c r="CP87" i="98"/>
  <c r="CK57" i="98"/>
  <c r="CP57" i="98"/>
  <c r="CF57" i="98"/>
  <c r="CP74" i="98"/>
  <c r="CF74" i="98"/>
  <c r="CK74" i="98"/>
  <c r="CR65" i="98"/>
  <c r="CM65" i="98"/>
  <c r="CH65" i="98"/>
  <c r="CR96" i="98"/>
  <c r="CM96" i="98"/>
  <c r="CH96" i="98"/>
  <c r="CR89" i="98"/>
  <c r="CH89" i="98"/>
  <c r="CM89" i="98"/>
  <c r="CH95" i="98"/>
  <c r="CM95" i="98"/>
  <c r="CR95" i="98"/>
  <c r="CR75" i="98"/>
  <c r="CM75" i="98"/>
  <c r="CH75" i="98"/>
  <c r="CR47" i="98"/>
  <c r="CM47" i="98"/>
  <c r="CH47" i="98"/>
  <c r="CF140" i="98"/>
  <c r="CK140" i="98"/>
  <c r="CP140" i="98"/>
  <c r="CH128" i="98"/>
  <c r="CR128" i="98"/>
  <c r="CM128" i="98"/>
  <c r="CF9" i="98"/>
  <c r="CP9" i="98"/>
  <c r="CK9" i="98"/>
  <c r="CP39" i="98"/>
  <c r="CK39" i="98"/>
  <c r="CF39" i="98"/>
  <c r="CK94" i="98"/>
  <c r="CF94" i="98"/>
  <c r="CP94" i="98"/>
  <c r="CP101" i="98"/>
  <c r="CK101" i="98"/>
  <c r="CF101" i="98"/>
  <c r="CK134" i="98"/>
  <c r="CP134" i="98"/>
  <c r="CF134" i="98"/>
  <c r="CF18" i="98"/>
  <c r="CP18" i="98"/>
  <c r="CK18" i="98"/>
  <c r="CP96" i="98"/>
  <c r="CK96" i="98"/>
  <c r="CF96" i="98"/>
  <c r="CH70" i="98"/>
  <c r="CR70" i="98"/>
  <c r="CM70" i="98"/>
  <c r="CH103" i="98"/>
  <c r="CM103" i="98"/>
  <c r="CR103" i="98"/>
  <c r="CM30" i="98"/>
  <c r="CR30" i="98"/>
  <c r="CH30" i="98"/>
  <c r="CH154" i="98"/>
  <c r="CM154" i="98"/>
  <c r="CR154" i="98"/>
  <c r="CP92" i="98"/>
  <c r="CF92" i="98"/>
  <c r="CK92" i="98"/>
  <c r="CP53" i="98"/>
  <c r="CF53" i="98"/>
  <c r="CK53" i="98"/>
  <c r="CK82" i="98"/>
  <c r="CF82" i="98"/>
  <c r="CP82" i="98"/>
  <c r="CR134" i="98"/>
  <c r="CM134" i="98"/>
  <c r="CH134" i="98"/>
  <c r="CP37" i="98"/>
  <c r="CF37" i="98"/>
  <c r="CK37" i="98"/>
  <c r="CR37" i="98"/>
  <c r="CH37" i="98"/>
  <c r="CM37" i="98"/>
  <c r="CH122" i="98"/>
  <c r="CM122" i="98"/>
  <c r="CR122" i="98"/>
  <c r="CF122" i="98"/>
  <c r="CP122" i="98"/>
  <c r="CK122" i="98"/>
  <c r="CE93" i="98"/>
  <c r="CJ93" i="98"/>
  <c r="CO93" i="98"/>
  <c r="CJ164" i="98"/>
  <c r="CO164" i="98"/>
  <c r="CE164" i="98"/>
  <c r="CJ121" i="98"/>
  <c r="CE121" i="98"/>
  <c r="CO121" i="98"/>
  <c r="CJ10" i="98"/>
  <c r="CO10" i="98"/>
  <c r="CE10" i="98"/>
  <c r="CE75" i="98"/>
  <c r="CO75" i="98"/>
  <c r="CJ75" i="98"/>
  <c r="CO69" i="98"/>
  <c r="CJ69" i="98"/>
  <c r="CE69" i="98"/>
  <c r="CJ13" i="98"/>
  <c r="CE13" i="98"/>
  <c r="CO13" i="98"/>
  <c r="CJ138" i="98"/>
  <c r="CE138" i="98"/>
  <c r="CO138" i="98"/>
  <c r="CJ113" i="98"/>
  <c r="CO113" i="98"/>
  <c r="CE113" i="98"/>
  <c r="CE129" i="98"/>
  <c r="CJ129" i="98"/>
  <c r="CO129" i="98"/>
  <c r="CO46" i="98"/>
  <c r="CE46" i="98"/>
  <c r="CJ46" i="98"/>
  <c r="CO77" i="98"/>
  <c r="CJ77" i="98"/>
  <c r="CE77" i="98"/>
  <c r="CO45" i="98"/>
  <c r="CE45" i="98"/>
  <c r="CJ45" i="98"/>
  <c r="CJ37" i="98"/>
  <c r="CE37" i="98"/>
  <c r="CO37" i="98"/>
  <c r="CE54" i="98"/>
  <c r="CO54" i="98"/>
  <c r="CJ54" i="98"/>
  <c r="CO26" i="98"/>
  <c r="CE26" i="98"/>
  <c r="CJ26" i="98"/>
  <c r="CE133" i="98"/>
  <c r="CO133" i="98"/>
  <c r="CJ133" i="98"/>
  <c r="CL120" i="98"/>
  <c r="CQ120" i="98"/>
  <c r="CG120" i="98"/>
  <c r="CQ97" i="98"/>
  <c r="CG97" i="98"/>
  <c r="CL97" i="98"/>
  <c r="CL67" i="98"/>
  <c r="CQ67" i="98"/>
  <c r="CG67" i="98"/>
  <c r="CQ154" i="98"/>
  <c r="CL154" i="98"/>
  <c r="CG154" i="98"/>
  <c r="CQ77" i="98"/>
  <c r="CG77" i="98"/>
  <c r="CL77" i="98"/>
  <c r="CG159" i="98"/>
  <c r="CL159" i="98"/>
  <c r="CQ159" i="98"/>
  <c r="CL19" i="98"/>
  <c r="CQ19" i="98"/>
  <c r="CG19" i="98"/>
  <c r="CQ60" i="98"/>
  <c r="CL60" i="98"/>
  <c r="CG60" i="98"/>
  <c r="CL49" i="98"/>
  <c r="CQ49" i="98"/>
  <c r="CG49" i="98"/>
  <c r="CG16" i="98"/>
  <c r="CL16" i="98"/>
  <c r="CQ16" i="98"/>
  <c r="CL137" i="98"/>
  <c r="CQ137" i="98"/>
  <c r="CG137" i="98"/>
  <c r="CQ30" i="98"/>
  <c r="CL30" i="98"/>
  <c r="CG30" i="98"/>
  <c r="CG102" i="98"/>
  <c r="CQ102" i="98"/>
  <c r="CL102" i="98"/>
  <c r="CQ161" i="98"/>
  <c r="CG161" i="98"/>
  <c r="CL161" i="98"/>
  <c r="CQ78" i="98"/>
  <c r="CG78" i="98"/>
  <c r="CL78" i="98"/>
  <c r="CQ36" i="98"/>
  <c r="CG36" i="98"/>
  <c r="CL36" i="98"/>
  <c r="CG117" i="98"/>
  <c r="CQ117" i="98"/>
  <c r="CL117" i="98"/>
  <c r="CL111" i="98"/>
  <c r="CQ111" i="98"/>
  <c r="CG111" i="98"/>
  <c r="CF78" i="98"/>
  <c r="CP78" i="98"/>
  <c r="CK78" i="98"/>
  <c r="CH53" i="98"/>
  <c r="CR53" i="98"/>
  <c r="CM53" i="98"/>
  <c r="CF33" i="98"/>
  <c r="CK33" i="98"/>
  <c r="CP33" i="98"/>
  <c r="CP44" i="98"/>
  <c r="CF44" i="98"/>
  <c r="CK44" i="98"/>
  <c r="CF62" i="98"/>
  <c r="CP62" i="98"/>
  <c r="CK62" i="98"/>
  <c r="CF28" i="98"/>
  <c r="CK28" i="98"/>
  <c r="CP28" i="98"/>
  <c r="CP85" i="98"/>
  <c r="CK85" i="98"/>
  <c r="CF85" i="98"/>
  <c r="CM54" i="98"/>
  <c r="CR54" i="98"/>
  <c r="CH54" i="98"/>
  <c r="CM121" i="98"/>
  <c r="CH121" i="98"/>
  <c r="CR121" i="98"/>
  <c r="CH159" i="98"/>
  <c r="CM159" i="98"/>
  <c r="CR159" i="98"/>
  <c r="CP22" i="98"/>
  <c r="CK22" i="98"/>
  <c r="CF22" i="98"/>
  <c r="CR162" i="98"/>
  <c r="CM162" i="98"/>
  <c r="CH162" i="98"/>
  <c r="CK55" i="98"/>
  <c r="CF55" i="98"/>
  <c r="CP55" i="98"/>
  <c r="CM137" i="98"/>
  <c r="CH137" i="98"/>
  <c r="CR137" i="98"/>
  <c r="CM67" i="98"/>
  <c r="CH67" i="98"/>
  <c r="CR67" i="98"/>
  <c r="CP99" i="98"/>
  <c r="CF99" i="98"/>
  <c r="CK99" i="98"/>
  <c r="CH62" i="98"/>
  <c r="CM62" i="98"/>
  <c r="CR62" i="98"/>
  <c r="CH130" i="98"/>
  <c r="CM130" i="98"/>
  <c r="CR130" i="98"/>
  <c r="CP17" i="98"/>
  <c r="CK17" i="98"/>
  <c r="CF17" i="98"/>
  <c r="CP16" i="98"/>
  <c r="CF16" i="98"/>
  <c r="CK16" i="98"/>
  <c r="CP125" i="98"/>
  <c r="CF125" i="98"/>
  <c r="CK125" i="98"/>
  <c r="CF63" i="98"/>
  <c r="CK63" i="98"/>
  <c r="CP63" i="98"/>
  <c r="CF76" i="98"/>
  <c r="CK76" i="98"/>
  <c r="CP76" i="98"/>
  <c r="CF14" i="98"/>
  <c r="CK14" i="98"/>
  <c r="CP14" i="98"/>
  <c r="CH129" i="98"/>
  <c r="CM129" i="98"/>
  <c r="CR129" i="98"/>
  <c r="CH52" i="98"/>
  <c r="CM52" i="98"/>
  <c r="CR52" i="98"/>
  <c r="CM85" i="98"/>
  <c r="CR85" i="98"/>
  <c r="CH85" i="98"/>
  <c r="CH88" i="98"/>
  <c r="CR88" i="98"/>
  <c r="CM88" i="98"/>
  <c r="CH56" i="98"/>
  <c r="CR56" i="98"/>
  <c r="CM56" i="98"/>
  <c r="CP119" i="98"/>
  <c r="CK119" i="98"/>
  <c r="CF119" i="98"/>
  <c r="CF80" i="98"/>
  <c r="CK80" i="98"/>
  <c r="CP80" i="98"/>
  <c r="CH102" i="98"/>
  <c r="CM102" i="98"/>
  <c r="CR102" i="98"/>
  <c r="CK69" i="98"/>
  <c r="CF69" i="98"/>
  <c r="CP69" i="98"/>
  <c r="CM115" i="98"/>
  <c r="CR115" i="98"/>
  <c r="CH115" i="98"/>
  <c r="CP60" i="98"/>
  <c r="CK60" i="98"/>
  <c r="CF60" i="98"/>
  <c r="CJ55" i="98"/>
  <c r="CE55" i="98"/>
  <c r="CO55" i="98"/>
  <c r="CO64" i="98"/>
  <c r="CJ64" i="98"/>
  <c r="CE64" i="98"/>
  <c r="CE94" i="98"/>
  <c r="CJ94" i="98"/>
  <c r="CO94" i="98"/>
  <c r="CJ36" i="98"/>
  <c r="CO36" i="98"/>
  <c r="CE36" i="98"/>
  <c r="CE44" i="98"/>
  <c r="CO44" i="98"/>
  <c r="CJ44" i="98"/>
  <c r="CO86" i="98"/>
  <c r="CJ86" i="98"/>
  <c r="CE86" i="98"/>
  <c r="CE109" i="98"/>
  <c r="CO109" i="98"/>
  <c r="CJ109" i="98"/>
  <c r="CJ135" i="98"/>
  <c r="CE135" i="98"/>
  <c r="CO135" i="98"/>
  <c r="CO105" i="98"/>
  <c r="CE105" i="98"/>
  <c r="CJ105" i="98"/>
  <c r="CE40" i="98"/>
  <c r="CJ40" i="98"/>
  <c r="CO40" i="98"/>
  <c r="CO151" i="98"/>
  <c r="CE151" i="98"/>
  <c r="CJ151" i="98"/>
  <c r="CO61" i="98"/>
  <c r="CE61" i="98"/>
  <c r="CJ61" i="98"/>
  <c r="CO11" i="98"/>
  <c r="CE11" i="98"/>
  <c r="CJ11" i="98"/>
  <c r="CJ42" i="98"/>
  <c r="CE42" i="98"/>
  <c r="CO42" i="98"/>
  <c r="CJ22" i="98"/>
  <c r="CE22" i="98"/>
  <c r="CO22" i="98"/>
  <c r="CO104" i="98"/>
  <c r="CJ104" i="98"/>
  <c r="CE104" i="98"/>
  <c r="CJ157" i="98"/>
  <c r="CE157" i="98"/>
  <c r="CO157" i="98"/>
  <c r="CE79" i="98"/>
  <c r="CO79" i="98"/>
  <c r="CJ79" i="98"/>
  <c r="CJ139" i="98"/>
  <c r="CO139" i="98"/>
  <c r="CE139" i="98"/>
  <c r="CE150" i="98"/>
  <c r="CJ150" i="98"/>
  <c r="CO150" i="98"/>
  <c r="CL33" i="98"/>
  <c r="CG33" i="98"/>
  <c r="CQ33" i="98"/>
  <c r="CQ42" i="98"/>
  <c r="CG42" i="98"/>
  <c r="CL42" i="98"/>
  <c r="CQ32" i="98"/>
  <c r="CG32" i="98"/>
  <c r="CL32" i="98"/>
  <c r="CG40" i="98"/>
  <c r="CQ40" i="98"/>
  <c r="CL40" i="98"/>
  <c r="CL164" i="98"/>
  <c r="CQ164" i="98"/>
  <c r="CG164" i="98"/>
  <c r="CL83" i="98"/>
  <c r="CQ83" i="98"/>
  <c r="CG83" i="98"/>
  <c r="CQ118" i="98"/>
  <c r="CL118" i="98"/>
  <c r="CG118" i="98"/>
  <c r="CL35" i="98"/>
  <c r="CQ35" i="98"/>
  <c r="CG35" i="98"/>
  <c r="CL44" i="98"/>
  <c r="CQ44" i="98"/>
  <c r="CG44" i="98"/>
  <c r="CL108" i="98"/>
  <c r="CQ108" i="98"/>
  <c r="CG108" i="98"/>
  <c r="CG121" i="98"/>
  <c r="CQ121" i="98"/>
  <c r="CL121" i="98"/>
  <c r="CQ127" i="98"/>
  <c r="CL127" i="98"/>
  <c r="CG127" i="98"/>
  <c r="CL119" i="98"/>
  <c r="CQ119" i="98"/>
  <c r="CG119" i="98"/>
  <c r="CL9" i="98"/>
  <c r="CG9" i="98"/>
  <c r="CQ9" i="98"/>
  <c r="CQ51" i="98"/>
  <c r="CL51" i="98"/>
  <c r="CG51" i="98"/>
  <c r="CQ98" i="98"/>
  <c r="CL98" i="98"/>
  <c r="CG98" i="98"/>
  <c r="CG122" i="98"/>
  <c r="CQ122" i="98"/>
  <c r="CL122" i="98"/>
  <c r="CQ58" i="98"/>
  <c r="CL58" i="98"/>
  <c r="CG58" i="98"/>
  <c r="CR126" i="98"/>
  <c r="CH126" i="98"/>
  <c r="CM126" i="98"/>
  <c r="CP54" i="98"/>
  <c r="CF54" i="98"/>
  <c r="CK54" i="98"/>
  <c r="CF15" i="98"/>
  <c r="CP15" i="98"/>
  <c r="CK15" i="98"/>
  <c r="CH161" i="98"/>
  <c r="CM161" i="98"/>
  <c r="CR161" i="98"/>
  <c r="CM8" i="98"/>
  <c r="CH8" i="98"/>
  <c r="CR8" i="98"/>
  <c r="CP35" i="98"/>
  <c r="CK35" i="98"/>
  <c r="CF35" i="98"/>
  <c r="CF49" i="98"/>
  <c r="CK49" i="98"/>
  <c r="CP49" i="98"/>
  <c r="CP91" i="98"/>
  <c r="CF91" i="98"/>
  <c r="CK91" i="98"/>
  <c r="CH101" i="98"/>
  <c r="CM101" i="98"/>
  <c r="CR101" i="98"/>
  <c r="CF112" i="98"/>
  <c r="CK112" i="98"/>
  <c r="CP112" i="98"/>
  <c r="CH117" i="98"/>
  <c r="CM117" i="98"/>
  <c r="CR117" i="98"/>
  <c r="CF144" i="98"/>
  <c r="CP144" i="98"/>
  <c r="CK144" i="98"/>
  <c r="CP150" i="98"/>
  <c r="CF150" i="98"/>
  <c r="CK150" i="98"/>
  <c r="CK156" i="98"/>
  <c r="CF156" i="98"/>
  <c r="CP156" i="98"/>
  <c r="CP138" i="98"/>
  <c r="CK138" i="98"/>
  <c r="CF138" i="98"/>
  <c r="CF75" i="98"/>
  <c r="CP75" i="98"/>
  <c r="CK75" i="98"/>
  <c r="CH90" i="98"/>
  <c r="CM90" i="98"/>
  <c r="CR90" i="98"/>
  <c r="CM97" i="98"/>
  <c r="CH97" i="98"/>
  <c r="CR97" i="98"/>
  <c r="CM49" i="98"/>
  <c r="CH49" i="98"/>
  <c r="CR49" i="98"/>
  <c r="CM22" i="98"/>
  <c r="CR22" i="98"/>
  <c r="CH22" i="98"/>
  <c r="CH46" i="98"/>
  <c r="CM46" i="98"/>
  <c r="CR46" i="98"/>
  <c r="CF114" i="98"/>
  <c r="CK114" i="98"/>
  <c r="CP114" i="98"/>
  <c r="CR20" i="98"/>
  <c r="CH20" i="98"/>
  <c r="CM20" i="98"/>
  <c r="CM87" i="98"/>
  <c r="CH87" i="98"/>
  <c r="CR87" i="98"/>
  <c r="CK79" i="98"/>
  <c r="CP79" i="98"/>
  <c r="CF79" i="98"/>
  <c r="CM86" i="98"/>
  <c r="CR86" i="98"/>
  <c r="CH86" i="98"/>
  <c r="CP163" i="98"/>
  <c r="CK163" i="98"/>
  <c r="CF163" i="98"/>
  <c r="CO118" i="98"/>
  <c r="CE118" i="98"/>
  <c r="CJ118" i="98"/>
  <c r="CO112" i="98"/>
  <c r="CJ112" i="98"/>
  <c r="CE112" i="98"/>
  <c r="CJ28" i="98"/>
  <c r="CO28" i="98"/>
  <c r="CE28" i="98"/>
  <c r="CE142" i="98"/>
  <c r="CO142" i="98"/>
  <c r="CJ142" i="98"/>
  <c r="CE18" i="98"/>
  <c r="CO18" i="98"/>
  <c r="CJ18" i="98"/>
  <c r="CO53" i="98"/>
  <c r="CE53" i="98"/>
  <c r="CJ53" i="98"/>
  <c r="CO116" i="98"/>
  <c r="CJ116" i="98"/>
  <c r="CE116" i="98"/>
  <c r="CE149" i="98"/>
  <c r="CO149" i="98"/>
  <c r="CJ149" i="98"/>
  <c r="CO68" i="98"/>
  <c r="CE68" i="98"/>
  <c r="CJ68" i="98"/>
  <c r="CJ31" i="98"/>
  <c r="CO31" i="98"/>
  <c r="CE31" i="98"/>
  <c r="CE72" i="98"/>
  <c r="CJ72" i="98"/>
  <c r="CO72" i="98"/>
  <c r="CJ98" i="98"/>
  <c r="CE98" i="98"/>
  <c r="CO98" i="98"/>
  <c r="CO59" i="98"/>
  <c r="CE59" i="98"/>
  <c r="CJ59" i="98"/>
  <c r="CE84" i="98"/>
  <c r="CO84" i="98"/>
  <c r="CJ84" i="98"/>
  <c r="CJ130" i="98"/>
  <c r="CE130" i="98"/>
  <c r="CO130" i="98"/>
  <c r="CG88" i="98"/>
  <c r="CQ88" i="98"/>
  <c r="CL88" i="98"/>
  <c r="CL61" i="98"/>
  <c r="CQ61" i="98"/>
  <c r="CG61" i="98"/>
  <c r="CG7" i="98"/>
  <c r="CL7" i="98"/>
  <c r="CQ7" i="98"/>
  <c r="CG101" i="98"/>
  <c r="CQ101" i="98"/>
  <c r="CL101" i="98"/>
  <c r="CG104" i="98"/>
  <c r="CQ104" i="98"/>
  <c r="CL104" i="98"/>
  <c r="CG139" i="98"/>
  <c r="CQ139" i="98"/>
  <c r="CL139" i="98"/>
  <c r="CG59" i="98"/>
  <c r="CQ59" i="98"/>
  <c r="CL59" i="98"/>
  <c r="CL84" i="98"/>
  <c r="CG84" i="98"/>
  <c r="CQ84" i="98"/>
  <c r="CL126" i="98"/>
  <c r="CQ126" i="98"/>
  <c r="CG126" i="98"/>
  <c r="CQ145" i="98"/>
  <c r="CL145" i="98"/>
  <c r="CG145" i="98"/>
  <c r="CQ57" i="98"/>
  <c r="CG57" i="98"/>
  <c r="CL57" i="98"/>
  <c r="CG62" i="98"/>
  <c r="CL62" i="98"/>
  <c r="CQ62" i="98"/>
  <c r="CL34" i="98"/>
  <c r="CQ34" i="98"/>
  <c r="CG34" i="98"/>
  <c r="CL91" i="98"/>
  <c r="CQ91" i="98"/>
  <c r="CG91" i="98"/>
  <c r="CG29" i="98"/>
  <c r="CQ29" i="98"/>
  <c r="CL29" i="98"/>
  <c r="CG110" i="98"/>
  <c r="CQ110" i="98"/>
  <c r="CL110" i="98"/>
  <c r="CG79" i="98"/>
  <c r="CL79" i="98"/>
  <c r="CQ79" i="98"/>
  <c r="CR11" i="98"/>
  <c r="CH11" i="98"/>
  <c r="CM11" i="98"/>
  <c r="CP68" i="98"/>
  <c r="CK68" i="98"/>
  <c r="CF68" i="98"/>
  <c r="CR24" i="98"/>
  <c r="CH24" i="98"/>
  <c r="CM24" i="98"/>
  <c r="CR7" i="98"/>
  <c r="CH7" i="98"/>
  <c r="CM7" i="98"/>
  <c r="CM114" i="98"/>
  <c r="CR114" i="98"/>
  <c r="CH114" i="98"/>
  <c r="CP51" i="98"/>
  <c r="CK51" i="98"/>
  <c r="CF51" i="98"/>
  <c r="CK121" i="98"/>
  <c r="CP121" i="98"/>
  <c r="CF121" i="98"/>
  <c r="CR124" i="98"/>
  <c r="CH124" i="98"/>
  <c r="CM124" i="98"/>
  <c r="CK36" i="98"/>
  <c r="CF36" i="98"/>
  <c r="CP36" i="98"/>
  <c r="CF30" i="98"/>
  <c r="CK30" i="98"/>
  <c r="CP30" i="98"/>
  <c r="CF159" i="98"/>
  <c r="CP159" i="98"/>
  <c r="CK159" i="98"/>
  <c r="CF66" i="98"/>
  <c r="CP66" i="98"/>
  <c r="CK66" i="98"/>
  <c r="CF5" i="98"/>
  <c r="CK5" i="98"/>
  <c r="CP5" i="98"/>
  <c r="CP157" i="98"/>
  <c r="CF157" i="98"/>
  <c r="CK157" i="98"/>
  <c r="CF95" i="98"/>
  <c r="CK95" i="98"/>
  <c r="CP95" i="98"/>
  <c r="CM158" i="98"/>
  <c r="CR158" i="98"/>
  <c r="CH158" i="98"/>
  <c r="CH125" i="98"/>
  <c r="CM125" i="98"/>
  <c r="CR125" i="98"/>
  <c r="CR108" i="98"/>
  <c r="CM108" i="98"/>
  <c r="CH108" i="98"/>
  <c r="CH66" i="98"/>
  <c r="CM66" i="98"/>
  <c r="CR66" i="98"/>
  <c r="CF130" i="98"/>
  <c r="CP130" i="98"/>
  <c r="CK130" i="98"/>
  <c r="CM127" i="98"/>
  <c r="CH127" i="98"/>
  <c r="CR127" i="98"/>
  <c r="CP40" i="98"/>
  <c r="CF40" i="98"/>
  <c r="CK40" i="98"/>
  <c r="CH32" i="98"/>
  <c r="CR32" i="98"/>
  <c r="CM32" i="98"/>
  <c r="CH109" i="98"/>
  <c r="CM109" i="98"/>
  <c r="CR109" i="98"/>
  <c r="CF162" i="98"/>
  <c r="CP162" i="98"/>
  <c r="CK162" i="98"/>
  <c r="CR138" i="98"/>
  <c r="CM138" i="98"/>
  <c r="CH138" i="98"/>
  <c r="AB103" i="96"/>
  <c r="AB110" i="96"/>
  <c r="AB104" i="96"/>
  <c r="AB132" i="96"/>
  <c r="AB135" i="96"/>
  <c r="AB126" i="96"/>
  <c r="AB71" i="96"/>
  <c r="AB79" i="96"/>
  <c r="AB106" i="96"/>
  <c r="AB101" i="96"/>
  <c r="AB81" i="96"/>
  <c r="AB114" i="96"/>
  <c r="AB130" i="96"/>
  <c r="AB125" i="96"/>
  <c r="AB59" i="96"/>
  <c r="AB50" i="96"/>
  <c r="AB61" i="96"/>
  <c r="AB85" i="96"/>
  <c r="AB78" i="96"/>
  <c r="AB80" i="96"/>
  <c r="AB60" i="96"/>
  <c r="AB46" i="96"/>
  <c r="AB112" i="96"/>
  <c r="AB83" i="96"/>
  <c r="AB70" i="96"/>
  <c r="AB113" i="96"/>
  <c r="AB137" i="96"/>
  <c r="AB134" i="96"/>
  <c r="AB140" i="96"/>
  <c r="AB76" i="96"/>
  <c r="AB99" i="96"/>
  <c r="AB115" i="96"/>
  <c r="AB109" i="96"/>
  <c r="AB129" i="96"/>
  <c r="AB55" i="96"/>
  <c r="AB51" i="96"/>
  <c r="AB74" i="96"/>
  <c r="AB108" i="96"/>
  <c r="AB121" i="96"/>
  <c r="AB53" i="96"/>
  <c r="AB89" i="96"/>
  <c r="AB48" i="96"/>
  <c r="AB57" i="96"/>
  <c r="AB62" i="96"/>
  <c r="AB77" i="96"/>
  <c r="AB136" i="96"/>
  <c r="AB52" i="96"/>
  <c r="AB73" i="96"/>
  <c r="AB88" i="96"/>
  <c r="AB82" i="96"/>
  <c r="AB102" i="96"/>
  <c r="AB138" i="96"/>
  <c r="AB141" i="96"/>
  <c r="AB54" i="96"/>
  <c r="AB86" i="96"/>
  <c r="AB69" i="96"/>
  <c r="AB95" i="96"/>
  <c r="AB111" i="96"/>
  <c r="AB105" i="96"/>
  <c r="AB131" i="96"/>
  <c r="AB128" i="96"/>
  <c r="AB72" i="96"/>
  <c r="AB100" i="96"/>
  <c r="AB107" i="96"/>
  <c r="AB122" i="96"/>
  <c r="AB127" i="96"/>
  <c r="AB43" i="96"/>
  <c r="AB87" i="96"/>
  <c r="AB98" i="96"/>
  <c r="AB96" i="96"/>
  <c r="AB47" i="96"/>
  <c r="AB56" i="96"/>
  <c r="AB75" i="96"/>
  <c r="AB123" i="96"/>
  <c r="AB124" i="96"/>
  <c r="AB139" i="96"/>
  <c r="AB45" i="96"/>
  <c r="AB63" i="96"/>
  <c r="AB44" i="96"/>
  <c r="AB84" i="96"/>
  <c r="AB58" i="96"/>
  <c r="AB49" i="96"/>
  <c r="AB133" i="96"/>
  <c r="AB97" i="96"/>
  <c r="CF164" i="98" l="1"/>
  <c r="CP136" i="98"/>
  <c r="CE101" i="98"/>
  <c r="CO91" i="98"/>
  <c r="CO122" i="98"/>
  <c r="CM144" i="98"/>
  <c r="CE20" i="98"/>
  <c r="CE161" i="98"/>
  <c r="CP6" i="98"/>
  <c r="CF7" i="98"/>
  <c r="CM19" i="98"/>
  <c r="CL74" i="98"/>
  <c r="CF67" i="98"/>
  <c r="CP89" i="98"/>
  <c r="CO63" i="98"/>
  <c r="CP147" i="98"/>
  <c r="CP13" i="98"/>
  <c r="CK41" i="98"/>
  <c r="CJ120" i="98"/>
  <c r="CP143" i="98"/>
  <c r="CK143" i="98"/>
  <c r="AE97" i="96"/>
  <c r="AD97" i="96"/>
  <c r="AC97" i="96"/>
  <c r="AL97" i="96" s="1"/>
  <c r="AX97" i="96" s="1"/>
  <c r="AF97" i="96"/>
  <c r="AO97" i="96" s="1"/>
  <c r="BG97" i="96" s="1"/>
  <c r="AF133" i="96"/>
  <c r="AE133" i="96"/>
  <c r="AN133" i="96" s="1"/>
  <c r="AD133" i="96"/>
  <c r="AM133" i="96" s="1"/>
  <c r="AC133" i="96"/>
  <c r="AE49" i="96"/>
  <c r="AC49" i="96"/>
  <c r="AF49" i="96"/>
  <c r="AD49" i="96"/>
  <c r="AM49" i="96" s="1"/>
  <c r="AC58" i="96"/>
  <c r="AD58" i="96"/>
  <c r="AF58" i="96"/>
  <c r="AE58" i="96"/>
  <c r="AN58" i="96" s="1"/>
  <c r="BD58" i="96" s="1"/>
  <c r="AF84" i="96"/>
  <c r="AD84" i="96"/>
  <c r="AM84" i="96" s="1"/>
  <c r="BA84" i="96" s="1"/>
  <c r="AE84" i="96"/>
  <c r="AN84" i="96" s="1"/>
  <c r="AC84" i="96"/>
  <c r="AL84" i="96" s="1"/>
  <c r="AX84" i="96" s="1"/>
  <c r="AE44" i="96"/>
  <c r="AF44" i="96"/>
  <c r="AD44" i="96"/>
  <c r="AC44" i="96"/>
  <c r="AL44" i="96" s="1"/>
  <c r="AF63" i="96"/>
  <c r="AC63" i="96"/>
  <c r="AL63" i="96" s="1"/>
  <c r="AX63" i="96" s="1"/>
  <c r="AE63" i="96"/>
  <c r="AD63" i="96"/>
  <c r="AM63" i="96" s="1"/>
  <c r="BA63" i="96" s="1"/>
  <c r="AC45" i="96"/>
  <c r="AE45" i="96"/>
  <c r="AD45" i="96"/>
  <c r="AM45" i="96" s="1"/>
  <c r="BA45" i="96" s="1"/>
  <c r="AF45" i="96"/>
  <c r="AO45" i="96" s="1"/>
  <c r="BE45" i="96" s="1"/>
  <c r="AC139" i="96"/>
  <c r="AL139" i="96" s="1"/>
  <c r="AD139" i="96"/>
  <c r="AE139" i="96"/>
  <c r="AN139" i="96" s="1"/>
  <c r="BD139" i="96" s="1"/>
  <c r="AF139" i="96"/>
  <c r="AO139" i="96" s="1"/>
  <c r="AD124" i="96"/>
  <c r="AM124" i="96" s="1"/>
  <c r="BA124" i="96" s="1"/>
  <c r="AE124" i="96"/>
  <c r="AN124" i="96" s="1"/>
  <c r="BD124" i="96" s="1"/>
  <c r="AF124" i="96"/>
  <c r="AO124" i="96" s="1"/>
  <c r="BG124" i="96" s="1"/>
  <c r="AC124" i="96"/>
  <c r="AL124" i="96" s="1"/>
  <c r="AX124" i="96" s="1"/>
  <c r="AC123" i="96"/>
  <c r="AD123" i="96"/>
  <c r="AM123" i="96" s="1"/>
  <c r="AF123" i="96"/>
  <c r="AO123" i="96" s="1"/>
  <c r="BG123" i="96" s="1"/>
  <c r="AE123" i="96"/>
  <c r="AF75" i="96"/>
  <c r="AC75" i="96"/>
  <c r="AD75" i="96"/>
  <c r="AE75" i="96"/>
  <c r="AN75" i="96" s="1"/>
  <c r="BD75" i="96" s="1"/>
  <c r="AE56" i="96"/>
  <c r="AC56" i="96"/>
  <c r="AL56" i="96" s="1"/>
  <c r="AD56" i="96"/>
  <c r="AM56" i="96" s="1"/>
  <c r="BA56" i="96" s="1"/>
  <c r="AF56" i="96"/>
  <c r="AO56" i="96" s="1"/>
  <c r="AF47" i="96"/>
  <c r="AE47" i="96"/>
  <c r="AC47" i="96"/>
  <c r="AD47" i="96"/>
  <c r="AE96" i="96"/>
  <c r="AD96" i="96"/>
  <c r="AF96" i="96"/>
  <c r="AC96" i="96"/>
  <c r="AL96" i="96" s="1"/>
  <c r="AX96" i="96" s="1"/>
  <c r="AE98" i="96"/>
  <c r="AN98" i="96" s="1"/>
  <c r="AD98" i="96"/>
  <c r="AF98" i="96"/>
  <c r="AO98" i="96" s="1"/>
  <c r="BG98" i="96" s="1"/>
  <c r="AC98" i="96"/>
  <c r="AL98" i="96" s="1"/>
  <c r="AX98" i="96" s="1"/>
  <c r="AC87" i="96"/>
  <c r="AF87" i="96"/>
  <c r="AO87" i="96" s="1"/>
  <c r="AE87" i="96"/>
  <c r="AN87" i="96" s="1"/>
  <c r="AD87" i="96"/>
  <c r="AM87" i="96" s="1"/>
  <c r="BA87" i="96" s="1"/>
  <c r="AE43" i="96"/>
  <c r="AD43" i="96"/>
  <c r="AM43" i="96" s="1"/>
  <c r="AC43" i="96"/>
  <c r="AF43" i="96"/>
  <c r="AO43" i="96" s="1"/>
  <c r="BG43" i="96" s="1"/>
  <c r="AF127" i="96"/>
  <c r="AE127" i="96"/>
  <c r="AD127" i="96"/>
  <c r="AM127" i="96" s="1"/>
  <c r="AC127" i="96"/>
  <c r="AL127" i="96" s="1"/>
  <c r="AC122" i="96"/>
  <c r="AD122" i="96"/>
  <c r="AM122" i="96" s="1"/>
  <c r="BA122" i="96" s="1"/>
  <c r="AE122" i="96"/>
  <c r="AN122" i="96" s="1"/>
  <c r="BD122" i="96" s="1"/>
  <c r="AF122" i="96"/>
  <c r="AD107" i="96"/>
  <c r="AF107" i="96"/>
  <c r="AC107" i="96"/>
  <c r="AE107" i="96"/>
  <c r="AC100" i="96"/>
  <c r="AE100" i="96"/>
  <c r="AD100" i="96"/>
  <c r="AF100" i="96"/>
  <c r="AO100" i="96" s="1"/>
  <c r="BG100" i="96" s="1"/>
  <c r="AC72" i="96"/>
  <c r="AE72" i="96"/>
  <c r="AN72" i="96" s="1"/>
  <c r="AF72" i="96"/>
  <c r="AO72" i="96" s="1"/>
  <c r="AD72" i="96"/>
  <c r="AF128" i="96"/>
  <c r="AO128" i="96" s="1"/>
  <c r="AE128" i="96"/>
  <c r="AN128" i="96" s="1"/>
  <c r="BD128" i="96" s="1"/>
  <c r="AD128" i="96"/>
  <c r="AM128" i="96" s="1"/>
  <c r="AC128" i="96"/>
  <c r="AL128" i="96" s="1"/>
  <c r="Z117" i="103" s="1"/>
  <c r="AF131" i="96"/>
  <c r="AC131" i="96"/>
  <c r="AE131" i="96"/>
  <c r="AD131" i="96"/>
  <c r="AM131" i="96" s="1"/>
  <c r="BA131" i="96" s="1"/>
  <c r="AF105" i="96"/>
  <c r="AO105" i="96" s="1"/>
  <c r="AD105" i="96"/>
  <c r="AM105" i="96" s="1"/>
  <c r="BA105" i="96" s="1"/>
  <c r="AE105" i="96"/>
  <c r="AN105" i="96" s="1"/>
  <c r="BD105" i="96" s="1"/>
  <c r="AC105" i="96"/>
  <c r="AL105" i="96" s="1"/>
  <c r="AX105" i="96" s="1"/>
  <c r="AC111" i="96"/>
  <c r="AL111" i="96" s="1"/>
  <c r="AD111" i="96"/>
  <c r="AM111" i="96" s="1"/>
  <c r="AF111" i="96"/>
  <c r="AE111" i="96"/>
  <c r="AN111" i="96" s="1"/>
  <c r="BD111" i="96" s="1"/>
  <c r="AF95" i="96"/>
  <c r="AE95" i="96"/>
  <c r="AC95" i="96"/>
  <c r="AL95" i="96" s="1"/>
  <c r="AD95" i="96"/>
  <c r="AM95" i="96" s="1"/>
  <c r="R85" i="106" s="1"/>
  <c r="V85" i="106" s="1"/>
  <c r="AD69" i="96"/>
  <c r="AM69" i="96" s="1"/>
  <c r="BA69" i="96" s="1"/>
  <c r="AF69" i="96"/>
  <c r="AO69" i="96" s="1"/>
  <c r="BG69" i="96" s="1"/>
  <c r="AE69" i="96"/>
  <c r="AN69" i="96" s="1"/>
  <c r="AC69" i="96"/>
  <c r="AL69" i="96" s="1"/>
  <c r="AX69" i="96" s="1"/>
  <c r="AD86" i="96"/>
  <c r="AM86" i="96" s="1"/>
  <c r="AE86" i="96"/>
  <c r="AN86" i="96" s="1"/>
  <c r="BD86" i="96" s="1"/>
  <c r="AC86" i="96"/>
  <c r="AL86" i="96" s="1"/>
  <c r="AF86" i="96"/>
  <c r="AD54" i="96"/>
  <c r="AF54" i="96"/>
  <c r="AC54" i="96"/>
  <c r="AE54" i="96"/>
  <c r="AD141" i="96"/>
  <c r="AM141" i="96" s="1"/>
  <c r="AE141" i="96"/>
  <c r="AF141" i="96"/>
  <c r="AO141" i="96" s="1"/>
  <c r="AC141" i="96"/>
  <c r="AL141" i="96" s="1"/>
  <c r="AX141" i="96" s="1"/>
  <c r="AF138" i="96"/>
  <c r="AC138" i="96"/>
  <c r="AD138" i="96"/>
  <c r="AM138" i="96" s="1"/>
  <c r="AE138" i="96"/>
  <c r="AC102" i="96"/>
  <c r="AF102" i="96"/>
  <c r="AO102" i="96" s="1"/>
  <c r="AE102" i="96"/>
  <c r="AN102" i="96" s="1"/>
  <c r="BD102" i="96" s="1"/>
  <c r="AD102" i="96"/>
  <c r="AC82" i="96"/>
  <c r="AE82" i="96"/>
  <c r="AN82" i="96" s="1"/>
  <c r="BD82" i="96" s="1"/>
  <c r="AF82" i="96"/>
  <c r="AO82" i="96" s="1"/>
  <c r="AD82" i="96"/>
  <c r="AM82" i="96" s="1"/>
  <c r="AC88" i="96"/>
  <c r="AE88" i="96"/>
  <c r="AN88" i="96" s="1"/>
  <c r="AF88" i="96"/>
  <c r="AO88" i="96" s="1"/>
  <c r="BG88" i="96" s="1"/>
  <c r="AD88" i="96"/>
  <c r="AM88" i="96" s="1"/>
  <c r="BA88" i="96" s="1"/>
  <c r="AC73" i="96"/>
  <c r="AL73" i="96" s="1"/>
  <c r="AD73" i="96"/>
  <c r="AM73" i="96" s="1"/>
  <c r="AE73" i="96"/>
  <c r="AN73" i="96" s="1"/>
  <c r="AF73" i="96"/>
  <c r="AF52" i="96"/>
  <c r="AE52" i="96"/>
  <c r="AC52" i="96"/>
  <c r="AD52" i="96"/>
  <c r="AC136" i="96"/>
  <c r="AF136" i="96"/>
  <c r="AD136" i="96"/>
  <c r="AM136" i="96" s="1"/>
  <c r="AE136" i="96"/>
  <c r="AN136" i="96" s="1"/>
  <c r="BD136" i="96" s="1"/>
  <c r="AF77" i="96"/>
  <c r="AC77" i="96"/>
  <c r="AD77" i="96"/>
  <c r="AM77" i="96" s="1"/>
  <c r="BA77" i="96" s="1"/>
  <c r="AE77" i="96"/>
  <c r="AN77" i="96" s="1"/>
  <c r="S67" i="106" s="1"/>
  <c r="W67" i="106" s="1"/>
  <c r="AC62" i="96"/>
  <c r="AF62" i="96"/>
  <c r="AE62" i="96"/>
  <c r="AD62" i="96"/>
  <c r="AC57" i="96"/>
  <c r="AD57" i="96"/>
  <c r="AM57" i="96" s="1"/>
  <c r="AE57" i="96"/>
  <c r="AN57" i="96" s="1"/>
  <c r="AF57" i="96"/>
  <c r="AO57" i="96" s="1"/>
  <c r="AE48" i="96"/>
  <c r="AD48" i="96"/>
  <c r="AC48" i="96"/>
  <c r="AF48" i="96"/>
  <c r="AE89" i="96"/>
  <c r="AD89" i="96"/>
  <c r="AF89" i="96"/>
  <c r="AO89" i="96" s="1"/>
  <c r="BG89" i="96" s="1"/>
  <c r="AC89" i="96"/>
  <c r="AL89" i="96" s="1"/>
  <c r="AX89" i="96" s="1"/>
  <c r="AE53" i="96"/>
  <c r="AC53" i="96"/>
  <c r="AD53" i="96"/>
  <c r="AF53" i="96"/>
  <c r="AE121" i="96"/>
  <c r="AN121" i="96" s="1"/>
  <c r="AF121" i="96"/>
  <c r="AD121" i="96"/>
  <c r="AM121" i="96" s="1"/>
  <c r="AC121" i="96"/>
  <c r="AL121" i="96" s="1"/>
  <c r="AE108" i="96"/>
  <c r="AN108" i="96" s="1"/>
  <c r="AF108" i="96"/>
  <c r="AD108" i="96"/>
  <c r="AM108" i="96" s="1"/>
  <c r="BA108" i="96" s="1"/>
  <c r="AC108" i="96"/>
  <c r="AL108" i="96" s="1"/>
  <c r="AC74" i="96"/>
  <c r="AL74" i="96" s="1"/>
  <c r="AE74" i="96"/>
  <c r="AN74" i="96" s="1"/>
  <c r="BD74" i="96" s="1"/>
  <c r="AD74" i="96"/>
  <c r="AM74" i="96" s="1"/>
  <c r="AF74" i="96"/>
  <c r="AC51" i="96"/>
  <c r="AE51" i="96"/>
  <c r="AF51" i="96"/>
  <c r="AD51" i="96"/>
  <c r="AC55" i="96"/>
  <c r="AE55" i="96"/>
  <c r="AF55" i="96"/>
  <c r="AD55" i="96"/>
  <c r="AM55" i="96" s="1"/>
  <c r="BA55" i="96" s="1"/>
  <c r="AC129" i="96"/>
  <c r="AL129" i="96" s="1"/>
  <c r="AE129" i="96"/>
  <c r="AN129" i="96" s="1"/>
  <c r="AD129" i="96"/>
  <c r="AM129" i="96" s="1"/>
  <c r="AF129" i="96"/>
  <c r="AO129" i="96" s="1"/>
  <c r="BG129" i="96" s="1"/>
  <c r="AC109" i="96"/>
  <c r="AD109" i="96"/>
  <c r="AM109" i="96" s="1"/>
  <c r="BA109" i="96" s="1"/>
  <c r="AE109" i="96"/>
  <c r="AN109" i="96" s="1"/>
  <c r="BD109" i="96" s="1"/>
  <c r="AF109" i="96"/>
  <c r="AC115" i="96"/>
  <c r="AL115" i="96" s="1"/>
  <c r="AF115" i="96"/>
  <c r="AD115" i="96"/>
  <c r="AE115" i="96"/>
  <c r="AN115" i="96" s="1"/>
  <c r="BD115" i="96" s="1"/>
  <c r="AC99" i="96"/>
  <c r="AL99" i="96" s="1"/>
  <c r="AF99" i="96"/>
  <c r="AE99" i="96"/>
  <c r="AN99" i="96" s="1"/>
  <c r="BD99" i="96" s="1"/>
  <c r="AD99" i="96"/>
  <c r="AM99" i="96" s="1"/>
  <c r="BA99" i="96" s="1"/>
  <c r="AC76" i="96"/>
  <c r="AL76" i="96" s="1"/>
  <c r="AX76" i="96" s="1"/>
  <c r="AE76" i="96"/>
  <c r="AN76" i="96" s="1"/>
  <c r="AD76" i="96"/>
  <c r="AM76" i="96" s="1"/>
  <c r="AF76" i="96"/>
  <c r="AO76" i="96" s="1"/>
  <c r="AE140" i="96"/>
  <c r="AD140" i="96"/>
  <c r="AM140" i="96" s="1"/>
  <c r="AC140" i="96"/>
  <c r="AL140" i="96" s="1"/>
  <c r="AX140" i="96" s="1"/>
  <c r="AF140" i="96"/>
  <c r="AO140" i="96" s="1"/>
  <c r="BG140" i="96" s="1"/>
  <c r="AF134" i="96"/>
  <c r="AC134" i="96"/>
  <c r="AE134" i="96"/>
  <c r="AN134" i="96" s="1"/>
  <c r="AD134" i="96"/>
  <c r="AF137" i="96"/>
  <c r="AC137" i="96"/>
  <c r="AD137" i="96"/>
  <c r="AM137" i="96" s="1"/>
  <c r="AE137" i="96"/>
  <c r="AN137" i="96" s="1"/>
  <c r="AD113" i="96"/>
  <c r="AM113" i="96" s="1"/>
  <c r="BA113" i="96" s="1"/>
  <c r="AF113" i="96"/>
  <c r="AE113" i="96"/>
  <c r="AC113" i="96"/>
  <c r="AL113" i="96" s="1"/>
  <c r="AX113" i="96" s="1"/>
  <c r="AC70" i="96"/>
  <c r="AE70" i="96"/>
  <c r="AN70" i="96" s="1"/>
  <c r="BD70" i="96" s="1"/>
  <c r="AF70" i="96"/>
  <c r="AO70" i="96" s="1"/>
  <c r="AD70" i="96"/>
  <c r="AM70" i="96" s="1"/>
  <c r="AC83" i="96"/>
  <c r="AE83" i="96"/>
  <c r="AN83" i="96" s="1"/>
  <c r="BD83" i="96" s="1"/>
  <c r="AD83" i="96"/>
  <c r="AM83" i="96" s="1"/>
  <c r="AF83" i="96"/>
  <c r="AO83" i="96" s="1"/>
  <c r="AE112" i="96"/>
  <c r="AN112" i="96" s="1"/>
  <c r="AD112" i="96"/>
  <c r="AF112" i="96"/>
  <c r="AO112" i="96" s="1"/>
  <c r="BG112" i="96" s="1"/>
  <c r="AC112" i="96"/>
  <c r="AL112" i="96" s="1"/>
  <c r="AX112" i="96" s="1"/>
  <c r="AD46" i="96"/>
  <c r="AM46" i="96" s="1"/>
  <c r="BA46" i="96" s="1"/>
  <c r="AE46" i="96"/>
  <c r="AN46" i="96" s="1"/>
  <c r="AC46" i="96"/>
  <c r="AL46" i="96" s="1"/>
  <c r="AF46" i="96"/>
  <c r="AO46" i="96" s="1"/>
  <c r="AC60" i="96"/>
  <c r="AD60" i="96"/>
  <c r="AE60" i="96"/>
  <c r="AF60" i="96"/>
  <c r="AC80" i="96"/>
  <c r="AE80" i="96"/>
  <c r="AN80" i="96" s="1"/>
  <c r="BD80" i="96" s="1"/>
  <c r="AF80" i="96"/>
  <c r="AO80" i="96" s="1"/>
  <c r="BG80" i="96" s="1"/>
  <c r="AD80" i="96"/>
  <c r="AM80" i="96" s="1"/>
  <c r="AC78" i="96"/>
  <c r="AD78" i="96"/>
  <c r="AE78" i="96"/>
  <c r="AN78" i="96" s="1"/>
  <c r="AF78" i="96"/>
  <c r="AC85" i="96"/>
  <c r="AD85" i="96"/>
  <c r="AM85" i="96" s="1"/>
  <c r="BA85" i="96" s="1"/>
  <c r="AE85" i="96"/>
  <c r="AF85" i="96"/>
  <c r="AO85" i="96" s="1"/>
  <c r="AF61" i="96"/>
  <c r="AC61" i="96"/>
  <c r="AL61" i="96" s="1"/>
  <c r="AD61" i="96"/>
  <c r="AE61" i="96"/>
  <c r="AF50" i="96"/>
  <c r="AE50" i="96"/>
  <c r="AD50" i="96"/>
  <c r="AC50" i="96"/>
  <c r="AL50" i="96" s="1"/>
  <c r="AX50" i="96" s="1"/>
  <c r="AE59" i="96"/>
  <c r="AC59" i="96"/>
  <c r="AD59" i="96"/>
  <c r="AF59" i="96"/>
  <c r="AF125" i="96"/>
  <c r="AO125" i="96" s="1"/>
  <c r="BG125" i="96" s="1"/>
  <c r="AE125" i="96"/>
  <c r="AD125" i="96"/>
  <c r="AC125" i="96"/>
  <c r="AF130" i="96"/>
  <c r="AC130" i="96"/>
  <c r="AL130" i="96" s="1"/>
  <c r="AE130" i="96"/>
  <c r="AN130" i="96" s="1"/>
  <c r="BD130" i="96" s="1"/>
  <c r="AD130" i="96"/>
  <c r="AM130" i="96" s="1"/>
  <c r="AY130" i="96" s="1"/>
  <c r="AC114" i="96"/>
  <c r="AF114" i="96"/>
  <c r="AD114" i="96"/>
  <c r="AM114" i="96" s="1"/>
  <c r="AE114" i="96"/>
  <c r="AN114" i="96" s="1"/>
  <c r="BD114" i="96" s="1"/>
  <c r="AC81" i="96"/>
  <c r="AL81" i="96" s="1"/>
  <c r="AE81" i="96"/>
  <c r="AN81" i="96" s="1"/>
  <c r="AD81" i="96"/>
  <c r="AF81" i="96"/>
  <c r="AO81" i="96" s="1"/>
  <c r="BG81" i="96" s="1"/>
  <c r="AD101" i="96"/>
  <c r="AF101" i="96"/>
  <c r="AE101" i="96"/>
  <c r="AN101" i="96" s="1"/>
  <c r="AC101" i="96"/>
  <c r="AD106" i="96"/>
  <c r="AF106" i="96"/>
  <c r="AO106" i="96" s="1"/>
  <c r="BG106" i="96" s="1"/>
  <c r="AC106" i="96"/>
  <c r="AL106" i="96" s="1"/>
  <c r="AX106" i="96" s="1"/>
  <c r="AE106" i="96"/>
  <c r="AN106" i="96" s="1"/>
  <c r="BD106" i="96" s="1"/>
  <c r="AC79" i="96"/>
  <c r="AE79" i="96"/>
  <c r="AN79" i="96" s="1"/>
  <c r="AD79" i="96"/>
  <c r="AM79" i="96" s="1"/>
  <c r="AF79" i="96"/>
  <c r="AC71" i="96"/>
  <c r="AF71" i="96"/>
  <c r="AD71" i="96"/>
  <c r="AM71" i="96" s="1"/>
  <c r="BA71" i="96" s="1"/>
  <c r="AE71" i="96"/>
  <c r="AC126" i="96"/>
  <c r="AE126" i="96"/>
  <c r="AN126" i="96" s="1"/>
  <c r="BD126" i="96" s="1"/>
  <c r="AD126" i="96"/>
  <c r="AF126" i="96"/>
  <c r="AF135" i="96"/>
  <c r="AD135" i="96"/>
  <c r="AE135" i="96"/>
  <c r="AC135" i="96"/>
  <c r="AL135" i="96" s="1"/>
  <c r="AX135" i="96" s="1"/>
  <c r="AF132" i="96"/>
  <c r="AD132" i="96"/>
  <c r="AM132" i="96" s="1"/>
  <c r="AC132" i="96"/>
  <c r="AL132" i="96" s="1"/>
  <c r="AX132" i="96" s="1"/>
  <c r="AE132" i="96"/>
  <c r="AN132" i="96" s="1"/>
  <c r="AD104" i="96"/>
  <c r="AE104" i="96"/>
  <c r="AC104" i="96"/>
  <c r="AL104" i="96" s="1"/>
  <c r="AF104" i="96"/>
  <c r="AO104" i="96" s="1"/>
  <c r="BG104" i="96" s="1"/>
  <c r="AC110" i="96"/>
  <c r="AF110" i="96"/>
  <c r="AE110" i="96"/>
  <c r="AN110" i="96" s="1"/>
  <c r="BD110" i="96" s="1"/>
  <c r="AD110" i="96"/>
  <c r="AE103" i="96"/>
  <c r="AN103" i="96" s="1"/>
  <c r="AC103" i="96"/>
  <c r="AL103" i="96" s="1"/>
  <c r="AX103" i="96" s="1"/>
  <c r="AF103" i="96"/>
  <c r="AO103" i="96" s="1"/>
  <c r="BG103" i="96" s="1"/>
  <c r="AD103" i="96"/>
  <c r="AM103" i="96" s="1"/>
  <c r="R93" i="106" s="1"/>
  <c r="V93" i="106" s="1"/>
  <c r="CF56" i="98"/>
  <c r="CK56" i="98"/>
  <c r="CJ140" i="98"/>
  <c r="CO140" i="98"/>
  <c r="CE140" i="98"/>
  <c r="CJ47" i="98"/>
  <c r="CO47" i="98"/>
  <c r="CE47" i="98"/>
  <c r="CO43" i="98"/>
  <c r="CJ43" i="98"/>
  <c r="CE43" i="98"/>
  <c r="CP133" i="98"/>
  <c r="CF133" i="98"/>
  <c r="CK133" i="98"/>
  <c r="CM106" i="98"/>
  <c r="CR106" i="98"/>
  <c r="CH106" i="98"/>
  <c r="CR21" i="98"/>
  <c r="CH21" i="98"/>
  <c r="CM21" i="98"/>
  <c r="CM77" i="98"/>
  <c r="CR77" i="98"/>
  <c r="CH77" i="98"/>
  <c r="CM17" i="98"/>
  <c r="CH17" i="98"/>
  <c r="CR17" i="98"/>
  <c r="CR43" i="98"/>
  <c r="CH43" i="98"/>
  <c r="CM43" i="98"/>
  <c r="CM58" i="98"/>
  <c r="CH58" i="98"/>
  <c r="CQ105" i="98"/>
  <c r="CL105" i="98"/>
  <c r="CG105" i="98"/>
  <c r="CL133" i="98"/>
  <c r="CQ133" i="98"/>
  <c r="CP137" i="98"/>
  <c r="CK137" i="98"/>
  <c r="CF137" i="98"/>
  <c r="CP52" i="98"/>
  <c r="CF52" i="98"/>
  <c r="CK52" i="98"/>
  <c r="CE103" i="98"/>
  <c r="CO103" i="98"/>
  <c r="CJ103" i="98"/>
  <c r="CF113" i="98"/>
  <c r="CP113" i="98"/>
  <c r="CK106" i="98"/>
  <c r="CF106" i="98"/>
  <c r="CP106" i="98"/>
  <c r="CM12" i="98"/>
  <c r="CH12" i="98"/>
  <c r="CR16" i="98"/>
  <c r="CH16" i="98"/>
  <c r="CM16" i="98"/>
  <c r="CH40" i="98"/>
  <c r="CM40" i="98"/>
  <c r="CR40" i="98"/>
  <c r="CR140" i="98"/>
  <c r="CH140" i="98"/>
  <c r="CM140" i="98"/>
  <c r="CH64" i="98"/>
  <c r="CR64" i="98"/>
  <c r="CM64" i="98"/>
  <c r="CH45" i="98"/>
  <c r="CR45" i="98"/>
  <c r="CM45" i="98"/>
  <c r="CG148" i="98"/>
  <c r="CQ148" i="98"/>
  <c r="CL148" i="98"/>
  <c r="CG150" i="98"/>
  <c r="CQ150" i="98"/>
  <c r="CL150" i="98"/>
  <c r="CQ20" i="98"/>
  <c r="CG20" i="98"/>
  <c r="CL20" i="98"/>
  <c r="CF65" i="98"/>
  <c r="CK65" i="98"/>
  <c r="CP65" i="98"/>
  <c r="CE49" i="98"/>
  <c r="CJ49" i="98"/>
  <c r="CO49" i="98"/>
  <c r="CO162" i="98"/>
  <c r="CE162" i="98"/>
  <c r="CJ162" i="98"/>
  <c r="CO99" i="98"/>
  <c r="CE99" i="98"/>
  <c r="CF97" i="98"/>
  <c r="CK97" i="98"/>
  <c r="CM82" i="98"/>
  <c r="CR82" i="98"/>
  <c r="CH82" i="98"/>
  <c r="CR18" i="98"/>
  <c r="CM18" i="98"/>
  <c r="CR19" i="98"/>
  <c r="CH19" i="98"/>
  <c r="CR144" i="98"/>
  <c r="CH144" i="98"/>
  <c r="CQ147" i="98"/>
  <c r="CG147" i="98"/>
  <c r="CL147" i="98"/>
  <c r="CG50" i="98"/>
  <c r="CQ50" i="98"/>
  <c r="CL50" i="98"/>
  <c r="CQ22" i="98"/>
  <c r="CG22" i="98"/>
  <c r="CL22" i="98"/>
  <c r="CQ23" i="98"/>
  <c r="CL23" i="98"/>
  <c r="CG23" i="98"/>
  <c r="CL25" i="98"/>
  <c r="CG25" i="98"/>
  <c r="CQ18" i="98"/>
  <c r="CG18" i="98"/>
  <c r="CL18" i="98"/>
  <c r="CL15" i="98"/>
  <c r="CQ15" i="98"/>
  <c r="CG15" i="98"/>
  <c r="CK113" i="98"/>
  <c r="CP56" i="98"/>
  <c r="CJ99" i="98"/>
  <c r="CK127" i="98"/>
  <c r="CF127" i="98"/>
  <c r="CF48" i="98"/>
  <c r="CK48" i="98"/>
  <c r="CF23" i="98"/>
  <c r="CP23" i="98"/>
  <c r="CK23" i="98"/>
  <c r="CO65" i="98"/>
  <c r="CJ65" i="98"/>
  <c r="CE65" i="98"/>
  <c r="CP84" i="98"/>
  <c r="CF84" i="98"/>
  <c r="CK84" i="98"/>
  <c r="CR131" i="98"/>
  <c r="CH131" i="98"/>
  <c r="CM131" i="98"/>
  <c r="CH44" i="98"/>
  <c r="CM44" i="98"/>
  <c r="CR44" i="98"/>
  <c r="CM29" i="98"/>
  <c r="CH29" i="98"/>
  <c r="CR29" i="98"/>
  <c r="CR51" i="98"/>
  <c r="CH51" i="98"/>
  <c r="CM51" i="98"/>
  <c r="CG86" i="98"/>
  <c r="CQ86" i="98"/>
  <c r="CL86" i="98"/>
  <c r="CG89" i="98"/>
  <c r="CQ89" i="98"/>
  <c r="CQ81" i="98"/>
  <c r="CG81" i="98"/>
  <c r="CL81" i="98"/>
  <c r="CG72" i="98"/>
  <c r="CL72" i="98"/>
  <c r="CG141" i="98"/>
  <c r="CQ141" i="98"/>
  <c r="CL141" i="98"/>
  <c r="CH18" i="98"/>
  <c r="CQ31" i="98"/>
  <c r="CG31" i="98"/>
  <c r="CL31" i="98"/>
  <c r="CP127" i="98"/>
  <c r="CP164" i="98"/>
  <c r="CK164" i="98"/>
  <c r="CO117" i="98"/>
  <c r="CE117" i="98"/>
  <c r="CJ117" i="98"/>
  <c r="CF116" i="98"/>
  <c r="CP116" i="98"/>
  <c r="CK116" i="98"/>
  <c r="CG162" i="98"/>
  <c r="CL162" i="98"/>
  <c r="CQ162" i="98"/>
  <c r="CL24" i="98"/>
  <c r="CG24" i="98"/>
  <c r="CQ25" i="98"/>
  <c r="CP97" i="98"/>
  <c r="CP47" i="98"/>
  <c r="CF47" i="98"/>
  <c r="CK47" i="98"/>
  <c r="CE29" i="98"/>
  <c r="CO29" i="98"/>
  <c r="CJ29" i="98"/>
  <c r="CE21" i="98"/>
  <c r="CJ21" i="98"/>
  <c r="CO21" i="98"/>
  <c r="CG37" i="98"/>
  <c r="CL37" i="98"/>
  <c r="CQ37" i="98"/>
  <c r="CO101" i="98"/>
  <c r="CP129" i="98"/>
  <c r="CF129" i="98"/>
  <c r="CF136" i="98"/>
  <c r="CK136" i="98"/>
  <c r="CE108" i="98"/>
  <c r="CJ108" i="98"/>
  <c r="CO108" i="98"/>
  <c r="CE122" i="98"/>
  <c r="CJ122" i="98"/>
  <c r="CJ161" i="98"/>
  <c r="CO161" i="98"/>
  <c r="CK64" i="98"/>
  <c r="CF64" i="98"/>
  <c r="CM74" i="98"/>
  <c r="CH74" i="98"/>
  <c r="CR74" i="98"/>
  <c r="CM94" i="98"/>
  <c r="CH94" i="98"/>
  <c r="CR94" i="98"/>
  <c r="CL113" i="98"/>
  <c r="CG113" i="98"/>
  <c r="CQ113" i="98"/>
  <c r="CQ72" i="98"/>
  <c r="CK58" i="98"/>
  <c r="CF58" i="98"/>
  <c r="CP58" i="98"/>
  <c r="CK109" i="98"/>
  <c r="CF109" i="98"/>
  <c r="CP109" i="98"/>
  <c r="CO145" i="98"/>
  <c r="CE145" i="98"/>
  <c r="CJ97" i="98"/>
  <c r="CO97" i="98"/>
  <c r="CE97" i="98"/>
  <c r="CF154" i="98"/>
  <c r="CP154" i="98"/>
  <c r="CK154" i="98"/>
  <c r="CH6" i="98"/>
  <c r="CR6" i="98"/>
  <c r="CM6" i="98"/>
  <c r="CH63" i="98"/>
  <c r="CR63" i="98"/>
  <c r="CM63" i="98"/>
  <c r="CQ10" i="98"/>
  <c r="CL10" i="98"/>
  <c r="CG10" i="98"/>
  <c r="CP48" i="98"/>
  <c r="CK129" i="98"/>
  <c r="CE100" i="98"/>
  <c r="CO100" i="98"/>
  <c r="CJ100" i="98"/>
  <c r="CE23" i="98"/>
  <c r="CJ23" i="98"/>
  <c r="CO23" i="98"/>
  <c r="CJ20" i="98"/>
  <c r="CO20" i="98"/>
  <c r="CR36" i="98"/>
  <c r="CH36" i="98"/>
  <c r="CM36" i="98"/>
  <c r="CQ107" i="98"/>
  <c r="CL107" i="98"/>
  <c r="CG107" i="98"/>
  <c r="CJ101" i="98"/>
  <c r="CR12" i="98"/>
  <c r="CF124" i="98"/>
  <c r="CK124" i="98"/>
  <c r="CP124" i="98"/>
  <c r="CJ8" i="98"/>
  <c r="CO8" i="98"/>
  <c r="CE8" i="98"/>
  <c r="CO32" i="98"/>
  <c r="CE32" i="98"/>
  <c r="CJ32" i="98"/>
  <c r="CL152" i="98"/>
  <c r="CQ152" i="98"/>
  <c r="CG152" i="98"/>
  <c r="CQ24" i="98"/>
  <c r="CJ145" i="98"/>
  <c r="CP123" i="98"/>
  <c r="CK123" i="98"/>
  <c r="CP90" i="98"/>
  <c r="CF90" i="98"/>
  <c r="CK90" i="98"/>
  <c r="CO15" i="98"/>
  <c r="CE15" i="98"/>
  <c r="CJ15" i="98"/>
  <c r="CE91" i="98"/>
  <c r="CJ91" i="98"/>
  <c r="CJ152" i="98"/>
  <c r="CO152" i="98"/>
  <c r="CE152" i="98"/>
  <c r="CF6" i="98"/>
  <c r="CK6" i="98"/>
  <c r="CM41" i="98"/>
  <c r="CH41" i="98"/>
  <c r="CR41" i="98"/>
  <c r="CG75" i="98"/>
  <c r="CQ75" i="98"/>
  <c r="CL75" i="98"/>
  <c r="CL89" i="98"/>
  <c r="CP64" i="98"/>
  <c r="CK141" i="98"/>
  <c r="CF141" i="98"/>
  <c r="CP141" i="98"/>
  <c r="CE111" i="98"/>
  <c r="CJ111" i="98"/>
  <c r="CO111" i="98"/>
  <c r="CE27" i="98"/>
  <c r="CJ27" i="98"/>
  <c r="CO27" i="98"/>
  <c r="CR13" i="98"/>
  <c r="CH13" i="98"/>
  <c r="CM13" i="98"/>
  <c r="CG94" i="98"/>
  <c r="CL94" i="98"/>
  <c r="CQ94" i="98"/>
  <c r="CQ74" i="98"/>
  <c r="CG133" i="98"/>
  <c r="CF107" i="98"/>
  <c r="CP107" i="98"/>
  <c r="CK107" i="98"/>
  <c r="CJ153" i="98"/>
  <c r="CO153" i="98"/>
  <c r="CE153" i="98"/>
  <c r="CK7" i="98"/>
  <c r="CP7" i="98"/>
  <c r="CQ112" i="98"/>
  <c r="CG112" i="98"/>
  <c r="CL112" i="98"/>
  <c r="CG74" i="98"/>
  <c r="CF123" i="98"/>
  <c r="CR14" i="98"/>
  <c r="CH14" i="98"/>
  <c r="CP21" i="98"/>
  <c r="CM14" i="98"/>
  <c r="CR84" i="98"/>
  <c r="CM84" i="98"/>
  <c r="CF13" i="98"/>
  <c r="CF147" i="98"/>
  <c r="CK21" i="98"/>
  <c r="CM135" i="98"/>
  <c r="CH135" i="98"/>
  <c r="CR135" i="98"/>
  <c r="CK13" i="98"/>
  <c r="CK147" i="98"/>
  <c r="CM55" i="98"/>
  <c r="CH71" i="98"/>
  <c r="CR71" i="98"/>
  <c r="CR110" i="98"/>
  <c r="CM110" i="98"/>
  <c r="CH110" i="98"/>
  <c r="CH151" i="98"/>
  <c r="CR151" i="98"/>
  <c r="CM151" i="98"/>
  <c r="CE120" i="98"/>
  <c r="CR35" i="98"/>
  <c r="CH35" i="98"/>
  <c r="CM35" i="98"/>
  <c r="CM149" i="98"/>
  <c r="CR149" i="98"/>
  <c r="CH149" i="98"/>
  <c r="CR58" i="98"/>
  <c r="CM120" i="98"/>
  <c r="CH120" i="98"/>
  <c r="CR39" i="98"/>
  <c r="CM39" i="98"/>
  <c r="CH39" i="98"/>
  <c r="CM142" i="98"/>
  <c r="CH142" i="98"/>
  <c r="CR142" i="98"/>
  <c r="CM99" i="98"/>
  <c r="CR99" i="98"/>
  <c r="CH99" i="98"/>
  <c r="CF41" i="98"/>
  <c r="CE63" i="98"/>
  <c r="CM119" i="98"/>
  <c r="CR119" i="98"/>
  <c r="CH119" i="98"/>
  <c r="CK115" i="98"/>
  <c r="CF115" i="98"/>
  <c r="CP115" i="98"/>
  <c r="CH98" i="98"/>
  <c r="CR98" i="98"/>
  <c r="CM98" i="98"/>
  <c r="AO53" i="96"/>
  <c r="BG53" i="96" s="1"/>
  <c r="AM52" i="96"/>
  <c r="BA52" i="96" s="1"/>
  <c r="AM53" i="96"/>
  <c r="BA53" i="96" s="1"/>
  <c r="AM100" i="96"/>
  <c r="BA100" i="96" s="1"/>
  <c r="AL107" i="96"/>
  <c r="AX107" i="96" s="1"/>
  <c r="AL52" i="96"/>
  <c r="AX52" i="96" s="1"/>
  <c r="AO96" i="96"/>
  <c r="BG96" i="96" s="1"/>
  <c r="AO58" i="96"/>
  <c r="BG58" i="96" s="1"/>
  <c r="AM59" i="96"/>
  <c r="BA59" i="96" s="1"/>
  <c r="AL53" i="96"/>
  <c r="AX53" i="96" s="1"/>
  <c r="AN100" i="96"/>
  <c r="BD100" i="96" s="1"/>
  <c r="AO108" i="96"/>
  <c r="BG108" i="96" s="1"/>
  <c r="AN50" i="96"/>
  <c r="BD50" i="96" s="1"/>
  <c r="AO101" i="96"/>
  <c r="BG101" i="96" s="1"/>
  <c r="AN45" i="96"/>
  <c r="BD45" i="96" s="1"/>
  <c r="AM89" i="96"/>
  <c r="BA89" i="96" s="1"/>
  <c r="AO107" i="96"/>
  <c r="BG107" i="96" s="1"/>
  <c r="AO99" i="96"/>
  <c r="BG99" i="96" s="1"/>
  <c r="AN141" i="96"/>
  <c r="BD141" i="96" s="1"/>
  <c r="AN52" i="96"/>
  <c r="BD52" i="96" s="1"/>
  <c r="AM96" i="96"/>
  <c r="BA96" i="96" s="1"/>
  <c r="AM78" i="96"/>
  <c r="BA78" i="96" s="1"/>
  <c r="AM58" i="96"/>
  <c r="BA58" i="96" s="1"/>
  <c r="AL138" i="96"/>
  <c r="AX138" i="96" s="1"/>
  <c r="AL59" i="96"/>
  <c r="AX59" i="96" s="1"/>
  <c r="AM98" i="96"/>
  <c r="BA98" i="96" s="1"/>
  <c r="AN140" i="96"/>
  <c r="BD140" i="96" s="1"/>
  <c r="AN53" i="96"/>
  <c r="BD53" i="96" s="1"/>
  <c r="AL100" i="96"/>
  <c r="AX100" i="96" s="1"/>
  <c r="AO135" i="96"/>
  <c r="BG135" i="96" s="1"/>
  <c r="AN44" i="96"/>
  <c r="BD44" i="96" s="1"/>
  <c r="AO130" i="96"/>
  <c r="BG130" i="96" s="1"/>
  <c r="AL82" i="96"/>
  <c r="AX82" i="96" s="1"/>
  <c r="AO63" i="96"/>
  <c r="BG63" i="96" s="1"/>
  <c r="AO133" i="96"/>
  <c r="BG133" i="96" s="1"/>
  <c r="AO132" i="96"/>
  <c r="BG132" i="96" s="1"/>
  <c r="AN89" i="96"/>
  <c r="BD89" i="96" s="1"/>
  <c r="AL57" i="96"/>
  <c r="AX57" i="96" s="1"/>
  <c r="AM106" i="96"/>
  <c r="BA106" i="96" s="1"/>
  <c r="AL70" i="96"/>
  <c r="AX70" i="96" s="1"/>
  <c r="AO52" i="96"/>
  <c r="BG52" i="96" s="1"/>
  <c r="AN96" i="96"/>
  <c r="BD96" i="96" s="1"/>
  <c r="AL78" i="96"/>
  <c r="AX78" i="96" s="1"/>
  <c r="AL71" i="96"/>
  <c r="AX71" i="96" s="1"/>
  <c r="AO131" i="96"/>
  <c r="BG131" i="96" s="1"/>
  <c r="AL109" i="96"/>
  <c r="AX109" i="96" s="1"/>
  <c r="AO138" i="96"/>
  <c r="BG138" i="96" s="1"/>
  <c r="AL87" i="96"/>
  <c r="AX87" i="96" s="1"/>
  <c r="AN59" i="96"/>
  <c r="BD59" i="96" s="1"/>
  <c r="AL125" i="96"/>
  <c r="AX125" i="96" s="1"/>
  <c r="AN54" i="96"/>
  <c r="BD54" i="96" s="1"/>
  <c r="AM51" i="96"/>
  <c r="BA51" i="96" s="1"/>
  <c r="AM62" i="96"/>
  <c r="BA62" i="96" s="1"/>
  <c r="AL47" i="96"/>
  <c r="AX47" i="96" s="1"/>
  <c r="AL54" i="96"/>
  <c r="AX54" i="96" s="1"/>
  <c r="AO55" i="96"/>
  <c r="BG55" i="96" s="1"/>
  <c r="AL48" i="96"/>
  <c r="AX48" i="96" s="1"/>
  <c r="AO51" i="96"/>
  <c r="BG51" i="96" s="1"/>
  <c r="AN62" i="96"/>
  <c r="BD62" i="96" s="1"/>
  <c r="AO111" i="96"/>
  <c r="BG111" i="96" s="1"/>
  <c r="AN113" i="96"/>
  <c r="BD113" i="96" s="1"/>
  <c r="AM115" i="96"/>
  <c r="BA115" i="96" s="1"/>
  <c r="AL134" i="96"/>
  <c r="AX134" i="96" s="1"/>
  <c r="AN47" i="96"/>
  <c r="BD47" i="96" s="1"/>
  <c r="AO54" i="96"/>
  <c r="BG54" i="96" s="1"/>
  <c r="AN55" i="96"/>
  <c r="BD55" i="96" s="1"/>
  <c r="AM48" i="96"/>
  <c r="BA48" i="96" s="1"/>
  <c r="AN95" i="96"/>
  <c r="BD95" i="96" s="1"/>
  <c r="AN51" i="96"/>
  <c r="BD51" i="96" s="1"/>
  <c r="AO62" i="96"/>
  <c r="BG62" i="96" s="1"/>
  <c r="AM112" i="96"/>
  <c r="BA112" i="96" s="1"/>
  <c r="AO113" i="96"/>
  <c r="BG113" i="96" s="1"/>
  <c r="AM60" i="96"/>
  <c r="BA60" i="96" s="1"/>
  <c r="AO110" i="96"/>
  <c r="BG110" i="96" s="1"/>
  <c r="AL75" i="96"/>
  <c r="AX75" i="96" s="1"/>
  <c r="AO115" i="96"/>
  <c r="BG115" i="96" s="1"/>
  <c r="AN104" i="96"/>
  <c r="BD104" i="96" s="1"/>
  <c r="AM97" i="96"/>
  <c r="BA97" i="96" s="1"/>
  <c r="AO134" i="96"/>
  <c r="BG134" i="96" s="1"/>
  <c r="AN43" i="96"/>
  <c r="BD43" i="96" s="1"/>
  <c r="AL102" i="96"/>
  <c r="AX102" i="96" s="1"/>
  <c r="AO61" i="96"/>
  <c r="AO77" i="96"/>
  <c r="BG77" i="96" s="1"/>
  <c r="AN48" i="96"/>
  <c r="BD48" i="96" s="1"/>
  <c r="AL80" i="96"/>
  <c r="AX80" i="96" s="1"/>
  <c r="AL123" i="96"/>
  <c r="AX123" i="96" s="1"/>
  <c r="AO95" i="96"/>
  <c r="BG95" i="96" s="1"/>
  <c r="AL51" i="96"/>
  <c r="AX51" i="96" s="1"/>
  <c r="AL72" i="96"/>
  <c r="AX72" i="96" s="1"/>
  <c r="AL62" i="96"/>
  <c r="AL60" i="96"/>
  <c r="AN56" i="96"/>
  <c r="AL110" i="96"/>
  <c r="AX110" i="96" s="1"/>
  <c r="AL83" i="96"/>
  <c r="AX83" i="96" s="1"/>
  <c r="AM104" i="96"/>
  <c r="BA104" i="96" s="1"/>
  <c r="AN97" i="96"/>
  <c r="BD97" i="96" s="1"/>
  <c r="AY128" i="96"/>
  <c r="AA117" i="103"/>
  <c r="AZ128" i="96"/>
  <c r="R118" i="106"/>
  <c r="V118" i="106" s="1"/>
  <c r="AB118" i="103"/>
  <c r="S119" i="106"/>
  <c r="W119" i="106" s="1"/>
  <c r="BB129" i="96"/>
  <c r="BC129" i="96"/>
  <c r="AW139" i="96"/>
  <c r="Z128" i="103"/>
  <c r="Q129" i="106"/>
  <c r="U129" i="106" s="1"/>
  <c r="AV139" i="96"/>
  <c r="BC87" i="96"/>
  <c r="AB76" i="103"/>
  <c r="S77" i="106"/>
  <c r="W77" i="106" s="1"/>
  <c r="BB87" i="96"/>
  <c r="AY129" i="96"/>
  <c r="AA118" i="103"/>
  <c r="AZ129" i="96"/>
  <c r="R119" i="106"/>
  <c r="V119" i="106" s="1"/>
  <c r="AV74" i="96"/>
  <c r="Q64" i="106"/>
  <c r="U64" i="106" s="1"/>
  <c r="AW74" i="96"/>
  <c r="Z63" i="103"/>
  <c r="AV95" i="96"/>
  <c r="Q85" i="106"/>
  <c r="U85" i="106" s="1"/>
  <c r="AW95" i="96"/>
  <c r="Z84" i="103"/>
  <c r="AB67" i="103"/>
  <c r="BB78" i="96"/>
  <c r="BC78" i="96"/>
  <c r="S68" i="106"/>
  <c r="W68" i="106" s="1"/>
  <c r="BC79" i="96"/>
  <c r="AB68" i="103"/>
  <c r="S69" i="106"/>
  <c r="W69" i="106" s="1"/>
  <c r="BB79" i="96"/>
  <c r="R39" i="106"/>
  <c r="V39" i="106" s="1"/>
  <c r="AZ49" i="96"/>
  <c r="AA38" i="103"/>
  <c r="AY49" i="96"/>
  <c r="AY95" i="96"/>
  <c r="Q98" i="106"/>
  <c r="U98" i="106" s="1"/>
  <c r="AW108" i="96"/>
  <c r="AV108" i="96"/>
  <c r="Z97" i="103"/>
  <c r="R111" i="106"/>
  <c r="V111" i="106" s="1"/>
  <c r="AA110" i="103"/>
  <c r="AZ121" i="96"/>
  <c r="AY121" i="96"/>
  <c r="T72" i="106"/>
  <c r="AC71" i="103"/>
  <c r="BF82" i="96"/>
  <c r="BE82" i="96"/>
  <c r="L82" i="97"/>
  <c r="L83" i="97"/>
  <c r="BF83" i="96"/>
  <c r="T73" i="106"/>
  <c r="AC72" i="103"/>
  <c r="BE83" i="96"/>
  <c r="AV104" i="96"/>
  <c r="AW104" i="96"/>
  <c r="Q94" i="106"/>
  <c r="Z93" i="103"/>
  <c r="AV121" i="96"/>
  <c r="Q111" i="106"/>
  <c r="U111" i="106" s="1"/>
  <c r="AW121" i="96"/>
  <c r="Z110" i="103"/>
  <c r="L87" i="97"/>
  <c r="BE87" i="96"/>
  <c r="T77" i="106"/>
  <c r="BF87" i="96"/>
  <c r="AC76" i="103"/>
  <c r="L76" i="97"/>
  <c r="BE76" i="96"/>
  <c r="T66" i="106"/>
  <c r="AC65" i="103"/>
  <c r="BF76" i="96"/>
  <c r="L46" i="97"/>
  <c r="BE46" i="96"/>
  <c r="BF46" i="96"/>
  <c r="T36" i="106"/>
  <c r="AC35" i="103"/>
  <c r="Z75" i="103"/>
  <c r="AW86" i="96"/>
  <c r="AV86" i="96"/>
  <c r="Q76" i="106"/>
  <c r="U76" i="106" s="1"/>
  <c r="BF72" i="96"/>
  <c r="BE72" i="96"/>
  <c r="T62" i="106"/>
  <c r="AC61" i="103"/>
  <c r="L72" i="97"/>
  <c r="L57" i="97"/>
  <c r="BE57" i="96"/>
  <c r="T47" i="106"/>
  <c r="BF57" i="96"/>
  <c r="AC46" i="103"/>
  <c r="BF105" i="96"/>
  <c r="AC94" i="103"/>
  <c r="BE105" i="96"/>
  <c r="T95" i="106"/>
  <c r="L105" i="97"/>
  <c r="AY114" i="96"/>
  <c r="R104" i="106"/>
  <c r="V104" i="106" s="1"/>
  <c r="AA103" i="103"/>
  <c r="AZ114" i="96"/>
  <c r="S91" i="106"/>
  <c r="W91" i="106" s="1"/>
  <c r="AB90" i="103"/>
  <c r="BB101" i="96"/>
  <c r="BC101" i="96"/>
  <c r="BA128" i="96"/>
  <c r="BD129" i="96"/>
  <c r="L80" i="97"/>
  <c r="AC69" i="103"/>
  <c r="BE80" i="96"/>
  <c r="BF80" i="96"/>
  <c r="T70" i="106"/>
  <c r="AB94" i="103"/>
  <c r="BC105" i="96"/>
  <c r="BB105" i="96"/>
  <c r="S95" i="106"/>
  <c r="W95" i="106" s="1"/>
  <c r="BD87" i="96"/>
  <c r="BA129" i="96"/>
  <c r="BD79" i="96"/>
  <c r="BA49" i="96"/>
  <c r="Z73" i="103"/>
  <c r="AW84" i="96"/>
  <c r="Q74" i="106"/>
  <c r="U74" i="106" s="1"/>
  <c r="AV84" i="96"/>
  <c r="S72" i="106"/>
  <c r="W72" i="106" s="1"/>
  <c r="BC82" i="96"/>
  <c r="BB82" i="96"/>
  <c r="AB71" i="103"/>
  <c r="BB130" i="96"/>
  <c r="BC130" i="96"/>
  <c r="AA111" i="103"/>
  <c r="AZ122" i="96"/>
  <c r="AY122" i="96"/>
  <c r="R112" i="106"/>
  <c r="V112" i="106" s="1"/>
  <c r="BG83" i="96"/>
  <c r="Z39" i="103"/>
  <c r="AW50" i="96"/>
  <c r="Q40" i="106"/>
  <c r="U40" i="106" s="1"/>
  <c r="AV50" i="96"/>
  <c r="S60" i="106"/>
  <c r="W60" i="106" s="1"/>
  <c r="AB59" i="103"/>
  <c r="BB70" i="96"/>
  <c r="BC70" i="96"/>
  <c r="L88" i="97"/>
  <c r="AC77" i="103"/>
  <c r="BE88" i="96"/>
  <c r="BF88" i="96"/>
  <c r="T78" i="106"/>
  <c r="BG46" i="96"/>
  <c r="AX86" i="96"/>
  <c r="BG72" i="96"/>
  <c r="BG57" i="96"/>
  <c r="AB113" i="103"/>
  <c r="BC124" i="96"/>
  <c r="BB124" i="96"/>
  <c r="S114" i="106"/>
  <c r="W114" i="106" s="1"/>
  <c r="BC88" i="96"/>
  <c r="BB88" i="96"/>
  <c r="AB77" i="103"/>
  <c r="S78" i="106"/>
  <c r="W78" i="106" s="1"/>
  <c r="R74" i="106"/>
  <c r="V74" i="106" s="1"/>
  <c r="AY84" i="96"/>
  <c r="AA73" i="103"/>
  <c r="AZ84" i="96"/>
  <c r="AC32" i="103"/>
  <c r="T33" i="106"/>
  <c r="BE43" i="96"/>
  <c r="BF43" i="96"/>
  <c r="L129" i="97"/>
  <c r="T119" i="106"/>
  <c r="BF129" i="96"/>
  <c r="BE129" i="96"/>
  <c r="AC118" i="103"/>
  <c r="BE112" i="96"/>
  <c r="BF112" i="96"/>
  <c r="T102" i="106"/>
  <c r="AC101" i="103"/>
  <c r="L112" i="97"/>
  <c r="Q130" i="106"/>
  <c r="U130" i="106" s="1"/>
  <c r="AW140" i="96"/>
  <c r="Z129" i="103"/>
  <c r="AV140" i="96"/>
  <c r="BC81" i="96"/>
  <c r="AB70" i="103"/>
  <c r="BB81" i="96"/>
  <c r="S71" i="106"/>
  <c r="W71" i="106" s="1"/>
  <c r="BB122" i="96"/>
  <c r="S112" i="106"/>
  <c r="W112" i="106" s="1"/>
  <c r="AB111" i="103"/>
  <c r="BC122" i="96"/>
  <c r="Z50" i="103"/>
  <c r="AW61" i="96"/>
  <c r="Q51" i="106"/>
  <c r="U51" i="106" s="1"/>
  <c r="AV61" i="96"/>
  <c r="AV69" i="96"/>
  <c r="AW69" i="96"/>
  <c r="Q59" i="106"/>
  <c r="U59" i="106" s="1"/>
  <c r="Z58" i="103"/>
  <c r="BE70" i="96"/>
  <c r="BF70" i="96"/>
  <c r="AC59" i="103"/>
  <c r="T60" i="106"/>
  <c r="L70" i="97"/>
  <c r="BE85" i="96"/>
  <c r="AC74" i="103"/>
  <c r="T75" i="106"/>
  <c r="BF85" i="96"/>
  <c r="L85" i="97"/>
  <c r="BB84" i="96"/>
  <c r="AB73" i="103"/>
  <c r="BC84" i="96"/>
  <c r="S74" i="106"/>
  <c r="W74" i="106" s="1"/>
  <c r="AB100" i="103"/>
  <c r="S101" i="106"/>
  <c r="W101" i="106" s="1"/>
  <c r="BC111" i="96"/>
  <c r="BB111" i="96"/>
  <c r="AZ99" i="96"/>
  <c r="AA88" i="103"/>
  <c r="AY99" i="96"/>
  <c r="R89" i="106"/>
  <c r="V89" i="106" s="1"/>
  <c r="BD88" i="96"/>
  <c r="AB65" i="103"/>
  <c r="BB76" i="96"/>
  <c r="S66" i="106"/>
  <c r="W66" i="106" s="1"/>
  <c r="BC76" i="96"/>
  <c r="AY43" i="96"/>
  <c r="AZ43" i="96"/>
  <c r="AA32" i="103"/>
  <c r="R33" i="106"/>
  <c r="V33" i="106" s="1"/>
  <c r="T35" i="106"/>
  <c r="R66" i="106"/>
  <c r="V66" i="106" s="1"/>
  <c r="AY76" i="96"/>
  <c r="AA65" i="103"/>
  <c r="AZ76" i="96"/>
  <c r="S36" i="106"/>
  <c r="W36" i="106" s="1"/>
  <c r="BC46" i="96"/>
  <c r="BB46" i="96"/>
  <c r="AB35" i="103"/>
  <c r="S100" i="106"/>
  <c r="W100" i="106" s="1"/>
  <c r="BC110" i="96"/>
  <c r="BB110" i="96"/>
  <c r="AB99" i="103"/>
  <c r="AB121" i="103"/>
  <c r="BB132" i="96"/>
  <c r="BC132" i="96"/>
  <c r="S122" i="106"/>
  <c r="W122" i="106" s="1"/>
  <c r="AA71" i="103"/>
  <c r="R72" i="106"/>
  <c r="V72" i="106" s="1"/>
  <c r="AZ82" i="96"/>
  <c r="AY82" i="96"/>
  <c r="BF141" i="96"/>
  <c r="AC130" i="103"/>
  <c r="BE141" i="96"/>
  <c r="T131" i="106"/>
  <c r="L141" i="97"/>
  <c r="BE98" i="96"/>
  <c r="T88" i="106"/>
  <c r="BF98" i="96"/>
  <c r="AC87" i="103"/>
  <c r="L98" i="97"/>
  <c r="AY140" i="96"/>
  <c r="AA129" i="103"/>
  <c r="AZ140" i="96"/>
  <c r="R130" i="106"/>
  <c r="V130" i="106" s="1"/>
  <c r="AA68" i="103"/>
  <c r="AZ79" i="96"/>
  <c r="R69" i="106"/>
  <c r="V69" i="106" s="1"/>
  <c r="AY79" i="96"/>
  <c r="Q131" i="106"/>
  <c r="L56" i="97"/>
  <c r="BE56" i="96"/>
  <c r="AC45" i="103"/>
  <c r="BF56" i="96"/>
  <c r="T46" i="106"/>
  <c r="AB91" i="103"/>
  <c r="BB102" i="96"/>
  <c r="BC102" i="96"/>
  <c r="S92" i="106"/>
  <c r="W92" i="106" s="1"/>
  <c r="Q96" i="106"/>
  <c r="U96" i="106" s="1"/>
  <c r="AV106" i="96"/>
  <c r="AW106" i="96"/>
  <c r="Z95" i="103"/>
  <c r="AA62" i="103"/>
  <c r="R63" i="106"/>
  <c r="V63" i="106" s="1"/>
  <c r="AY73" i="96"/>
  <c r="AZ73" i="96"/>
  <c r="Z35" i="103"/>
  <c r="AV46" i="96"/>
  <c r="AW46" i="96"/>
  <c r="Q36" i="106"/>
  <c r="U36" i="106" s="1"/>
  <c r="Z33" i="103"/>
  <c r="AV44" i="96"/>
  <c r="AW44" i="96"/>
  <c r="Q34" i="106"/>
  <c r="U34" i="106" s="1"/>
  <c r="BD81" i="96"/>
  <c r="AB61" i="103"/>
  <c r="BC72" i="96"/>
  <c r="BB72" i="96"/>
  <c r="S62" i="106"/>
  <c r="W62" i="106" s="1"/>
  <c r="AX61" i="96"/>
  <c r="BG70" i="96"/>
  <c r="BG85" i="96"/>
  <c r="BD84" i="96"/>
  <c r="BD76" i="96"/>
  <c r="BA43" i="96"/>
  <c r="AW128" i="96"/>
  <c r="AB62" i="103"/>
  <c r="S63" i="106"/>
  <c r="W63" i="106" s="1"/>
  <c r="BC73" i="96"/>
  <c r="BB73" i="96"/>
  <c r="AY136" i="96"/>
  <c r="AZ136" i="96"/>
  <c r="AA125" i="103"/>
  <c r="R126" i="106"/>
  <c r="V126" i="106" s="1"/>
  <c r="BA76" i="96"/>
  <c r="BD46" i="96"/>
  <c r="AC93" i="103"/>
  <c r="L104" i="97"/>
  <c r="AZ71" i="96"/>
  <c r="AY71" i="96"/>
  <c r="AA60" i="103"/>
  <c r="R61" i="106"/>
  <c r="V61" i="106" s="1"/>
  <c r="BD132" i="96"/>
  <c r="BA82" i="96"/>
  <c r="BG141" i="96"/>
  <c r="Z45" i="103"/>
  <c r="Q46" i="106"/>
  <c r="U46" i="106" s="1"/>
  <c r="AW56" i="96"/>
  <c r="AV56" i="96"/>
  <c r="S99" i="106"/>
  <c r="W99" i="106" s="1"/>
  <c r="BC109" i="96"/>
  <c r="BB109" i="96"/>
  <c r="AB98" i="103"/>
  <c r="BA140" i="96"/>
  <c r="BA79" i="96"/>
  <c r="R73" i="106"/>
  <c r="V73" i="106" s="1"/>
  <c r="AZ83" i="96"/>
  <c r="AA72" i="103"/>
  <c r="AY83" i="96"/>
  <c r="BG56" i="96"/>
  <c r="L139" i="97"/>
  <c r="BE139" i="96"/>
  <c r="T129" i="106"/>
  <c r="BF139" i="96"/>
  <c r="AC128" i="103"/>
  <c r="BA73" i="96"/>
  <c r="AX46" i="96"/>
  <c r="AX44" i="96"/>
  <c r="Q120" i="106"/>
  <c r="U120" i="106" s="1"/>
  <c r="AV130" i="96"/>
  <c r="Z119" i="103"/>
  <c r="AW130" i="96"/>
  <c r="BD72" i="96"/>
  <c r="S47" i="106"/>
  <c r="W47" i="106" s="1"/>
  <c r="AB46" i="103"/>
  <c r="BB57" i="96"/>
  <c r="BC57" i="96"/>
  <c r="S89" i="106"/>
  <c r="W89" i="106" s="1"/>
  <c r="BC99" i="96"/>
  <c r="AB88" i="103"/>
  <c r="BB99" i="96"/>
  <c r="AY132" i="96"/>
  <c r="R122" i="106"/>
  <c r="V122" i="106" s="1"/>
  <c r="AZ132" i="96"/>
  <c r="AA121" i="103"/>
  <c r="L81" i="97"/>
  <c r="AC70" i="103"/>
  <c r="BF81" i="96"/>
  <c r="T71" i="106"/>
  <c r="BE81" i="96"/>
  <c r="Z52" i="103"/>
  <c r="Q53" i="106"/>
  <c r="AW63" i="96"/>
  <c r="AV63" i="96"/>
  <c r="AZ69" i="96"/>
  <c r="AA58" i="103"/>
  <c r="AY69" i="96"/>
  <c r="R59" i="106"/>
  <c r="V59" i="106" s="1"/>
  <c r="AY124" i="96"/>
  <c r="AA113" i="103"/>
  <c r="R114" i="106"/>
  <c r="V114" i="106" s="1"/>
  <c r="AZ124" i="96"/>
  <c r="Z121" i="103"/>
  <c r="Q122" i="106"/>
  <c r="U122" i="106" s="1"/>
  <c r="AW132" i="96"/>
  <c r="AV132" i="96"/>
  <c r="AY77" i="96"/>
  <c r="AZ77" i="96"/>
  <c r="AA66" i="103"/>
  <c r="R67" i="106"/>
  <c r="V67" i="106" s="1"/>
  <c r="BD73" i="96"/>
  <c r="AA120" i="103"/>
  <c r="R121" i="106"/>
  <c r="V121" i="106" s="1"/>
  <c r="AY131" i="96"/>
  <c r="AZ131" i="96"/>
  <c r="BA136" i="96"/>
  <c r="AZ87" i="96"/>
  <c r="AY87" i="96"/>
  <c r="R77" i="106"/>
  <c r="V77" i="106" s="1"/>
  <c r="AA76" i="103"/>
  <c r="S126" i="106"/>
  <c r="W126" i="106" s="1"/>
  <c r="BC136" i="96"/>
  <c r="BB136" i="96"/>
  <c r="AB125" i="103"/>
  <c r="AX56" i="96"/>
  <c r="BC139" i="96"/>
  <c r="BB139" i="96"/>
  <c r="S129" i="106"/>
  <c r="W129" i="106" s="1"/>
  <c r="AB128" i="103"/>
  <c r="BA83" i="96"/>
  <c r="BG139" i="96"/>
  <c r="AY85" i="96"/>
  <c r="AZ85" i="96"/>
  <c r="R75" i="106"/>
  <c r="V75" i="106" s="1"/>
  <c r="AA74" i="103"/>
  <c r="AX130" i="96"/>
  <c r="Q114" i="106"/>
  <c r="U114" i="106" s="1"/>
  <c r="AV124" i="96"/>
  <c r="AW124" i="96"/>
  <c r="Z113" i="103"/>
  <c r="BD57" i="96"/>
  <c r="R98" i="106"/>
  <c r="V98" i="106" s="1"/>
  <c r="AY108" i="96"/>
  <c r="AZ108" i="96"/>
  <c r="AA97" i="103"/>
  <c r="BA132" i="96"/>
  <c r="AC86" i="103"/>
  <c r="BF97" i="96"/>
  <c r="BE97" i="96"/>
  <c r="T87" i="106"/>
  <c r="L97" i="97"/>
  <c r="BE123" i="96"/>
  <c r="T113" i="106"/>
  <c r="AC112" i="103"/>
  <c r="BF123" i="96"/>
  <c r="L123" i="97"/>
  <c r="BC128" i="96"/>
  <c r="BB128" i="96"/>
  <c r="AB117" i="103"/>
  <c r="S118" i="106"/>
  <c r="W118" i="106" s="1"/>
  <c r="BE124" i="96"/>
  <c r="T114" i="106"/>
  <c r="AC113" i="103"/>
  <c r="BF124" i="96"/>
  <c r="L124" i="97"/>
  <c r="BB126" i="96"/>
  <c r="AB115" i="103"/>
  <c r="S116" i="106"/>
  <c r="W116" i="106" s="1"/>
  <c r="BC126" i="96"/>
  <c r="AV105" i="96"/>
  <c r="Q95" i="106"/>
  <c r="U95" i="106" s="1"/>
  <c r="AW105" i="96"/>
  <c r="Z94" i="103"/>
  <c r="AC89" i="103"/>
  <c r="T90" i="106"/>
  <c r="BE100" i="96"/>
  <c r="BF100" i="96"/>
  <c r="L100" i="97"/>
  <c r="R53" i="106"/>
  <c r="AZ63" i="96"/>
  <c r="AY63" i="96"/>
  <c r="AA52" i="103"/>
  <c r="BB115" i="96"/>
  <c r="AB104" i="103"/>
  <c r="BC115" i="96"/>
  <c r="S105" i="106"/>
  <c r="AA63" i="103"/>
  <c r="R64" i="106"/>
  <c r="V64" i="106" s="1"/>
  <c r="AY74" i="96"/>
  <c r="AZ74" i="96"/>
  <c r="AB58" i="103"/>
  <c r="BC69" i="96"/>
  <c r="BB69" i="96"/>
  <c r="S59" i="106"/>
  <c r="W59" i="106" s="1"/>
  <c r="AW112" i="96"/>
  <c r="AV112" i="96"/>
  <c r="Q102" i="106"/>
  <c r="U102" i="106" s="1"/>
  <c r="Z101" i="103"/>
  <c r="Q87" i="106"/>
  <c r="U87" i="106" s="1"/>
  <c r="AV97" i="96"/>
  <c r="AW97" i="96"/>
  <c r="Z86" i="103"/>
  <c r="AY45" i="96"/>
  <c r="AZ45" i="96"/>
  <c r="R35" i="106"/>
  <c r="V35" i="106" s="1"/>
  <c r="AA34" i="103"/>
  <c r="AA112" i="103"/>
  <c r="R113" i="106"/>
  <c r="V113" i="106" s="1"/>
  <c r="AY123" i="96"/>
  <c r="AZ123" i="96"/>
  <c r="AA69" i="103"/>
  <c r="AY80" i="96"/>
  <c r="R70" i="106"/>
  <c r="V70" i="106" s="1"/>
  <c r="AZ80" i="96"/>
  <c r="AA46" i="103"/>
  <c r="AY57" i="96"/>
  <c r="AZ57" i="96"/>
  <c r="R47" i="106"/>
  <c r="V47" i="106" s="1"/>
  <c r="AB103" i="103"/>
  <c r="BB114" i="96"/>
  <c r="S104" i="106"/>
  <c r="W104" i="106" s="1"/>
  <c r="BC114" i="96"/>
  <c r="AB69" i="103"/>
  <c r="BB80" i="96"/>
  <c r="S70" i="106"/>
  <c r="W70" i="106" s="1"/>
  <c r="BC80" i="96"/>
  <c r="AY105" i="96"/>
  <c r="AZ105" i="96"/>
  <c r="AA94" i="103"/>
  <c r="R95" i="106"/>
  <c r="V95" i="106" s="1"/>
  <c r="BE69" i="96"/>
  <c r="AC58" i="103"/>
  <c r="BF69" i="96"/>
  <c r="T59" i="106"/>
  <c r="AX139" i="96"/>
  <c r="AX74" i="96"/>
  <c r="AX95" i="96"/>
  <c r="BD78" i="96"/>
  <c r="AB72" i="103"/>
  <c r="BB83" i="96"/>
  <c r="S73" i="106"/>
  <c r="W73" i="106" s="1"/>
  <c r="BC83" i="96"/>
  <c r="AW113" i="96"/>
  <c r="AV113" i="96"/>
  <c r="Q103" i="106"/>
  <c r="U103" i="106" s="1"/>
  <c r="Z102" i="103"/>
  <c r="BB74" i="96"/>
  <c r="BC74" i="96"/>
  <c r="S64" i="106"/>
  <c r="W64" i="106" s="1"/>
  <c r="AB63" i="103"/>
  <c r="BF89" i="96"/>
  <c r="AC78" i="103"/>
  <c r="BE89" i="96"/>
  <c r="T79" i="106"/>
  <c r="L89" i="97"/>
  <c r="AX108" i="96"/>
  <c r="BA74" i="96"/>
  <c r="BA121" i="96"/>
  <c r="BG82" i="96"/>
  <c r="BD69" i="96"/>
  <c r="AZ56" i="96"/>
  <c r="R46" i="106"/>
  <c r="V46" i="106" s="1"/>
  <c r="AA45" i="103"/>
  <c r="AY56" i="96"/>
  <c r="AX104" i="96"/>
  <c r="BC86" i="96"/>
  <c r="AB75" i="103"/>
  <c r="BB86" i="96"/>
  <c r="S76" i="106"/>
  <c r="W76" i="106" s="1"/>
  <c r="AX121" i="96"/>
  <c r="BG87" i="96"/>
  <c r="BG76" i="96"/>
  <c r="Q86" i="106"/>
  <c r="U86" i="106" s="1"/>
  <c r="AW96" i="96"/>
  <c r="AV96" i="96"/>
  <c r="Z85" i="103"/>
  <c r="BA123" i="96"/>
  <c r="BA80" i="96"/>
  <c r="BA57" i="96"/>
  <c r="BG105" i="96"/>
  <c r="BA114" i="96"/>
  <c r="BD101" i="96"/>
  <c r="AS69" i="96"/>
  <c r="AP96" i="96"/>
  <c r="AR69" i="96"/>
  <c r="AS43" i="96"/>
  <c r="AP44" i="96"/>
  <c r="AG20" i="106"/>
  <c r="F34" i="107"/>
  <c r="AG19" i="106"/>
  <c r="J34" i="107"/>
  <c r="J86" i="107"/>
  <c r="AQ122" i="96"/>
  <c r="F86" i="107"/>
  <c r="AQ70" i="96"/>
  <c r="I59" i="107"/>
  <c r="M59" i="107"/>
  <c r="H59" i="107"/>
  <c r="L59" i="107"/>
  <c r="I33" i="107"/>
  <c r="M33" i="107"/>
  <c r="AQ123" i="96"/>
  <c r="K112" i="107"/>
  <c r="G112" i="107"/>
  <c r="K60" i="107"/>
  <c r="G60" i="107"/>
  <c r="AQ71" i="96"/>
  <c r="G113" i="107"/>
  <c r="K113" i="107"/>
  <c r="K61" i="107"/>
  <c r="G61" i="107"/>
  <c r="Y122" i="106" l="1"/>
  <c r="S120" i="106"/>
  <c r="W120" i="106" s="1"/>
  <c r="T94" i="106"/>
  <c r="AB119" i="103"/>
  <c r="BF104" i="96"/>
  <c r="BE104" i="96"/>
  <c r="Q118" i="106"/>
  <c r="U118" i="106" s="1"/>
  <c r="AV141" i="96"/>
  <c r="L45" i="97"/>
  <c r="AA84" i="103"/>
  <c r="AN135" i="96"/>
  <c r="BD135" i="96" s="1"/>
  <c r="AM61" i="96"/>
  <c r="AN60" i="96"/>
  <c r="AM75" i="96"/>
  <c r="BA103" i="96"/>
  <c r="BD77" i="96"/>
  <c r="BA130" i="96"/>
  <c r="BG45" i="96"/>
  <c r="AW141" i="96"/>
  <c r="T130" i="106"/>
  <c r="AA59" i="103"/>
  <c r="AZ95" i="96"/>
  <c r="AM135" i="96"/>
  <c r="BA135" i="96" s="1"/>
  <c r="AL77" i="96"/>
  <c r="AX77" i="96" s="1"/>
  <c r="BA95" i="96"/>
  <c r="BF140" i="96"/>
  <c r="AZ70" i="96"/>
  <c r="AY103" i="96"/>
  <c r="BD103" i="96"/>
  <c r="AB92" i="103"/>
  <c r="BC103" i="96"/>
  <c r="S93" i="106"/>
  <c r="W93" i="106" s="1"/>
  <c r="BB103" i="96"/>
  <c r="AL88" i="96"/>
  <c r="AX88" i="96" s="1"/>
  <c r="BA141" i="96"/>
  <c r="R131" i="106"/>
  <c r="AY141" i="96"/>
  <c r="AA130" i="103"/>
  <c r="AZ141" i="96"/>
  <c r="BG128" i="96"/>
  <c r="L128" i="97"/>
  <c r="BE128" i="96"/>
  <c r="BF128" i="96"/>
  <c r="AC117" i="103"/>
  <c r="AF117" i="103" s="1"/>
  <c r="T118" i="106"/>
  <c r="AL122" i="96"/>
  <c r="AX122" i="96"/>
  <c r="BD98" i="96"/>
  <c r="BC98" i="96"/>
  <c r="BB98" i="96"/>
  <c r="S88" i="106"/>
  <c r="W88" i="106" s="1"/>
  <c r="AB87" i="103"/>
  <c r="AO75" i="96"/>
  <c r="BG75" i="96" s="1"/>
  <c r="AL45" i="96"/>
  <c r="AX45" i="96" s="1"/>
  <c r="AL58" i="96"/>
  <c r="AX58" i="96" s="1"/>
  <c r="AO60" i="96"/>
  <c r="AC129" i="103"/>
  <c r="AY70" i="96"/>
  <c r="AZ103" i="96"/>
  <c r="AM110" i="96"/>
  <c r="BA110" i="96" s="1"/>
  <c r="AO126" i="96"/>
  <c r="BG126" i="96" s="1"/>
  <c r="AL101" i="96"/>
  <c r="AX101" i="96" s="1"/>
  <c r="AO48" i="96"/>
  <c r="AM72" i="96"/>
  <c r="BA72" i="96" s="1"/>
  <c r="AX127" i="96"/>
  <c r="Q117" i="106"/>
  <c r="U117" i="106" s="1"/>
  <c r="AW127" i="96"/>
  <c r="Z116" i="103"/>
  <c r="AV127" i="96"/>
  <c r="AN123" i="96"/>
  <c r="R120" i="106"/>
  <c r="BE140" i="96"/>
  <c r="R60" i="106"/>
  <c r="V60" i="106" s="1"/>
  <c r="AA92" i="103"/>
  <c r="AM126" i="96"/>
  <c r="BA126" i="96" s="1"/>
  <c r="AM125" i="96"/>
  <c r="BA125" i="96" s="1"/>
  <c r="AN85" i="96"/>
  <c r="BA127" i="96"/>
  <c r="AA116" i="103"/>
  <c r="R117" i="106"/>
  <c r="V117" i="106" s="1"/>
  <c r="AY127" i="96"/>
  <c r="AZ127" i="96"/>
  <c r="AN63" i="96"/>
  <c r="BD63" i="96" s="1"/>
  <c r="AO49" i="96"/>
  <c r="BG49" i="96" s="1"/>
  <c r="Z78" i="103"/>
  <c r="AZ130" i="96"/>
  <c r="L140" i="97"/>
  <c r="AZ88" i="96"/>
  <c r="AN125" i="96"/>
  <c r="BD125" i="96" s="1"/>
  <c r="AO136" i="96"/>
  <c r="BA111" i="96"/>
  <c r="R101" i="106"/>
  <c r="V101" i="106" s="1"/>
  <c r="AA100" i="103"/>
  <c r="AZ111" i="96"/>
  <c r="AY111" i="96"/>
  <c r="AN127" i="96"/>
  <c r="BD127" i="96" s="1"/>
  <c r="AL49" i="96"/>
  <c r="Q79" i="106"/>
  <c r="U79" i="106" s="1"/>
  <c r="AA119" i="103"/>
  <c r="BA70" i="96"/>
  <c r="AA77" i="103"/>
  <c r="AL126" i="96"/>
  <c r="AM101" i="96"/>
  <c r="BA101" i="96" s="1"/>
  <c r="AL85" i="96"/>
  <c r="AX85" i="96" s="1"/>
  <c r="AX129" i="96"/>
  <c r="Z118" i="103"/>
  <c r="AF118" i="103" s="1"/>
  <c r="AW129" i="96"/>
  <c r="Q119" i="106"/>
  <c r="U119" i="106" s="1"/>
  <c r="Y119" i="106" s="1"/>
  <c r="AV129" i="96"/>
  <c r="BD108" i="96"/>
  <c r="BB108" i="96"/>
  <c r="AB97" i="103"/>
  <c r="BC108" i="96"/>
  <c r="S98" i="106"/>
  <c r="W98" i="106" s="1"/>
  <c r="Y98" i="106" s="1"/>
  <c r="AL136" i="96"/>
  <c r="AM54" i="96"/>
  <c r="BA54" i="96" s="1"/>
  <c r="AX111" i="96"/>
  <c r="AW111" i="96"/>
  <c r="Q101" i="106"/>
  <c r="U101" i="106" s="1"/>
  <c r="Z100" i="103"/>
  <c r="AV111" i="96"/>
  <c r="AO127" i="96"/>
  <c r="BG127" i="96" s="1"/>
  <c r="AN49" i="96"/>
  <c r="BD49" i="96" s="1"/>
  <c r="AW89" i="96"/>
  <c r="R78" i="106"/>
  <c r="V78" i="106" s="1"/>
  <c r="AN71" i="96"/>
  <c r="AO59" i="96"/>
  <c r="AO78" i="96"/>
  <c r="BG78" i="96" s="1"/>
  <c r="BD137" i="96"/>
  <c r="AB126" i="103"/>
  <c r="BC137" i="96"/>
  <c r="BB137" i="96"/>
  <c r="S127" i="106"/>
  <c r="W127" i="106" s="1"/>
  <c r="AM102" i="96"/>
  <c r="BA102" i="96" s="1"/>
  <c r="AO86" i="96"/>
  <c r="BG86" i="96" s="1"/>
  <c r="AM47" i="96"/>
  <c r="AL133" i="96"/>
  <c r="BC106" i="96"/>
  <c r="AV89" i="96"/>
  <c r="BB77" i="96"/>
  <c r="Z87" i="103"/>
  <c r="AY88" i="96"/>
  <c r="AM81" i="96"/>
  <c r="BA137" i="96"/>
  <c r="AY137" i="96"/>
  <c r="R127" i="106"/>
  <c r="V127" i="106" s="1"/>
  <c r="AZ137" i="96"/>
  <c r="AA126" i="103"/>
  <c r="AL43" i="96"/>
  <c r="AM44" i="96"/>
  <c r="BA44" i="96" s="1"/>
  <c r="BA133" i="96"/>
  <c r="AY133" i="96"/>
  <c r="R123" i="106"/>
  <c r="V123" i="106" s="1"/>
  <c r="AZ133" i="96"/>
  <c r="AA122" i="103"/>
  <c r="AN61" i="96"/>
  <c r="AO109" i="96"/>
  <c r="BG109" i="96" s="1"/>
  <c r="S96" i="106"/>
  <c r="W96" i="106" s="1"/>
  <c r="AB64" i="103"/>
  <c r="BC77" i="96"/>
  <c r="Q88" i="106"/>
  <c r="U88" i="106" s="1"/>
  <c r="AO71" i="96"/>
  <c r="BG71" i="96" s="1"/>
  <c r="AL137" i="96"/>
  <c r="AX137" i="96" s="1"/>
  <c r="AO121" i="96"/>
  <c r="BG121" i="96" s="1"/>
  <c r="BG102" i="96"/>
  <c r="AC91" i="103"/>
  <c r="BE102" i="96"/>
  <c r="BF102" i="96"/>
  <c r="T92" i="106"/>
  <c r="L102" i="97"/>
  <c r="AO44" i="96"/>
  <c r="BG44" i="96" s="1"/>
  <c r="BD133" i="96"/>
  <c r="S123" i="106"/>
  <c r="W123" i="106" s="1"/>
  <c r="BC133" i="96"/>
  <c r="AB122" i="103"/>
  <c r="BB133" i="96"/>
  <c r="AO74" i="96"/>
  <c r="BG74" i="96" s="1"/>
  <c r="AB95" i="103"/>
  <c r="BB75" i="96"/>
  <c r="AB66" i="103"/>
  <c r="AV98" i="96"/>
  <c r="AX81" i="96"/>
  <c r="Z70" i="103"/>
  <c r="Q71" i="106"/>
  <c r="U71" i="106" s="1"/>
  <c r="AV81" i="96"/>
  <c r="AW81" i="96"/>
  <c r="BD112" i="96"/>
  <c r="BC112" i="96"/>
  <c r="S102" i="106"/>
  <c r="W102" i="106" s="1"/>
  <c r="AB101" i="103"/>
  <c r="BB112" i="96"/>
  <c r="AO137" i="96"/>
  <c r="BG137" i="96" s="1"/>
  <c r="AX99" i="96"/>
  <c r="AV99" i="96"/>
  <c r="Q89" i="106"/>
  <c r="U89" i="106" s="1"/>
  <c r="Y89" i="106" s="1"/>
  <c r="Z88" i="103"/>
  <c r="AW99" i="96"/>
  <c r="AL55" i="96"/>
  <c r="AX55" i="96" s="1"/>
  <c r="BD121" i="96"/>
  <c r="BB121" i="96"/>
  <c r="S111" i="106"/>
  <c r="W111" i="106" s="1"/>
  <c r="Y111" i="106" s="1"/>
  <c r="AB110" i="103"/>
  <c r="BC121" i="96"/>
  <c r="BA86" i="96"/>
  <c r="AZ86" i="96"/>
  <c r="AY86" i="96"/>
  <c r="AA75" i="103"/>
  <c r="R76" i="106"/>
  <c r="V76" i="106" s="1"/>
  <c r="AO47" i="96"/>
  <c r="BG47" i="96" s="1"/>
  <c r="BB106" i="96"/>
  <c r="BC75" i="96"/>
  <c r="AW98" i="96"/>
  <c r="AO79" i="96"/>
  <c r="BG79" i="96" s="1"/>
  <c r="AM134" i="96"/>
  <c r="AO73" i="96"/>
  <c r="BG73" i="96" s="1"/>
  <c r="AN138" i="96"/>
  <c r="BD138" i="96" s="1"/>
  <c r="AN107" i="96"/>
  <c r="BD107" i="96" s="1"/>
  <c r="S65" i="106"/>
  <c r="W65" i="106" s="1"/>
  <c r="AX128" i="96"/>
  <c r="AC34" i="103"/>
  <c r="AM50" i="96"/>
  <c r="BD134" i="96"/>
  <c r="BC134" i="96"/>
  <c r="AB123" i="103"/>
  <c r="BB134" i="96"/>
  <c r="S124" i="106"/>
  <c r="W124" i="106" s="1"/>
  <c r="BA138" i="96"/>
  <c r="AZ138" i="96"/>
  <c r="AY138" i="96"/>
  <c r="AA127" i="103"/>
  <c r="R128" i="106"/>
  <c r="V128" i="106" s="1"/>
  <c r="AN131" i="96"/>
  <c r="AV128" i="96"/>
  <c r="BF45" i="96"/>
  <c r="AO114" i="96"/>
  <c r="BG114" i="96" s="1"/>
  <c r="AL131" i="96"/>
  <c r="AM139" i="96"/>
  <c r="AO122" i="96"/>
  <c r="Z130" i="103"/>
  <c r="AL79" i="96"/>
  <c r="AX79" i="96" s="1"/>
  <c r="AL114" i="96"/>
  <c r="AX114" i="96" s="1"/>
  <c r="AO50" i="96"/>
  <c r="BG50" i="96" s="1"/>
  <c r="AX115" i="96"/>
  <c r="AV115" i="96"/>
  <c r="AW115" i="96"/>
  <c r="Z104" i="103"/>
  <c r="Q105" i="106"/>
  <c r="AX73" i="96"/>
  <c r="AW73" i="96"/>
  <c r="Z62" i="103"/>
  <c r="Q63" i="106"/>
  <c r="U63" i="106" s="1"/>
  <c r="Y63" i="106" s="1"/>
  <c r="AV73" i="96"/>
  <c r="AM107" i="96"/>
  <c r="BA107" i="96" s="1"/>
  <c r="AO84" i="96"/>
  <c r="BG84" i="96"/>
  <c r="N71" i="97"/>
  <c r="O69" i="97"/>
  <c r="P69" i="97"/>
  <c r="N123" i="97"/>
  <c r="N122" i="97"/>
  <c r="P43" i="97"/>
  <c r="N70" i="97"/>
  <c r="M96" i="97"/>
  <c r="Y114" i="106"/>
  <c r="Y74" i="106"/>
  <c r="BF77" i="96"/>
  <c r="BE77" i="96"/>
  <c r="L77" i="97"/>
  <c r="T67" i="106"/>
  <c r="AC66" i="103"/>
  <c r="AY97" i="96"/>
  <c r="R87" i="106"/>
  <c r="V87" i="106" s="1"/>
  <c r="AA86" i="103"/>
  <c r="AZ97" i="96"/>
  <c r="AC99" i="103"/>
  <c r="L110" i="97"/>
  <c r="BF110" i="96"/>
  <c r="BE110" i="96"/>
  <c r="T100" i="106"/>
  <c r="AC51" i="103"/>
  <c r="T52" i="106"/>
  <c r="BF62" i="96"/>
  <c r="BE62" i="96"/>
  <c r="L62" i="97"/>
  <c r="S45" i="106"/>
  <c r="W45" i="106" s="1"/>
  <c r="BB55" i="96"/>
  <c r="BC55" i="96"/>
  <c r="AB44" i="103"/>
  <c r="BF131" i="96"/>
  <c r="T121" i="106"/>
  <c r="BE131" i="96"/>
  <c r="AC120" i="103"/>
  <c r="L131" i="97"/>
  <c r="BF52" i="96"/>
  <c r="L52" i="97"/>
  <c r="AC41" i="103"/>
  <c r="T42" i="106"/>
  <c r="BE52" i="96"/>
  <c r="BE63" i="96"/>
  <c r="L63" i="97"/>
  <c r="T53" i="106"/>
  <c r="BF63" i="96"/>
  <c r="AC52" i="103"/>
  <c r="BC140" i="96"/>
  <c r="S130" i="106"/>
  <c r="W130" i="106" s="1"/>
  <c r="AB129" i="103"/>
  <c r="BB140" i="96"/>
  <c r="AW59" i="96"/>
  <c r="Z48" i="103"/>
  <c r="AV59" i="96"/>
  <c r="Q49" i="106"/>
  <c r="U49" i="106" s="1"/>
  <c r="AY78" i="96"/>
  <c r="AZ78" i="96"/>
  <c r="R68" i="106"/>
  <c r="V68" i="106" s="1"/>
  <c r="AA67" i="103"/>
  <c r="AC88" i="103"/>
  <c r="AF88" i="103" s="1"/>
  <c r="T89" i="106"/>
  <c r="BE99" i="96"/>
  <c r="BF99" i="96"/>
  <c r="L99" i="97"/>
  <c r="AZ89" i="96"/>
  <c r="R79" i="106"/>
  <c r="AY89" i="96"/>
  <c r="AA78" i="103"/>
  <c r="AC97" i="103"/>
  <c r="T98" i="106"/>
  <c r="BF108" i="96"/>
  <c r="BE108" i="96"/>
  <c r="L108" i="97"/>
  <c r="AY52" i="96"/>
  <c r="R42" i="106"/>
  <c r="AZ52" i="96"/>
  <c r="AA41" i="103"/>
  <c r="Y130" i="106"/>
  <c r="Y76" i="106"/>
  <c r="AV83" i="96"/>
  <c r="AW83" i="96"/>
  <c r="Z72" i="103"/>
  <c r="AF72" i="103" s="1"/>
  <c r="Q73" i="106"/>
  <c r="U73" i="106" s="1"/>
  <c r="Y73" i="106" s="1"/>
  <c r="AA102" i="103"/>
  <c r="AY113" i="96"/>
  <c r="AZ113" i="96"/>
  <c r="R103" i="106"/>
  <c r="V103" i="106" s="1"/>
  <c r="BF95" i="96"/>
  <c r="T85" i="106"/>
  <c r="AC84" i="103"/>
  <c r="BE95" i="96"/>
  <c r="AB32" i="103"/>
  <c r="BC43" i="96"/>
  <c r="S33" i="106"/>
  <c r="W33" i="106" s="1"/>
  <c r="BB43" i="96"/>
  <c r="R105" i="106"/>
  <c r="AA104" i="103"/>
  <c r="AZ115" i="96"/>
  <c r="AY115" i="96"/>
  <c r="L51" i="97"/>
  <c r="BF51" i="96"/>
  <c r="AC40" i="103"/>
  <c r="T41" i="106"/>
  <c r="BE51" i="96"/>
  <c r="Z36" i="103"/>
  <c r="AW47" i="96"/>
  <c r="AV47" i="96"/>
  <c r="Q37" i="106"/>
  <c r="U37" i="106" s="1"/>
  <c r="AY55" i="96"/>
  <c r="AA44" i="103"/>
  <c r="R45" i="106"/>
  <c r="V45" i="106" s="1"/>
  <c r="AZ55" i="96"/>
  <c r="BB89" i="96"/>
  <c r="S79" i="106"/>
  <c r="AB78" i="103"/>
  <c r="BC89" i="96"/>
  <c r="BF135" i="96"/>
  <c r="L135" i="97"/>
  <c r="AC124" i="103"/>
  <c r="BE135" i="96"/>
  <c r="T125" i="106"/>
  <c r="Z41" i="103"/>
  <c r="AW52" i="96"/>
  <c r="Q42" i="106"/>
  <c r="AV52" i="96"/>
  <c r="R43" i="106"/>
  <c r="V43" i="106" s="1"/>
  <c r="AZ53" i="96"/>
  <c r="AA42" i="103"/>
  <c r="AY53" i="96"/>
  <c r="Y95" i="106"/>
  <c r="Y59" i="106"/>
  <c r="Z51" i="103"/>
  <c r="AV62" i="96"/>
  <c r="Q52" i="106"/>
  <c r="U52" i="106" s="1"/>
  <c r="AW62" i="96"/>
  <c r="BE61" i="96"/>
  <c r="BF61" i="96"/>
  <c r="AC50" i="103"/>
  <c r="T51" i="106"/>
  <c r="L61" i="97"/>
  <c r="S94" i="106"/>
  <c r="AB93" i="103"/>
  <c r="BB104" i="96"/>
  <c r="BC104" i="96"/>
  <c r="AY60" i="96"/>
  <c r="R50" i="106"/>
  <c r="V50" i="106" s="1"/>
  <c r="AA49" i="103"/>
  <c r="AZ60" i="96"/>
  <c r="AB40" i="103"/>
  <c r="S41" i="106"/>
  <c r="W41" i="106" s="1"/>
  <c r="BC51" i="96"/>
  <c r="BB51" i="96"/>
  <c r="L54" i="97"/>
  <c r="T44" i="106"/>
  <c r="AC43" i="103"/>
  <c r="BE54" i="96"/>
  <c r="BF54" i="96"/>
  <c r="AV87" i="96"/>
  <c r="Q77" i="106"/>
  <c r="U77" i="106" s="1"/>
  <c r="Y77" i="106" s="1"/>
  <c r="AW87" i="96"/>
  <c r="Z76" i="103"/>
  <c r="Z60" i="103"/>
  <c r="AV71" i="96"/>
  <c r="Q61" i="106"/>
  <c r="U61" i="106" s="1"/>
  <c r="AW71" i="96"/>
  <c r="Z65" i="103"/>
  <c r="AW76" i="96"/>
  <c r="Q66" i="106"/>
  <c r="U66" i="106" s="1"/>
  <c r="Y66" i="106" s="1"/>
  <c r="AV76" i="96"/>
  <c r="AW82" i="96"/>
  <c r="Z71" i="103"/>
  <c r="AF71" i="103" s="1"/>
  <c r="Q72" i="106"/>
  <c r="U72" i="106" s="1"/>
  <c r="Y72" i="106" s="1"/>
  <c r="AV82" i="96"/>
  <c r="Z127" i="103"/>
  <c r="AW138" i="96"/>
  <c r="Q128" i="106"/>
  <c r="U128" i="106" s="1"/>
  <c r="AV138" i="96"/>
  <c r="R86" i="106"/>
  <c r="V86" i="106" s="1"/>
  <c r="AA85" i="103"/>
  <c r="AY96" i="96"/>
  <c r="AZ96" i="96"/>
  <c r="BE107" i="96"/>
  <c r="L107" i="97"/>
  <c r="T97" i="106"/>
  <c r="BF107" i="96"/>
  <c r="AC96" i="103"/>
  <c r="BC45" i="96"/>
  <c r="AB34" i="103"/>
  <c r="BB45" i="96"/>
  <c r="S35" i="106"/>
  <c r="W35" i="106" s="1"/>
  <c r="BB100" i="96"/>
  <c r="BC100" i="96"/>
  <c r="AB89" i="103"/>
  <c r="S90" i="106"/>
  <c r="W90" i="106" s="1"/>
  <c r="AW135" i="96"/>
  <c r="Z124" i="103"/>
  <c r="Q125" i="106"/>
  <c r="U125" i="106" s="1"/>
  <c r="AV135" i="96"/>
  <c r="V53" i="106"/>
  <c r="U53" i="106"/>
  <c r="Y118" i="106"/>
  <c r="W105" i="106"/>
  <c r="Q100" i="106"/>
  <c r="U100" i="106" s="1"/>
  <c r="AV110" i="96"/>
  <c r="AW110" i="96"/>
  <c r="Z99" i="103"/>
  <c r="AX62" i="96"/>
  <c r="AW123" i="96"/>
  <c r="Z112" i="103"/>
  <c r="Q113" i="106"/>
  <c r="U113" i="106" s="1"/>
  <c r="AV123" i="96"/>
  <c r="BG61" i="96"/>
  <c r="L134" i="97"/>
  <c r="AC123" i="103"/>
  <c r="BF134" i="96"/>
  <c r="T124" i="106"/>
  <c r="BE134" i="96"/>
  <c r="AB102" i="103"/>
  <c r="S103" i="106"/>
  <c r="W103" i="106" s="1"/>
  <c r="BB113" i="96"/>
  <c r="BC113" i="96"/>
  <c r="Z37" i="103"/>
  <c r="AV48" i="96"/>
  <c r="AW48" i="96"/>
  <c r="Q38" i="106"/>
  <c r="U38" i="106" s="1"/>
  <c r="BB54" i="96"/>
  <c r="S44" i="106"/>
  <c r="W44" i="106" s="1"/>
  <c r="BC54" i="96"/>
  <c r="AB43" i="103"/>
  <c r="AZ59" i="96"/>
  <c r="AA48" i="103"/>
  <c r="AY59" i="96"/>
  <c r="R49" i="106"/>
  <c r="V49" i="106" s="1"/>
  <c r="AV107" i="96"/>
  <c r="AW107" i="96"/>
  <c r="Q97" i="106"/>
  <c r="U97" i="106" s="1"/>
  <c r="Z96" i="103"/>
  <c r="U131" i="106"/>
  <c r="BB56" i="96"/>
  <c r="S46" i="106"/>
  <c r="W46" i="106" s="1"/>
  <c r="Y46" i="106" s="1"/>
  <c r="AB45" i="103"/>
  <c r="BC56" i="96"/>
  <c r="AC104" i="103"/>
  <c r="BF115" i="96"/>
  <c r="BE115" i="96"/>
  <c r="T105" i="106"/>
  <c r="L115" i="97"/>
  <c r="BE113" i="96"/>
  <c r="BF113" i="96"/>
  <c r="AC102" i="103"/>
  <c r="T103" i="106"/>
  <c r="L113" i="97"/>
  <c r="S85" i="106"/>
  <c r="W85" i="106" s="1"/>
  <c r="Y85" i="106" s="1"/>
  <c r="AB84" i="103"/>
  <c r="BB95" i="96"/>
  <c r="BC95" i="96"/>
  <c r="BB47" i="96"/>
  <c r="S37" i="106"/>
  <c r="W37" i="106" s="1"/>
  <c r="BC47" i="96"/>
  <c r="AB36" i="103"/>
  <c r="L138" i="97"/>
  <c r="T128" i="106"/>
  <c r="BE138" i="96"/>
  <c r="BF138" i="96"/>
  <c r="AC127" i="103"/>
  <c r="AW78" i="96"/>
  <c r="Q68" i="106"/>
  <c r="Z67" i="103"/>
  <c r="AV78" i="96"/>
  <c r="Z59" i="103"/>
  <c r="AV70" i="96"/>
  <c r="Q60" i="106"/>
  <c r="U60" i="106" s="1"/>
  <c r="Y60" i="106" s="1"/>
  <c r="AW70" i="96"/>
  <c r="BE132" i="96"/>
  <c r="AC121" i="103"/>
  <c r="AF121" i="103" s="1"/>
  <c r="T122" i="106"/>
  <c r="BF132" i="96"/>
  <c r="L132" i="97"/>
  <c r="BF130" i="96"/>
  <c r="AC119" i="103"/>
  <c r="L130" i="97"/>
  <c r="BE130" i="96"/>
  <c r="T120" i="106"/>
  <c r="AW100" i="96"/>
  <c r="Q90" i="106"/>
  <c r="U90" i="106" s="1"/>
  <c r="AV100" i="96"/>
  <c r="Z89" i="103"/>
  <c r="R99" i="106"/>
  <c r="V99" i="106" s="1"/>
  <c r="AZ109" i="96"/>
  <c r="AA98" i="103"/>
  <c r="AY109" i="96"/>
  <c r="BC52" i="96"/>
  <c r="BB52" i="96"/>
  <c r="S42" i="106"/>
  <c r="AB41" i="103"/>
  <c r="AC95" i="103"/>
  <c r="BE106" i="96"/>
  <c r="BF106" i="96"/>
  <c r="L106" i="97"/>
  <c r="T96" i="106"/>
  <c r="AC90" i="103"/>
  <c r="BF101" i="96"/>
  <c r="L101" i="97"/>
  <c r="T91" i="106"/>
  <c r="BE101" i="96"/>
  <c r="Z42" i="103"/>
  <c r="Q43" i="106"/>
  <c r="U43" i="106" s="1"/>
  <c r="AV53" i="96"/>
  <c r="AW53" i="96"/>
  <c r="BF53" i="96"/>
  <c r="BE53" i="96"/>
  <c r="L53" i="97"/>
  <c r="T43" i="106"/>
  <c r="AC42" i="103"/>
  <c r="S87" i="106"/>
  <c r="W87" i="106" s="1"/>
  <c r="AB86" i="103"/>
  <c r="BC97" i="96"/>
  <c r="BB97" i="96"/>
  <c r="BD56" i="96"/>
  <c r="AW72" i="96"/>
  <c r="AV72" i="96"/>
  <c r="Z61" i="103"/>
  <c r="Q62" i="106"/>
  <c r="U62" i="106" s="1"/>
  <c r="Z69" i="103"/>
  <c r="AV80" i="96"/>
  <c r="Q70" i="106"/>
  <c r="U70" i="106" s="1"/>
  <c r="Y70" i="106" s="1"/>
  <c r="AW80" i="96"/>
  <c r="T115" i="106"/>
  <c r="BE125" i="96"/>
  <c r="BF125" i="96"/>
  <c r="L125" i="97"/>
  <c r="AC114" i="103"/>
  <c r="BE111" i="96"/>
  <c r="L111" i="97"/>
  <c r="AC100" i="103"/>
  <c r="BF111" i="96"/>
  <c r="T101" i="106"/>
  <c r="L55" i="97"/>
  <c r="BF55" i="96"/>
  <c r="BE55" i="96"/>
  <c r="AC44" i="103"/>
  <c r="T45" i="106"/>
  <c r="R52" i="106"/>
  <c r="V52" i="106" s="1"/>
  <c r="AY62" i="96"/>
  <c r="AZ62" i="96"/>
  <c r="AA51" i="103"/>
  <c r="Z114" i="103"/>
  <c r="Q115" i="106"/>
  <c r="U115" i="106" s="1"/>
  <c r="AV125" i="96"/>
  <c r="AW125" i="96"/>
  <c r="AB33" i="103"/>
  <c r="S34" i="106"/>
  <c r="W34" i="106" s="1"/>
  <c r="BB44" i="96"/>
  <c r="BC44" i="96"/>
  <c r="L58" i="97"/>
  <c r="BF58" i="96"/>
  <c r="AC47" i="103"/>
  <c r="BE58" i="96"/>
  <c r="T48" i="106"/>
  <c r="T93" i="106"/>
  <c r="BF103" i="96"/>
  <c r="L103" i="97"/>
  <c r="AC92" i="103"/>
  <c r="BE103" i="96"/>
  <c r="V120" i="106"/>
  <c r="Y120" i="106" s="1"/>
  <c r="Y64" i="106"/>
  <c r="AW60" i="96"/>
  <c r="Q50" i="106"/>
  <c r="U50" i="106" s="1"/>
  <c r="AV60" i="96"/>
  <c r="Z49" i="103"/>
  <c r="AV75" i="96"/>
  <c r="AW75" i="96"/>
  <c r="Z64" i="103"/>
  <c r="Q65" i="106"/>
  <c r="U65" i="106" s="1"/>
  <c r="AZ112" i="96"/>
  <c r="AY112" i="96"/>
  <c r="R102" i="106"/>
  <c r="V102" i="106" s="1"/>
  <c r="Y102" i="106" s="1"/>
  <c r="AA101" i="103"/>
  <c r="R38" i="106"/>
  <c r="V38" i="106" s="1"/>
  <c r="AY48" i="96"/>
  <c r="AA37" i="103"/>
  <c r="AZ48" i="96"/>
  <c r="AV134" i="96"/>
  <c r="Q124" i="106"/>
  <c r="U124" i="106" s="1"/>
  <c r="Z123" i="103"/>
  <c r="AW134" i="96"/>
  <c r="Z98" i="103"/>
  <c r="Q99" i="106"/>
  <c r="U99" i="106" s="1"/>
  <c r="Y99" i="106" s="1"/>
  <c r="AV109" i="96"/>
  <c r="AW109" i="96"/>
  <c r="AB85" i="103"/>
  <c r="BC96" i="96"/>
  <c r="BB96" i="96"/>
  <c r="S86" i="106"/>
  <c r="W86" i="106" s="1"/>
  <c r="AY106" i="96"/>
  <c r="AZ106" i="96"/>
  <c r="R96" i="106"/>
  <c r="V96" i="106" s="1"/>
  <c r="Y96" i="106" s="1"/>
  <c r="AA95" i="103"/>
  <c r="L133" i="97"/>
  <c r="BE133" i="96"/>
  <c r="AC122" i="103"/>
  <c r="BF133" i="96"/>
  <c r="T123" i="106"/>
  <c r="AB42" i="103"/>
  <c r="BC53" i="96"/>
  <c r="BB53" i="96"/>
  <c r="S43" i="106"/>
  <c r="W43" i="106" s="1"/>
  <c r="R88" i="106"/>
  <c r="V88" i="106" s="1"/>
  <c r="AZ98" i="96"/>
  <c r="AA87" i="103"/>
  <c r="AY98" i="96"/>
  <c r="R48" i="106"/>
  <c r="V48" i="106" s="1"/>
  <c r="AA47" i="103"/>
  <c r="AY58" i="96"/>
  <c r="AZ58" i="96"/>
  <c r="S131" i="106"/>
  <c r="BC141" i="96"/>
  <c r="BB141" i="96"/>
  <c r="AB130" i="103"/>
  <c r="Q93" i="106"/>
  <c r="U93" i="106" s="1"/>
  <c r="Y93" i="106" s="1"/>
  <c r="AW103" i="96"/>
  <c r="AV103" i="96"/>
  <c r="Z92" i="103"/>
  <c r="AB39" i="103"/>
  <c r="BB50" i="96"/>
  <c r="S40" i="106"/>
  <c r="W40" i="106" s="1"/>
  <c r="BC50" i="96"/>
  <c r="S48" i="106"/>
  <c r="W48" i="106" s="1"/>
  <c r="BC58" i="96"/>
  <c r="AB47" i="103"/>
  <c r="BB58" i="96"/>
  <c r="U94" i="106"/>
  <c r="AY104" i="96"/>
  <c r="AA93" i="103"/>
  <c r="AZ104" i="96"/>
  <c r="R94" i="106"/>
  <c r="V94" i="106" s="1"/>
  <c r="AX60" i="96"/>
  <c r="AW51" i="96"/>
  <c r="Q41" i="106"/>
  <c r="U41" i="106" s="1"/>
  <c r="AV51" i="96"/>
  <c r="Z40" i="103"/>
  <c r="AB37" i="103"/>
  <c r="BB48" i="96"/>
  <c r="S38" i="106"/>
  <c r="W38" i="106" s="1"/>
  <c r="BC48" i="96"/>
  <c r="Q92" i="106"/>
  <c r="U92" i="106" s="1"/>
  <c r="Z91" i="103"/>
  <c r="AV102" i="96"/>
  <c r="AW102" i="96"/>
  <c r="AB51" i="103"/>
  <c r="BC62" i="96"/>
  <c r="BB62" i="96"/>
  <c r="S52" i="106"/>
  <c r="W52" i="106" s="1"/>
  <c r="AW54" i="96"/>
  <c r="AV54" i="96"/>
  <c r="Q44" i="106"/>
  <c r="U44" i="106" s="1"/>
  <c r="Z43" i="103"/>
  <c r="AZ51" i="96"/>
  <c r="AA40" i="103"/>
  <c r="R41" i="106"/>
  <c r="V41" i="106" s="1"/>
  <c r="AY51" i="96"/>
  <c r="BC59" i="96"/>
  <c r="BB59" i="96"/>
  <c r="AB48" i="103"/>
  <c r="S49" i="106"/>
  <c r="W49" i="106" s="1"/>
  <c r="Z46" i="103"/>
  <c r="AV57" i="96"/>
  <c r="Q47" i="106"/>
  <c r="U47" i="106" s="1"/>
  <c r="Y47" i="106" s="1"/>
  <c r="AW57" i="96"/>
  <c r="R36" i="106"/>
  <c r="V36" i="106" s="1"/>
  <c r="Y36" i="106" s="1"/>
  <c r="AA35" i="103"/>
  <c r="AF35" i="103" s="1"/>
  <c r="AZ46" i="96"/>
  <c r="AY46" i="96"/>
  <c r="AC85" i="103"/>
  <c r="L96" i="97"/>
  <c r="T86" i="106"/>
  <c r="BF96" i="96"/>
  <c r="BE96" i="96"/>
  <c r="AZ100" i="96"/>
  <c r="AA89" i="103"/>
  <c r="AY100" i="96"/>
  <c r="R90" i="106"/>
  <c r="V90" i="106" s="1"/>
  <c r="AF102" i="103"/>
  <c r="AF86" i="103"/>
  <c r="S93" i="103"/>
  <c r="Y93" i="108"/>
  <c r="K104" i="97"/>
  <c r="J104" i="97" s="1"/>
  <c r="M44" i="97"/>
  <c r="S45" i="103"/>
  <c r="Y45" i="108"/>
  <c r="K56" i="97"/>
  <c r="J56" i="97" s="1"/>
  <c r="AF58" i="103"/>
  <c r="AL58" i="103"/>
  <c r="K87" i="97"/>
  <c r="J87" i="97" s="1"/>
  <c r="Y76" i="108"/>
  <c r="S76" i="103"/>
  <c r="AF94" i="103"/>
  <c r="AF129" i="103"/>
  <c r="S71" i="103"/>
  <c r="Y71" i="108"/>
  <c r="K82" i="97"/>
  <c r="J82" i="97" s="1"/>
  <c r="AF130" i="103"/>
  <c r="S46" i="103"/>
  <c r="Y46" i="108"/>
  <c r="K57" i="97"/>
  <c r="J57" i="97" s="1"/>
  <c r="K76" i="97"/>
  <c r="J76" i="97" s="1"/>
  <c r="S65" i="103"/>
  <c r="Y65" i="108"/>
  <c r="Y89" i="108"/>
  <c r="S89" i="103"/>
  <c r="K100" i="97"/>
  <c r="J100" i="97" s="1"/>
  <c r="AF45" i="103"/>
  <c r="S130" i="103"/>
  <c r="Y130" i="108"/>
  <c r="K141" i="97"/>
  <c r="J141" i="97" s="1"/>
  <c r="Y59" i="108"/>
  <c r="S59" i="103"/>
  <c r="K70" i="97"/>
  <c r="I70" i="97" s="1"/>
  <c r="K80" i="97"/>
  <c r="J80" i="97" s="1"/>
  <c r="S69" i="103"/>
  <c r="Y69" i="108"/>
  <c r="Y61" i="108"/>
  <c r="S61" i="103"/>
  <c r="K72" i="97"/>
  <c r="J72" i="97" s="1"/>
  <c r="Y113" i="108"/>
  <c r="S113" i="103"/>
  <c r="K124" i="97"/>
  <c r="I124" i="97" s="1"/>
  <c r="Y86" i="108"/>
  <c r="S86" i="103"/>
  <c r="K97" i="97"/>
  <c r="J97" i="97" s="1"/>
  <c r="Y87" i="108"/>
  <c r="S87" i="103"/>
  <c r="K98" i="97"/>
  <c r="J98" i="97" s="1"/>
  <c r="S35" i="103"/>
  <c r="Y35" i="108"/>
  <c r="K46" i="97"/>
  <c r="J46" i="97" s="1"/>
  <c r="Y78" i="108"/>
  <c r="S78" i="103"/>
  <c r="K89" i="97"/>
  <c r="J89" i="97" s="1"/>
  <c r="AF101" i="103"/>
  <c r="AF78" i="103"/>
  <c r="K81" i="97"/>
  <c r="J81" i="97" s="1"/>
  <c r="Y70" i="108"/>
  <c r="S70" i="103"/>
  <c r="Y34" i="108"/>
  <c r="S34" i="103"/>
  <c r="K45" i="97"/>
  <c r="J45" i="97" s="1"/>
  <c r="S74" i="103"/>
  <c r="Y74" i="108"/>
  <c r="K85" i="97"/>
  <c r="J85" i="97" s="1"/>
  <c r="Y101" i="108"/>
  <c r="S101" i="103"/>
  <c r="K112" i="97"/>
  <c r="J112" i="97" s="1"/>
  <c r="K88" i="97"/>
  <c r="J88" i="97" s="1"/>
  <c r="S77" i="103"/>
  <c r="Y77" i="108"/>
  <c r="K139" i="97"/>
  <c r="S128" i="103"/>
  <c r="Y128" i="108"/>
  <c r="AF97" i="103"/>
  <c r="Y112" i="108"/>
  <c r="S112" i="103"/>
  <c r="K123" i="97"/>
  <c r="I123" i="97" s="1"/>
  <c r="AF113" i="103"/>
  <c r="K140" i="97"/>
  <c r="J140" i="97" s="1"/>
  <c r="Y129" i="108"/>
  <c r="S129" i="103"/>
  <c r="K129" i="97"/>
  <c r="J129" i="97" s="1"/>
  <c r="S118" i="103"/>
  <c r="Y118" i="108"/>
  <c r="Y94" i="108"/>
  <c r="S94" i="103"/>
  <c r="K105" i="97"/>
  <c r="J105" i="97" s="1"/>
  <c r="K83" i="97"/>
  <c r="J83" i="97" s="1"/>
  <c r="Y72" i="108"/>
  <c r="S72" i="103"/>
  <c r="BT85" i="101"/>
  <c r="AF53" i="106"/>
  <c r="BU111" i="101"/>
  <c r="AR17" i="103"/>
  <c r="AR48" i="103"/>
  <c r="AR46" i="103"/>
  <c r="AR29" i="103"/>
  <c r="AF19" i="106"/>
  <c r="AF20" i="106"/>
  <c r="W85" i="99"/>
  <c r="X60" i="99"/>
  <c r="AF50" i="106"/>
  <c r="AD32" i="106"/>
  <c r="P58" i="110"/>
  <c r="AD66" i="106"/>
  <c r="AR70" i="96"/>
  <c r="AR44" i="103"/>
  <c r="AR9" i="103"/>
  <c r="AR39" i="103"/>
  <c r="N85" i="110"/>
  <c r="BU60" i="101"/>
  <c r="AF51" i="106"/>
  <c r="AD34" i="106"/>
  <c r="Y58" i="99"/>
  <c r="X59" i="99"/>
  <c r="AR34" i="103"/>
  <c r="AR35" i="103"/>
  <c r="AR23" i="103"/>
  <c r="AE52" i="106"/>
  <c r="O60" i="110"/>
  <c r="AF48" i="106"/>
  <c r="AD33" i="106"/>
  <c r="BV58" i="101"/>
  <c r="AG45" i="106"/>
  <c r="AD62" i="106"/>
  <c r="BU59" i="101"/>
  <c r="AR28" i="103"/>
  <c r="AR25" i="103"/>
  <c r="AR24" i="103"/>
  <c r="AE54" i="106"/>
  <c r="AF54" i="106"/>
  <c r="AQ96" i="96"/>
  <c r="O59" i="110"/>
  <c r="AR32" i="103"/>
  <c r="AR31" i="103"/>
  <c r="AR45" i="103"/>
  <c r="AE49" i="106"/>
  <c r="BU112" i="101"/>
  <c r="AF45" i="106"/>
  <c r="AP45" i="96"/>
  <c r="AF64" i="106"/>
  <c r="AR18" i="103"/>
  <c r="AR10" i="103"/>
  <c r="AR38" i="103"/>
  <c r="AG32" i="106"/>
  <c r="AG33" i="106"/>
  <c r="AG34" i="106"/>
  <c r="X112" i="99"/>
  <c r="AF52" i="106"/>
  <c r="AF61" i="106"/>
  <c r="AQ97" i="96"/>
  <c r="AR51" i="103"/>
  <c r="AR14" i="103"/>
  <c r="AR36" i="103"/>
  <c r="AE48" i="106"/>
  <c r="O112" i="110"/>
  <c r="AF46" i="106"/>
  <c r="AF66" i="106"/>
  <c r="BW32" i="101"/>
  <c r="AS95" i="96"/>
  <c r="AR52" i="103"/>
  <c r="AR13" i="103"/>
  <c r="AR30" i="103"/>
  <c r="AP97" i="96"/>
  <c r="AF63" i="106"/>
  <c r="Z32" i="99"/>
  <c r="AF33" i="106"/>
  <c r="AR11" i="103"/>
  <c r="AR40" i="103"/>
  <c r="AR12" i="103"/>
  <c r="F35" i="107"/>
  <c r="K86" i="107"/>
  <c r="AE53" i="106"/>
  <c r="AS70" i="96"/>
  <c r="AF65" i="106"/>
  <c r="AP70" i="96"/>
  <c r="Q32" i="110"/>
  <c r="AF32" i="106"/>
  <c r="AR15" i="103"/>
  <c r="AR43" i="103"/>
  <c r="AR53" i="103"/>
  <c r="AQ98" i="96"/>
  <c r="J35" i="107"/>
  <c r="G86" i="107"/>
  <c r="AQ99" i="96"/>
  <c r="AE51" i="106"/>
  <c r="AR43" i="96"/>
  <c r="AF67" i="106"/>
  <c r="AD63" i="106"/>
  <c r="AF34" i="106"/>
  <c r="AR21" i="103"/>
  <c r="AR26" i="103"/>
  <c r="AR37" i="103"/>
  <c r="F87" i="107"/>
  <c r="K88" i="107"/>
  <c r="AQ100" i="96"/>
  <c r="AE47" i="106"/>
  <c r="AE20" i="106"/>
  <c r="AF59" i="106"/>
  <c r="AD61" i="106"/>
  <c r="AR33" i="103"/>
  <c r="AR8" i="103"/>
  <c r="AR6" i="103"/>
  <c r="J87" i="107"/>
  <c r="G88" i="107"/>
  <c r="K89" i="107"/>
  <c r="AE50" i="106"/>
  <c r="AE19" i="106"/>
  <c r="AF60" i="106"/>
  <c r="AD65" i="106"/>
  <c r="AR49" i="103"/>
  <c r="AR47" i="103"/>
  <c r="AR16" i="103"/>
  <c r="I60" i="107"/>
  <c r="L60" i="107"/>
  <c r="G89" i="107"/>
  <c r="Q58" i="110"/>
  <c r="BT33" i="101"/>
  <c r="AF58" i="106"/>
  <c r="AR19" i="103"/>
  <c r="AR7" i="103"/>
  <c r="AR41" i="103"/>
  <c r="M60" i="107"/>
  <c r="H60" i="107"/>
  <c r="AR121" i="96"/>
  <c r="Z58" i="99"/>
  <c r="N33" i="110"/>
  <c r="AF47" i="106"/>
  <c r="X111" i="99"/>
  <c r="AF62" i="106"/>
  <c r="AG46" i="106"/>
  <c r="AD64" i="106"/>
  <c r="AR95" i="96"/>
  <c r="AR27" i="103"/>
  <c r="AR42" i="103"/>
  <c r="AR22" i="103"/>
  <c r="BW58" i="101"/>
  <c r="W33" i="99"/>
  <c r="AF49" i="106"/>
  <c r="O111" i="110"/>
  <c r="AD67" i="106"/>
  <c r="AQ124" i="96"/>
  <c r="AR54" i="103"/>
  <c r="AR20" i="103"/>
  <c r="AR50" i="103"/>
  <c r="K87" i="107"/>
  <c r="G87" i="107"/>
  <c r="M85" i="107"/>
  <c r="I85" i="107"/>
  <c r="F60" i="107"/>
  <c r="J60" i="107"/>
  <c r="AP71" i="96"/>
  <c r="AR44" i="96"/>
  <c r="L33" i="107"/>
  <c r="H33" i="107"/>
  <c r="G90" i="107"/>
  <c r="K90" i="107"/>
  <c r="AR122" i="96"/>
  <c r="L111" i="107"/>
  <c r="H111" i="107"/>
  <c r="H85" i="107"/>
  <c r="L85" i="107"/>
  <c r="AR96" i="96"/>
  <c r="G114" i="107"/>
  <c r="K114" i="107"/>
  <c r="F61" i="107"/>
  <c r="J61" i="107"/>
  <c r="AP72" i="96"/>
  <c r="H34" i="107"/>
  <c r="L34" i="107"/>
  <c r="AR45" i="96"/>
  <c r="AR123" i="96"/>
  <c r="H112" i="107"/>
  <c r="L112" i="107"/>
  <c r="H86" i="107"/>
  <c r="L86" i="107"/>
  <c r="AR97" i="96"/>
  <c r="AP73" i="96"/>
  <c r="F62" i="107"/>
  <c r="J62" i="107"/>
  <c r="H35" i="107"/>
  <c r="AR46" i="96"/>
  <c r="L35" i="107"/>
  <c r="H113" i="107"/>
  <c r="L113" i="107"/>
  <c r="L87" i="107"/>
  <c r="H87" i="107"/>
  <c r="AR98" i="96"/>
  <c r="F63" i="107"/>
  <c r="J63" i="107"/>
  <c r="AP74" i="96"/>
  <c r="L36" i="107"/>
  <c r="H36" i="107"/>
  <c r="H88" i="107"/>
  <c r="L88" i="107"/>
  <c r="AR99" i="96"/>
  <c r="AP75" i="96"/>
  <c r="F64" i="107"/>
  <c r="J64" i="107"/>
  <c r="L89" i="107"/>
  <c r="H89" i="107"/>
  <c r="AR100" i="96"/>
  <c r="F65" i="107"/>
  <c r="J65" i="107"/>
  <c r="H90" i="107"/>
  <c r="L90" i="107"/>
  <c r="AF84" i="103" l="1"/>
  <c r="AF93" i="103"/>
  <c r="AF92" i="103"/>
  <c r="Y103" i="106"/>
  <c r="AF87" i="103"/>
  <c r="AF119" i="103"/>
  <c r="Y87" i="106"/>
  <c r="AL84" i="103"/>
  <c r="AF95" i="103"/>
  <c r="Y88" i="106"/>
  <c r="J139" i="97"/>
  <c r="R139" i="97" s="1"/>
  <c r="Y101" i="106"/>
  <c r="O122" i="97"/>
  <c r="AB111" i="108" s="1"/>
  <c r="O121" i="97"/>
  <c r="AA123" i="103"/>
  <c r="AF123" i="103" s="1"/>
  <c r="AY134" i="96"/>
  <c r="AZ134" i="96"/>
  <c r="R124" i="106"/>
  <c r="V124" i="106" s="1"/>
  <c r="Y124" i="106" s="1"/>
  <c r="Q123" i="106"/>
  <c r="U123" i="106" s="1"/>
  <c r="Y123" i="106" s="1"/>
  <c r="AW133" i="96"/>
  <c r="AV133" i="96"/>
  <c r="Z122" i="103"/>
  <c r="AF122" i="103" s="1"/>
  <c r="BB71" i="96"/>
  <c r="S61" i="106"/>
  <c r="AB60" i="103"/>
  <c r="BC71" i="96"/>
  <c r="AV136" i="96"/>
  <c r="Q126" i="106"/>
  <c r="U126" i="106" s="1"/>
  <c r="Y126" i="106" s="1"/>
  <c r="AW136" i="96"/>
  <c r="Z125" i="103"/>
  <c r="Q116" i="106"/>
  <c r="U116" i="106" s="1"/>
  <c r="AV126" i="96"/>
  <c r="Z115" i="103"/>
  <c r="AW126" i="96"/>
  <c r="L136" i="97"/>
  <c r="BE136" i="96"/>
  <c r="T126" i="106"/>
  <c r="AC125" i="103"/>
  <c r="BF136" i="96"/>
  <c r="BF114" i="96"/>
  <c r="T104" i="106"/>
  <c r="L114" i="97"/>
  <c r="AC103" i="103"/>
  <c r="BE114" i="96"/>
  <c r="AA39" i="103"/>
  <c r="AY50" i="96"/>
  <c r="AZ50" i="96"/>
  <c r="R40" i="106"/>
  <c r="V40" i="106" s="1"/>
  <c r="Y40" i="106" s="1"/>
  <c r="Q33" i="106"/>
  <c r="AW43" i="96"/>
  <c r="AV43" i="96"/>
  <c r="Z32" i="103"/>
  <c r="AZ47" i="96"/>
  <c r="AA36" i="103"/>
  <c r="R37" i="106"/>
  <c r="V37" i="106" s="1"/>
  <c r="Y37" i="106" s="1"/>
  <c r="AY47" i="96"/>
  <c r="BD71" i="96"/>
  <c r="L60" i="97"/>
  <c r="BE60" i="96"/>
  <c r="BF60" i="96"/>
  <c r="AC49" i="103"/>
  <c r="T50" i="106"/>
  <c r="BA50" i="96"/>
  <c r="L79" i="97"/>
  <c r="BF79" i="96"/>
  <c r="AC68" i="103"/>
  <c r="T69" i="106"/>
  <c r="BE79" i="96"/>
  <c r="AX43" i="96"/>
  <c r="BA47" i="96"/>
  <c r="BB125" i="96"/>
  <c r="AB114" i="103"/>
  <c r="AF114" i="103" s="1"/>
  <c r="S115" i="106"/>
  <c r="W115" i="106" s="1"/>
  <c r="BC125" i="96"/>
  <c r="BB85" i="96"/>
  <c r="AB74" i="103"/>
  <c r="S75" i="106"/>
  <c r="W75" i="106" s="1"/>
  <c r="BC85" i="96"/>
  <c r="BG60" i="96"/>
  <c r="BF44" i="96"/>
  <c r="L44" i="97"/>
  <c r="BE44" i="96"/>
  <c r="AC33" i="103"/>
  <c r="T34" i="106"/>
  <c r="BD85" i="96"/>
  <c r="AY72" i="96"/>
  <c r="AZ72" i="96"/>
  <c r="AA61" i="103"/>
  <c r="AF61" i="103" s="1"/>
  <c r="R62" i="106"/>
  <c r="AA64" i="103"/>
  <c r="AZ75" i="96"/>
  <c r="R65" i="106"/>
  <c r="V65" i="106" s="1"/>
  <c r="Y65" i="106" s="1"/>
  <c r="AY75" i="96"/>
  <c r="L50" i="97"/>
  <c r="T40" i="106"/>
  <c r="BE50" i="96"/>
  <c r="BF50" i="96"/>
  <c r="AC39" i="103"/>
  <c r="L86" i="97"/>
  <c r="BF86" i="96"/>
  <c r="AC75" i="103"/>
  <c r="AF75" i="103" s="1"/>
  <c r="T76" i="106"/>
  <c r="BE86" i="96"/>
  <c r="AV58" i="96"/>
  <c r="Z47" i="103"/>
  <c r="Q48" i="106"/>
  <c r="U48" i="106" s="1"/>
  <c r="AW58" i="96"/>
  <c r="K128" i="97"/>
  <c r="S117" i="103"/>
  <c r="Y117" i="108"/>
  <c r="BA75" i="96"/>
  <c r="S121" i="106"/>
  <c r="W121" i="106" s="1"/>
  <c r="BC131" i="96"/>
  <c r="BB131" i="96"/>
  <c r="AB120" i="103"/>
  <c r="Z44" i="103"/>
  <c r="AV55" i="96"/>
  <c r="Q45" i="106"/>
  <c r="U45" i="106" s="1"/>
  <c r="Y45" i="106" s="1"/>
  <c r="AW55" i="96"/>
  <c r="K102" i="97"/>
  <c r="Y91" i="108"/>
  <c r="S91" i="103"/>
  <c r="BC49" i="96"/>
  <c r="S39" i="106"/>
  <c r="W39" i="106" s="1"/>
  <c r="BB49" i="96"/>
  <c r="AB38" i="103"/>
  <c r="R115" i="106"/>
  <c r="V115" i="106" s="1"/>
  <c r="AZ125" i="96"/>
  <c r="AY125" i="96"/>
  <c r="AA114" i="103"/>
  <c r="L48" i="97"/>
  <c r="BF48" i="96"/>
  <c r="T38" i="106"/>
  <c r="BE48" i="96"/>
  <c r="AC37" i="103"/>
  <c r="S50" i="106"/>
  <c r="W50" i="106" s="1"/>
  <c r="Y50" i="106" s="1"/>
  <c r="AB49" i="103"/>
  <c r="BC60" i="96"/>
  <c r="BB60" i="96"/>
  <c r="BF84" i="96"/>
  <c r="T74" i="106"/>
  <c r="BE84" i="96"/>
  <c r="L84" i="97"/>
  <c r="AC73" i="103"/>
  <c r="AF73" i="103" s="1"/>
  <c r="AV114" i="96"/>
  <c r="Q104" i="106"/>
  <c r="U104" i="106" s="1"/>
  <c r="Y104" i="106" s="1"/>
  <c r="AW114" i="96"/>
  <c r="Z103" i="103"/>
  <c r="BD131" i="96"/>
  <c r="AA91" i="103"/>
  <c r="AF91" i="103" s="1"/>
  <c r="AZ102" i="96"/>
  <c r="AY102" i="96"/>
  <c r="R92" i="106"/>
  <c r="V92" i="106" s="1"/>
  <c r="Y92" i="106" s="1"/>
  <c r="Z38" i="103"/>
  <c r="AW49" i="96"/>
  <c r="Q39" i="106"/>
  <c r="U39" i="106" s="1"/>
  <c r="AV49" i="96"/>
  <c r="BG48" i="96"/>
  <c r="Z34" i="103"/>
  <c r="AF34" i="103" s="1"/>
  <c r="AV45" i="96"/>
  <c r="AW45" i="96"/>
  <c r="Q35" i="106"/>
  <c r="U35" i="106" s="1"/>
  <c r="Y35" i="106" s="1"/>
  <c r="BD60" i="96"/>
  <c r="BF109" i="96"/>
  <c r="BE109" i="96"/>
  <c r="T99" i="106"/>
  <c r="AC98" i="103"/>
  <c r="L109" i="97"/>
  <c r="L127" i="97"/>
  <c r="AC116" i="103"/>
  <c r="AF116" i="103" s="1"/>
  <c r="BE127" i="96"/>
  <c r="BF127" i="96"/>
  <c r="T117" i="106"/>
  <c r="AX49" i="96"/>
  <c r="AA115" i="103"/>
  <c r="R116" i="106"/>
  <c r="V116" i="106" s="1"/>
  <c r="AZ126" i="96"/>
  <c r="AY126" i="96"/>
  <c r="AA50" i="103"/>
  <c r="R51" i="106"/>
  <c r="V51" i="106" s="1"/>
  <c r="AY61" i="96"/>
  <c r="AZ61" i="96"/>
  <c r="AY107" i="96"/>
  <c r="AZ107" i="96"/>
  <c r="AA96" i="103"/>
  <c r="R97" i="106"/>
  <c r="V97" i="106" s="1"/>
  <c r="Z68" i="103"/>
  <c r="AF68" i="103" s="1"/>
  <c r="Q69" i="106"/>
  <c r="U69" i="106" s="1"/>
  <c r="Y69" i="106" s="1"/>
  <c r="AV79" i="96"/>
  <c r="AW79" i="96"/>
  <c r="L47" i="97"/>
  <c r="T37" i="106"/>
  <c r="BE47" i="96"/>
  <c r="AC36" i="103"/>
  <c r="BF47" i="96"/>
  <c r="AB50" i="103"/>
  <c r="S51" i="106"/>
  <c r="W51" i="106" s="1"/>
  <c r="BC61" i="96"/>
  <c r="BB61" i="96"/>
  <c r="AY81" i="96"/>
  <c r="R71" i="106"/>
  <c r="V71" i="106" s="1"/>
  <c r="Y71" i="106" s="1"/>
  <c r="AZ81" i="96"/>
  <c r="AA70" i="103"/>
  <c r="AF70" i="103" s="1"/>
  <c r="AW101" i="96"/>
  <c r="Q91" i="106"/>
  <c r="U91" i="106" s="1"/>
  <c r="AV101" i="96"/>
  <c r="Z90" i="103"/>
  <c r="L75" i="97"/>
  <c r="BE75" i="96"/>
  <c r="T65" i="106"/>
  <c r="BF75" i="96"/>
  <c r="AC64" i="103"/>
  <c r="AV77" i="96"/>
  <c r="Q67" i="106"/>
  <c r="U67" i="106" s="1"/>
  <c r="Y67" i="106" s="1"/>
  <c r="AW77" i="96"/>
  <c r="Z66" i="103"/>
  <c r="AF66" i="103" s="1"/>
  <c r="BA61" i="96"/>
  <c r="BD61" i="96"/>
  <c r="BA81" i="96"/>
  <c r="BC127" i="96"/>
  <c r="S117" i="106"/>
  <c r="AB116" i="103"/>
  <c r="BB127" i="96"/>
  <c r="AC38" i="103"/>
  <c r="L49" i="97"/>
  <c r="BE49" i="96"/>
  <c r="T39" i="106"/>
  <c r="BF49" i="96"/>
  <c r="L126" i="97"/>
  <c r="T116" i="106"/>
  <c r="BE126" i="96"/>
  <c r="AC115" i="103"/>
  <c r="BF126" i="96"/>
  <c r="V131" i="106"/>
  <c r="BE122" i="96"/>
  <c r="AC111" i="103"/>
  <c r="BF122" i="96"/>
  <c r="T112" i="106"/>
  <c r="L122" i="97"/>
  <c r="AB96" i="103"/>
  <c r="S97" i="106"/>
  <c r="W97" i="106" s="1"/>
  <c r="BC107" i="96"/>
  <c r="BB107" i="96"/>
  <c r="AA124" i="103"/>
  <c r="AY135" i="96"/>
  <c r="AZ135" i="96"/>
  <c r="R125" i="106"/>
  <c r="V125" i="106" s="1"/>
  <c r="AB124" i="103"/>
  <c r="BC135" i="96"/>
  <c r="BB135" i="96"/>
  <c r="S125" i="106"/>
  <c r="W125" i="106" s="1"/>
  <c r="BG122" i="96"/>
  <c r="AZ139" i="96"/>
  <c r="AA128" i="103"/>
  <c r="AF128" i="103" s="1"/>
  <c r="R129" i="106"/>
  <c r="V129" i="106" s="1"/>
  <c r="Y129" i="106" s="1"/>
  <c r="AY139" i="96"/>
  <c r="BB138" i="96"/>
  <c r="BC138" i="96"/>
  <c r="AB127" i="103"/>
  <c r="AF127" i="103" s="1"/>
  <c r="S128" i="106"/>
  <c r="W128" i="106" s="1"/>
  <c r="Y128" i="106" s="1"/>
  <c r="T127" i="106"/>
  <c r="AC126" i="103"/>
  <c r="L137" i="97"/>
  <c r="BF137" i="96"/>
  <c r="BE137" i="96"/>
  <c r="AC110" i="103"/>
  <c r="BF121" i="96"/>
  <c r="T111" i="106"/>
  <c r="BE121" i="96"/>
  <c r="AV85" i="96"/>
  <c r="Z74" i="103"/>
  <c r="AF74" i="103" s="1"/>
  <c r="Q75" i="106"/>
  <c r="U75" i="106" s="1"/>
  <c r="AW85" i="96"/>
  <c r="S53" i="106"/>
  <c r="BB63" i="96"/>
  <c r="BC63" i="96"/>
  <c r="AB52" i="103"/>
  <c r="AF52" i="103" s="1"/>
  <c r="AB112" i="103"/>
  <c r="AF112" i="103" s="1"/>
  <c r="BC123" i="96"/>
  <c r="BB123" i="96"/>
  <c r="S113" i="106"/>
  <c r="AA99" i="103"/>
  <c r="AY110" i="96"/>
  <c r="R100" i="106"/>
  <c r="V100" i="106" s="1"/>
  <c r="Y100" i="106" s="1"/>
  <c r="AZ110" i="96"/>
  <c r="AV88" i="96"/>
  <c r="Z77" i="103"/>
  <c r="AF77" i="103" s="1"/>
  <c r="Q78" i="106"/>
  <c r="U78" i="106" s="1"/>
  <c r="Y78" i="106" s="1"/>
  <c r="AW88" i="96"/>
  <c r="AF85" i="103"/>
  <c r="BA139" i="96"/>
  <c r="BE74" i="96"/>
  <c r="BF74" i="96"/>
  <c r="L74" i="97"/>
  <c r="AC63" i="103"/>
  <c r="AF63" i="103" s="1"/>
  <c r="T64" i="106"/>
  <c r="L78" i="97"/>
  <c r="BE78" i="96"/>
  <c r="BF78" i="96"/>
  <c r="T68" i="106"/>
  <c r="AC67" i="103"/>
  <c r="BD123" i="96"/>
  <c r="Y86" i="106"/>
  <c r="U105" i="106"/>
  <c r="Q121" i="106"/>
  <c r="U121" i="106" s="1"/>
  <c r="Z120" i="103"/>
  <c r="AF120" i="103" s="1"/>
  <c r="AV131" i="96"/>
  <c r="AW131" i="96"/>
  <c r="L73" i="97"/>
  <c r="T63" i="106"/>
  <c r="BE73" i="96"/>
  <c r="BF73" i="96"/>
  <c r="AC62" i="103"/>
  <c r="AF62" i="103" s="1"/>
  <c r="AW137" i="96"/>
  <c r="AV137" i="96"/>
  <c r="Q127" i="106"/>
  <c r="U127" i="106" s="1"/>
  <c r="Y127" i="106" s="1"/>
  <c r="Z126" i="103"/>
  <c r="L59" i="97"/>
  <c r="BF59" i="96"/>
  <c r="AC48" i="103"/>
  <c r="BE59" i="96"/>
  <c r="T49" i="106"/>
  <c r="R44" i="106"/>
  <c r="V44" i="106" s="1"/>
  <c r="Y44" i="106" s="1"/>
  <c r="AA43" i="103"/>
  <c r="AY54" i="96"/>
  <c r="AZ54" i="96"/>
  <c r="AA90" i="103"/>
  <c r="R91" i="106"/>
  <c r="V91" i="106" s="1"/>
  <c r="AY101" i="96"/>
  <c r="AZ101" i="96"/>
  <c r="AX131" i="96"/>
  <c r="BA134" i="96"/>
  <c r="BE71" i="96"/>
  <c r="T61" i="106"/>
  <c r="AC60" i="103"/>
  <c r="AF60" i="103" s="1"/>
  <c r="BF71" i="96"/>
  <c r="L71" i="97"/>
  <c r="AA33" i="103"/>
  <c r="AZ44" i="96"/>
  <c r="R34" i="106"/>
  <c r="V34" i="106" s="1"/>
  <c r="Y34" i="106" s="1"/>
  <c r="AY44" i="96"/>
  <c r="AX133" i="96"/>
  <c r="BG59" i="96"/>
  <c r="AX136" i="96"/>
  <c r="AX126" i="96"/>
  <c r="BG136" i="96"/>
  <c r="AW122" i="96"/>
  <c r="Z111" i="103"/>
  <c r="AV122" i="96"/>
  <c r="Q112" i="106"/>
  <c r="U112" i="106" s="1"/>
  <c r="Y112" i="106" s="1"/>
  <c r="O99" i="97"/>
  <c r="M74" i="97"/>
  <c r="O98" i="97"/>
  <c r="M73" i="97"/>
  <c r="O97" i="97"/>
  <c r="M72" i="97"/>
  <c r="N99" i="97"/>
  <c r="O96" i="97"/>
  <c r="M71" i="97"/>
  <c r="O45" i="97"/>
  <c r="N98" i="97"/>
  <c r="BT29" i="103"/>
  <c r="BO29" i="103"/>
  <c r="BT50" i="103"/>
  <c r="BO50" i="103"/>
  <c r="BT22" i="103"/>
  <c r="BO22" i="103"/>
  <c r="BT41" i="103"/>
  <c r="BO41" i="103"/>
  <c r="BO16" i="103"/>
  <c r="BT16" i="103"/>
  <c r="BT6" i="103"/>
  <c r="BO6" i="103"/>
  <c r="BO37" i="103"/>
  <c r="BT37" i="103"/>
  <c r="BO53" i="103"/>
  <c r="BT53" i="103"/>
  <c r="BT12" i="103"/>
  <c r="BO12" i="103"/>
  <c r="BT30" i="103"/>
  <c r="BO30" i="103"/>
  <c r="BO36" i="103"/>
  <c r="BT36" i="103"/>
  <c r="BT38" i="103"/>
  <c r="BO38" i="103"/>
  <c r="BO45" i="103"/>
  <c r="BT45" i="103"/>
  <c r="BO24" i="103"/>
  <c r="BT24" i="103"/>
  <c r="BT23" i="103"/>
  <c r="BO23" i="103"/>
  <c r="BT39" i="103"/>
  <c r="BO39" i="103"/>
  <c r="BT46" i="103"/>
  <c r="BO46" i="103"/>
  <c r="BO20" i="103"/>
  <c r="BT20" i="103"/>
  <c r="BT42" i="103"/>
  <c r="BO42" i="103"/>
  <c r="BO7" i="103"/>
  <c r="BT7" i="103"/>
  <c r="BO47" i="103"/>
  <c r="BT47" i="103"/>
  <c r="BT8" i="103"/>
  <c r="BO8" i="103"/>
  <c r="BT26" i="103"/>
  <c r="BO26" i="103"/>
  <c r="BT43" i="103"/>
  <c r="BO43" i="103"/>
  <c r="BO40" i="103"/>
  <c r="BT40" i="103"/>
  <c r="BO13" i="103"/>
  <c r="BT13" i="103"/>
  <c r="BO14" i="103"/>
  <c r="BT14" i="103"/>
  <c r="BT10" i="103"/>
  <c r="BO10" i="103"/>
  <c r="BT31" i="103"/>
  <c r="BO31" i="103"/>
  <c r="BT25" i="103"/>
  <c r="BO25" i="103"/>
  <c r="BT35" i="103"/>
  <c r="BO35" i="103"/>
  <c r="BT9" i="103"/>
  <c r="BO9" i="103"/>
  <c r="BT48" i="103"/>
  <c r="BO48" i="103"/>
  <c r="BT54" i="103"/>
  <c r="BO54" i="103"/>
  <c r="BO27" i="103"/>
  <c r="BT27" i="103"/>
  <c r="BT19" i="103"/>
  <c r="BO19" i="103"/>
  <c r="BO49" i="103"/>
  <c r="BT49" i="103"/>
  <c r="BO33" i="103"/>
  <c r="BT33" i="103"/>
  <c r="BO21" i="103"/>
  <c r="BT21" i="103"/>
  <c r="BO15" i="103"/>
  <c r="BT15" i="103"/>
  <c r="BO11" i="103"/>
  <c r="BT11" i="103"/>
  <c r="BT52" i="103"/>
  <c r="BO52" i="103"/>
  <c r="BT51" i="103"/>
  <c r="BO51" i="103"/>
  <c r="BT18" i="103"/>
  <c r="BO18" i="103"/>
  <c r="BT32" i="103"/>
  <c r="BO32" i="103"/>
  <c r="BT28" i="103"/>
  <c r="BO28" i="103"/>
  <c r="BT34" i="103"/>
  <c r="BO34" i="103"/>
  <c r="BT44" i="103"/>
  <c r="BO44" i="103"/>
  <c r="BT17" i="103"/>
  <c r="BO17" i="103"/>
  <c r="O95" i="97"/>
  <c r="P95" i="97"/>
  <c r="N97" i="97"/>
  <c r="N96" i="97"/>
  <c r="M70" i="97"/>
  <c r="BX58" i="101"/>
  <c r="AA58" i="99"/>
  <c r="R58" i="110"/>
  <c r="P70" i="97"/>
  <c r="O44" i="97"/>
  <c r="O43" i="97"/>
  <c r="I112" i="97"/>
  <c r="W101" i="108"/>
  <c r="R112" i="97"/>
  <c r="O101" i="99"/>
  <c r="M101" i="103" s="1"/>
  <c r="Q101" i="103"/>
  <c r="S101" i="99"/>
  <c r="I140" i="97"/>
  <c r="Q129" i="103"/>
  <c r="W129" i="108"/>
  <c r="S129" i="99"/>
  <c r="O129" i="99"/>
  <c r="M129" i="103" s="1"/>
  <c r="R140" i="97"/>
  <c r="I88" i="97"/>
  <c r="W77" i="108"/>
  <c r="R88" i="97"/>
  <c r="O77" i="99"/>
  <c r="M77" i="103" s="1"/>
  <c r="S77" i="99"/>
  <c r="Q77" i="103"/>
  <c r="W71" i="108"/>
  <c r="S71" i="99"/>
  <c r="Q71" i="103"/>
  <c r="R82" i="97"/>
  <c r="I82" i="97"/>
  <c r="O71" i="99"/>
  <c r="M71" i="103" s="1"/>
  <c r="AF46" i="103"/>
  <c r="K53" i="97"/>
  <c r="Y42" i="108"/>
  <c r="S42" i="103"/>
  <c r="S123" i="103"/>
  <c r="Y123" i="108"/>
  <c r="K134" i="97"/>
  <c r="Y96" i="108"/>
  <c r="K107" i="97"/>
  <c r="S96" i="103"/>
  <c r="AF104" i="103"/>
  <c r="Y49" i="106"/>
  <c r="Y41" i="108"/>
  <c r="S41" i="103"/>
  <c r="K52" i="97"/>
  <c r="I83" i="97"/>
  <c r="O72" i="99"/>
  <c r="M72" i="103" s="1"/>
  <c r="S72" i="99"/>
  <c r="Q72" i="103"/>
  <c r="W72" i="108"/>
  <c r="R83" i="97"/>
  <c r="N112" i="99"/>
  <c r="L112" i="103" s="1"/>
  <c r="T112" i="103" s="1"/>
  <c r="V112" i="108"/>
  <c r="P112" i="103"/>
  <c r="R112" i="99"/>
  <c r="Q123" i="97"/>
  <c r="I98" i="97"/>
  <c r="S87" i="99"/>
  <c r="W87" i="108"/>
  <c r="R98" i="97"/>
  <c r="Q87" i="103"/>
  <c r="O87" i="99"/>
  <c r="M87" i="103" s="1"/>
  <c r="I100" i="97"/>
  <c r="R100" i="97"/>
  <c r="O89" i="99"/>
  <c r="M89" i="103" s="1"/>
  <c r="S89" i="99"/>
  <c r="Q89" i="103"/>
  <c r="W89" i="108"/>
  <c r="I57" i="97"/>
  <c r="Q46" i="103"/>
  <c r="W46" i="108"/>
  <c r="S46" i="99"/>
  <c r="R57" i="97"/>
  <c r="O46" i="99"/>
  <c r="M46" i="103" s="1"/>
  <c r="I87" i="97"/>
  <c r="O76" i="99"/>
  <c r="M76" i="103" s="1"/>
  <c r="R87" i="97"/>
  <c r="Q76" i="103"/>
  <c r="W76" i="108"/>
  <c r="S76" i="99"/>
  <c r="AF43" i="103"/>
  <c r="AF40" i="103"/>
  <c r="K58" i="97"/>
  <c r="Y47" i="108"/>
  <c r="S47" i="103"/>
  <c r="AF69" i="103"/>
  <c r="Y90" i="108"/>
  <c r="S90" i="103"/>
  <c r="K101" i="97"/>
  <c r="AF89" i="103"/>
  <c r="AF76" i="103"/>
  <c r="S43" i="103"/>
  <c r="Y43" i="108"/>
  <c r="K54" i="97"/>
  <c r="V105" i="106"/>
  <c r="Y105" i="106" s="1"/>
  <c r="AF100" i="103"/>
  <c r="AA59" i="108"/>
  <c r="I46" i="97"/>
  <c r="W35" i="108"/>
  <c r="Q35" i="103"/>
  <c r="N113" i="99"/>
  <c r="L113" i="103" s="1"/>
  <c r="P113" i="103"/>
  <c r="V113" i="108"/>
  <c r="R113" i="99"/>
  <c r="Q124" i="97"/>
  <c r="AF98" i="103"/>
  <c r="Y92" i="108"/>
  <c r="K103" i="97"/>
  <c r="S92" i="103"/>
  <c r="K125" i="97"/>
  <c r="S114" i="103"/>
  <c r="Y114" i="108"/>
  <c r="W42" i="106"/>
  <c r="S121" i="103"/>
  <c r="Y121" i="108"/>
  <c r="K132" i="97"/>
  <c r="AF59" i="103"/>
  <c r="AF48" i="103"/>
  <c r="K131" i="97"/>
  <c r="Y120" i="108"/>
  <c r="S120" i="103"/>
  <c r="AC32" i="108"/>
  <c r="I89" i="97"/>
  <c r="O78" i="99"/>
  <c r="M78" i="103" s="1"/>
  <c r="W78" i="108"/>
  <c r="Q78" i="103"/>
  <c r="S78" i="99"/>
  <c r="R89" i="97"/>
  <c r="I105" i="97"/>
  <c r="Q94" i="103"/>
  <c r="R105" i="97"/>
  <c r="O94" i="99"/>
  <c r="M94" i="103" s="1"/>
  <c r="S94" i="99"/>
  <c r="W94" i="108"/>
  <c r="I129" i="97"/>
  <c r="Q118" i="103"/>
  <c r="S118" i="99"/>
  <c r="W118" i="108"/>
  <c r="R129" i="97"/>
  <c r="O118" i="99"/>
  <c r="M118" i="103" s="1"/>
  <c r="S128" i="99"/>
  <c r="O128" i="99"/>
  <c r="M128" i="103" s="1"/>
  <c r="I141" i="97"/>
  <c r="S130" i="99"/>
  <c r="Q130" i="103"/>
  <c r="W130" i="108"/>
  <c r="R141" i="97"/>
  <c r="O130" i="99"/>
  <c r="M130" i="103" s="1"/>
  <c r="Y41" i="106"/>
  <c r="W131" i="106"/>
  <c r="Y131" i="106" s="1"/>
  <c r="AF49" i="103"/>
  <c r="K55" i="97"/>
  <c r="S44" i="103"/>
  <c r="Y44" i="108"/>
  <c r="Y90" i="106"/>
  <c r="K115" i="97"/>
  <c r="Y104" i="108"/>
  <c r="S104" i="103"/>
  <c r="AF65" i="103"/>
  <c r="S124" i="103"/>
  <c r="K135" i="97"/>
  <c r="Y124" i="108"/>
  <c r="AF44" i="103"/>
  <c r="S52" i="103"/>
  <c r="Y52" i="108"/>
  <c r="K63" i="97"/>
  <c r="Y51" i="108"/>
  <c r="K62" i="97"/>
  <c r="S51" i="103"/>
  <c r="Y99" i="108"/>
  <c r="S99" i="103"/>
  <c r="K110" i="97"/>
  <c r="AB58" i="108"/>
  <c r="I72" i="97"/>
  <c r="W61" i="108"/>
  <c r="R72" i="97"/>
  <c r="O61" i="99"/>
  <c r="M61" i="103" s="1"/>
  <c r="Q61" i="103"/>
  <c r="S61" i="99"/>
  <c r="I80" i="97"/>
  <c r="R80" i="97"/>
  <c r="W69" i="108"/>
  <c r="Q69" i="103"/>
  <c r="S69" i="99"/>
  <c r="O69" i="99"/>
  <c r="M69" i="103" s="1"/>
  <c r="I76" i="97"/>
  <c r="O65" i="99"/>
  <c r="M65" i="103" s="1"/>
  <c r="R76" i="97"/>
  <c r="W65" i="108"/>
  <c r="Q65" i="103"/>
  <c r="S65" i="99"/>
  <c r="K138" i="97"/>
  <c r="S127" i="103"/>
  <c r="Y127" i="108"/>
  <c r="Y38" i="106"/>
  <c r="Y52" i="106"/>
  <c r="V42" i="106"/>
  <c r="K77" i="97"/>
  <c r="S66" i="103"/>
  <c r="Y66" i="108"/>
  <c r="AA111" i="108"/>
  <c r="I81" i="97"/>
  <c r="S70" i="99"/>
  <c r="Q70" i="103"/>
  <c r="R81" i="97"/>
  <c r="O70" i="99"/>
  <c r="M70" i="103" s="1"/>
  <c r="W70" i="108"/>
  <c r="I97" i="97"/>
  <c r="W86" i="108"/>
  <c r="Q86" i="103"/>
  <c r="S86" i="99"/>
  <c r="R97" i="97"/>
  <c r="O86" i="99"/>
  <c r="M86" i="103" s="1"/>
  <c r="Q70" i="97"/>
  <c r="N59" i="99"/>
  <c r="L59" i="103" s="1"/>
  <c r="T59" i="103" s="1"/>
  <c r="P59" i="103"/>
  <c r="V59" i="108"/>
  <c r="R59" i="99"/>
  <c r="S122" i="103"/>
  <c r="K133" i="97"/>
  <c r="Y122" i="108"/>
  <c r="Y43" i="106"/>
  <c r="S95" i="103"/>
  <c r="Y95" i="108"/>
  <c r="K106" i="97"/>
  <c r="AF67" i="103"/>
  <c r="W94" i="106"/>
  <c r="Y94" i="106" s="1"/>
  <c r="U42" i="106"/>
  <c r="K51" i="97"/>
  <c r="Y40" i="108"/>
  <c r="S40" i="103"/>
  <c r="V79" i="106"/>
  <c r="AA112" i="108"/>
  <c r="Z33" i="108"/>
  <c r="AF47" i="103"/>
  <c r="AF42" i="103"/>
  <c r="U68" i="106"/>
  <c r="Y68" i="106" s="1"/>
  <c r="S102" i="103"/>
  <c r="Y102" i="108"/>
  <c r="K113" i="97"/>
  <c r="K61" i="97"/>
  <c r="S50" i="103"/>
  <c r="Y50" i="108"/>
  <c r="AF51" i="103"/>
  <c r="S97" i="103"/>
  <c r="Y97" i="108"/>
  <c r="K108" i="97"/>
  <c r="AA60" i="108"/>
  <c r="Q34" i="103"/>
  <c r="W34" i="108"/>
  <c r="I45" i="97"/>
  <c r="I85" i="97"/>
  <c r="R85" i="97"/>
  <c r="O74" i="99"/>
  <c r="M74" i="103" s="1"/>
  <c r="S74" i="99"/>
  <c r="Q74" i="103"/>
  <c r="W74" i="108"/>
  <c r="S45" i="99"/>
  <c r="Q45" i="103"/>
  <c r="W45" i="108"/>
  <c r="R56" i="97"/>
  <c r="O45" i="99"/>
  <c r="M45" i="103" s="1"/>
  <c r="I56" i="97"/>
  <c r="I104" i="97"/>
  <c r="O93" i="99"/>
  <c r="M93" i="103" s="1"/>
  <c r="S93" i="99"/>
  <c r="W93" i="108"/>
  <c r="Q93" i="103"/>
  <c r="R104" i="97"/>
  <c r="Y85" i="108"/>
  <c r="S85" i="103"/>
  <c r="K96" i="97"/>
  <c r="Y48" i="106"/>
  <c r="K111" i="97"/>
  <c r="Y100" i="108"/>
  <c r="S100" i="103"/>
  <c r="K130" i="97"/>
  <c r="Y119" i="108"/>
  <c r="S119" i="103"/>
  <c r="AF37" i="103"/>
  <c r="AF99" i="103"/>
  <c r="AF41" i="103"/>
  <c r="W79" i="106"/>
  <c r="K99" i="97"/>
  <c r="Y88" i="108"/>
  <c r="S88" i="103"/>
  <c r="Z85" i="108"/>
  <c r="AC58" i="108"/>
  <c r="R89" i="103"/>
  <c r="T89" i="99"/>
  <c r="X89" i="108"/>
  <c r="S100" i="97"/>
  <c r="P89" i="99"/>
  <c r="N89" i="103" s="1"/>
  <c r="T46" i="99"/>
  <c r="R46" i="103"/>
  <c r="X46" i="108"/>
  <c r="S57" i="97"/>
  <c r="P46" i="99"/>
  <c r="N46" i="103" s="1"/>
  <c r="T45" i="99"/>
  <c r="X45" i="108"/>
  <c r="R45" i="103"/>
  <c r="S56" i="97"/>
  <c r="P45" i="99"/>
  <c r="N45" i="103" s="1"/>
  <c r="T93" i="99"/>
  <c r="R93" i="103"/>
  <c r="X93" i="108"/>
  <c r="S104" i="97"/>
  <c r="P93" i="99"/>
  <c r="N93" i="103" s="1"/>
  <c r="T101" i="99"/>
  <c r="R101" i="103"/>
  <c r="X101" i="108"/>
  <c r="S112" i="97"/>
  <c r="P101" i="99"/>
  <c r="N101" i="103" s="1"/>
  <c r="X34" i="108"/>
  <c r="R34" i="103"/>
  <c r="N124" i="97"/>
  <c r="R70" i="103"/>
  <c r="T70" i="99"/>
  <c r="X70" i="108"/>
  <c r="S81" i="97"/>
  <c r="P70" i="99"/>
  <c r="N70" i="103" s="1"/>
  <c r="R86" i="103"/>
  <c r="X86" i="108"/>
  <c r="R61" i="103"/>
  <c r="X61" i="108"/>
  <c r="R69" i="103"/>
  <c r="X69" i="108"/>
  <c r="T69" i="99"/>
  <c r="S80" i="97"/>
  <c r="P69" i="99"/>
  <c r="N69" i="103" s="1"/>
  <c r="X130" i="108"/>
  <c r="T130" i="99"/>
  <c r="R130" i="103"/>
  <c r="P130" i="99"/>
  <c r="N130" i="103" s="1"/>
  <c r="S141" i="97"/>
  <c r="R76" i="103"/>
  <c r="T76" i="99"/>
  <c r="X76" i="108"/>
  <c r="S87" i="97"/>
  <c r="P76" i="99"/>
  <c r="N76" i="103" s="1"/>
  <c r="T94" i="99"/>
  <c r="R94" i="103"/>
  <c r="X94" i="108"/>
  <c r="S105" i="97"/>
  <c r="P94" i="99"/>
  <c r="N94" i="103" s="1"/>
  <c r="T118" i="99"/>
  <c r="X118" i="108"/>
  <c r="R118" i="103"/>
  <c r="S129" i="97"/>
  <c r="P118" i="99"/>
  <c r="N118" i="103" s="1"/>
  <c r="O70" i="97"/>
  <c r="T74" i="99"/>
  <c r="X74" i="108"/>
  <c r="S85" i="97"/>
  <c r="R74" i="103"/>
  <c r="P74" i="99"/>
  <c r="N74" i="103" s="1"/>
  <c r="T65" i="99"/>
  <c r="X65" i="108"/>
  <c r="R65" i="103"/>
  <c r="S76" i="97"/>
  <c r="P65" i="99"/>
  <c r="N65" i="103" s="1"/>
  <c r="R77" i="103"/>
  <c r="T77" i="99"/>
  <c r="X77" i="108"/>
  <c r="S88" i="97"/>
  <c r="P77" i="99"/>
  <c r="N77" i="103" s="1"/>
  <c r="X59" i="108"/>
  <c r="R59" i="103"/>
  <c r="T72" i="99"/>
  <c r="X72" i="108"/>
  <c r="R72" i="103"/>
  <c r="S83" i="97"/>
  <c r="P72" i="99"/>
  <c r="N72" i="103" s="1"/>
  <c r="T129" i="99"/>
  <c r="R129" i="103"/>
  <c r="X129" i="108"/>
  <c r="S140" i="97"/>
  <c r="P129" i="99"/>
  <c r="N129" i="103" s="1"/>
  <c r="R112" i="103"/>
  <c r="X112" i="108"/>
  <c r="R128" i="103"/>
  <c r="X128" i="108"/>
  <c r="T128" i="99"/>
  <c r="S139" i="97"/>
  <c r="P128" i="99"/>
  <c r="N128" i="103" s="1"/>
  <c r="O46" i="97"/>
  <c r="M75" i="97"/>
  <c r="N100" i="97"/>
  <c r="R87" i="103"/>
  <c r="X87" i="108"/>
  <c r="M97" i="97"/>
  <c r="M45" i="97"/>
  <c r="O100" i="97"/>
  <c r="R78" i="103"/>
  <c r="X78" i="108"/>
  <c r="T78" i="99"/>
  <c r="S89" i="97"/>
  <c r="P78" i="99"/>
  <c r="N78" i="103" s="1"/>
  <c r="X35" i="108"/>
  <c r="R35" i="103"/>
  <c r="O123" i="97"/>
  <c r="X113" i="108"/>
  <c r="R113" i="103"/>
  <c r="T71" i="99"/>
  <c r="X71" i="108"/>
  <c r="R71" i="103"/>
  <c r="S82" i="97"/>
  <c r="P71" i="99"/>
  <c r="N71" i="103" s="1"/>
  <c r="AS25" i="103"/>
  <c r="AS36" i="103"/>
  <c r="AS37" i="103"/>
  <c r="AS53" i="103"/>
  <c r="AS26" i="103"/>
  <c r="AS39" i="103"/>
  <c r="AS48" i="103"/>
  <c r="AS31" i="103"/>
  <c r="AS20" i="103"/>
  <c r="AS11" i="103"/>
  <c r="AS8" i="103"/>
  <c r="AS28" i="103"/>
  <c r="AS15" i="103"/>
  <c r="AS38" i="103"/>
  <c r="AS41" i="103"/>
  <c r="AS18" i="103"/>
  <c r="AS14" i="103"/>
  <c r="AS12" i="103"/>
  <c r="AS10" i="103"/>
  <c r="AS19" i="103"/>
  <c r="AS17" i="103"/>
  <c r="AS13" i="103"/>
  <c r="AS45" i="103"/>
  <c r="AS50" i="103"/>
  <c r="AS49" i="103"/>
  <c r="AS24" i="103"/>
  <c r="AS22" i="103"/>
  <c r="AS23" i="103"/>
  <c r="AS35" i="103"/>
  <c r="AS52" i="103"/>
  <c r="AS54" i="103"/>
  <c r="AS47" i="103"/>
  <c r="AS9" i="103"/>
  <c r="AS42" i="103"/>
  <c r="AS51" i="103"/>
  <c r="AS21" i="103"/>
  <c r="AS44" i="103"/>
  <c r="AS32" i="103"/>
  <c r="AS33" i="103"/>
  <c r="AS7" i="103"/>
  <c r="AS46" i="103"/>
  <c r="AS40" i="103"/>
  <c r="AS16" i="103"/>
  <c r="AS6" i="103"/>
  <c r="AS29" i="103"/>
  <c r="AS34" i="103"/>
  <c r="AS27" i="103"/>
  <c r="AS30" i="103"/>
  <c r="AS43" i="103"/>
  <c r="Y111" i="99"/>
  <c r="P111" i="110"/>
  <c r="BV111" i="101"/>
  <c r="AF6" i="106"/>
  <c r="AH130" i="101"/>
  <c r="BT60" i="101"/>
  <c r="CD11" i="101"/>
  <c r="CD25" i="101"/>
  <c r="CD27" i="101"/>
  <c r="AH18" i="99"/>
  <c r="AH14" i="99"/>
  <c r="AH52" i="99"/>
  <c r="Y11" i="110"/>
  <c r="Y27" i="110"/>
  <c r="Y18" i="110"/>
  <c r="AG70" i="101"/>
  <c r="AP46" i="96"/>
  <c r="AF59" i="101"/>
  <c r="BT59" i="101"/>
  <c r="AG128" i="101"/>
  <c r="X113" i="99"/>
  <c r="BT86" i="101"/>
  <c r="Y110" i="99"/>
  <c r="BV110" i="101"/>
  <c r="P110" i="110"/>
  <c r="Y88" i="99"/>
  <c r="S123" i="97"/>
  <c r="W64" i="99"/>
  <c r="W60" i="99"/>
  <c r="CD37" i="101"/>
  <c r="CD12" i="101"/>
  <c r="CD36" i="101"/>
  <c r="BT62" i="101"/>
  <c r="AH35" i="99"/>
  <c r="AH36" i="99"/>
  <c r="AH49" i="99"/>
  <c r="Y49" i="110"/>
  <c r="Y16" i="110"/>
  <c r="Y44" i="110"/>
  <c r="T87" i="99"/>
  <c r="S46" i="97"/>
  <c r="AG93" i="101"/>
  <c r="N59" i="110"/>
  <c r="P86" i="99"/>
  <c r="N86" i="110"/>
  <c r="AQ72" i="96"/>
  <c r="BV88" i="101"/>
  <c r="N64" i="110"/>
  <c r="BU87" i="101"/>
  <c r="CD46" i="101"/>
  <c r="CD9" i="101"/>
  <c r="CD19" i="101"/>
  <c r="N62" i="110"/>
  <c r="AH45" i="99"/>
  <c r="AH38" i="99"/>
  <c r="AH48" i="99"/>
  <c r="S45" i="97"/>
  <c r="AH34" i="101" s="1"/>
  <c r="Y15" i="110"/>
  <c r="Y24" i="110"/>
  <c r="Y21" i="110"/>
  <c r="AH71" i="101"/>
  <c r="AG89" i="101"/>
  <c r="AH94" i="101"/>
  <c r="AR124" i="96"/>
  <c r="CD38" i="101"/>
  <c r="Y51" i="110"/>
  <c r="P88" i="110"/>
  <c r="BV33" i="101"/>
  <c r="BT64" i="101"/>
  <c r="O87" i="110"/>
  <c r="CD32" i="101"/>
  <c r="CD24" i="101"/>
  <c r="CD26" i="101"/>
  <c r="W62" i="99"/>
  <c r="AH30" i="99"/>
  <c r="AH29" i="99"/>
  <c r="AH32" i="99"/>
  <c r="T86" i="99"/>
  <c r="Y50" i="110"/>
  <c r="Y47" i="110"/>
  <c r="Y39" i="110"/>
  <c r="BT34" i="101"/>
  <c r="AS71" i="96"/>
  <c r="T59" i="99"/>
  <c r="AH74" i="101"/>
  <c r="AS96" i="96"/>
  <c r="AH128" i="101"/>
  <c r="AG49" i="106"/>
  <c r="AG50" i="106"/>
  <c r="AG47" i="106"/>
  <c r="AG48" i="106"/>
  <c r="AQ44" i="96"/>
  <c r="P85" i="110"/>
  <c r="Y33" i="99"/>
  <c r="P87" i="99"/>
  <c r="X87" i="99"/>
  <c r="CD31" i="101"/>
  <c r="CD43" i="101"/>
  <c r="CD20" i="101"/>
  <c r="BV34" i="101"/>
  <c r="AH19" i="99"/>
  <c r="AH22" i="99"/>
  <c r="AH47" i="99"/>
  <c r="AH77" i="101"/>
  <c r="Y12" i="110"/>
  <c r="Y46" i="110"/>
  <c r="Y52" i="110"/>
  <c r="S97" i="97"/>
  <c r="AH86" i="101" s="1"/>
  <c r="N34" i="110"/>
  <c r="BV35" i="101"/>
  <c r="AH72" i="101"/>
  <c r="AP76" i="96"/>
  <c r="CD51" i="101"/>
  <c r="AE34" i="106"/>
  <c r="AE33" i="106"/>
  <c r="AE32" i="106"/>
  <c r="AD58" i="106"/>
  <c r="AD59" i="106"/>
  <c r="AD60" i="106"/>
  <c r="BV85" i="101"/>
  <c r="U59" i="99"/>
  <c r="P33" i="110"/>
  <c r="AP98" i="96"/>
  <c r="CD35" i="101"/>
  <c r="CD45" i="101"/>
  <c r="CD7" i="101"/>
  <c r="CD22" i="101"/>
  <c r="P34" i="110"/>
  <c r="AH23" i="99"/>
  <c r="AH44" i="99"/>
  <c r="AH40" i="99"/>
  <c r="Y86" i="99"/>
  <c r="Y13" i="110"/>
  <c r="Y35" i="110"/>
  <c r="Y26" i="110"/>
  <c r="AH118" i="101"/>
  <c r="W34" i="99"/>
  <c r="Y35" i="99"/>
  <c r="BU89" i="101"/>
  <c r="P112" i="99"/>
  <c r="AH112" i="101"/>
  <c r="P87" i="110"/>
  <c r="AG58" i="106"/>
  <c r="Y85" i="99"/>
  <c r="Q59" i="99"/>
  <c r="AQ125" i="96"/>
  <c r="AG87" i="101"/>
  <c r="AH69" i="101"/>
  <c r="CD14" i="101"/>
  <c r="CD8" i="101"/>
  <c r="CD50" i="101"/>
  <c r="Y34" i="99"/>
  <c r="AH7" i="99"/>
  <c r="AH8" i="99"/>
  <c r="AH43" i="99"/>
  <c r="P86" i="110"/>
  <c r="Y19" i="110"/>
  <c r="Y53" i="110"/>
  <c r="Y8" i="110"/>
  <c r="P59" i="110"/>
  <c r="P35" i="110"/>
  <c r="AG78" i="101"/>
  <c r="X89" i="99"/>
  <c r="BV89" i="101"/>
  <c r="BU86" i="101"/>
  <c r="T70" i="97"/>
  <c r="AI59" i="101" s="1"/>
  <c r="CD40" i="101"/>
  <c r="CD52" i="101"/>
  <c r="CD42" i="101"/>
  <c r="AG77" i="101"/>
  <c r="BU85" i="101"/>
  <c r="AH12" i="99"/>
  <c r="AH28" i="99"/>
  <c r="AH54" i="99"/>
  <c r="BV86" i="101"/>
  <c r="Y9" i="110"/>
  <c r="Y48" i="110"/>
  <c r="Y23" i="110"/>
  <c r="BV59" i="101"/>
  <c r="AH76" i="101"/>
  <c r="AG69" i="101"/>
  <c r="O89" i="110"/>
  <c r="Y89" i="99"/>
  <c r="AD19" i="106"/>
  <c r="AD20" i="106"/>
  <c r="AS121" i="96"/>
  <c r="AE60" i="106"/>
  <c r="AE61" i="106"/>
  <c r="AE66" i="106"/>
  <c r="AE67" i="106"/>
  <c r="AE63" i="106"/>
  <c r="AE65" i="106"/>
  <c r="AE58" i="106"/>
  <c r="AE62" i="106"/>
  <c r="AE59" i="106"/>
  <c r="AE64" i="106"/>
  <c r="X86" i="99"/>
  <c r="BW59" i="101"/>
  <c r="P35" i="99"/>
  <c r="CD53" i="101"/>
  <c r="CD48" i="101"/>
  <c r="CD28" i="101"/>
  <c r="O85" i="110"/>
  <c r="AH16" i="99"/>
  <c r="AH51" i="99"/>
  <c r="AH24" i="99"/>
  <c r="Y37" i="110"/>
  <c r="Y25" i="110"/>
  <c r="Y28" i="110"/>
  <c r="Y31" i="110"/>
  <c r="Y59" i="99"/>
  <c r="AG74" i="101"/>
  <c r="BV32" i="101"/>
  <c r="AR47" i="96"/>
  <c r="P89" i="110"/>
  <c r="O86" i="110"/>
  <c r="Q59" i="110"/>
  <c r="W63" i="99"/>
  <c r="AG94" i="101"/>
  <c r="CD49" i="101"/>
  <c r="CD15" i="101"/>
  <c r="CD18" i="101"/>
  <c r="AF112" i="101"/>
  <c r="X85" i="99"/>
  <c r="AH41" i="99"/>
  <c r="AH42" i="99"/>
  <c r="AH50" i="99"/>
  <c r="Y54" i="110"/>
  <c r="Y22" i="110"/>
  <c r="Y20" i="110"/>
  <c r="AG45" i="101"/>
  <c r="Y32" i="99"/>
  <c r="BT61" i="101"/>
  <c r="AR101" i="96"/>
  <c r="H114" i="107"/>
  <c r="Z59" i="99"/>
  <c r="N63" i="110"/>
  <c r="AG118" i="101"/>
  <c r="S98" i="97"/>
  <c r="CD21" i="101"/>
  <c r="CD29" i="101"/>
  <c r="CD30" i="101"/>
  <c r="AH33" i="99"/>
  <c r="AH11" i="99"/>
  <c r="AH53" i="99"/>
  <c r="AH37" i="99"/>
  <c r="Y41" i="110"/>
  <c r="Y36" i="110"/>
  <c r="Y6" i="110"/>
  <c r="AH89" i="101"/>
  <c r="P32" i="110"/>
  <c r="W61" i="99"/>
  <c r="X88" i="99"/>
  <c r="BV112" i="101"/>
  <c r="J88" i="107"/>
  <c r="L114" i="107"/>
  <c r="AG129" i="101"/>
  <c r="BT63" i="101"/>
  <c r="AG61" i="101"/>
  <c r="AH129" i="101"/>
  <c r="CD6" i="101"/>
  <c r="CD13" i="101"/>
  <c r="CD16" i="101"/>
  <c r="AF113" i="101"/>
  <c r="AH21" i="99"/>
  <c r="AH31" i="99"/>
  <c r="AH46" i="99"/>
  <c r="Y32" i="110"/>
  <c r="Y43" i="110"/>
  <c r="Y10" i="110"/>
  <c r="AG46" i="101"/>
  <c r="AH101" i="101"/>
  <c r="AG72" i="101"/>
  <c r="N61" i="110"/>
  <c r="BU88" i="101"/>
  <c r="AG101" i="101"/>
  <c r="AH46" i="101"/>
  <c r="P112" i="110"/>
  <c r="F88" i="107"/>
  <c r="F36" i="107"/>
  <c r="AS97" i="96"/>
  <c r="AF7" i="106"/>
  <c r="AP122" i="96"/>
  <c r="AG76" i="101"/>
  <c r="BV87" i="101"/>
  <c r="CD54" i="101"/>
  <c r="CD34" i="101"/>
  <c r="CD10" i="101"/>
  <c r="AH45" i="101"/>
  <c r="AH27" i="99"/>
  <c r="AH9" i="99"/>
  <c r="AH17" i="99"/>
  <c r="Y30" i="110"/>
  <c r="Y33" i="110"/>
  <c r="Y45" i="110"/>
  <c r="BV84" i="101"/>
  <c r="O88" i="110"/>
  <c r="AG71" i="101"/>
  <c r="AH93" i="101"/>
  <c r="Y112" i="99"/>
  <c r="J36" i="107"/>
  <c r="M86" i="107"/>
  <c r="AS98" i="96"/>
  <c r="AD50" i="106"/>
  <c r="AD48" i="106"/>
  <c r="AD49" i="106"/>
  <c r="AD47" i="106"/>
  <c r="AD52" i="106"/>
  <c r="AD53" i="106"/>
  <c r="AD54" i="106"/>
  <c r="AD51" i="106"/>
  <c r="AD45" i="106"/>
  <c r="AD46" i="106"/>
  <c r="Y87" i="99"/>
  <c r="CD17" i="101"/>
  <c r="CD47" i="101"/>
  <c r="CD23" i="101"/>
  <c r="P34" i="99"/>
  <c r="AH20" i="99"/>
  <c r="AH10" i="99"/>
  <c r="AH39" i="99"/>
  <c r="AG130" i="101"/>
  <c r="Y29" i="110"/>
  <c r="Y34" i="110"/>
  <c r="Y40" i="110"/>
  <c r="P59" i="99"/>
  <c r="AH70" i="101"/>
  <c r="Y84" i="99"/>
  <c r="BW84" i="101"/>
  <c r="T34" i="99"/>
  <c r="S70" i="97"/>
  <c r="AH59" i="101" s="1"/>
  <c r="AH35" i="101"/>
  <c r="I86" i="107"/>
  <c r="I87" i="107"/>
  <c r="CD39" i="101"/>
  <c r="AE45" i="106"/>
  <c r="AE46" i="106"/>
  <c r="AG66" i="106"/>
  <c r="AG60" i="106"/>
  <c r="AG67" i="106"/>
  <c r="AG59" i="106"/>
  <c r="AG64" i="106"/>
  <c r="AG62" i="106"/>
  <c r="AG61" i="106"/>
  <c r="AG63" i="106"/>
  <c r="AG65" i="106"/>
  <c r="AG53" i="106"/>
  <c r="AG51" i="106"/>
  <c r="AG54" i="106"/>
  <c r="AG52" i="106"/>
  <c r="AH78" i="101"/>
  <c r="AH65" i="101"/>
  <c r="N60" i="110"/>
  <c r="CD41" i="101"/>
  <c r="CD33" i="101"/>
  <c r="CD44" i="101"/>
  <c r="T35" i="99"/>
  <c r="AH13" i="99"/>
  <c r="AH15" i="99"/>
  <c r="AH34" i="99"/>
  <c r="AG86" i="101"/>
  <c r="Y38" i="110"/>
  <c r="Y7" i="110"/>
  <c r="Y14" i="110"/>
  <c r="W59" i="99"/>
  <c r="Q84" i="110"/>
  <c r="O113" i="110"/>
  <c r="W86" i="99"/>
  <c r="AG6" i="106"/>
  <c r="AH87" i="101"/>
  <c r="M61" i="107"/>
  <c r="F66" i="107"/>
  <c r="AS99" i="96"/>
  <c r="BU113" i="101"/>
  <c r="AH25" i="99"/>
  <c r="AQ101" i="96"/>
  <c r="AH26" i="99"/>
  <c r="AH6" i="99"/>
  <c r="Y17" i="110"/>
  <c r="Y42" i="110"/>
  <c r="J66" i="107"/>
  <c r="M87" i="107"/>
  <c r="T112" i="99"/>
  <c r="AR71" i="96"/>
  <c r="AG65" i="101"/>
  <c r="P84" i="110"/>
  <c r="Z84" i="99"/>
  <c r="I61" i="107"/>
  <c r="AQ73" i="96"/>
  <c r="K62" i="107"/>
  <c r="G62" i="107"/>
  <c r="K34" i="107"/>
  <c r="G34" i="107"/>
  <c r="AQ45" i="96"/>
  <c r="G115" i="107"/>
  <c r="K115" i="107"/>
  <c r="AS122" i="96"/>
  <c r="M111" i="107"/>
  <c r="I111" i="107"/>
  <c r="L37" i="107"/>
  <c r="H37" i="107"/>
  <c r="H91" i="107"/>
  <c r="L91" i="107"/>
  <c r="AP123" i="96"/>
  <c r="J112" i="107"/>
  <c r="F112" i="107"/>
  <c r="I88" i="107"/>
  <c r="M88" i="107"/>
  <c r="M89" i="107"/>
  <c r="I89" i="107"/>
  <c r="G91" i="107"/>
  <c r="K91" i="107"/>
  <c r="L61" i="107"/>
  <c r="H61" i="107"/>
  <c r="AQ74" i="96"/>
  <c r="K63" i="107"/>
  <c r="G63" i="107"/>
  <c r="AQ46" i="96"/>
  <c r="K35" i="107"/>
  <c r="G35" i="107"/>
  <c r="M112" i="107"/>
  <c r="I112" i="107"/>
  <c r="AP124" i="96"/>
  <c r="J113" i="107"/>
  <c r="F113" i="107"/>
  <c r="G64" i="107"/>
  <c r="K64" i="107"/>
  <c r="AQ47" i="96"/>
  <c r="K36" i="107"/>
  <c r="G36" i="107"/>
  <c r="AP125" i="96"/>
  <c r="J114" i="107"/>
  <c r="F114" i="107"/>
  <c r="K37" i="107"/>
  <c r="G37" i="107"/>
  <c r="F115" i="107"/>
  <c r="J115" i="107"/>
  <c r="Q128" i="103" l="1"/>
  <c r="W128" i="108"/>
  <c r="I139" i="97"/>
  <c r="AF36" i="103"/>
  <c r="BP43" i="103"/>
  <c r="BU43" i="103"/>
  <c r="BP30" i="103"/>
  <c r="BU30" i="103"/>
  <c r="BP27" i="103"/>
  <c r="BU27" i="103"/>
  <c r="BP34" i="103"/>
  <c r="BU34" i="103"/>
  <c r="BU29" i="103"/>
  <c r="BP29" i="103"/>
  <c r="BP6" i="103"/>
  <c r="BU6" i="103"/>
  <c r="BU16" i="103"/>
  <c r="BP16" i="103"/>
  <c r="BU40" i="103"/>
  <c r="BP40" i="103"/>
  <c r="BU46" i="103"/>
  <c r="BP46" i="103"/>
  <c r="BP7" i="103"/>
  <c r="BU7" i="103"/>
  <c r="BU33" i="103"/>
  <c r="BP33" i="103"/>
  <c r="BU32" i="103"/>
  <c r="BP32" i="103"/>
  <c r="BU44" i="103"/>
  <c r="BP44" i="103"/>
  <c r="BP21" i="103"/>
  <c r="BU21" i="103"/>
  <c r="BP51" i="103"/>
  <c r="BU51" i="103"/>
  <c r="BP42" i="103"/>
  <c r="BU42" i="103"/>
  <c r="BU9" i="103"/>
  <c r="BP9" i="103"/>
  <c r="BP47" i="103"/>
  <c r="BU47" i="103"/>
  <c r="BU54" i="103"/>
  <c r="BP54" i="103"/>
  <c r="BU52" i="103"/>
  <c r="BP52" i="103"/>
  <c r="BP35" i="103"/>
  <c r="BU35" i="103"/>
  <c r="BP23" i="103"/>
  <c r="BU23" i="103"/>
  <c r="BU22" i="103"/>
  <c r="BP22" i="103"/>
  <c r="BU24" i="103"/>
  <c r="BP24" i="103"/>
  <c r="BU49" i="103"/>
  <c r="BP49" i="103"/>
  <c r="BP50" i="103"/>
  <c r="BU50" i="103"/>
  <c r="BU45" i="103"/>
  <c r="BP45" i="103"/>
  <c r="BU13" i="103"/>
  <c r="BP13" i="103"/>
  <c r="BP17" i="103"/>
  <c r="BU17" i="103"/>
  <c r="BP19" i="103"/>
  <c r="BU19" i="103"/>
  <c r="BU10" i="103"/>
  <c r="BP10" i="103"/>
  <c r="BP12" i="103"/>
  <c r="BU12" i="103"/>
  <c r="BU14" i="103"/>
  <c r="BP14" i="103"/>
  <c r="BP18" i="103"/>
  <c r="BU18" i="103"/>
  <c r="BU41" i="103"/>
  <c r="BP41" i="103"/>
  <c r="BU38" i="103"/>
  <c r="BP38" i="103"/>
  <c r="BU15" i="103"/>
  <c r="BP15" i="103"/>
  <c r="BP28" i="103"/>
  <c r="BU28" i="103"/>
  <c r="BP8" i="103"/>
  <c r="BU8" i="103"/>
  <c r="BP11" i="103"/>
  <c r="BU11" i="103"/>
  <c r="BP20" i="103"/>
  <c r="BU20" i="103"/>
  <c r="BP31" i="103"/>
  <c r="BU31" i="103"/>
  <c r="BP48" i="103"/>
  <c r="BU48" i="103"/>
  <c r="BU39" i="103"/>
  <c r="BP39" i="103"/>
  <c r="BU26" i="103"/>
  <c r="BP26" i="103"/>
  <c r="BU53" i="103"/>
  <c r="BP53" i="103"/>
  <c r="BU37" i="103"/>
  <c r="BP37" i="103"/>
  <c r="BU36" i="103"/>
  <c r="BP36" i="103"/>
  <c r="BU25" i="103"/>
  <c r="BP25" i="103"/>
  <c r="Y125" i="106"/>
  <c r="AF96" i="103"/>
  <c r="AF124" i="103"/>
  <c r="Y75" i="106"/>
  <c r="Y116" i="106"/>
  <c r="AF126" i="103"/>
  <c r="AF38" i="103"/>
  <c r="AF64" i="103"/>
  <c r="Y121" i="106"/>
  <c r="AF103" i="103"/>
  <c r="Y97" i="106"/>
  <c r="AF50" i="103"/>
  <c r="Y115" i="106"/>
  <c r="M124" i="97"/>
  <c r="N46" i="97"/>
  <c r="AA35" i="108" s="1"/>
  <c r="M123" i="97"/>
  <c r="P122" i="97"/>
  <c r="N45" i="97"/>
  <c r="N73" i="97"/>
  <c r="M122" i="97"/>
  <c r="P121" i="97"/>
  <c r="N44" i="97"/>
  <c r="N72" i="97"/>
  <c r="Y60" i="108"/>
  <c r="S60" i="103"/>
  <c r="K71" i="97"/>
  <c r="W117" i="106"/>
  <c r="Y117" i="106" s="1"/>
  <c r="Y91" i="106"/>
  <c r="K84" i="97"/>
  <c r="Y73" i="108"/>
  <c r="S73" i="103"/>
  <c r="W61" i="106"/>
  <c r="Y61" i="106" s="1"/>
  <c r="W53" i="106"/>
  <c r="Y53" i="106" s="1"/>
  <c r="K50" i="97"/>
  <c r="Y39" i="108"/>
  <c r="S39" i="103"/>
  <c r="Y39" i="106"/>
  <c r="S33" i="103"/>
  <c r="Y33" i="108"/>
  <c r="K44" i="97"/>
  <c r="S48" i="103"/>
  <c r="Y48" i="108"/>
  <c r="K59" i="97"/>
  <c r="K127" i="97"/>
  <c r="S116" i="103"/>
  <c r="Y116" i="108"/>
  <c r="J128" i="97"/>
  <c r="X117" i="108"/>
  <c r="T117" i="99"/>
  <c r="R117" i="103"/>
  <c r="S128" i="97"/>
  <c r="P117" i="99"/>
  <c r="N117" i="103" s="1"/>
  <c r="AL32" i="103"/>
  <c r="AF32" i="103"/>
  <c r="Y79" i="106"/>
  <c r="S98" i="103"/>
  <c r="Y98" i="108"/>
  <c r="K109" i="97"/>
  <c r="K136" i="97"/>
  <c r="S125" i="103"/>
  <c r="Y125" i="108"/>
  <c r="K79" i="97"/>
  <c r="S68" i="103"/>
  <c r="Y68" i="108"/>
  <c r="U33" i="106"/>
  <c r="Y33" i="106" s="1"/>
  <c r="AF115" i="103"/>
  <c r="K126" i="97"/>
  <c r="S115" i="103"/>
  <c r="Y115" i="108"/>
  <c r="J102" i="97"/>
  <c r="X91" i="108"/>
  <c r="R91" i="103"/>
  <c r="T91" i="99"/>
  <c r="S102" i="97"/>
  <c r="P91" i="99"/>
  <c r="N91" i="103" s="1"/>
  <c r="Y51" i="106"/>
  <c r="Y42" i="106"/>
  <c r="K78" i="97"/>
  <c r="Y67" i="108"/>
  <c r="S67" i="103"/>
  <c r="V62" i="106"/>
  <c r="Y62" i="106" s="1"/>
  <c r="AF125" i="103"/>
  <c r="W113" i="106"/>
  <c r="Y113" i="106" s="1"/>
  <c r="AF110" i="103"/>
  <c r="AL110" i="103"/>
  <c r="S111" i="103"/>
  <c r="Y111" i="108"/>
  <c r="K122" i="97"/>
  <c r="AF39" i="103"/>
  <c r="Y38" i="108"/>
  <c r="K49" i="97"/>
  <c r="S38" i="103"/>
  <c r="K73" i="97"/>
  <c r="S62" i="103"/>
  <c r="Y62" i="108"/>
  <c r="K74" i="97"/>
  <c r="Y63" i="108"/>
  <c r="S63" i="103"/>
  <c r="K75" i="97"/>
  <c r="S64" i="103"/>
  <c r="Y64" i="108"/>
  <c r="K48" i="97"/>
  <c r="S37" i="103"/>
  <c r="Y37" i="108"/>
  <c r="K86" i="97"/>
  <c r="S75" i="103"/>
  <c r="Y75" i="108"/>
  <c r="K60" i="97"/>
  <c r="Y49" i="108"/>
  <c r="S49" i="103"/>
  <c r="K137" i="97"/>
  <c r="Y126" i="108"/>
  <c r="S126" i="103"/>
  <c r="AF111" i="103"/>
  <c r="AF90" i="103"/>
  <c r="K47" i="97"/>
  <c r="Y36" i="108"/>
  <c r="S36" i="103"/>
  <c r="K114" i="97"/>
  <c r="S103" i="103"/>
  <c r="Y103" i="108"/>
  <c r="AB110" i="108"/>
  <c r="AF33" i="103"/>
  <c r="P98" i="97"/>
  <c r="P97" i="97"/>
  <c r="N112" i="103"/>
  <c r="P96" i="97"/>
  <c r="AF59" i="108"/>
  <c r="N86" i="103"/>
  <c r="AJ86" i="103" s="1"/>
  <c r="R59" i="110"/>
  <c r="BX59" i="101"/>
  <c r="AA59" i="99"/>
  <c r="R84" i="110"/>
  <c r="AA84" i="99"/>
  <c r="BX84" i="101"/>
  <c r="AJ59" i="101"/>
  <c r="R32" i="110"/>
  <c r="AA32" i="99"/>
  <c r="BX32" i="101"/>
  <c r="AF35" i="108"/>
  <c r="N59" i="103"/>
  <c r="AJ59" i="103" s="1"/>
  <c r="AF86" i="108"/>
  <c r="AF34" i="108"/>
  <c r="N34" i="103"/>
  <c r="AJ34" i="103" s="1"/>
  <c r="AF87" i="108"/>
  <c r="N87" i="103"/>
  <c r="AJ87" i="103" s="1"/>
  <c r="N35" i="103"/>
  <c r="AJ35" i="103" s="1"/>
  <c r="AF112" i="108"/>
  <c r="AG59" i="108"/>
  <c r="O59" i="103"/>
  <c r="AB89" i="108"/>
  <c r="Z86" i="108"/>
  <c r="AB112" i="108"/>
  <c r="AA89" i="108"/>
  <c r="AF72" i="108"/>
  <c r="AF74" i="108"/>
  <c r="AF94" i="108"/>
  <c r="AA113" i="108"/>
  <c r="AF93" i="108"/>
  <c r="AF46" i="108"/>
  <c r="J99" i="97"/>
  <c r="X88" i="108"/>
  <c r="T88" i="99"/>
  <c r="R88" i="103"/>
  <c r="S99" i="97"/>
  <c r="P88" i="99"/>
  <c r="N88" i="103" s="1"/>
  <c r="I96" i="97"/>
  <c r="R85" i="103"/>
  <c r="X85" i="108"/>
  <c r="V45" i="108"/>
  <c r="N45" i="99"/>
  <c r="L45" i="103" s="1"/>
  <c r="P45" i="103"/>
  <c r="R45" i="99"/>
  <c r="Q56" i="97"/>
  <c r="AH59" i="103"/>
  <c r="N86" i="99"/>
  <c r="L86" i="103" s="1"/>
  <c r="P86" i="103"/>
  <c r="R86" i="99"/>
  <c r="V86" i="108"/>
  <c r="Q97" i="97"/>
  <c r="N61" i="99"/>
  <c r="L61" i="103" s="1"/>
  <c r="T61" i="103" s="1"/>
  <c r="R61" i="99"/>
  <c r="P61" i="103"/>
  <c r="V61" i="108"/>
  <c r="Q72" i="97"/>
  <c r="J62" i="97"/>
  <c r="T51" i="99"/>
  <c r="R51" i="103"/>
  <c r="X51" i="108"/>
  <c r="P51" i="99"/>
  <c r="N51" i="103" s="1"/>
  <c r="S62" i="97"/>
  <c r="J55" i="97"/>
  <c r="S55" i="97"/>
  <c r="P44" i="99"/>
  <c r="N44" i="103" s="1"/>
  <c r="R44" i="103"/>
  <c r="X44" i="108"/>
  <c r="T44" i="99"/>
  <c r="R130" i="99"/>
  <c r="V130" i="108"/>
  <c r="P130" i="103"/>
  <c r="Q141" i="97"/>
  <c r="N130" i="99"/>
  <c r="L130" i="103" s="1"/>
  <c r="AE128" i="108"/>
  <c r="P94" i="103"/>
  <c r="R94" i="99"/>
  <c r="V94" i="108"/>
  <c r="Q105" i="97"/>
  <c r="N94" i="99"/>
  <c r="L94" i="103" s="1"/>
  <c r="AI76" i="103"/>
  <c r="U76" i="103"/>
  <c r="AI89" i="103"/>
  <c r="U89" i="103"/>
  <c r="AE71" i="108"/>
  <c r="U129" i="103"/>
  <c r="AI129" i="103"/>
  <c r="AE101" i="108"/>
  <c r="AC84" i="108"/>
  <c r="AA88" i="108"/>
  <c r="J111" i="97"/>
  <c r="T100" i="99"/>
  <c r="P100" i="99"/>
  <c r="N100" i="103" s="1"/>
  <c r="S111" i="97"/>
  <c r="R100" i="103"/>
  <c r="X100" i="108"/>
  <c r="U45" i="103"/>
  <c r="AI45" i="103"/>
  <c r="AI74" i="103"/>
  <c r="U74" i="103"/>
  <c r="J61" i="97"/>
  <c r="R50" i="103"/>
  <c r="X50" i="108"/>
  <c r="S61" i="97"/>
  <c r="P50" i="99"/>
  <c r="N50" i="103" s="1"/>
  <c r="T50" i="99"/>
  <c r="AE69" i="108"/>
  <c r="J110" i="97"/>
  <c r="T99" i="99"/>
  <c r="R99" i="103"/>
  <c r="X99" i="108"/>
  <c r="P99" i="99"/>
  <c r="N99" i="103" s="1"/>
  <c r="S110" i="97"/>
  <c r="J115" i="97"/>
  <c r="P104" i="99"/>
  <c r="N104" i="103" s="1"/>
  <c r="T104" i="99"/>
  <c r="X104" i="108"/>
  <c r="R104" i="103"/>
  <c r="S115" i="97"/>
  <c r="AE78" i="108"/>
  <c r="J132" i="97"/>
  <c r="R121" i="103"/>
  <c r="T121" i="99"/>
  <c r="S132" i="97"/>
  <c r="P121" i="99"/>
  <c r="N121" i="103" s="1"/>
  <c r="X121" i="108"/>
  <c r="T113" i="103"/>
  <c r="AH113" i="103"/>
  <c r="N76" i="99"/>
  <c r="L76" i="103" s="1"/>
  <c r="T76" i="103" s="1"/>
  <c r="V76" i="108"/>
  <c r="R76" i="99"/>
  <c r="P76" i="103"/>
  <c r="Q87" i="97"/>
  <c r="AE89" i="108"/>
  <c r="N87" i="99"/>
  <c r="L87" i="103" s="1"/>
  <c r="T87" i="103" s="1"/>
  <c r="P87" i="103"/>
  <c r="R87" i="99"/>
  <c r="V87" i="108"/>
  <c r="Q98" i="97"/>
  <c r="J134" i="97"/>
  <c r="P123" i="99"/>
  <c r="N123" i="103" s="1"/>
  <c r="R123" i="103"/>
  <c r="T123" i="99"/>
  <c r="X123" i="108"/>
  <c r="S134" i="97"/>
  <c r="Z59" i="108"/>
  <c r="AB84" i="108"/>
  <c r="Z61" i="108"/>
  <c r="AF76" i="108"/>
  <c r="AB35" i="108"/>
  <c r="AE93" i="108"/>
  <c r="J106" i="97"/>
  <c r="T95" i="99"/>
  <c r="R95" i="103"/>
  <c r="S106" i="97"/>
  <c r="P95" i="99"/>
  <c r="N95" i="103" s="1"/>
  <c r="X95" i="108"/>
  <c r="AD59" i="108"/>
  <c r="AI70" i="103"/>
  <c r="U70" i="103"/>
  <c r="AE65" i="108"/>
  <c r="N69" i="99"/>
  <c r="L69" i="103" s="1"/>
  <c r="T69" i="103" s="1"/>
  <c r="R69" i="99"/>
  <c r="P69" i="103"/>
  <c r="V69" i="108"/>
  <c r="Q80" i="97"/>
  <c r="P118" i="103"/>
  <c r="R118" i="99"/>
  <c r="Q129" i="97"/>
  <c r="N118" i="99"/>
  <c r="L118" i="103" s="1"/>
  <c r="V118" i="108"/>
  <c r="J54" i="97"/>
  <c r="T43" i="99"/>
  <c r="S54" i="97"/>
  <c r="P43" i="99"/>
  <c r="N43" i="103" s="1"/>
  <c r="R43" i="103"/>
  <c r="X43" i="108"/>
  <c r="J58" i="97"/>
  <c r="R47" i="103"/>
  <c r="X47" i="108"/>
  <c r="T47" i="99"/>
  <c r="S58" i="97"/>
  <c r="P47" i="99"/>
  <c r="N47" i="103" s="1"/>
  <c r="AI46" i="103"/>
  <c r="U46" i="103"/>
  <c r="Q100" i="97"/>
  <c r="N89" i="99"/>
  <c r="L89" i="103" s="1"/>
  <c r="R89" i="99"/>
  <c r="P89" i="103"/>
  <c r="V89" i="108"/>
  <c r="AE72" i="108"/>
  <c r="R101" i="99"/>
  <c r="N101" i="99"/>
  <c r="L101" i="103" s="1"/>
  <c r="V101" i="108"/>
  <c r="P101" i="103"/>
  <c r="Q112" i="97"/>
  <c r="AB32" i="108"/>
  <c r="AF71" i="108"/>
  <c r="AF70" i="108"/>
  <c r="AF101" i="108"/>
  <c r="AF89" i="108"/>
  <c r="AE45" i="108"/>
  <c r="AE74" i="108"/>
  <c r="Z34" i="108"/>
  <c r="Z113" i="108"/>
  <c r="AB59" i="108"/>
  <c r="AF118" i="108"/>
  <c r="N74" i="99"/>
  <c r="L74" i="103" s="1"/>
  <c r="T74" i="103" s="1"/>
  <c r="Q85" i="97"/>
  <c r="R74" i="99"/>
  <c r="P74" i="103"/>
  <c r="V74" i="108"/>
  <c r="J113" i="97"/>
  <c r="P102" i="99"/>
  <c r="N102" i="103" s="1"/>
  <c r="X102" i="108"/>
  <c r="R102" i="103"/>
  <c r="T102" i="99"/>
  <c r="S113" i="97"/>
  <c r="J133" i="97"/>
  <c r="X122" i="108"/>
  <c r="R122" i="103"/>
  <c r="T122" i="99"/>
  <c r="S133" i="97"/>
  <c r="P122" i="99"/>
  <c r="N122" i="103" s="1"/>
  <c r="U86" i="103"/>
  <c r="AI86" i="103"/>
  <c r="AE70" i="108"/>
  <c r="J77" i="97"/>
  <c r="T66" i="99"/>
  <c r="R66" i="103"/>
  <c r="X66" i="108"/>
  <c r="S77" i="97"/>
  <c r="P66" i="99"/>
  <c r="N66" i="103" s="1"/>
  <c r="U65" i="103"/>
  <c r="AI65" i="103"/>
  <c r="U130" i="103"/>
  <c r="AI130" i="103"/>
  <c r="AE46" i="108"/>
  <c r="J107" i="97"/>
  <c r="R96" i="103"/>
  <c r="S107" i="97"/>
  <c r="T96" i="99"/>
  <c r="P96" i="99"/>
  <c r="N96" i="103" s="1"/>
  <c r="X96" i="108"/>
  <c r="AB86" i="108"/>
  <c r="AF77" i="108"/>
  <c r="J130" i="97"/>
  <c r="P119" i="99"/>
  <c r="N119" i="103" s="1"/>
  <c r="X119" i="108"/>
  <c r="T119" i="99"/>
  <c r="R119" i="103"/>
  <c r="S130" i="97"/>
  <c r="R34" i="99"/>
  <c r="P34" i="103"/>
  <c r="V34" i="108"/>
  <c r="Q45" i="97"/>
  <c r="N34" i="99"/>
  <c r="L34" i="103" s="1"/>
  <c r="J51" i="97"/>
  <c r="T40" i="99"/>
  <c r="X40" i="108"/>
  <c r="R40" i="103"/>
  <c r="P40" i="99"/>
  <c r="N40" i="103" s="1"/>
  <c r="S51" i="97"/>
  <c r="AE86" i="108"/>
  <c r="P65" i="103"/>
  <c r="V65" i="108"/>
  <c r="R65" i="99"/>
  <c r="Q76" i="97"/>
  <c r="N65" i="99"/>
  <c r="L65" i="103" s="1"/>
  <c r="AE130" i="108"/>
  <c r="N128" i="99"/>
  <c r="L128" i="103" s="1"/>
  <c r="V128" i="108"/>
  <c r="R128" i="99"/>
  <c r="P128" i="103"/>
  <c r="Q139" i="97"/>
  <c r="J131" i="97"/>
  <c r="S131" i="97"/>
  <c r="P120" i="99"/>
  <c r="N120" i="103" s="1"/>
  <c r="T120" i="99"/>
  <c r="X120" i="108"/>
  <c r="R120" i="103"/>
  <c r="U87" i="103"/>
  <c r="AI87" i="103"/>
  <c r="J52" i="97"/>
  <c r="T41" i="99"/>
  <c r="S52" i="97"/>
  <c r="P41" i="99"/>
  <c r="N41" i="103" s="1"/>
  <c r="X41" i="108"/>
  <c r="R41" i="103"/>
  <c r="U77" i="103"/>
  <c r="AI77" i="103"/>
  <c r="P129" i="103"/>
  <c r="R129" i="99"/>
  <c r="V129" i="108"/>
  <c r="Q140" i="97"/>
  <c r="N129" i="99"/>
  <c r="L129" i="103" s="1"/>
  <c r="AA85" i="108"/>
  <c r="AB34" i="108"/>
  <c r="Z62" i="108"/>
  <c r="AF128" i="108"/>
  <c r="AF45" i="108"/>
  <c r="J138" i="97"/>
  <c r="T127" i="99"/>
  <c r="S138" i="97"/>
  <c r="P127" i="99"/>
  <c r="N127" i="103" s="1"/>
  <c r="R127" i="103"/>
  <c r="X127" i="108"/>
  <c r="U69" i="103"/>
  <c r="AI69" i="103"/>
  <c r="U61" i="103"/>
  <c r="AI61" i="103"/>
  <c r="J63" i="97"/>
  <c r="X52" i="108"/>
  <c r="S63" i="97"/>
  <c r="P52" i="99"/>
  <c r="N52" i="103" s="1"/>
  <c r="R52" i="103"/>
  <c r="T52" i="99"/>
  <c r="AI118" i="103"/>
  <c r="U118" i="103"/>
  <c r="AI94" i="103"/>
  <c r="U94" i="103"/>
  <c r="AI78" i="103"/>
  <c r="U78" i="103"/>
  <c r="AD113" i="108"/>
  <c r="J101" i="97"/>
  <c r="X90" i="108"/>
  <c r="R90" i="103"/>
  <c r="T90" i="99"/>
  <c r="S101" i="97"/>
  <c r="P90" i="99"/>
  <c r="N90" i="103" s="1"/>
  <c r="AD112" i="108"/>
  <c r="AE77" i="108"/>
  <c r="AA87" i="108"/>
  <c r="Z60" i="108"/>
  <c r="AB87" i="108"/>
  <c r="AF129" i="108"/>
  <c r="AF69" i="108"/>
  <c r="J108" i="97"/>
  <c r="R97" i="103"/>
  <c r="X97" i="108"/>
  <c r="P97" i="99"/>
  <c r="N97" i="103" s="1"/>
  <c r="S108" i="97"/>
  <c r="T97" i="99"/>
  <c r="Z64" i="108"/>
  <c r="AF65" i="108"/>
  <c r="AI93" i="103"/>
  <c r="U93" i="103"/>
  <c r="V59" i="99"/>
  <c r="BA7" i="103" s="1"/>
  <c r="V70" i="108"/>
  <c r="P70" i="103"/>
  <c r="Q81" i="97"/>
  <c r="R70" i="99"/>
  <c r="N70" i="99"/>
  <c r="L70" i="103" s="1"/>
  <c r="AE61" i="108"/>
  <c r="J135" i="97"/>
  <c r="T124" i="99"/>
  <c r="X124" i="108"/>
  <c r="R124" i="103"/>
  <c r="S135" i="97"/>
  <c r="P124" i="99"/>
  <c r="N124" i="103" s="1"/>
  <c r="AE118" i="108"/>
  <c r="AE94" i="108"/>
  <c r="Q89" i="97"/>
  <c r="N78" i="99"/>
  <c r="L78" i="103" s="1"/>
  <c r="P78" i="103"/>
  <c r="R78" i="99"/>
  <c r="V78" i="108"/>
  <c r="J103" i="97"/>
  <c r="R92" i="103"/>
  <c r="T92" i="99"/>
  <c r="X92" i="108"/>
  <c r="S103" i="97"/>
  <c r="P92" i="99"/>
  <c r="N92" i="103" s="1"/>
  <c r="AE87" i="108"/>
  <c r="AI72" i="103"/>
  <c r="U72" i="103"/>
  <c r="J53" i="97"/>
  <c r="T42" i="99"/>
  <c r="X42" i="108"/>
  <c r="R42" i="103"/>
  <c r="S53" i="97"/>
  <c r="P42" i="99"/>
  <c r="N42" i="103" s="1"/>
  <c r="U71" i="103"/>
  <c r="AI71" i="103"/>
  <c r="AB33" i="108"/>
  <c r="Z63" i="108"/>
  <c r="AA62" i="108"/>
  <c r="AF130" i="108"/>
  <c r="AF78" i="108"/>
  <c r="R93" i="99"/>
  <c r="V93" i="108"/>
  <c r="P93" i="103"/>
  <c r="Q104" i="97"/>
  <c r="N93" i="99"/>
  <c r="L93" i="103" s="1"/>
  <c r="AI128" i="103"/>
  <c r="U128" i="103"/>
  <c r="J125" i="97"/>
  <c r="T114" i="99"/>
  <c r="X114" i="108"/>
  <c r="R114" i="103"/>
  <c r="S125" i="97"/>
  <c r="P114" i="99"/>
  <c r="N114" i="103" s="1"/>
  <c r="P35" i="103"/>
  <c r="Q46" i="97"/>
  <c r="N35" i="99"/>
  <c r="L35" i="103" s="1"/>
  <c r="R35" i="99"/>
  <c r="V35" i="108"/>
  <c r="AE76" i="108"/>
  <c r="N46" i="99"/>
  <c r="L46" i="103" s="1"/>
  <c r="P46" i="103"/>
  <c r="V46" i="108"/>
  <c r="R46" i="99"/>
  <c r="Q57" i="97"/>
  <c r="AH112" i="103"/>
  <c r="V72" i="108"/>
  <c r="R72" i="99"/>
  <c r="P72" i="103"/>
  <c r="Q83" i="97"/>
  <c r="N72" i="99"/>
  <c r="L72" i="103" s="1"/>
  <c r="R71" i="99"/>
  <c r="P71" i="103"/>
  <c r="V71" i="108"/>
  <c r="N71" i="99"/>
  <c r="L71" i="103" s="1"/>
  <c r="Q82" i="97"/>
  <c r="N77" i="99"/>
  <c r="L77" i="103" s="1"/>
  <c r="R77" i="99"/>
  <c r="V77" i="108"/>
  <c r="P77" i="103"/>
  <c r="Q88" i="97"/>
  <c r="AE129" i="108"/>
  <c r="U101" i="103"/>
  <c r="AI101" i="103"/>
  <c r="AC59" i="108"/>
  <c r="AA86" i="108"/>
  <c r="AB85" i="108"/>
  <c r="AB88" i="108"/>
  <c r="O124" i="97"/>
  <c r="N101" i="97"/>
  <c r="V72" i="103"/>
  <c r="AJ72" i="103"/>
  <c r="V94" i="103"/>
  <c r="AJ94" i="103"/>
  <c r="N125" i="97"/>
  <c r="V93" i="103"/>
  <c r="AJ93" i="103"/>
  <c r="AJ46" i="103"/>
  <c r="V46" i="103"/>
  <c r="O101" i="97"/>
  <c r="AJ129" i="103"/>
  <c r="V129" i="103"/>
  <c r="V77" i="103"/>
  <c r="AJ77" i="103"/>
  <c r="AJ76" i="103"/>
  <c r="V76" i="103"/>
  <c r="AJ71" i="103"/>
  <c r="V71" i="103"/>
  <c r="O47" i="97"/>
  <c r="P71" i="97"/>
  <c r="V70" i="103"/>
  <c r="AJ70" i="103"/>
  <c r="V101" i="103"/>
  <c r="AJ101" i="103"/>
  <c r="V89" i="103"/>
  <c r="AJ89" i="103"/>
  <c r="M46" i="97"/>
  <c r="M125" i="97"/>
  <c r="O71" i="97"/>
  <c r="AJ118" i="103"/>
  <c r="V118" i="103"/>
  <c r="N47" i="97"/>
  <c r="N74" i="97"/>
  <c r="AJ128" i="103"/>
  <c r="V128" i="103"/>
  <c r="AJ112" i="103"/>
  <c r="V69" i="103"/>
  <c r="AJ69" i="103"/>
  <c r="V45" i="103"/>
  <c r="AJ45" i="103"/>
  <c r="M76" i="97"/>
  <c r="V65" i="103"/>
  <c r="AJ65" i="103"/>
  <c r="P99" i="97"/>
  <c r="V78" i="103"/>
  <c r="AJ78" i="103"/>
  <c r="M98" i="97"/>
  <c r="AJ74" i="103"/>
  <c r="V74" i="103"/>
  <c r="V130" i="103"/>
  <c r="AJ130" i="103"/>
  <c r="N113" i="110"/>
  <c r="BT113" i="101"/>
  <c r="W113" i="99"/>
  <c r="BU33" i="101"/>
  <c r="X33" i="99"/>
  <c r="O33" i="110"/>
  <c r="AH91" i="101"/>
  <c r="U111" i="99"/>
  <c r="Q87" i="99"/>
  <c r="CC52" i="101"/>
  <c r="CC7" i="101"/>
  <c r="BV113" i="101"/>
  <c r="BT114" i="101"/>
  <c r="AP58" i="101"/>
  <c r="BH61" i="103"/>
  <c r="AH40" i="101"/>
  <c r="Z51" i="110"/>
  <c r="Z32" i="110"/>
  <c r="Z41" i="110"/>
  <c r="V34" i="103"/>
  <c r="AI30" i="99"/>
  <c r="AI43" i="99"/>
  <c r="AI21" i="99"/>
  <c r="AF69" i="101"/>
  <c r="CE35" i="101"/>
  <c r="CE42" i="101"/>
  <c r="CE48" i="101"/>
  <c r="X39" i="110"/>
  <c r="X17" i="110"/>
  <c r="X53" i="110"/>
  <c r="X6" i="110"/>
  <c r="AG32" i="99"/>
  <c r="AG52" i="99"/>
  <c r="AG16" i="99"/>
  <c r="AG30" i="99"/>
  <c r="AF129" i="101"/>
  <c r="AF46" i="101"/>
  <c r="X13" i="110"/>
  <c r="AG11" i="99"/>
  <c r="R46" i="97"/>
  <c r="O35" i="99"/>
  <c r="S35" i="99"/>
  <c r="BU35" i="101"/>
  <c r="O35" i="110"/>
  <c r="X35" i="99"/>
  <c r="CJ95" i="101"/>
  <c r="U87" i="99"/>
  <c r="CC22" i="101"/>
  <c r="CC10" i="101"/>
  <c r="AP77" i="96"/>
  <c r="AP64" i="101"/>
  <c r="AF94" i="101"/>
  <c r="AH92" i="101"/>
  <c r="AH57" i="99"/>
  <c r="AH52" i="101"/>
  <c r="Z24" i="110"/>
  <c r="Z43" i="110"/>
  <c r="Z45" i="110"/>
  <c r="AH121" i="101"/>
  <c r="BT87" i="101"/>
  <c r="AI45" i="99"/>
  <c r="AI23" i="99"/>
  <c r="AI41" i="99"/>
  <c r="CE34" i="101"/>
  <c r="CE17" i="101"/>
  <c r="CE37" i="101"/>
  <c r="X37" i="110"/>
  <c r="X32" i="110"/>
  <c r="X10" i="110"/>
  <c r="O36" i="110"/>
  <c r="AG39" i="99"/>
  <c r="AG34" i="99"/>
  <c r="AG6" i="99"/>
  <c r="AG33" i="99"/>
  <c r="AS100" i="96"/>
  <c r="I90" i="107" s="1"/>
  <c r="BT112" i="101"/>
  <c r="W112" i="99"/>
  <c r="N112" i="110"/>
  <c r="BU61" i="101"/>
  <c r="X61" i="99"/>
  <c r="O61" i="110"/>
  <c r="AD10" i="106"/>
  <c r="AD9" i="106"/>
  <c r="AD8" i="106"/>
  <c r="AD7" i="106"/>
  <c r="AD6" i="106"/>
  <c r="BW87" i="101"/>
  <c r="CC44" i="101"/>
  <c r="CC43" i="101"/>
  <c r="CC51" i="101"/>
  <c r="CC8" i="101"/>
  <c r="AH88" i="101"/>
  <c r="BU114" i="101"/>
  <c r="U86" i="99"/>
  <c r="Y58" i="110"/>
  <c r="AP62" i="101"/>
  <c r="AF118" i="101"/>
  <c r="AH60" i="99"/>
  <c r="AH97" i="101"/>
  <c r="Z13" i="110"/>
  <c r="Z8" i="110"/>
  <c r="Z53" i="110"/>
  <c r="AH123" i="101"/>
  <c r="W87" i="99"/>
  <c r="AI32" i="99"/>
  <c r="AI34" i="99"/>
  <c r="AI38" i="99"/>
  <c r="AF70" i="101"/>
  <c r="CE21" i="101"/>
  <c r="CE29" i="101"/>
  <c r="CE18" i="101"/>
  <c r="X19" i="110"/>
  <c r="X18" i="110"/>
  <c r="BU36" i="101"/>
  <c r="AG19" i="99"/>
  <c r="AG22" i="99"/>
  <c r="AG53" i="99"/>
  <c r="AG23" i="99"/>
  <c r="AQ48" i="96"/>
  <c r="J67" i="107"/>
  <c r="BW111" i="101"/>
  <c r="Q111" i="110"/>
  <c r="Z111" i="99"/>
  <c r="AF94" i="110"/>
  <c r="Z87" i="99"/>
  <c r="CC33" i="101"/>
  <c r="CC34" i="101"/>
  <c r="CC41" i="101"/>
  <c r="CC12" i="101"/>
  <c r="AH100" i="101"/>
  <c r="O114" i="110"/>
  <c r="Q86" i="99"/>
  <c r="Y55" i="110"/>
  <c r="CD64" i="101"/>
  <c r="AP57" i="101"/>
  <c r="AH102" i="101"/>
  <c r="AH42" i="101"/>
  <c r="AH56" i="99"/>
  <c r="V86" i="103"/>
  <c r="Z25" i="110"/>
  <c r="Z49" i="110"/>
  <c r="Z44" i="110"/>
  <c r="AH66" i="101"/>
  <c r="N87" i="110"/>
  <c r="AI54" i="99"/>
  <c r="AI33" i="99"/>
  <c r="AI39" i="99"/>
  <c r="CE46" i="101"/>
  <c r="CE43" i="101"/>
  <c r="CE38" i="101"/>
  <c r="X14" i="110"/>
  <c r="X7" i="110"/>
  <c r="AG26" i="99"/>
  <c r="O34" i="99"/>
  <c r="R45" i="97"/>
  <c r="S34" i="99"/>
  <c r="O34" i="110"/>
  <c r="X34" i="99"/>
  <c r="BU34" i="101"/>
  <c r="AO96" i="99"/>
  <c r="Q87" i="110"/>
  <c r="CC18" i="101"/>
  <c r="CC20" i="101"/>
  <c r="CC27" i="101"/>
  <c r="AH50" i="101"/>
  <c r="X114" i="99"/>
  <c r="T97" i="97"/>
  <c r="Y62" i="110"/>
  <c r="CD56" i="101"/>
  <c r="AP55" i="101"/>
  <c r="AH96" i="101"/>
  <c r="N65" i="110"/>
  <c r="AH61" i="99"/>
  <c r="AS72" i="96"/>
  <c r="Z9" i="110"/>
  <c r="Z46" i="110"/>
  <c r="Z26" i="110"/>
  <c r="AF34" i="101"/>
  <c r="AQ75" i="96"/>
  <c r="AI19" i="99"/>
  <c r="AI37" i="99"/>
  <c r="AI22" i="99"/>
  <c r="AQ102" i="96"/>
  <c r="CE52" i="101"/>
  <c r="CE20" i="101"/>
  <c r="CE13" i="101"/>
  <c r="X36" i="110"/>
  <c r="X46" i="110"/>
  <c r="X54" i="110"/>
  <c r="V112" i="103"/>
  <c r="AG29" i="99"/>
  <c r="AG27" i="99"/>
  <c r="V87" i="103"/>
  <c r="BU62" i="101"/>
  <c r="O62" i="110"/>
  <c r="X62" i="99"/>
  <c r="CJ96" i="101"/>
  <c r="CC54" i="101"/>
  <c r="CC19" i="101"/>
  <c r="CC23" i="101"/>
  <c r="AH122" i="101"/>
  <c r="Y90" i="99"/>
  <c r="BW86" i="101"/>
  <c r="Y56" i="110"/>
  <c r="CD57" i="101"/>
  <c r="AP59" i="101"/>
  <c r="BT65" i="101"/>
  <c r="AH62" i="99"/>
  <c r="AR72" i="96"/>
  <c r="Z19" i="110"/>
  <c r="Z14" i="110"/>
  <c r="Z31" i="110"/>
  <c r="T60" i="99"/>
  <c r="AI40" i="99"/>
  <c r="AI35" i="99"/>
  <c r="AI14" i="99"/>
  <c r="AP99" i="96"/>
  <c r="J89" i="107" s="1"/>
  <c r="CE28" i="101"/>
  <c r="CE24" i="101"/>
  <c r="CE15" i="101"/>
  <c r="X28" i="110"/>
  <c r="X43" i="110"/>
  <c r="X41" i="110"/>
  <c r="X22" i="110"/>
  <c r="T99" i="97"/>
  <c r="AG46" i="99"/>
  <c r="AG41" i="99"/>
  <c r="AG38" i="99"/>
  <c r="AG28" i="99"/>
  <c r="AF78" i="101"/>
  <c r="AG10" i="99"/>
  <c r="AG48" i="99"/>
  <c r="AO95" i="99"/>
  <c r="CC38" i="101"/>
  <c r="AH119" i="101"/>
  <c r="P90" i="110"/>
  <c r="Z86" i="99"/>
  <c r="Y60" i="110"/>
  <c r="AH51" i="101"/>
  <c r="CD59" i="101"/>
  <c r="AP56" i="101"/>
  <c r="AH90" i="101"/>
  <c r="W65" i="99"/>
  <c r="AH63" i="99"/>
  <c r="V35" i="103"/>
  <c r="Z47" i="110"/>
  <c r="Z40" i="110"/>
  <c r="Z52" i="110"/>
  <c r="S71" i="97"/>
  <c r="AI9" i="99"/>
  <c r="AI53" i="99"/>
  <c r="AI28" i="99"/>
  <c r="Q60" i="99"/>
  <c r="CE23" i="101"/>
  <c r="CE31" i="101"/>
  <c r="CE7" i="101"/>
  <c r="X52" i="110"/>
  <c r="X33" i="110"/>
  <c r="X21" i="110"/>
  <c r="X20" i="110"/>
  <c r="Q88" i="99"/>
  <c r="AG51" i="99"/>
  <c r="AG43" i="99"/>
  <c r="AG37" i="99"/>
  <c r="AG14" i="99"/>
  <c r="V59" i="103"/>
  <c r="AI88" i="101"/>
  <c r="AG42" i="99"/>
  <c r="AF71" i="101"/>
  <c r="AO94" i="99"/>
  <c r="CC26" i="101"/>
  <c r="CC47" i="101"/>
  <c r="AH120" i="101"/>
  <c r="BV90" i="101"/>
  <c r="Q86" i="110"/>
  <c r="Y57" i="110"/>
  <c r="AF87" i="101"/>
  <c r="CD61" i="101"/>
  <c r="BH62" i="103"/>
  <c r="AH64" i="99"/>
  <c r="Q85" i="99"/>
  <c r="Z22" i="110"/>
  <c r="Z15" i="110"/>
  <c r="Z27" i="110"/>
  <c r="AF93" i="101"/>
  <c r="P60" i="99"/>
  <c r="AI17" i="99"/>
  <c r="AI51" i="99"/>
  <c r="AI47" i="99"/>
  <c r="T71" i="97"/>
  <c r="AI60" i="101" s="1"/>
  <c r="CE54" i="101"/>
  <c r="CE22" i="101"/>
  <c r="CE6" i="101"/>
  <c r="X38" i="110"/>
  <c r="X12" i="110"/>
  <c r="X42" i="110"/>
  <c r="X49" i="110"/>
  <c r="U88" i="99"/>
  <c r="AG20" i="99"/>
  <c r="AG18" i="99"/>
  <c r="AG9" i="99"/>
  <c r="L62" i="107"/>
  <c r="AH95" i="101"/>
  <c r="AF97" i="110"/>
  <c r="AH117" i="101"/>
  <c r="CC28" i="101"/>
  <c r="CC46" i="101"/>
  <c r="CC48" i="101"/>
  <c r="BV36" i="101"/>
  <c r="Y64" i="110"/>
  <c r="AF74" i="101"/>
  <c r="CD55" i="101"/>
  <c r="BH59" i="103"/>
  <c r="AH58" i="99"/>
  <c r="U85" i="99"/>
  <c r="Z38" i="110"/>
  <c r="Z16" i="110"/>
  <c r="Z21" i="110"/>
  <c r="AF35" i="101"/>
  <c r="Y60" i="99"/>
  <c r="AI44" i="99"/>
  <c r="AI24" i="99"/>
  <c r="AI46" i="99"/>
  <c r="U60" i="99"/>
  <c r="CE44" i="101"/>
  <c r="CE51" i="101"/>
  <c r="CE10" i="101"/>
  <c r="X31" i="110"/>
  <c r="X9" i="110"/>
  <c r="X16" i="110"/>
  <c r="Z88" i="99"/>
  <c r="AG35" i="99"/>
  <c r="AG50" i="99"/>
  <c r="AG13" i="99"/>
  <c r="AG7" i="99"/>
  <c r="I62" i="107"/>
  <c r="AG15" i="99"/>
  <c r="W111" i="99"/>
  <c r="BT111" i="101"/>
  <c r="N111" i="110"/>
  <c r="AG7" i="106"/>
  <c r="CC25" i="101"/>
  <c r="CC30" i="101"/>
  <c r="CC39" i="101"/>
  <c r="CC36" i="101"/>
  <c r="AH124" i="101"/>
  <c r="Y36" i="99"/>
  <c r="Y61" i="110"/>
  <c r="AF65" i="101"/>
  <c r="CD62" i="101"/>
  <c r="BH60" i="103"/>
  <c r="AH59" i="99"/>
  <c r="T96" i="97"/>
  <c r="AI85" i="101" s="1"/>
  <c r="Z36" i="110"/>
  <c r="Z34" i="110"/>
  <c r="Z35" i="110"/>
  <c r="AF72" i="101"/>
  <c r="BV60" i="101"/>
  <c r="AI20" i="99"/>
  <c r="AI13" i="99"/>
  <c r="AI48" i="99"/>
  <c r="Z60" i="99"/>
  <c r="CE36" i="101"/>
  <c r="CE41" i="101"/>
  <c r="CE11" i="101"/>
  <c r="X50" i="110"/>
  <c r="X44" i="110"/>
  <c r="P85" i="99"/>
  <c r="BW88" i="101"/>
  <c r="AG24" i="99"/>
  <c r="AG12" i="99"/>
  <c r="M62" i="107"/>
  <c r="AG21" i="99"/>
  <c r="AG17" i="99"/>
  <c r="AO97" i="99"/>
  <c r="AS44" i="96"/>
  <c r="CC16" i="101"/>
  <c r="CC50" i="101"/>
  <c r="CC37" i="101"/>
  <c r="CC9" i="101"/>
  <c r="AF77" i="101"/>
  <c r="P36" i="110"/>
  <c r="Y63" i="110"/>
  <c r="AF128" i="101"/>
  <c r="CD63" i="101"/>
  <c r="BH57" i="103"/>
  <c r="AH55" i="99"/>
  <c r="BW85" i="101"/>
  <c r="Z12" i="110"/>
  <c r="Z29" i="110"/>
  <c r="Z37" i="110"/>
  <c r="BU90" i="101"/>
  <c r="P60" i="110"/>
  <c r="AI29" i="99"/>
  <c r="AI12" i="99"/>
  <c r="AI26" i="99"/>
  <c r="BW60" i="101"/>
  <c r="CE39" i="101"/>
  <c r="CE33" i="101"/>
  <c r="CE9" i="101"/>
  <c r="X48" i="110"/>
  <c r="X25" i="110"/>
  <c r="AF86" i="101"/>
  <c r="Q88" i="110"/>
  <c r="AG54" i="99"/>
  <c r="AG47" i="99"/>
  <c r="AG31" i="99"/>
  <c r="T85" i="99"/>
  <c r="H62" i="107"/>
  <c r="AH99" i="101"/>
  <c r="G65" i="107"/>
  <c r="CJ94" i="101"/>
  <c r="AQ23" i="103"/>
  <c r="AQ41" i="103"/>
  <c r="AQ21" i="103"/>
  <c r="AQ32" i="103"/>
  <c r="AQ26" i="103"/>
  <c r="AQ14" i="103"/>
  <c r="AQ30" i="103"/>
  <c r="AQ25" i="103"/>
  <c r="AQ34" i="103"/>
  <c r="AQ29" i="103"/>
  <c r="AQ38" i="103"/>
  <c r="AQ53" i="103"/>
  <c r="AQ48" i="103"/>
  <c r="AQ49" i="103"/>
  <c r="AQ15" i="103"/>
  <c r="AQ50" i="103"/>
  <c r="AQ31" i="103"/>
  <c r="AQ54" i="103"/>
  <c r="AQ40" i="103"/>
  <c r="AQ37" i="103"/>
  <c r="AQ19" i="103"/>
  <c r="AQ52" i="103"/>
  <c r="AQ39" i="103"/>
  <c r="AQ51" i="103"/>
  <c r="AQ44" i="103"/>
  <c r="AQ42" i="103"/>
  <c r="AQ18" i="103"/>
  <c r="AQ22" i="103"/>
  <c r="AQ10" i="103"/>
  <c r="AQ28" i="103"/>
  <c r="AQ43" i="103"/>
  <c r="AQ24" i="103"/>
  <c r="AQ47" i="103"/>
  <c r="AQ17" i="103"/>
  <c r="AQ45" i="103"/>
  <c r="AQ12" i="103"/>
  <c r="AQ36" i="103"/>
  <c r="AQ7" i="103"/>
  <c r="AQ33" i="103"/>
  <c r="AQ9" i="103"/>
  <c r="AQ13" i="103"/>
  <c r="AQ8" i="103"/>
  <c r="AQ35" i="103"/>
  <c r="AQ11" i="103"/>
  <c r="AQ27" i="103"/>
  <c r="AQ46" i="103"/>
  <c r="AQ6" i="103"/>
  <c r="AQ16" i="103"/>
  <c r="AQ20" i="103"/>
  <c r="AT37" i="103"/>
  <c r="AT23" i="103"/>
  <c r="AT21" i="103"/>
  <c r="AT22" i="103"/>
  <c r="AT24" i="103"/>
  <c r="AT14" i="103"/>
  <c r="AT36" i="103"/>
  <c r="AT30" i="103"/>
  <c r="AT43" i="103"/>
  <c r="AT34" i="103"/>
  <c r="AT18" i="103"/>
  <c r="AT52" i="103"/>
  <c r="AT6" i="103"/>
  <c r="AT31" i="103"/>
  <c r="AT16" i="103"/>
  <c r="AT17" i="103"/>
  <c r="AT45" i="103"/>
  <c r="AT29" i="103"/>
  <c r="AT49" i="103"/>
  <c r="AT32" i="103"/>
  <c r="AT11" i="103"/>
  <c r="AT9" i="103"/>
  <c r="AT41" i="103"/>
  <c r="AT19" i="103"/>
  <c r="AT15" i="103"/>
  <c r="AT40" i="103"/>
  <c r="AT35" i="103"/>
  <c r="AT47" i="103"/>
  <c r="AT44" i="103"/>
  <c r="AT13" i="103"/>
  <c r="AT48" i="103"/>
  <c r="AT33" i="103"/>
  <c r="AT39" i="103"/>
  <c r="AT53" i="103"/>
  <c r="AT20" i="103"/>
  <c r="AT12" i="103"/>
  <c r="AT27" i="103"/>
  <c r="AT46" i="103"/>
  <c r="AT50" i="103"/>
  <c r="AT26" i="103"/>
  <c r="AT28" i="103"/>
  <c r="AT7" i="103"/>
  <c r="AT54" i="103"/>
  <c r="AT8" i="103"/>
  <c r="AT25" i="103"/>
  <c r="AT38" i="103"/>
  <c r="AT51" i="103"/>
  <c r="AT42" i="103"/>
  <c r="AT10" i="103"/>
  <c r="CC35" i="101"/>
  <c r="CC11" i="101"/>
  <c r="T113" i="99"/>
  <c r="N35" i="110"/>
  <c r="Y59" i="110"/>
  <c r="AH41" i="101"/>
  <c r="CD60" i="101"/>
  <c r="BH64" i="103"/>
  <c r="AF61" i="101"/>
  <c r="Q85" i="110"/>
  <c r="Z33" i="110"/>
  <c r="Z6" i="110"/>
  <c r="Z23" i="110"/>
  <c r="X90" i="99"/>
  <c r="AI6" i="99"/>
  <c r="AI7" i="99"/>
  <c r="AI25" i="99"/>
  <c r="AI10" i="99"/>
  <c r="Q60" i="110"/>
  <c r="CE49" i="101"/>
  <c r="CE26" i="101"/>
  <c r="CE14" i="101"/>
  <c r="X45" i="110"/>
  <c r="AR125" i="96"/>
  <c r="AG44" i="99"/>
  <c r="AG36" i="99"/>
  <c r="Q110" i="110"/>
  <c r="Z110" i="99"/>
  <c r="BW110" i="101"/>
  <c r="AG9" i="106"/>
  <c r="AG10" i="106"/>
  <c r="AG8" i="106"/>
  <c r="Q111" i="99"/>
  <c r="CC45" i="101"/>
  <c r="CC42" i="101"/>
  <c r="CC53" i="101"/>
  <c r="CC15" i="101"/>
  <c r="P113" i="99"/>
  <c r="BT35" i="101"/>
  <c r="AH127" i="101"/>
  <c r="CD58" i="101"/>
  <c r="BH56" i="103"/>
  <c r="AF76" i="101"/>
  <c r="Z85" i="99"/>
  <c r="Z10" i="110"/>
  <c r="Z28" i="110"/>
  <c r="Z30" i="110"/>
  <c r="O90" i="110"/>
  <c r="AI50" i="99"/>
  <c r="AI18" i="99"/>
  <c r="AI27" i="99"/>
  <c r="S96" i="97"/>
  <c r="AH85" i="101" s="1"/>
  <c r="CE19" i="101"/>
  <c r="CE30" i="101"/>
  <c r="CE8" i="101"/>
  <c r="X15" i="110"/>
  <c r="X51" i="110"/>
  <c r="X29" i="110"/>
  <c r="AR102" i="96"/>
  <c r="AG45" i="99"/>
  <c r="F89" i="107"/>
  <c r="AF95" i="110"/>
  <c r="AF8" i="106"/>
  <c r="AF10" i="106"/>
  <c r="AF9" i="106"/>
  <c r="AS45" i="96"/>
  <c r="AE6" i="106"/>
  <c r="AE10" i="106"/>
  <c r="AE8" i="106"/>
  <c r="AE9" i="106"/>
  <c r="AE7" i="106"/>
  <c r="T122" i="97"/>
  <c r="CC32" i="101"/>
  <c r="CC49" i="101"/>
  <c r="CC13" i="101"/>
  <c r="S124" i="97"/>
  <c r="AH113" i="101" s="1"/>
  <c r="W35" i="99"/>
  <c r="AH114" i="101"/>
  <c r="AR48" i="96"/>
  <c r="AP60" i="101"/>
  <c r="BH63" i="103"/>
  <c r="AH43" i="101"/>
  <c r="Z18" i="110"/>
  <c r="Z50" i="110"/>
  <c r="Z54" i="110"/>
  <c r="Z11" i="110"/>
  <c r="O63" i="110"/>
  <c r="AI8" i="99"/>
  <c r="AI16" i="99"/>
  <c r="AI49" i="99"/>
  <c r="AF45" i="101"/>
  <c r="CE45" i="101"/>
  <c r="CE40" i="101"/>
  <c r="CE53" i="101"/>
  <c r="CE12" i="101"/>
  <c r="X23" i="110"/>
  <c r="X8" i="110"/>
  <c r="X11" i="110"/>
  <c r="AP126" i="96"/>
  <c r="AG25" i="99"/>
  <c r="AG40" i="99"/>
  <c r="K65" i="107"/>
  <c r="G38" i="107"/>
  <c r="X40" i="110"/>
  <c r="AF96" i="110"/>
  <c r="AS123" i="96"/>
  <c r="CC24" i="101"/>
  <c r="CC21" i="101"/>
  <c r="CC29" i="101"/>
  <c r="CC6" i="101"/>
  <c r="P113" i="110"/>
  <c r="W114" i="99"/>
  <c r="AQ126" i="96"/>
  <c r="AP63" i="101"/>
  <c r="BH58" i="103"/>
  <c r="AH47" i="101"/>
  <c r="Z39" i="110"/>
  <c r="Z7" i="110"/>
  <c r="Z42" i="110"/>
  <c r="AH44" i="101"/>
  <c r="BU63" i="101"/>
  <c r="AI31" i="99"/>
  <c r="AI15" i="99"/>
  <c r="AI42" i="99"/>
  <c r="AH104" i="101"/>
  <c r="CE16" i="101"/>
  <c r="CE32" i="101"/>
  <c r="CE27" i="101"/>
  <c r="X35" i="110"/>
  <c r="X26" i="110"/>
  <c r="X24" i="110"/>
  <c r="K38" i="107"/>
  <c r="CJ97" i="101"/>
  <c r="T98" i="97"/>
  <c r="AI87" i="101" s="1"/>
  <c r="CC17" i="101"/>
  <c r="CC40" i="101"/>
  <c r="CC31" i="101"/>
  <c r="CC14" i="101"/>
  <c r="Y113" i="99"/>
  <c r="N114" i="110"/>
  <c r="AP47" i="96"/>
  <c r="AP61" i="101"/>
  <c r="BH55" i="103"/>
  <c r="AF101" i="101"/>
  <c r="Z17" i="110"/>
  <c r="Z20" i="110"/>
  <c r="Z48" i="110"/>
  <c r="AF130" i="101"/>
  <c r="X63" i="99"/>
  <c r="AI36" i="99"/>
  <c r="AI52" i="99"/>
  <c r="AI11" i="99"/>
  <c r="CE25" i="101"/>
  <c r="CE50" i="101"/>
  <c r="CE47" i="101"/>
  <c r="X27" i="110"/>
  <c r="X30" i="110"/>
  <c r="X34" i="110"/>
  <c r="X47" i="110"/>
  <c r="AG49" i="99"/>
  <c r="AG8" i="99"/>
  <c r="AF89" i="101"/>
  <c r="AH60" i="101"/>
  <c r="M90" i="107"/>
  <c r="F67" i="107"/>
  <c r="X36" i="99"/>
  <c r="AI86" i="101"/>
  <c r="AG35" i="101"/>
  <c r="AK70" i="106"/>
  <c r="AK66" i="106"/>
  <c r="AK67" i="106"/>
  <c r="AK68" i="106"/>
  <c r="AK65" i="106"/>
  <c r="AK69" i="106"/>
  <c r="AK63" i="106"/>
  <c r="AK64" i="106"/>
  <c r="AK77" i="106"/>
  <c r="AK78" i="106"/>
  <c r="AK75" i="106"/>
  <c r="AK76" i="106"/>
  <c r="AK74" i="106"/>
  <c r="AK73" i="106"/>
  <c r="AK71" i="106"/>
  <c r="AK72" i="106"/>
  <c r="AK59" i="106"/>
  <c r="AK61" i="106"/>
  <c r="AK62" i="106"/>
  <c r="AK57" i="106"/>
  <c r="AK58" i="106"/>
  <c r="AK60" i="106"/>
  <c r="AK55" i="106"/>
  <c r="AK52" i="106"/>
  <c r="AK48" i="106"/>
  <c r="AK53" i="106"/>
  <c r="AK47" i="106"/>
  <c r="AK54" i="106"/>
  <c r="AK49" i="106"/>
  <c r="AK50" i="106"/>
  <c r="AK51" i="106"/>
  <c r="AK56" i="106"/>
  <c r="AK41" i="106"/>
  <c r="AK40" i="106"/>
  <c r="AK43" i="106"/>
  <c r="AK44" i="106"/>
  <c r="AK45" i="106"/>
  <c r="AK46" i="106"/>
  <c r="AK116" i="106"/>
  <c r="AK119" i="106"/>
  <c r="AK118" i="106"/>
  <c r="AK121" i="106"/>
  <c r="AK120" i="106"/>
  <c r="AK122" i="106"/>
  <c r="AK124" i="106"/>
  <c r="AK123" i="106"/>
  <c r="AK125" i="106"/>
  <c r="AK126" i="106"/>
  <c r="AK127" i="106"/>
  <c r="AK128" i="106"/>
  <c r="AK129" i="106"/>
  <c r="AK137" i="106"/>
  <c r="AK161" i="106"/>
  <c r="AK147" i="106"/>
  <c r="AK130" i="106"/>
  <c r="AK157" i="106"/>
  <c r="AK133" i="106"/>
  <c r="AK148" i="106"/>
  <c r="AK156" i="106"/>
  <c r="AK136" i="106"/>
  <c r="AK159" i="106"/>
  <c r="AK154" i="106"/>
  <c r="AK158" i="106"/>
  <c r="AK155" i="106"/>
  <c r="AK134" i="106"/>
  <c r="AK145" i="106"/>
  <c r="AK135" i="106"/>
  <c r="AK140" i="106"/>
  <c r="AK141" i="106"/>
  <c r="AK150" i="106"/>
  <c r="AK142" i="106"/>
  <c r="AK146" i="106"/>
  <c r="AK153" i="106"/>
  <c r="AK144" i="106"/>
  <c r="AK162" i="106"/>
  <c r="AK138" i="106"/>
  <c r="AK160" i="106"/>
  <c r="AK151" i="106"/>
  <c r="AK152" i="106"/>
  <c r="AK165" i="106"/>
  <c r="AK143" i="106"/>
  <c r="AK149" i="106"/>
  <c r="AK132" i="106"/>
  <c r="AK131" i="106"/>
  <c r="AK139" i="106"/>
  <c r="AK163" i="106"/>
  <c r="AK164" i="106"/>
  <c r="AK42" i="106"/>
  <c r="AK117" i="106"/>
  <c r="AK113" i="106"/>
  <c r="AK115" i="106"/>
  <c r="AK114" i="106"/>
  <c r="AK112" i="106"/>
  <c r="AK111" i="106"/>
  <c r="AK109" i="106"/>
  <c r="AK110" i="106"/>
  <c r="AK108" i="106"/>
  <c r="AK107" i="106"/>
  <c r="AK106" i="106"/>
  <c r="AK105" i="106"/>
  <c r="AK104" i="106"/>
  <c r="AK103" i="106"/>
  <c r="AK101" i="106"/>
  <c r="AK102" i="106"/>
  <c r="AK100" i="106"/>
  <c r="AK99" i="106"/>
  <c r="AK98" i="106"/>
  <c r="AK97" i="106"/>
  <c r="AK95" i="106"/>
  <c r="AK96" i="106"/>
  <c r="AK93" i="106"/>
  <c r="AK94" i="106"/>
  <c r="AK90" i="106"/>
  <c r="AK91" i="106"/>
  <c r="AK92" i="106"/>
  <c r="AK88" i="106"/>
  <c r="AK89" i="106"/>
  <c r="AK87" i="106"/>
  <c r="AK86" i="106"/>
  <c r="AK85" i="106"/>
  <c r="AK83" i="106"/>
  <c r="AK84" i="106"/>
  <c r="AK80" i="106"/>
  <c r="AK81" i="106"/>
  <c r="AK82" i="106"/>
  <c r="AK79" i="106"/>
  <c r="AG34" i="101"/>
  <c r="G92" i="107"/>
  <c r="K92" i="107"/>
  <c r="I34" i="107"/>
  <c r="M34" i="107"/>
  <c r="H115" i="107"/>
  <c r="L115" i="107"/>
  <c r="AN44" i="106"/>
  <c r="AN148" i="106"/>
  <c r="AN161" i="106"/>
  <c r="AN152" i="106"/>
  <c r="AN160" i="106"/>
  <c r="AN47" i="106"/>
  <c r="AN151" i="106"/>
  <c r="AN157" i="106"/>
  <c r="AN159" i="106"/>
  <c r="AN153" i="106"/>
  <c r="AN155" i="106"/>
  <c r="AN158" i="106"/>
  <c r="AN156" i="106"/>
  <c r="AN165" i="106"/>
  <c r="AN154" i="106"/>
  <c r="AN99" i="106"/>
  <c r="AN52" i="106"/>
  <c r="AN51" i="106"/>
  <c r="AN58" i="106"/>
  <c r="AN62" i="106"/>
  <c r="AN42" i="106"/>
  <c r="AN57" i="106"/>
  <c r="AN59" i="106"/>
  <c r="AN56" i="106"/>
  <c r="AN46" i="106"/>
  <c r="AN61" i="106"/>
  <c r="AN43" i="106"/>
  <c r="AN60" i="106"/>
  <c r="AN45" i="106"/>
  <c r="AN108" i="106"/>
  <c r="AN50" i="106"/>
  <c r="AN49" i="106"/>
  <c r="AN53" i="106"/>
  <c r="AN69" i="106"/>
  <c r="AN54" i="106"/>
  <c r="AN55" i="106"/>
  <c r="AN40" i="106"/>
  <c r="AN48" i="106"/>
  <c r="AN71" i="106"/>
  <c r="AN65" i="106"/>
  <c r="AN66" i="106"/>
  <c r="AN78" i="106"/>
  <c r="AN68" i="106"/>
  <c r="AN70" i="106"/>
  <c r="AN63" i="106"/>
  <c r="AN116" i="106"/>
  <c r="AN72" i="106"/>
  <c r="AN67" i="106"/>
  <c r="AN77" i="106"/>
  <c r="AN79" i="106"/>
  <c r="AN74" i="106"/>
  <c r="AN73" i="106"/>
  <c r="AN76" i="106"/>
  <c r="AN41" i="106"/>
  <c r="AN82" i="106"/>
  <c r="AN80" i="106"/>
  <c r="AN81" i="106"/>
  <c r="AN90" i="106"/>
  <c r="AN83" i="106"/>
  <c r="AN84" i="106"/>
  <c r="AN86" i="106"/>
  <c r="AN124" i="106"/>
  <c r="AN88" i="106"/>
  <c r="AN87" i="106"/>
  <c r="AN89" i="106"/>
  <c r="AN98" i="106"/>
  <c r="AN92" i="106"/>
  <c r="AN94" i="106"/>
  <c r="AN93" i="106"/>
  <c r="AN64" i="106"/>
  <c r="AN96" i="106"/>
  <c r="AN97" i="106"/>
  <c r="AN105" i="106"/>
  <c r="AN101" i="106"/>
  <c r="AN100" i="106"/>
  <c r="AN102" i="106"/>
  <c r="AN132" i="106"/>
  <c r="AN103" i="106"/>
  <c r="AN104" i="106"/>
  <c r="AN106" i="106"/>
  <c r="AN114" i="106"/>
  <c r="AN107" i="106"/>
  <c r="AN111" i="106"/>
  <c r="AN110" i="106"/>
  <c r="AN75" i="106"/>
  <c r="AN95" i="106"/>
  <c r="AN109" i="106"/>
  <c r="AN112" i="106"/>
  <c r="AN113" i="106"/>
  <c r="AN122" i="106"/>
  <c r="AN115" i="106"/>
  <c r="AN117" i="106"/>
  <c r="AN119" i="106"/>
  <c r="AN140" i="106"/>
  <c r="AN118" i="106"/>
  <c r="AN120" i="106"/>
  <c r="AN121" i="106"/>
  <c r="AN131" i="106"/>
  <c r="AN123" i="106"/>
  <c r="AN125" i="106"/>
  <c r="AN127" i="106"/>
  <c r="AN85" i="106"/>
  <c r="AN126" i="106"/>
  <c r="AN128" i="106"/>
  <c r="AN129" i="106"/>
  <c r="AN137" i="106"/>
  <c r="AN130" i="106"/>
  <c r="AN133" i="106"/>
  <c r="AN134" i="106"/>
  <c r="AN150" i="106"/>
  <c r="AN135" i="106"/>
  <c r="AN136" i="106"/>
  <c r="AN138" i="106"/>
  <c r="AN146" i="106"/>
  <c r="AN139" i="106"/>
  <c r="AN141" i="106"/>
  <c r="AN142" i="106"/>
  <c r="AN91" i="106"/>
  <c r="AN143" i="106"/>
  <c r="AN144" i="106"/>
  <c r="AN145" i="106"/>
  <c r="AN162" i="106"/>
  <c r="AN164" i="106"/>
  <c r="AN149" i="106"/>
  <c r="AN147" i="106"/>
  <c r="AN163" i="106"/>
  <c r="H92" i="107"/>
  <c r="L92" i="107"/>
  <c r="AM58" i="106"/>
  <c r="AM60" i="106"/>
  <c r="AM59" i="106"/>
  <c r="AM62" i="106"/>
  <c r="AM61" i="106"/>
  <c r="AM56" i="106"/>
  <c r="AM71" i="106"/>
  <c r="AM70" i="106"/>
  <c r="AM49" i="106"/>
  <c r="AM51" i="106"/>
  <c r="AM48" i="106"/>
  <c r="AM45" i="106"/>
  <c r="AM54" i="106"/>
  <c r="AM55" i="106"/>
  <c r="AM69" i="106"/>
  <c r="AM67" i="106"/>
  <c r="AM65" i="106"/>
  <c r="AM66" i="106"/>
  <c r="AM64" i="106"/>
  <c r="AM68" i="106"/>
  <c r="AM72" i="106"/>
  <c r="AM73" i="106"/>
  <c r="AM81" i="106"/>
  <c r="AM80" i="106"/>
  <c r="AM76" i="106"/>
  <c r="AM75" i="106"/>
  <c r="AM74" i="106"/>
  <c r="AM77" i="106"/>
  <c r="AM79" i="106"/>
  <c r="AM78" i="106"/>
  <c r="AM88" i="106"/>
  <c r="AM87" i="106"/>
  <c r="AM83" i="106"/>
  <c r="AM82" i="106"/>
  <c r="AM85" i="106"/>
  <c r="AM86" i="106"/>
  <c r="AM84" i="106"/>
  <c r="AM89" i="106"/>
  <c r="AM97" i="106"/>
  <c r="AM96" i="106"/>
  <c r="AM91" i="106"/>
  <c r="AM90" i="106"/>
  <c r="AM93" i="106"/>
  <c r="AM92" i="106"/>
  <c r="AM95" i="106"/>
  <c r="AM94" i="106"/>
  <c r="AM103" i="106"/>
  <c r="AM105" i="106"/>
  <c r="AM98" i="106"/>
  <c r="AM100" i="106"/>
  <c r="AM99" i="106"/>
  <c r="AM101" i="106"/>
  <c r="AM102" i="106"/>
  <c r="AM104" i="106"/>
  <c r="AM112" i="106"/>
  <c r="AM113" i="106"/>
  <c r="AM106" i="106"/>
  <c r="AM107" i="106"/>
  <c r="AM108" i="106"/>
  <c r="AM110" i="106"/>
  <c r="AM109" i="106"/>
  <c r="AM111" i="106"/>
  <c r="AM120" i="106"/>
  <c r="AM123" i="106"/>
  <c r="AM115" i="106"/>
  <c r="AM114" i="106"/>
  <c r="AM116" i="106"/>
  <c r="AM118" i="106"/>
  <c r="AM117" i="106"/>
  <c r="AM119" i="106"/>
  <c r="AM129" i="106"/>
  <c r="AM128" i="106"/>
  <c r="AM122" i="106"/>
  <c r="AM121" i="106"/>
  <c r="AM124" i="106"/>
  <c r="AM125" i="106"/>
  <c r="AM127" i="106"/>
  <c r="AM126" i="106"/>
  <c r="AM136" i="106"/>
  <c r="AM137" i="106"/>
  <c r="AM130" i="106"/>
  <c r="AM132" i="106"/>
  <c r="AM131" i="106"/>
  <c r="AM133" i="106"/>
  <c r="AM134" i="106"/>
  <c r="AM135" i="106"/>
  <c r="AM162" i="106"/>
  <c r="AM149" i="106"/>
  <c r="AM165" i="106"/>
  <c r="AM156" i="106"/>
  <c r="AM158" i="106"/>
  <c r="AM147" i="106"/>
  <c r="AM157" i="106"/>
  <c r="AM145" i="106"/>
  <c r="AM163" i="106"/>
  <c r="AM159" i="106"/>
  <c r="AM141" i="106"/>
  <c r="AM151" i="106"/>
  <c r="AM148" i="106"/>
  <c r="AM139" i="106"/>
  <c r="AM143" i="106"/>
  <c r="AM138" i="106"/>
  <c r="AM142" i="106"/>
  <c r="AM140" i="106"/>
  <c r="AM160" i="106"/>
  <c r="AM154" i="106"/>
  <c r="AM152" i="106"/>
  <c r="AM155" i="106"/>
  <c r="AM47" i="106"/>
  <c r="AM53" i="106"/>
  <c r="AM153" i="106"/>
  <c r="AM161" i="106"/>
  <c r="AM144" i="106"/>
  <c r="AM164" i="106"/>
  <c r="AM146" i="106"/>
  <c r="AM150" i="106"/>
  <c r="AM44" i="106"/>
  <c r="AM42" i="106"/>
  <c r="AM46" i="106"/>
  <c r="AM50" i="106"/>
  <c r="AM41" i="106"/>
  <c r="AM52" i="106"/>
  <c r="AM40" i="106"/>
  <c r="AM43" i="106"/>
  <c r="AM63" i="106"/>
  <c r="AM57" i="106"/>
  <c r="AS46" i="96"/>
  <c r="M35" i="107"/>
  <c r="I35" i="107"/>
  <c r="AL155" i="106"/>
  <c r="AL133" i="106"/>
  <c r="AL150" i="106"/>
  <c r="AL154" i="106"/>
  <c r="AL148" i="106"/>
  <c r="AL165" i="106"/>
  <c r="AL149" i="106"/>
  <c r="AL151" i="106"/>
  <c r="AL164" i="106"/>
  <c r="AL142" i="106"/>
  <c r="AL125" i="106"/>
  <c r="AL127" i="106"/>
  <c r="AL128" i="106"/>
  <c r="AL101" i="106"/>
  <c r="AL147" i="106"/>
  <c r="AL159" i="106"/>
  <c r="AL141" i="106"/>
  <c r="AL153" i="106"/>
  <c r="AL139" i="106"/>
  <c r="AL146" i="106"/>
  <c r="AL158" i="106"/>
  <c r="AL46" i="106"/>
  <c r="AL162" i="106"/>
  <c r="AL161" i="106"/>
  <c r="AL42" i="106"/>
  <c r="AL137" i="106"/>
  <c r="AL152" i="106"/>
  <c r="AL163" i="106"/>
  <c r="AL63" i="106"/>
  <c r="AL77" i="106"/>
  <c r="AL52" i="106"/>
  <c r="AL72" i="106"/>
  <c r="AL70" i="106"/>
  <c r="AL135" i="106"/>
  <c r="AL134" i="106"/>
  <c r="AL136" i="106"/>
  <c r="AL91" i="106"/>
  <c r="AL108" i="106"/>
  <c r="AL61" i="106"/>
  <c r="AL65" i="106"/>
  <c r="AL69" i="106"/>
  <c r="AL145" i="106"/>
  <c r="AL144" i="106"/>
  <c r="AL60" i="106"/>
  <c r="AL123" i="106"/>
  <c r="AL160" i="106"/>
  <c r="AL55" i="106"/>
  <c r="AL47" i="106"/>
  <c r="AL66" i="106"/>
  <c r="AL44" i="106"/>
  <c r="AL41" i="106"/>
  <c r="AL68" i="106"/>
  <c r="AL138" i="106"/>
  <c r="AL58" i="106"/>
  <c r="AL49" i="106"/>
  <c r="AL53" i="106"/>
  <c r="AL76" i="106"/>
  <c r="AL54" i="106"/>
  <c r="AL71" i="106"/>
  <c r="AL62" i="106"/>
  <c r="AL67" i="106"/>
  <c r="AL75" i="106"/>
  <c r="AL73" i="106"/>
  <c r="AL74" i="106"/>
  <c r="AL84" i="106"/>
  <c r="AL56" i="106"/>
  <c r="AL45" i="106"/>
  <c r="AL57" i="106"/>
  <c r="AL93" i="106"/>
  <c r="AL110" i="106"/>
  <c r="AL80" i="106"/>
  <c r="AL82" i="106"/>
  <c r="AL92" i="106"/>
  <c r="AL51" i="106"/>
  <c r="AL59" i="106"/>
  <c r="AL40" i="106"/>
  <c r="AL126" i="106"/>
  <c r="AL156" i="106"/>
  <c r="AL88" i="106"/>
  <c r="AL90" i="106"/>
  <c r="AL99" i="106"/>
  <c r="AL79" i="106"/>
  <c r="AL78" i="106"/>
  <c r="AL81" i="106"/>
  <c r="AL157" i="106"/>
  <c r="AL43" i="106"/>
  <c r="AL96" i="106"/>
  <c r="AL98" i="106"/>
  <c r="AL107" i="106"/>
  <c r="AL86" i="106"/>
  <c r="AL87" i="106"/>
  <c r="AL89" i="106"/>
  <c r="AL64" i="106"/>
  <c r="AL83" i="106"/>
  <c r="AL105" i="106"/>
  <c r="AL106" i="106"/>
  <c r="AL115" i="106"/>
  <c r="AL95" i="106"/>
  <c r="AL94" i="106"/>
  <c r="AL97" i="106"/>
  <c r="AL100" i="106"/>
  <c r="AL117" i="106"/>
  <c r="AL112" i="106"/>
  <c r="AL114" i="106"/>
  <c r="AL124" i="106"/>
  <c r="AL102" i="106"/>
  <c r="AL104" i="106"/>
  <c r="AL103" i="106"/>
  <c r="AL132" i="106"/>
  <c r="AL48" i="106"/>
  <c r="AL122" i="106"/>
  <c r="AL121" i="106"/>
  <c r="AL131" i="106"/>
  <c r="AL109" i="106"/>
  <c r="AL111" i="106"/>
  <c r="AL113" i="106"/>
  <c r="AL143" i="106"/>
  <c r="AL85" i="106"/>
  <c r="AL129" i="106"/>
  <c r="AL130" i="106"/>
  <c r="AL140" i="106"/>
  <c r="AL118" i="106"/>
  <c r="AL120" i="106"/>
  <c r="AL119" i="106"/>
  <c r="AL50" i="106"/>
  <c r="AL116" i="106"/>
  <c r="AI111" i="101"/>
  <c r="L38" i="107"/>
  <c r="H38" i="107"/>
  <c r="F116" i="107"/>
  <c r="J116" i="107"/>
  <c r="M113" i="107"/>
  <c r="AS124" i="96"/>
  <c r="I113" i="107"/>
  <c r="K116" i="107"/>
  <c r="G116" i="107"/>
  <c r="F37" i="107"/>
  <c r="J37" i="107"/>
  <c r="AS47" i="96"/>
  <c r="M36" i="107"/>
  <c r="I36" i="107"/>
  <c r="I114" i="107"/>
  <c r="M114" i="107"/>
  <c r="AS125" i="96"/>
  <c r="M37" i="107"/>
  <c r="I37" i="107"/>
  <c r="AS126" i="96"/>
  <c r="M115" i="107"/>
  <c r="I115" i="107"/>
  <c r="AS127" i="96"/>
  <c r="M116" i="107"/>
  <c r="I116" i="107"/>
  <c r="I117" i="107"/>
  <c r="M117" i="107"/>
  <c r="AH61" i="103" l="1"/>
  <c r="AH74" i="103"/>
  <c r="AH76" i="103"/>
  <c r="P126" i="97"/>
  <c r="P125" i="97"/>
  <c r="P124" i="97"/>
  <c r="P46" i="97"/>
  <c r="P123" i="97"/>
  <c r="AG111" i="108"/>
  <c r="P45" i="97"/>
  <c r="O111" i="103"/>
  <c r="BX110" i="101"/>
  <c r="AA110" i="99"/>
  <c r="R110" i="110"/>
  <c r="BQ10" i="103"/>
  <c r="BV10" i="103"/>
  <c r="BV42" i="103"/>
  <c r="BQ42" i="103"/>
  <c r="BV51" i="103"/>
  <c r="BQ51" i="103"/>
  <c r="BV38" i="103"/>
  <c r="BQ38" i="103"/>
  <c r="BV25" i="103"/>
  <c r="BQ25" i="103"/>
  <c r="BQ8" i="103"/>
  <c r="BV8" i="103"/>
  <c r="BV54" i="103"/>
  <c r="BQ54" i="103"/>
  <c r="BQ7" i="103"/>
  <c r="BV7" i="103"/>
  <c r="BQ28" i="103"/>
  <c r="BV28" i="103"/>
  <c r="BQ26" i="103"/>
  <c r="BV26" i="103"/>
  <c r="BQ50" i="103"/>
  <c r="BV50" i="103"/>
  <c r="BV46" i="103"/>
  <c r="BQ46" i="103"/>
  <c r="BQ27" i="103"/>
  <c r="BV27" i="103"/>
  <c r="BV12" i="103"/>
  <c r="BQ12" i="103"/>
  <c r="BQ20" i="103"/>
  <c r="BV20" i="103"/>
  <c r="BQ53" i="103"/>
  <c r="BV53" i="103"/>
  <c r="BV39" i="103"/>
  <c r="BQ39" i="103"/>
  <c r="BQ33" i="103"/>
  <c r="BV33" i="103"/>
  <c r="BQ48" i="103"/>
  <c r="BV48" i="103"/>
  <c r="BQ13" i="103"/>
  <c r="BV13" i="103"/>
  <c r="BV44" i="103"/>
  <c r="BQ44" i="103"/>
  <c r="BV47" i="103"/>
  <c r="BQ47" i="103"/>
  <c r="BQ35" i="103"/>
  <c r="BV35" i="103"/>
  <c r="BQ40" i="103"/>
  <c r="BV40" i="103"/>
  <c r="BV15" i="103"/>
  <c r="BQ15" i="103"/>
  <c r="BV19" i="103"/>
  <c r="BQ19" i="103"/>
  <c r="BQ41" i="103"/>
  <c r="BV41" i="103"/>
  <c r="BV9" i="103"/>
  <c r="BQ9" i="103"/>
  <c r="BQ11" i="103"/>
  <c r="BV11" i="103"/>
  <c r="BV32" i="103"/>
  <c r="BQ32" i="103"/>
  <c r="BQ49" i="103"/>
  <c r="BV49" i="103"/>
  <c r="BQ29" i="103"/>
  <c r="BV29" i="103"/>
  <c r="BV45" i="103"/>
  <c r="BQ45" i="103"/>
  <c r="BQ17" i="103"/>
  <c r="BV17" i="103"/>
  <c r="BV16" i="103"/>
  <c r="BQ16" i="103"/>
  <c r="BV31" i="103"/>
  <c r="BQ31" i="103"/>
  <c r="BQ6" i="103"/>
  <c r="BV6" i="103"/>
  <c r="BV52" i="103"/>
  <c r="BQ52" i="103"/>
  <c r="BQ18" i="103"/>
  <c r="BV18" i="103"/>
  <c r="BV34" i="103"/>
  <c r="BQ34" i="103"/>
  <c r="BV43" i="103"/>
  <c r="BQ43" i="103"/>
  <c r="BV30" i="103"/>
  <c r="BQ30" i="103"/>
  <c r="BQ36" i="103"/>
  <c r="BV36" i="103"/>
  <c r="BQ14" i="103"/>
  <c r="BV14" i="103"/>
  <c r="BV24" i="103"/>
  <c r="BQ24" i="103"/>
  <c r="BV22" i="103"/>
  <c r="BQ22" i="103"/>
  <c r="BV21" i="103"/>
  <c r="BQ21" i="103"/>
  <c r="BV23" i="103"/>
  <c r="BQ23" i="103"/>
  <c r="BV37" i="103"/>
  <c r="BQ37" i="103"/>
  <c r="BN20" i="103"/>
  <c r="BS20" i="103"/>
  <c r="BS16" i="103"/>
  <c r="BN16" i="103"/>
  <c r="BN6" i="103"/>
  <c r="BS6" i="103"/>
  <c r="BN46" i="103"/>
  <c r="BS46" i="103"/>
  <c r="BN27" i="103"/>
  <c r="BS27" i="103"/>
  <c r="BS11" i="103"/>
  <c r="BN11" i="103"/>
  <c r="BN35" i="103"/>
  <c r="BS35" i="103"/>
  <c r="BS8" i="103"/>
  <c r="BN8" i="103"/>
  <c r="BS13" i="103"/>
  <c r="BN13" i="103"/>
  <c r="BN9" i="103"/>
  <c r="BS9" i="103"/>
  <c r="BN33" i="103"/>
  <c r="BS33" i="103"/>
  <c r="BS7" i="103"/>
  <c r="BN7" i="103"/>
  <c r="BN36" i="103"/>
  <c r="BS36" i="103"/>
  <c r="BN12" i="103"/>
  <c r="BS12" i="103"/>
  <c r="BN45" i="103"/>
  <c r="BS45" i="103"/>
  <c r="BS17" i="103"/>
  <c r="BN17" i="103"/>
  <c r="BN47" i="103"/>
  <c r="BS47" i="103"/>
  <c r="BN24" i="103"/>
  <c r="BS24" i="103"/>
  <c r="BN43" i="103"/>
  <c r="BS43" i="103"/>
  <c r="BN28" i="103"/>
  <c r="BS28" i="103"/>
  <c r="BN10" i="103"/>
  <c r="BS10" i="103"/>
  <c r="BS22" i="103"/>
  <c r="BN22" i="103"/>
  <c r="BS18" i="103"/>
  <c r="BN18" i="103"/>
  <c r="BN42" i="103"/>
  <c r="BS42" i="103"/>
  <c r="BN44" i="103"/>
  <c r="BS44" i="103"/>
  <c r="BN51" i="103"/>
  <c r="BS51" i="103"/>
  <c r="BS39" i="103"/>
  <c r="BN39" i="103"/>
  <c r="BN52" i="103"/>
  <c r="BS52" i="103"/>
  <c r="BN19" i="103"/>
  <c r="BS19" i="103"/>
  <c r="BS37" i="103"/>
  <c r="BN37" i="103"/>
  <c r="BS40" i="103"/>
  <c r="BN40" i="103"/>
  <c r="BN54" i="103"/>
  <c r="BS54" i="103"/>
  <c r="BS31" i="103"/>
  <c r="BN31" i="103"/>
  <c r="BN50" i="103"/>
  <c r="BS50" i="103"/>
  <c r="BS15" i="103"/>
  <c r="BN15" i="103"/>
  <c r="BS49" i="103"/>
  <c r="BN49" i="103"/>
  <c r="BS48" i="103"/>
  <c r="BN48" i="103"/>
  <c r="BS53" i="103"/>
  <c r="BN53" i="103"/>
  <c r="BS38" i="103"/>
  <c r="BN38" i="103"/>
  <c r="BS29" i="103"/>
  <c r="BN29" i="103"/>
  <c r="BN34" i="103"/>
  <c r="BS34" i="103"/>
  <c r="BS25" i="103"/>
  <c r="BN25" i="103"/>
  <c r="BS30" i="103"/>
  <c r="BN30" i="103"/>
  <c r="BS14" i="103"/>
  <c r="BN14" i="103"/>
  <c r="BN26" i="103"/>
  <c r="BS26" i="103"/>
  <c r="BS32" i="103"/>
  <c r="BN32" i="103"/>
  <c r="BN21" i="103"/>
  <c r="BS21" i="103"/>
  <c r="BN41" i="103"/>
  <c r="BS41" i="103"/>
  <c r="BS23" i="103"/>
  <c r="BN23" i="103"/>
  <c r="CK94" i="101"/>
  <c r="CL94" i="101" s="1"/>
  <c r="P44" i="97"/>
  <c r="AP94" i="99"/>
  <c r="AQ94" i="99" s="1"/>
  <c r="BB94" i="99" s="1"/>
  <c r="AE34" i="108"/>
  <c r="M34" i="103"/>
  <c r="AG94" i="110"/>
  <c r="AH94" i="110" s="1"/>
  <c r="AS94" i="110" s="1"/>
  <c r="M35" i="103"/>
  <c r="AI35" i="103" s="1"/>
  <c r="AE35" i="108"/>
  <c r="J47" i="97"/>
  <c r="X36" i="108"/>
  <c r="R36" i="103"/>
  <c r="T36" i="99"/>
  <c r="S47" i="97"/>
  <c r="P36" i="99"/>
  <c r="N36" i="103" s="1"/>
  <c r="J84" i="97"/>
  <c r="X73" i="108"/>
  <c r="R73" i="103"/>
  <c r="T73" i="99"/>
  <c r="S84" i="97"/>
  <c r="P73" i="99"/>
  <c r="N73" i="103" s="1"/>
  <c r="J75" i="97"/>
  <c r="X64" i="108"/>
  <c r="T64" i="99"/>
  <c r="R64" i="103"/>
  <c r="S75" i="97"/>
  <c r="P64" i="99"/>
  <c r="N64" i="103" s="1"/>
  <c r="I102" i="97"/>
  <c r="W91" i="108"/>
  <c r="Q91" i="103"/>
  <c r="S91" i="99"/>
  <c r="R102" i="97"/>
  <c r="O91" i="99"/>
  <c r="M91" i="103" s="1"/>
  <c r="I44" i="97"/>
  <c r="R33" i="103"/>
  <c r="X33" i="108"/>
  <c r="AC110" i="108"/>
  <c r="J71" i="97"/>
  <c r="X60" i="108"/>
  <c r="R60" i="103"/>
  <c r="J74" i="97"/>
  <c r="X63" i="108"/>
  <c r="R63" i="103"/>
  <c r="T63" i="99"/>
  <c r="S74" i="97"/>
  <c r="P63" i="99"/>
  <c r="N63" i="103" s="1"/>
  <c r="J137" i="97"/>
  <c r="S137" i="97"/>
  <c r="P126" i="99"/>
  <c r="N126" i="103" s="1"/>
  <c r="X126" i="108"/>
  <c r="T126" i="99"/>
  <c r="R126" i="103"/>
  <c r="J126" i="97"/>
  <c r="T115" i="99"/>
  <c r="X115" i="108"/>
  <c r="P115" i="99"/>
  <c r="N115" i="103" s="1"/>
  <c r="S126" i="97"/>
  <c r="R115" i="103"/>
  <c r="AJ117" i="103"/>
  <c r="V117" i="103"/>
  <c r="Z111" i="108"/>
  <c r="AF117" i="108"/>
  <c r="J73" i="97"/>
  <c r="T62" i="99"/>
  <c r="X62" i="108"/>
  <c r="R62" i="103"/>
  <c r="S73" i="97"/>
  <c r="P62" i="99"/>
  <c r="N62" i="103" s="1"/>
  <c r="J60" i="97"/>
  <c r="T49" i="99"/>
  <c r="X49" i="108"/>
  <c r="R49" i="103"/>
  <c r="S60" i="97"/>
  <c r="P49" i="99"/>
  <c r="N49" i="103" s="1"/>
  <c r="J49" i="97"/>
  <c r="X38" i="108"/>
  <c r="T38" i="99"/>
  <c r="P38" i="99"/>
  <c r="N38" i="103" s="1"/>
  <c r="R38" i="103"/>
  <c r="S49" i="97"/>
  <c r="J78" i="97"/>
  <c r="T67" i="99"/>
  <c r="R67" i="103"/>
  <c r="X67" i="108"/>
  <c r="S78" i="97"/>
  <c r="P67" i="99"/>
  <c r="N67" i="103" s="1"/>
  <c r="J79" i="97"/>
  <c r="R68" i="103"/>
  <c r="X68" i="108"/>
  <c r="T68" i="99"/>
  <c r="S79" i="97"/>
  <c r="P68" i="99"/>
  <c r="N68" i="103" s="1"/>
  <c r="Q117" i="103"/>
  <c r="I128" i="97"/>
  <c r="O117" i="99"/>
  <c r="M117" i="103" s="1"/>
  <c r="R128" i="97"/>
  <c r="S117" i="99"/>
  <c r="W117" i="108"/>
  <c r="AA34" i="108"/>
  <c r="J86" i="97"/>
  <c r="R75" i="103"/>
  <c r="T75" i="99"/>
  <c r="X75" i="108"/>
  <c r="S86" i="97"/>
  <c r="P75" i="99"/>
  <c r="N75" i="103" s="1"/>
  <c r="J50" i="97"/>
  <c r="X39" i="108"/>
  <c r="T39" i="99"/>
  <c r="R39" i="103"/>
  <c r="S50" i="97"/>
  <c r="P39" i="99"/>
  <c r="N39" i="103" s="1"/>
  <c r="AC111" i="108"/>
  <c r="I122" i="97"/>
  <c r="X111" i="108"/>
  <c r="R111" i="103"/>
  <c r="AA61" i="108"/>
  <c r="Z112" i="108"/>
  <c r="J114" i="97"/>
  <c r="R103" i="103"/>
  <c r="T103" i="99"/>
  <c r="X103" i="108"/>
  <c r="P103" i="99"/>
  <c r="N103" i="103" s="1"/>
  <c r="S114" i="97"/>
  <c r="V91" i="103"/>
  <c r="AJ91" i="103"/>
  <c r="J136" i="97"/>
  <c r="S136" i="97"/>
  <c r="P125" i="99"/>
  <c r="N125" i="103" s="1"/>
  <c r="T125" i="99"/>
  <c r="X125" i="108"/>
  <c r="R125" i="103"/>
  <c r="J127" i="97"/>
  <c r="X116" i="108"/>
  <c r="S127" i="97"/>
  <c r="P116" i="99"/>
  <c r="N116" i="103" s="1"/>
  <c r="T116" i="99"/>
  <c r="R116" i="103"/>
  <c r="J48" i="97"/>
  <c r="R37" i="103"/>
  <c r="X37" i="108"/>
  <c r="T37" i="99"/>
  <c r="S48" i="97"/>
  <c r="P37" i="99"/>
  <c r="N37" i="103" s="1"/>
  <c r="AF91" i="108"/>
  <c r="J109" i="97"/>
  <c r="R98" i="103"/>
  <c r="T98" i="99"/>
  <c r="X98" i="108"/>
  <c r="P98" i="99"/>
  <c r="N98" i="103" s="1"/>
  <c r="S109" i="97"/>
  <c r="J59" i="97"/>
  <c r="X48" i="108"/>
  <c r="T48" i="99"/>
  <c r="R48" i="103"/>
  <c r="S59" i="97"/>
  <c r="P48" i="99"/>
  <c r="N48" i="103" s="1"/>
  <c r="AA33" i="108"/>
  <c r="O88" i="103"/>
  <c r="AG88" i="108"/>
  <c r="AJ86" i="101"/>
  <c r="N85" i="103"/>
  <c r="AG60" i="108"/>
  <c r="O60" i="103"/>
  <c r="AF85" i="108"/>
  <c r="N60" i="103"/>
  <c r="AF60" i="108"/>
  <c r="AA85" i="99"/>
  <c r="AA86" i="99" s="1"/>
  <c r="R85" i="110"/>
  <c r="R86" i="110" s="1"/>
  <c r="BX85" i="101"/>
  <c r="BX86" i="101" s="1"/>
  <c r="AG85" i="108"/>
  <c r="O85" i="103"/>
  <c r="BI56" i="101"/>
  <c r="BI59" i="101"/>
  <c r="BI55" i="101"/>
  <c r="BI57" i="101"/>
  <c r="BI62" i="101"/>
  <c r="BI64" i="101"/>
  <c r="BI58" i="101"/>
  <c r="BI61" i="101"/>
  <c r="BI63" i="101"/>
  <c r="BI60" i="101"/>
  <c r="AJ87" i="101"/>
  <c r="AG86" i="108"/>
  <c r="O86" i="103"/>
  <c r="AF113" i="108"/>
  <c r="N113" i="103"/>
  <c r="O87" i="103"/>
  <c r="AG87" i="108"/>
  <c r="AD78" i="108"/>
  <c r="AD46" i="108"/>
  <c r="T70" i="103"/>
  <c r="AH70" i="103"/>
  <c r="R108" i="97"/>
  <c r="O97" i="99"/>
  <c r="M97" i="103" s="1"/>
  <c r="I108" i="97"/>
  <c r="Q97" i="103"/>
  <c r="S97" i="99"/>
  <c r="W97" i="108"/>
  <c r="I138" i="97"/>
  <c r="R138" i="97"/>
  <c r="O127" i="99"/>
  <c r="M127" i="103" s="1"/>
  <c r="W127" i="108"/>
  <c r="S127" i="99"/>
  <c r="Q127" i="103"/>
  <c r="AD129" i="108"/>
  <c r="I52" i="97"/>
  <c r="Q41" i="103"/>
  <c r="R52" i="97"/>
  <c r="O41" i="99"/>
  <c r="M41" i="103" s="1"/>
  <c r="W41" i="108"/>
  <c r="S41" i="99"/>
  <c r="I131" i="97"/>
  <c r="Q120" i="103"/>
  <c r="W120" i="108"/>
  <c r="S120" i="99"/>
  <c r="O120" i="99"/>
  <c r="M120" i="103" s="1"/>
  <c r="R131" i="97"/>
  <c r="AD89" i="108"/>
  <c r="I58" i="97"/>
  <c r="S47" i="99"/>
  <c r="Q47" i="103"/>
  <c r="O47" i="99"/>
  <c r="M47" i="103" s="1"/>
  <c r="W47" i="108"/>
  <c r="R58" i="97"/>
  <c r="AF95" i="108"/>
  <c r="W123" i="108"/>
  <c r="Q123" i="103"/>
  <c r="S123" i="99"/>
  <c r="R134" i="97"/>
  <c r="O123" i="99"/>
  <c r="M123" i="103" s="1"/>
  <c r="I134" i="97"/>
  <c r="AF99" i="108"/>
  <c r="V100" i="103"/>
  <c r="AJ100" i="103"/>
  <c r="AD71" i="108"/>
  <c r="AJ124" i="103"/>
  <c r="V124" i="103"/>
  <c r="AC88" i="108"/>
  <c r="AA36" i="108"/>
  <c r="I53" i="97"/>
  <c r="R53" i="97"/>
  <c r="O42" i="99"/>
  <c r="M42" i="103" s="1"/>
  <c r="S42" i="99"/>
  <c r="W42" i="108"/>
  <c r="Q42" i="103"/>
  <c r="I103" i="97"/>
  <c r="S92" i="99"/>
  <c r="Q92" i="103"/>
  <c r="W92" i="108"/>
  <c r="R103" i="97"/>
  <c r="O92" i="99"/>
  <c r="M92" i="103" s="1"/>
  <c r="I101" i="97"/>
  <c r="S90" i="99"/>
  <c r="W90" i="108"/>
  <c r="Q90" i="103"/>
  <c r="R101" i="97"/>
  <c r="O90" i="99"/>
  <c r="M90" i="103" s="1"/>
  <c r="I51" i="97"/>
  <c r="S40" i="99"/>
  <c r="W40" i="108"/>
  <c r="Q40" i="103"/>
  <c r="O40" i="99"/>
  <c r="M40" i="103" s="1"/>
  <c r="R51" i="97"/>
  <c r="AJ102" i="103"/>
  <c r="V102" i="103"/>
  <c r="AH87" i="103"/>
  <c r="V99" i="103"/>
  <c r="AJ99" i="103"/>
  <c r="AD86" i="108"/>
  <c r="AI34" i="103"/>
  <c r="AP95" i="99"/>
  <c r="AC60" i="108"/>
  <c r="AH72" i="103"/>
  <c r="T72" i="103"/>
  <c r="T35" i="103"/>
  <c r="AH35" i="103"/>
  <c r="I125" i="97"/>
  <c r="Q114" i="103"/>
  <c r="S114" i="99"/>
  <c r="R125" i="97"/>
  <c r="O114" i="99"/>
  <c r="M114" i="103" s="1"/>
  <c r="W114" i="108"/>
  <c r="AD70" i="108"/>
  <c r="T128" i="103"/>
  <c r="AH128" i="103"/>
  <c r="T34" i="103"/>
  <c r="AH34" i="103"/>
  <c r="V66" i="103"/>
  <c r="AJ66" i="103"/>
  <c r="I113" i="97"/>
  <c r="S102" i="99"/>
  <c r="Q102" i="103"/>
  <c r="W102" i="108"/>
  <c r="R113" i="97"/>
  <c r="O102" i="99"/>
  <c r="M102" i="103" s="1"/>
  <c r="AD69" i="108"/>
  <c r="V121" i="103"/>
  <c r="AJ121" i="103"/>
  <c r="AF104" i="108"/>
  <c r="I61" i="97"/>
  <c r="R61" i="97"/>
  <c r="O50" i="99"/>
  <c r="M50" i="103" s="1"/>
  <c r="Q50" i="103"/>
  <c r="S50" i="99"/>
  <c r="W50" i="108"/>
  <c r="I111" i="97"/>
  <c r="O100" i="99"/>
  <c r="M100" i="103" s="1"/>
  <c r="Q100" i="103"/>
  <c r="W100" i="108"/>
  <c r="S100" i="99"/>
  <c r="R111" i="97"/>
  <c r="T130" i="103"/>
  <c r="AH130" i="103"/>
  <c r="V44" i="103"/>
  <c r="AJ44" i="103"/>
  <c r="AD45" i="108"/>
  <c r="AB60" i="108"/>
  <c r="T93" i="103"/>
  <c r="AH93" i="103"/>
  <c r="Z87" i="108"/>
  <c r="AA63" i="108"/>
  <c r="AA90" i="108"/>
  <c r="T77" i="103"/>
  <c r="AH77" i="103"/>
  <c r="AD72" i="108"/>
  <c r="AD35" i="108"/>
  <c r="AD93" i="108"/>
  <c r="I135" i="97"/>
  <c r="O124" i="99"/>
  <c r="M124" i="103" s="1"/>
  <c r="S124" i="99"/>
  <c r="Q124" i="103"/>
  <c r="W124" i="108"/>
  <c r="R135" i="97"/>
  <c r="AJ52" i="103"/>
  <c r="V52" i="103"/>
  <c r="AD34" i="108"/>
  <c r="AJ119" i="103"/>
  <c r="V119" i="103"/>
  <c r="AJ96" i="103"/>
  <c r="V96" i="103"/>
  <c r="AF66" i="108"/>
  <c r="I133" i="97"/>
  <c r="Q122" i="103"/>
  <c r="W122" i="108"/>
  <c r="O122" i="99"/>
  <c r="M122" i="103" s="1"/>
  <c r="R133" i="97"/>
  <c r="S122" i="99"/>
  <c r="V47" i="103"/>
  <c r="AJ47" i="103"/>
  <c r="V43" i="103"/>
  <c r="AJ43" i="103"/>
  <c r="Q95" i="103"/>
  <c r="W95" i="108"/>
  <c r="S95" i="99"/>
  <c r="R106" i="97"/>
  <c r="O95" i="99"/>
  <c r="M95" i="103" s="1"/>
  <c r="I106" i="97"/>
  <c r="AF123" i="108"/>
  <c r="AF121" i="108"/>
  <c r="AD130" i="108"/>
  <c r="AF44" i="108"/>
  <c r="O51" i="99"/>
  <c r="M51" i="103" s="1"/>
  <c r="S51" i="99"/>
  <c r="W51" i="108"/>
  <c r="Q51" i="103"/>
  <c r="R62" i="97"/>
  <c r="I62" i="97"/>
  <c r="I99" i="97"/>
  <c r="S88" i="99"/>
  <c r="Q88" i="103"/>
  <c r="R99" i="97"/>
  <c r="O88" i="99"/>
  <c r="M88" i="103" s="1"/>
  <c r="W88" i="108"/>
  <c r="AG95" i="110"/>
  <c r="AC85" i="108"/>
  <c r="AH46" i="103"/>
  <c r="T46" i="103"/>
  <c r="AJ42" i="103"/>
  <c r="V42" i="103"/>
  <c r="V92" i="103"/>
  <c r="AJ92" i="103"/>
  <c r="AF97" i="108"/>
  <c r="V90" i="103"/>
  <c r="AJ90" i="103"/>
  <c r="AF52" i="108"/>
  <c r="AF40" i="108"/>
  <c r="I130" i="97"/>
  <c r="Q119" i="103"/>
  <c r="W119" i="108"/>
  <c r="S119" i="99"/>
  <c r="R130" i="97"/>
  <c r="O119" i="99"/>
  <c r="M119" i="103" s="1"/>
  <c r="AD101" i="108"/>
  <c r="AF47" i="108"/>
  <c r="AF43" i="108"/>
  <c r="T118" i="103"/>
  <c r="AH118" i="103"/>
  <c r="AH69" i="103"/>
  <c r="AD76" i="108"/>
  <c r="AH94" i="103"/>
  <c r="T94" i="103"/>
  <c r="O44" i="99"/>
  <c r="M44" i="103" s="1"/>
  <c r="I55" i="97"/>
  <c r="Q44" i="103"/>
  <c r="W44" i="108"/>
  <c r="S44" i="99"/>
  <c r="R55" i="97"/>
  <c r="AD61" i="108"/>
  <c r="Z65" i="108"/>
  <c r="AJ114" i="103"/>
  <c r="V114" i="103"/>
  <c r="AF42" i="108"/>
  <c r="AF92" i="108"/>
  <c r="T78" i="103"/>
  <c r="AH78" i="103"/>
  <c r="BA51" i="103"/>
  <c r="V97" i="103"/>
  <c r="AJ97" i="103"/>
  <c r="AF90" i="108"/>
  <c r="AJ127" i="103"/>
  <c r="V127" i="103"/>
  <c r="AJ41" i="103"/>
  <c r="V41" i="103"/>
  <c r="AH65" i="103"/>
  <c r="T65" i="103"/>
  <c r="AJ40" i="103"/>
  <c r="V40" i="103"/>
  <c r="AF96" i="108"/>
  <c r="AF102" i="108"/>
  <c r="AD118" i="108"/>
  <c r="I110" i="97"/>
  <c r="W99" i="108"/>
  <c r="S99" i="99"/>
  <c r="Q99" i="103"/>
  <c r="R110" i="97"/>
  <c r="O99" i="99"/>
  <c r="M99" i="103" s="1"/>
  <c r="AD94" i="108"/>
  <c r="AH86" i="103"/>
  <c r="T86" i="103"/>
  <c r="AH45" i="103"/>
  <c r="T45" i="103"/>
  <c r="N85" i="99"/>
  <c r="L85" i="103" s="1"/>
  <c r="T85" i="103" s="1"/>
  <c r="P85" i="103"/>
  <c r="V85" i="108"/>
  <c r="R85" i="99"/>
  <c r="V85" i="99" s="1"/>
  <c r="BB7" i="103" s="1"/>
  <c r="Q96" i="97"/>
  <c r="I63" i="97"/>
  <c r="Q52" i="103"/>
  <c r="S52" i="99"/>
  <c r="O52" i="99"/>
  <c r="M52" i="103" s="1"/>
  <c r="R63" i="97"/>
  <c r="W52" i="108"/>
  <c r="AF127" i="108"/>
  <c r="AF41" i="108"/>
  <c r="V120" i="103"/>
  <c r="AJ120" i="103"/>
  <c r="AD128" i="108"/>
  <c r="AD65" i="108"/>
  <c r="AJ122" i="103"/>
  <c r="V122" i="103"/>
  <c r="AD74" i="108"/>
  <c r="I54" i="97"/>
  <c r="S43" i="99"/>
  <c r="Q43" i="103"/>
  <c r="W43" i="108"/>
  <c r="R54" i="97"/>
  <c r="O43" i="99"/>
  <c r="M43" i="103" s="1"/>
  <c r="AD87" i="108"/>
  <c r="I132" i="97"/>
  <c r="W121" i="108"/>
  <c r="Q121" i="103"/>
  <c r="S121" i="99"/>
  <c r="R132" i="97"/>
  <c r="O121" i="99"/>
  <c r="M121" i="103" s="1"/>
  <c r="V104" i="103"/>
  <c r="AJ104" i="103"/>
  <c r="AJ50" i="103"/>
  <c r="V50" i="103"/>
  <c r="AF51" i="108"/>
  <c r="AJ88" i="103"/>
  <c r="V88" i="103"/>
  <c r="CK95" i="101"/>
  <c r="AC86" i="108"/>
  <c r="T71" i="103"/>
  <c r="AH71" i="103"/>
  <c r="AF114" i="108"/>
  <c r="AC35" i="108"/>
  <c r="AC115" i="108"/>
  <c r="Z114" i="108"/>
  <c r="Z35" i="108"/>
  <c r="AB36" i="108"/>
  <c r="AB90" i="108"/>
  <c r="AA114" i="108"/>
  <c r="AB113" i="108"/>
  <c r="AD77" i="108"/>
  <c r="AF124" i="108"/>
  <c r="AH129" i="103"/>
  <c r="T129" i="103"/>
  <c r="AF120" i="108"/>
  <c r="AF119" i="108"/>
  <c r="I107" i="97"/>
  <c r="S96" i="99"/>
  <c r="W96" i="108"/>
  <c r="Q96" i="103"/>
  <c r="R107" i="97"/>
  <c r="O96" i="99"/>
  <c r="M96" i="103" s="1"/>
  <c r="I77" i="97"/>
  <c r="S66" i="99"/>
  <c r="W66" i="108"/>
  <c r="Q66" i="103"/>
  <c r="R77" i="97"/>
  <c r="O66" i="99"/>
  <c r="M66" i="103" s="1"/>
  <c r="AF122" i="108"/>
  <c r="T101" i="103"/>
  <c r="AH101" i="103"/>
  <c r="T89" i="103"/>
  <c r="AH89" i="103"/>
  <c r="AJ95" i="103"/>
  <c r="V95" i="103"/>
  <c r="V123" i="103"/>
  <c r="AJ123" i="103"/>
  <c r="O104" i="99"/>
  <c r="M104" i="103" s="1"/>
  <c r="I115" i="97"/>
  <c r="Q104" i="103"/>
  <c r="S104" i="99"/>
  <c r="W104" i="108"/>
  <c r="R115" i="97"/>
  <c r="AF50" i="108"/>
  <c r="AF100" i="108"/>
  <c r="V51" i="103"/>
  <c r="AJ51" i="103"/>
  <c r="AF88" i="108"/>
  <c r="AK59" i="103"/>
  <c r="AL59" i="103" s="1"/>
  <c r="AC87" i="108"/>
  <c r="P100" i="97"/>
  <c r="N48" i="97"/>
  <c r="N75" i="97"/>
  <c r="N102" i="97"/>
  <c r="M99" i="97"/>
  <c r="O72" i="97"/>
  <c r="P72" i="97"/>
  <c r="M77" i="97"/>
  <c r="M126" i="97"/>
  <c r="M47" i="97"/>
  <c r="O48" i="97"/>
  <c r="O102" i="97"/>
  <c r="N126" i="97"/>
  <c r="O125" i="97"/>
  <c r="P47" i="97"/>
  <c r="P127" i="97"/>
  <c r="BW115" i="101"/>
  <c r="Q115" i="110"/>
  <c r="Z115" i="99"/>
  <c r="U115" i="99"/>
  <c r="Q115" i="99"/>
  <c r="T126" i="97"/>
  <c r="CJ140" i="101"/>
  <c r="CJ98" i="101"/>
  <c r="S44" i="97"/>
  <c r="AH126" i="101"/>
  <c r="CE62" i="101"/>
  <c r="CE72" i="101"/>
  <c r="BI58" i="103"/>
  <c r="BT115" i="101"/>
  <c r="BU115" i="101"/>
  <c r="AR103" i="96"/>
  <c r="AI56" i="99"/>
  <c r="AS73" i="96"/>
  <c r="Q61" i="110"/>
  <c r="Z74" i="110"/>
  <c r="Q89" i="99"/>
  <c r="W66" i="99"/>
  <c r="M63" i="107"/>
  <c r="BU37" i="101"/>
  <c r="Q114" i="99"/>
  <c r="U114" i="99"/>
  <c r="Q114" i="110"/>
  <c r="Z114" i="99"/>
  <c r="BW114" i="101"/>
  <c r="T125" i="97"/>
  <c r="CJ52" i="101"/>
  <c r="AH73" i="101"/>
  <c r="AH38" i="101"/>
  <c r="AG117" i="101"/>
  <c r="CE57" i="101"/>
  <c r="BI59" i="103"/>
  <c r="W115" i="99"/>
  <c r="AG40" i="101"/>
  <c r="O115" i="110"/>
  <c r="BU64" i="101"/>
  <c r="AI63" i="99"/>
  <c r="AP127" i="96"/>
  <c r="Z62" i="110"/>
  <c r="Z68" i="110"/>
  <c r="U89" i="99"/>
  <c r="N66" i="110"/>
  <c r="F117" i="107"/>
  <c r="Z113" i="99"/>
  <c r="Q113" i="99"/>
  <c r="T124" i="97"/>
  <c r="U113" i="99"/>
  <c r="Q113" i="110"/>
  <c r="BW113" i="101"/>
  <c r="CJ50" i="101"/>
  <c r="AH37" i="101"/>
  <c r="CE56" i="101"/>
  <c r="BI64" i="103"/>
  <c r="AG100" i="101"/>
  <c r="X115" i="99"/>
  <c r="O64" i="110"/>
  <c r="AI69" i="99"/>
  <c r="AQ127" i="96"/>
  <c r="Z63" i="110"/>
  <c r="Z72" i="110"/>
  <c r="Q89" i="110"/>
  <c r="T47" i="97"/>
  <c r="AI36" i="101" s="1"/>
  <c r="J117" i="107"/>
  <c r="Z35" i="99"/>
  <c r="Q35" i="110"/>
  <c r="BW35" i="101"/>
  <c r="U35" i="99"/>
  <c r="Q35" i="99"/>
  <c r="T46" i="97"/>
  <c r="AO49" i="99"/>
  <c r="P33" i="99"/>
  <c r="P111" i="99"/>
  <c r="AH125" i="101"/>
  <c r="CE61" i="101"/>
  <c r="AS101" i="96"/>
  <c r="AG88" i="101"/>
  <c r="AQ76" i="101"/>
  <c r="AG127" i="101"/>
  <c r="X64" i="99"/>
  <c r="AI68" i="99"/>
  <c r="AS128" i="96"/>
  <c r="Z61" i="110"/>
  <c r="Z69" i="110"/>
  <c r="BW89" i="101"/>
  <c r="Q36" i="99"/>
  <c r="AR58" i="103"/>
  <c r="G117" i="107"/>
  <c r="AO139" i="99"/>
  <c r="CJ139" i="101"/>
  <c r="T33" i="99"/>
  <c r="AH62" i="101"/>
  <c r="CE63" i="101"/>
  <c r="AG44" i="101"/>
  <c r="AQ79" i="101"/>
  <c r="AG123" i="101"/>
  <c r="T127" i="97"/>
  <c r="AG97" i="101"/>
  <c r="AI71" i="99"/>
  <c r="AP48" i="96"/>
  <c r="Z55" i="110"/>
  <c r="Z67" i="110"/>
  <c r="Z89" i="99"/>
  <c r="U36" i="99"/>
  <c r="AR63" i="103"/>
  <c r="K117" i="107"/>
  <c r="AI57" i="99"/>
  <c r="Q112" i="110"/>
  <c r="Z112" i="99"/>
  <c r="BW112" i="101"/>
  <c r="U112" i="99"/>
  <c r="Q112" i="99"/>
  <c r="T123" i="97"/>
  <c r="AO141" i="99"/>
  <c r="CE64" i="101"/>
  <c r="AQ103" i="96"/>
  <c r="K93" i="107" s="1"/>
  <c r="AF85" i="101"/>
  <c r="AQ77" i="101"/>
  <c r="U116" i="99"/>
  <c r="AG41" i="101"/>
  <c r="AI67" i="99"/>
  <c r="P37" i="110"/>
  <c r="Z58" i="110"/>
  <c r="N36" i="110"/>
  <c r="Q36" i="110"/>
  <c r="AR55" i="103"/>
  <c r="M118" i="107"/>
  <c r="Y91" i="99"/>
  <c r="AF50" i="110"/>
  <c r="AF98" i="110"/>
  <c r="AH67" i="101"/>
  <c r="S122" i="97"/>
  <c r="CE55" i="101"/>
  <c r="AG92" i="101"/>
  <c r="P61" i="99"/>
  <c r="O91" i="110"/>
  <c r="AQ75" i="101"/>
  <c r="U34" i="103"/>
  <c r="Q116" i="99"/>
  <c r="AG50" i="101"/>
  <c r="AI70" i="99"/>
  <c r="AG120" i="101"/>
  <c r="BV37" i="101"/>
  <c r="Z59" i="110"/>
  <c r="BT36" i="101"/>
  <c r="Z36" i="99"/>
  <c r="AR57" i="103"/>
  <c r="I118" i="107"/>
  <c r="CE74" i="101"/>
  <c r="BW34" i="101"/>
  <c r="Q34" i="110"/>
  <c r="Z34" i="99"/>
  <c r="U34" i="99"/>
  <c r="Q34" i="99"/>
  <c r="T45" i="97"/>
  <c r="AO140" i="99"/>
  <c r="AF51" i="110"/>
  <c r="AH64" i="101"/>
  <c r="T111" i="99"/>
  <c r="CE65" i="101"/>
  <c r="AG90" i="101"/>
  <c r="T61" i="99"/>
  <c r="X91" i="99"/>
  <c r="AQ78" i="101"/>
  <c r="AG102" i="101"/>
  <c r="Z116" i="99"/>
  <c r="AG95" i="101"/>
  <c r="AI73" i="99"/>
  <c r="Y37" i="99"/>
  <c r="Z57" i="110"/>
  <c r="W36" i="99"/>
  <c r="BW36" i="101"/>
  <c r="AR56" i="103"/>
  <c r="F38" i="107"/>
  <c r="BI55" i="103"/>
  <c r="W59" i="103"/>
  <c r="AO52" i="99"/>
  <c r="AO98" i="99"/>
  <c r="CE71" i="101"/>
  <c r="AG114" i="101"/>
  <c r="S72" i="97"/>
  <c r="AH61" i="101" s="1"/>
  <c r="BU91" i="101"/>
  <c r="U35" i="103"/>
  <c r="BW116" i="101"/>
  <c r="AI61" i="99"/>
  <c r="AI72" i="99"/>
  <c r="AQ49" i="96"/>
  <c r="Z64" i="110"/>
  <c r="Y114" i="99"/>
  <c r="AG43" i="101"/>
  <c r="AR60" i="103"/>
  <c r="L93" i="107"/>
  <c r="J38" i="107"/>
  <c r="CJ49" i="101"/>
  <c r="Q33" i="99"/>
  <c r="T44" i="97"/>
  <c r="U33" i="99"/>
  <c r="BW33" i="101"/>
  <c r="Z33" i="99"/>
  <c r="Q33" i="110"/>
  <c r="AH115" i="101"/>
  <c r="AH75" i="101"/>
  <c r="CE70" i="101"/>
  <c r="BI56" i="103"/>
  <c r="Y61" i="99"/>
  <c r="AP78" i="96"/>
  <c r="AG51" i="101"/>
  <c r="Q116" i="110"/>
  <c r="AI58" i="99"/>
  <c r="AI65" i="99"/>
  <c r="AS48" i="96"/>
  <c r="Z56" i="110"/>
  <c r="P114" i="110"/>
  <c r="AR61" i="103"/>
  <c r="H93" i="107"/>
  <c r="K39" i="107"/>
  <c r="AQ76" i="96"/>
  <c r="CJ141" i="101"/>
  <c r="AH49" i="101"/>
  <c r="AH116" i="101"/>
  <c r="AH98" i="101"/>
  <c r="CE67" i="101"/>
  <c r="BI63" i="103"/>
  <c r="BV61" i="101"/>
  <c r="AG119" i="101"/>
  <c r="AG124" i="101"/>
  <c r="AI60" i="99"/>
  <c r="AI74" i="99"/>
  <c r="AG66" i="101"/>
  <c r="Z60" i="110"/>
  <c r="AG47" i="101"/>
  <c r="BV114" i="101"/>
  <c r="AR59" i="103"/>
  <c r="AI116" i="101"/>
  <c r="G39" i="107"/>
  <c r="W88" i="99"/>
  <c r="Z66" i="110"/>
  <c r="CF49" i="101"/>
  <c r="CF50" i="101"/>
  <c r="CF7" i="101"/>
  <c r="CF18" i="101"/>
  <c r="CF26" i="101"/>
  <c r="CF22" i="101"/>
  <c r="CF28" i="101"/>
  <c r="CF29" i="101"/>
  <c r="CF46" i="101"/>
  <c r="CF45" i="101"/>
  <c r="CF41" i="101"/>
  <c r="CF42" i="101"/>
  <c r="CF35" i="101"/>
  <c r="CF6" i="101"/>
  <c r="CF20" i="101"/>
  <c r="CF38" i="101"/>
  <c r="CF8" i="101"/>
  <c r="CF48" i="101"/>
  <c r="CF39" i="101"/>
  <c r="CF36" i="101"/>
  <c r="CF24" i="101"/>
  <c r="CF51" i="101"/>
  <c r="CF11" i="101"/>
  <c r="CF19" i="101"/>
  <c r="CF43" i="101"/>
  <c r="CF12" i="101"/>
  <c r="CF52" i="101"/>
  <c r="CF13" i="101"/>
  <c r="CF10" i="101"/>
  <c r="CF21" i="101"/>
  <c r="CF32" i="101"/>
  <c r="CF23" i="101"/>
  <c r="CF53" i="101"/>
  <c r="CF9" i="101"/>
  <c r="CF37" i="101"/>
  <c r="CF25" i="101"/>
  <c r="CF34" i="101"/>
  <c r="CF47" i="101"/>
  <c r="CF16" i="101"/>
  <c r="CF14" i="101"/>
  <c r="CF54" i="101"/>
  <c r="CF27" i="101"/>
  <c r="CF44" i="101"/>
  <c r="CF17" i="101"/>
  <c r="CF40" i="101"/>
  <c r="CF31" i="101"/>
  <c r="CF33" i="101"/>
  <c r="CF30" i="101"/>
  <c r="CF15" i="101"/>
  <c r="CJ51" i="101"/>
  <c r="AO50" i="99"/>
  <c r="AH36" i="101"/>
  <c r="CE68" i="101"/>
  <c r="BI60" i="103"/>
  <c r="P61" i="110"/>
  <c r="AG122" i="101"/>
  <c r="AI59" i="99"/>
  <c r="AI66" i="99"/>
  <c r="U61" i="99"/>
  <c r="Z71" i="110"/>
  <c r="AG42" i="101"/>
  <c r="AR126" i="96"/>
  <c r="H116" i="107" s="1"/>
  <c r="AR64" i="103"/>
  <c r="K66" i="107"/>
  <c r="M38" i="107"/>
  <c r="Z61" i="99"/>
  <c r="AJ16" i="99"/>
  <c r="AJ51" i="99"/>
  <c r="AJ47" i="99"/>
  <c r="AJ35" i="99"/>
  <c r="AJ22" i="99"/>
  <c r="AJ10" i="99"/>
  <c r="AJ21" i="99"/>
  <c r="AJ17" i="99"/>
  <c r="AJ20" i="99"/>
  <c r="AJ43" i="99"/>
  <c r="AJ38" i="99"/>
  <c r="AJ52" i="99"/>
  <c r="AJ12" i="99"/>
  <c r="AJ53" i="99"/>
  <c r="AJ27" i="99"/>
  <c r="AJ36" i="99"/>
  <c r="AJ29" i="99"/>
  <c r="AJ32" i="99"/>
  <c r="AJ31" i="99"/>
  <c r="AJ19" i="99"/>
  <c r="AJ37" i="99"/>
  <c r="AJ25" i="99"/>
  <c r="AJ44" i="99"/>
  <c r="AJ6" i="99"/>
  <c r="AJ13" i="99"/>
  <c r="AJ18" i="99"/>
  <c r="AJ48" i="99"/>
  <c r="AJ49" i="99"/>
  <c r="AJ42" i="99"/>
  <c r="AJ9" i="99"/>
  <c r="AJ26" i="99"/>
  <c r="AJ45" i="99"/>
  <c r="AJ8" i="99"/>
  <c r="AJ23" i="99"/>
  <c r="AJ15" i="99"/>
  <c r="AJ33" i="99"/>
  <c r="AJ50" i="99"/>
  <c r="AJ40" i="99"/>
  <c r="AJ11" i="99"/>
  <c r="AJ24" i="99"/>
  <c r="AJ54" i="99"/>
  <c r="AJ30" i="99"/>
  <c r="AJ14" i="99"/>
  <c r="AJ34" i="99"/>
  <c r="AJ46" i="99"/>
  <c r="AJ28" i="99"/>
  <c r="AJ39" i="99"/>
  <c r="AJ7" i="99"/>
  <c r="AJ41" i="99"/>
  <c r="CJ142" i="101"/>
  <c r="AH68" i="101"/>
  <c r="CE69" i="101"/>
  <c r="BI57" i="103"/>
  <c r="BV91" i="101"/>
  <c r="AR49" i="96"/>
  <c r="AI64" i="99"/>
  <c r="AG99" i="101"/>
  <c r="T72" i="97"/>
  <c r="Z70" i="110"/>
  <c r="AG96" i="101"/>
  <c r="O37" i="110"/>
  <c r="AR62" i="103"/>
  <c r="G66" i="107"/>
  <c r="I38" i="107"/>
  <c r="CE59" i="101"/>
  <c r="I91" i="107"/>
  <c r="AA44" i="110"/>
  <c r="AA49" i="110"/>
  <c r="AA38" i="110"/>
  <c r="AA12" i="110"/>
  <c r="AA41" i="110"/>
  <c r="AA9" i="110"/>
  <c r="AA32" i="110"/>
  <c r="AA22" i="110"/>
  <c r="AA46" i="110"/>
  <c r="AA24" i="110"/>
  <c r="AA39" i="110"/>
  <c r="AA8" i="110"/>
  <c r="AA53" i="110"/>
  <c r="AA36" i="110"/>
  <c r="AA54" i="110"/>
  <c r="AA19" i="110"/>
  <c r="AA6" i="110"/>
  <c r="AA15" i="110"/>
  <c r="AA13" i="110"/>
  <c r="AA21" i="110"/>
  <c r="AA45" i="110"/>
  <c r="AF142" i="110" s="1"/>
  <c r="AA51" i="110"/>
  <c r="AA48" i="110"/>
  <c r="AA43" i="110"/>
  <c r="AA50" i="110"/>
  <c r="AA31" i="110"/>
  <c r="AA11" i="110"/>
  <c r="AA14" i="110"/>
  <c r="AA7" i="110"/>
  <c r="AA26" i="110"/>
  <c r="AA29" i="110"/>
  <c r="AA42" i="110"/>
  <c r="AA40" i="110"/>
  <c r="AA35" i="110"/>
  <c r="AF141" i="110" s="1"/>
  <c r="AA33" i="110"/>
  <c r="AA20" i="110"/>
  <c r="AA30" i="110"/>
  <c r="AA17" i="110"/>
  <c r="AA18" i="110"/>
  <c r="AA34" i="110"/>
  <c r="AA23" i="110"/>
  <c r="AA25" i="110"/>
  <c r="AA27" i="110"/>
  <c r="AA47" i="110"/>
  <c r="AA10" i="110"/>
  <c r="AA52" i="110"/>
  <c r="AA16" i="110"/>
  <c r="AA28" i="110"/>
  <c r="AA37" i="110"/>
  <c r="AG91" i="101"/>
  <c r="AH63" i="101"/>
  <c r="CE60" i="101"/>
  <c r="CE73" i="101"/>
  <c r="BI61" i="103"/>
  <c r="P91" i="110"/>
  <c r="N88" i="110"/>
  <c r="AG52" i="101"/>
  <c r="AI55" i="99"/>
  <c r="AG121" i="101"/>
  <c r="Q61" i="99"/>
  <c r="Z73" i="110"/>
  <c r="AG104" i="101"/>
  <c r="X37" i="99"/>
  <c r="M91" i="107"/>
  <c r="AI61" i="101"/>
  <c r="AO51" i="99"/>
  <c r="AF52" i="110"/>
  <c r="AO142" i="99"/>
  <c r="AH39" i="101"/>
  <c r="AH103" i="101"/>
  <c r="AH48" i="101"/>
  <c r="CE58" i="101"/>
  <c r="CE66" i="101"/>
  <c r="BI62" i="103"/>
  <c r="N115" i="110"/>
  <c r="BT88" i="101"/>
  <c r="AR73" i="96"/>
  <c r="AI62" i="99"/>
  <c r="AP100" i="96"/>
  <c r="BW61" i="101"/>
  <c r="Z65" i="110"/>
  <c r="T100" i="97"/>
  <c r="BT66" i="101"/>
  <c r="G93" i="107"/>
  <c r="I63" i="107"/>
  <c r="L116" i="107"/>
  <c r="AF49" i="110"/>
  <c r="AI89" i="101"/>
  <c r="AI115" i="101"/>
  <c r="AH33" i="101"/>
  <c r="AI114" i="101"/>
  <c r="AI113" i="101"/>
  <c r="AI35" i="101"/>
  <c r="AI112" i="101"/>
  <c r="AH111" i="101"/>
  <c r="AI34" i="101"/>
  <c r="AI33" i="101"/>
  <c r="J68" i="107"/>
  <c r="F68" i="107"/>
  <c r="H39" i="107"/>
  <c r="L39" i="107"/>
  <c r="AF185" i="110"/>
  <c r="AF140" i="110"/>
  <c r="AF139" i="110"/>
  <c r="H63" i="107"/>
  <c r="L63" i="107"/>
  <c r="J90" i="107"/>
  <c r="F90" i="107"/>
  <c r="R111" i="110" l="1"/>
  <c r="AG139" i="110"/>
  <c r="AG140" i="110" s="1"/>
  <c r="AJ34" i="101"/>
  <c r="AJ112" i="101"/>
  <c r="AJ35" i="101"/>
  <c r="AJ113" i="101"/>
  <c r="AG49" i="110"/>
  <c r="AH49" i="110" s="1"/>
  <c r="AS49" i="110" s="1"/>
  <c r="R33" i="110"/>
  <c r="R34" i="110" s="1"/>
  <c r="AA33" i="99"/>
  <c r="BX33" i="101"/>
  <c r="AG33" i="108"/>
  <c r="O33" i="103"/>
  <c r="CK49" i="101"/>
  <c r="CL49" i="101" s="1"/>
  <c r="AG34" i="108"/>
  <c r="O34" i="103"/>
  <c r="AF111" i="108"/>
  <c r="AG112" i="108"/>
  <c r="O112" i="103"/>
  <c r="R112" i="110"/>
  <c r="R113" i="110" s="1"/>
  <c r="R114" i="110" s="1"/>
  <c r="CK139" i="101"/>
  <c r="CL139" i="101" s="1"/>
  <c r="AP139" i="99"/>
  <c r="AQ139" i="99" s="1"/>
  <c r="BB139" i="99" s="1"/>
  <c r="N111" i="103"/>
  <c r="N33" i="103"/>
  <c r="AP49" i="99"/>
  <c r="AQ49" i="99" s="1"/>
  <c r="BB49" i="99" s="1"/>
  <c r="AG35" i="108"/>
  <c r="O35" i="103"/>
  <c r="AK35" i="103" s="1"/>
  <c r="AL35" i="103" s="1"/>
  <c r="AG113" i="108"/>
  <c r="O113" i="103"/>
  <c r="AG114" i="108"/>
  <c r="O114" i="103"/>
  <c r="AF33" i="108"/>
  <c r="AG115" i="108"/>
  <c r="O115" i="103"/>
  <c r="AK115" i="103" s="1"/>
  <c r="R48" i="97"/>
  <c r="O37" i="99"/>
  <c r="M37" i="103" s="1"/>
  <c r="Q37" i="103"/>
  <c r="S37" i="99"/>
  <c r="I48" i="97"/>
  <c r="W37" i="108"/>
  <c r="AI91" i="103"/>
  <c r="U91" i="103"/>
  <c r="AF48" i="108"/>
  <c r="AF103" i="108"/>
  <c r="AF39" i="108"/>
  <c r="N117" i="99"/>
  <c r="L117" i="103" s="1"/>
  <c r="V117" i="108"/>
  <c r="P117" i="103"/>
  <c r="R117" i="99"/>
  <c r="Q128" i="97"/>
  <c r="V38" i="103"/>
  <c r="AJ38" i="103"/>
  <c r="W126" i="108"/>
  <c r="O126" i="99"/>
  <c r="M126" i="103" s="1"/>
  <c r="R137" i="97"/>
  <c r="I137" i="97"/>
  <c r="Q126" i="103"/>
  <c r="S126" i="99"/>
  <c r="V33" i="108"/>
  <c r="P33" i="103"/>
  <c r="V68" i="103"/>
  <c r="AJ68" i="103"/>
  <c r="AF63" i="108"/>
  <c r="AE91" i="108"/>
  <c r="I84" i="97"/>
  <c r="W73" i="108"/>
  <c r="S73" i="99"/>
  <c r="Q73" i="103"/>
  <c r="R84" i="97"/>
  <c r="O73" i="99"/>
  <c r="M73" i="103" s="1"/>
  <c r="BX111" i="101"/>
  <c r="AF68" i="108"/>
  <c r="I49" i="97"/>
  <c r="W38" i="108"/>
  <c r="O38" i="99"/>
  <c r="M38" i="103" s="1"/>
  <c r="R49" i="97"/>
  <c r="S38" i="99"/>
  <c r="Q38" i="103"/>
  <c r="AJ36" i="103"/>
  <c r="V36" i="103"/>
  <c r="AA111" i="99"/>
  <c r="AA112" i="99" s="1"/>
  <c r="AA113" i="99" s="1"/>
  <c r="AA114" i="99" s="1"/>
  <c r="V103" i="103"/>
  <c r="AJ103" i="103"/>
  <c r="S48" i="99"/>
  <c r="W48" i="108"/>
  <c r="R59" i="97"/>
  <c r="O48" i="99"/>
  <c r="M48" i="103" s="1"/>
  <c r="I59" i="97"/>
  <c r="Q48" i="103"/>
  <c r="V116" i="103"/>
  <c r="AJ116" i="103"/>
  <c r="R50" i="97"/>
  <c r="O39" i="99"/>
  <c r="M39" i="103" s="1"/>
  <c r="I50" i="97"/>
  <c r="S39" i="99"/>
  <c r="Q39" i="103"/>
  <c r="W39" i="108"/>
  <c r="V49" i="103"/>
  <c r="AJ49" i="103"/>
  <c r="AF36" i="108"/>
  <c r="AF98" i="108"/>
  <c r="AF116" i="108"/>
  <c r="O103" i="99"/>
  <c r="M103" i="103" s="1"/>
  <c r="U103" i="103" s="1"/>
  <c r="I114" i="97"/>
  <c r="R114" i="97"/>
  <c r="W103" i="108"/>
  <c r="Q103" i="103"/>
  <c r="S103" i="99"/>
  <c r="AJ75" i="103"/>
  <c r="V75" i="103"/>
  <c r="AF49" i="108"/>
  <c r="AK111" i="103"/>
  <c r="V98" i="103"/>
  <c r="AJ98" i="103"/>
  <c r="AF75" i="108"/>
  <c r="AF115" i="108"/>
  <c r="O63" i="99"/>
  <c r="M63" i="103" s="1"/>
  <c r="R74" i="97"/>
  <c r="W63" i="108"/>
  <c r="I74" i="97"/>
  <c r="Q63" i="103"/>
  <c r="S63" i="99"/>
  <c r="Q102" i="97"/>
  <c r="N91" i="99"/>
  <c r="L91" i="103" s="1"/>
  <c r="V91" i="108"/>
  <c r="P91" i="103"/>
  <c r="R91" i="99"/>
  <c r="AC33" i="108"/>
  <c r="I127" i="97"/>
  <c r="Q116" i="103"/>
  <c r="S116" i="99"/>
  <c r="W116" i="108"/>
  <c r="O116" i="99"/>
  <c r="M116" i="103" s="1"/>
  <c r="R127" i="97"/>
  <c r="Q68" i="103"/>
  <c r="R79" i="97"/>
  <c r="O68" i="99"/>
  <c r="M68" i="103" s="1"/>
  <c r="I79" i="97"/>
  <c r="W68" i="108"/>
  <c r="S68" i="99"/>
  <c r="V115" i="103"/>
  <c r="AJ115" i="103"/>
  <c r="V64" i="103"/>
  <c r="AJ64" i="103"/>
  <c r="V67" i="103"/>
  <c r="AJ67" i="103"/>
  <c r="AF64" i="108"/>
  <c r="I47" i="97"/>
  <c r="R47" i="97"/>
  <c r="O36" i="99"/>
  <c r="M36" i="103" s="1"/>
  <c r="S36" i="99"/>
  <c r="W36" i="108"/>
  <c r="Q36" i="103"/>
  <c r="AC34" i="108"/>
  <c r="AF67" i="108"/>
  <c r="R60" i="97"/>
  <c r="O49" i="99"/>
  <c r="M49" i="103" s="1"/>
  <c r="I60" i="97"/>
  <c r="Q49" i="103"/>
  <c r="S49" i="99"/>
  <c r="W49" i="108"/>
  <c r="R71" i="97"/>
  <c r="I71" i="97"/>
  <c r="O60" i="99"/>
  <c r="M60" i="103" s="1"/>
  <c r="S60" i="99"/>
  <c r="W60" i="108"/>
  <c r="Q60" i="103"/>
  <c r="I109" i="97"/>
  <c r="R109" i="97"/>
  <c r="Q98" i="103"/>
  <c r="S98" i="99"/>
  <c r="O98" i="99"/>
  <c r="M98" i="103" s="1"/>
  <c r="W98" i="108"/>
  <c r="S75" i="99"/>
  <c r="Q75" i="103"/>
  <c r="W75" i="108"/>
  <c r="R86" i="97"/>
  <c r="O75" i="99"/>
  <c r="M75" i="103" s="1"/>
  <c r="I86" i="97"/>
  <c r="AJ62" i="103"/>
  <c r="V62" i="103"/>
  <c r="I126" i="97"/>
  <c r="Q115" i="103"/>
  <c r="S115" i="99"/>
  <c r="R126" i="97"/>
  <c r="O115" i="99"/>
  <c r="M115" i="103" s="1"/>
  <c r="W115" i="108"/>
  <c r="AC112" i="108"/>
  <c r="V125" i="103"/>
  <c r="AJ125" i="103"/>
  <c r="AF62" i="108"/>
  <c r="AJ37" i="103"/>
  <c r="V37" i="103"/>
  <c r="AF125" i="108"/>
  <c r="R75" i="97"/>
  <c r="O64" i="99"/>
  <c r="M64" i="103" s="1"/>
  <c r="S64" i="99"/>
  <c r="I75" i="97"/>
  <c r="Q64" i="103"/>
  <c r="W64" i="108"/>
  <c r="AJ63" i="103"/>
  <c r="V63" i="103"/>
  <c r="AF37" i="108"/>
  <c r="Q125" i="103"/>
  <c r="R136" i="97"/>
  <c r="O125" i="99"/>
  <c r="M125" i="103" s="1"/>
  <c r="I136" i="97"/>
  <c r="W125" i="108"/>
  <c r="S125" i="99"/>
  <c r="N111" i="99"/>
  <c r="L111" i="103" s="1"/>
  <c r="V111" i="108"/>
  <c r="P111" i="103"/>
  <c r="R111" i="99"/>
  <c r="V111" i="99" s="1"/>
  <c r="BC7" i="103" s="1"/>
  <c r="Q122" i="97"/>
  <c r="W67" i="108"/>
  <c r="I78" i="97"/>
  <c r="S67" i="99"/>
  <c r="O67" i="99"/>
  <c r="M67" i="103" s="1"/>
  <c r="R78" i="97"/>
  <c r="Q67" i="103"/>
  <c r="AJ73" i="103"/>
  <c r="V73" i="103"/>
  <c r="AC113" i="108"/>
  <c r="AE117" i="108"/>
  <c r="AF38" i="108"/>
  <c r="V126" i="103"/>
  <c r="AJ126" i="103"/>
  <c r="AF73" i="108"/>
  <c r="AC114" i="108"/>
  <c r="AJ48" i="103"/>
  <c r="V48" i="103"/>
  <c r="AJ39" i="103"/>
  <c r="V39" i="103"/>
  <c r="AI117" i="103"/>
  <c r="U117" i="103"/>
  <c r="I73" i="97"/>
  <c r="Q62" i="103"/>
  <c r="R73" i="97"/>
  <c r="O62" i="99"/>
  <c r="M62" i="103" s="1"/>
  <c r="W62" i="108"/>
  <c r="S62" i="99"/>
  <c r="AF126" i="108"/>
  <c r="AH139" i="110"/>
  <c r="AS139" i="110" s="1"/>
  <c r="AJ89" i="101"/>
  <c r="AJ61" i="101"/>
  <c r="BO62" i="103"/>
  <c r="BT62" i="103"/>
  <c r="BO64" i="103"/>
  <c r="BT64" i="103"/>
  <c r="BO59" i="103"/>
  <c r="BT59" i="103"/>
  <c r="BO61" i="103"/>
  <c r="BT61" i="103"/>
  <c r="BO60" i="103"/>
  <c r="BT60" i="103"/>
  <c r="BO56" i="103"/>
  <c r="BT56" i="103"/>
  <c r="BO57" i="103"/>
  <c r="BT57" i="103"/>
  <c r="BO55" i="103"/>
  <c r="BT55" i="103"/>
  <c r="BO63" i="103"/>
  <c r="BT63" i="103"/>
  <c r="BO58" i="103"/>
  <c r="BT58" i="103"/>
  <c r="O36" i="103"/>
  <c r="AG36" i="108"/>
  <c r="O89" i="103"/>
  <c r="AG89" i="108"/>
  <c r="O61" i="103"/>
  <c r="AG61" i="108"/>
  <c r="O116" i="103"/>
  <c r="AG116" i="108"/>
  <c r="BJ78" i="101"/>
  <c r="BJ75" i="101"/>
  <c r="Z15" i="101" s="1"/>
  <c r="BJ77" i="101"/>
  <c r="BJ79" i="101"/>
  <c r="BJ76" i="101"/>
  <c r="AJ85" i="101"/>
  <c r="AF61" i="108"/>
  <c r="N61" i="103"/>
  <c r="BX87" i="101"/>
  <c r="BX88" i="101" s="1"/>
  <c r="AE43" i="108"/>
  <c r="AC36" i="108"/>
  <c r="Z66" i="108"/>
  <c r="AA37" i="108"/>
  <c r="U96" i="103"/>
  <c r="AI96" i="103"/>
  <c r="N52" i="99"/>
  <c r="L52" i="103" s="1"/>
  <c r="T52" i="103" s="1"/>
  <c r="P52" i="103"/>
  <c r="V52" i="108"/>
  <c r="R52" i="99"/>
  <c r="Q63" i="97"/>
  <c r="AB114" i="108"/>
  <c r="Z36" i="108"/>
  <c r="AC89" i="108"/>
  <c r="AE104" i="108"/>
  <c r="AE96" i="108"/>
  <c r="U121" i="103"/>
  <c r="AI121" i="103"/>
  <c r="U99" i="103"/>
  <c r="AI99" i="103"/>
  <c r="V95" i="108"/>
  <c r="N95" i="99"/>
  <c r="L95" i="103" s="1"/>
  <c r="P95" i="103"/>
  <c r="R95" i="99"/>
  <c r="Q106" i="97"/>
  <c r="P124" i="103"/>
  <c r="Q135" i="97"/>
  <c r="N124" i="99"/>
  <c r="L124" i="103" s="1"/>
  <c r="R124" i="99"/>
  <c r="V124" i="108"/>
  <c r="N102" i="99"/>
  <c r="L102" i="103" s="1"/>
  <c r="Q113" i="97"/>
  <c r="R102" i="99"/>
  <c r="P102" i="103"/>
  <c r="V102" i="108"/>
  <c r="AE42" i="108"/>
  <c r="AE47" i="108"/>
  <c r="N97" i="99"/>
  <c r="L97" i="103" s="1"/>
  <c r="Q108" i="97"/>
  <c r="R97" i="99"/>
  <c r="P97" i="103"/>
  <c r="V97" i="108"/>
  <c r="AK60" i="103"/>
  <c r="AC61" i="108"/>
  <c r="AE66" i="108"/>
  <c r="AB37" i="108"/>
  <c r="R66" i="99"/>
  <c r="V66" i="108"/>
  <c r="P66" i="103"/>
  <c r="Q77" i="97"/>
  <c r="N66" i="99"/>
  <c r="L66" i="103" s="1"/>
  <c r="U66" i="103"/>
  <c r="AI66" i="103"/>
  <c r="AE121" i="108"/>
  <c r="AI43" i="103"/>
  <c r="U43" i="103"/>
  <c r="AH85" i="103"/>
  <c r="AE99" i="108"/>
  <c r="N119" i="99"/>
  <c r="L119" i="103" s="1"/>
  <c r="V119" i="108"/>
  <c r="P119" i="103"/>
  <c r="R119" i="99"/>
  <c r="Q130" i="97"/>
  <c r="N88" i="99"/>
  <c r="L88" i="103" s="1"/>
  <c r="V88" i="108"/>
  <c r="P88" i="103"/>
  <c r="R88" i="99"/>
  <c r="Q99" i="97"/>
  <c r="AI51" i="103"/>
  <c r="U51" i="103"/>
  <c r="U95" i="103"/>
  <c r="AI95" i="103"/>
  <c r="U50" i="103"/>
  <c r="AI50" i="103"/>
  <c r="N42" i="99"/>
  <c r="L42" i="103" s="1"/>
  <c r="Q53" i="97"/>
  <c r="V42" i="108"/>
  <c r="R42" i="99"/>
  <c r="P42" i="103"/>
  <c r="Q134" i="97"/>
  <c r="N123" i="99"/>
  <c r="L123" i="103" s="1"/>
  <c r="P123" i="103"/>
  <c r="R123" i="99"/>
  <c r="V123" i="108"/>
  <c r="AE120" i="108"/>
  <c r="AI41" i="103"/>
  <c r="U41" i="103"/>
  <c r="AI97" i="103"/>
  <c r="U97" i="103"/>
  <c r="AK86" i="103"/>
  <c r="AL86" i="103" s="1"/>
  <c r="AJ60" i="103"/>
  <c r="P44" i="103"/>
  <c r="Q55" i="97"/>
  <c r="N44" i="99"/>
  <c r="L44" i="103" s="1"/>
  <c r="R44" i="99"/>
  <c r="V44" i="108"/>
  <c r="AE95" i="108"/>
  <c r="U100" i="103"/>
  <c r="AI100" i="103"/>
  <c r="AE50" i="108"/>
  <c r="V114" i="108"/>
  <c r="P114" i="103"/>
  <c r="Q125" i="97"/>
  <c r="N114" i="99"/>
  <c r="L114" i="103" s="1"/>
  <c r="R114" i="99"/>
  <c r="AQ95" i="99"/>
  <c r="BB95" i="99" s="1"/>
  <c r="AP96" i="99"/>
  <c r="U123" i="103"/>
  <c r="AI123" i="103"/>
  <c r="AI47" i="103"/>
  <c r="U47" i="103"/>
  <c r="U120" i="103"/>
  <c r="AI120" i="103"/>
  <c r="AE41" i="108"/>
  <c r="U127" i="103"/>
  <c r="AI127" i="103"/>
  <c r="AE97" i="108"/>
  <c r="AJ113" i="103"/>
  <c r="AK88" i="103"/>
  <c r="AC116" i="108"/>
  <c r="AA64" i="108"/>
  <c r="AE52" i="108"/>
  <c r="U44" i="103"/>
  <c r="AI44" i="103"/>
  <c r="AH95" i="110"/>
  <c r="AS95" i="110" s="1"/>
  <c r="AG96" i="110"/>
  <c r="V86" i="99"/>
  <c r="AE122" i="108"/>
  <c r="AE124" i="108"/>
  <c r="V100" i="108"/>
  <c r="P100" i="103"/>
  <c r="N100" i="99"/>
  <c r="L100" i="103" s="1"/>
  <c r="Q111" i="97"/>
  <c r="R100" i="99"/>
  <c r="V50" i="108"/>
  <c r="P50" i="103"/>
  <c r="R50" i="99"/>
  <c r="Q61" i="97"/>
  <c r="N50" i="99"/>
  <c r="L50" i="103" s="1"/>
  <c r="AI102" i="103"/>
  <c r="U102" i="103"/>
  <c r="N40" i="99"/>
  <c r="L40" i="103" s="1"/>
  <c r="T40" i="103" s="1"/>
  <c r="V40" i="108"/>
  <c r="R40" i="99"/>
  <c r="P40" i="103"/>
  <c r="Q51" i="97"/>
  <c r="N90" i="99"/>
  <c r="L90" i="103" s="1"/>
  <c r="T90" i="103" s="1"/>
  <c r="P90" i="103"/>
  <c r="V90" i="108"/>
  <c r="R90" i="99"/>
  <c r="Q101" i="97"/>
  <c r="N92" i="99"/>
  <c r="L92" i="103" s="1"/>
  <c r="P92" i="103"/>
  <c r="V92" i="108"/>
  <c r="R92" i="99"/>
  <c r="Q103" i="97"/>
  <c r="AE123" i="108"/>
  <c r="AE127" i="108"/>
  <c r="AJ85" i="103"/>
  <c r="P104" i="103"/>
  <c r="R104" i="99"/>
  <c r="V104" i="108"/>
  <c r="Q115" i="97"/>
  <c r="N104" i="99"/>
  <c r="L104" i="103" s="1"/>
  <c r="N96" i="99"/>
  <c r="L96" i="103" s="1"/>
  <c r="T96" i="103" s="1"/>
  <c r="P96" i="103"/>
  <c r="R96" i="99"/>
  <c r="V96" i="108"/>
  <c r="Q107" i="97"/>
  <c r="CK96" i="101"/>
  <c r="CL95" i="101"/>
  <c r="AI52" i="103"/>
  <c r="U52" i="103"/>
  <c r="AI119" i="103"/>
  <c r="U119" i="103"/>
  <c r="V51" i="108"/>
  <c r="R51" i="99"/>
  <c r="P51" i="103"/>
  <c r="Q62" i="97"/>
  <c r="N51" i="99"/>
  <c r="L51" i="103" s="1"/>
  <c r="U122" i="103"/>
  <c r="AI122" i="103"/>
  <c r="AE102" i="108"/>
  <c r="R41" i="99"/>
  <c r="Q52" i="97"/>
  <c r="N41" i="99"/>
  <c r="L41" i="103" s="1"/>
  <c r="P41" i="103"/>
  <c r="V41" i="108"/>
  <c r="P127" i="103"/>
  <c r="R127" i="99"/>
  <c r="V127" i="108"/>
  <c r="Q138" i="97"/>
  <c r="N127" i="99"/>
  <c r="L127" i="103" s="1"/>
  <c r="AK87" i="103"/>
  <c r="AL87" i="103" s="1"/>
  <c r="CK140" i="101"/>
  <c r="AA115" i="108"/>
  <c r="Z88" i="108"/>
  <c r="AI104" i="103"/>
  <c r="U104" i="103"/>
  <c r="N121" i="99"/>
  <c r="L121" i="103" s="1"/>
  <c r="T121" i="103" s="1"/>
  <c r="Q132" i="97"/>
  <c r="P121" i="103"/>
  <c r="R121" i="99"/>
  <c r="V121" i="108"/>
  <c r="N99" i="99"/>
  <c r="L99" i="103" s="1"/>
  <c r="V99" i="108"/>
  <c r="R99" i="99"/>
  <c r="P99" i="103"/>
  <c r="Q110" i="97"/>
  <c r="AE119" i="108"/>
  <c r="AI88" i="103"/>
  <c r="U88" i="103"/>
  <c r="AE51" i="108"/>
  <c r="N47" i="99"/>
  <c r="L47" i="103" s="1"/>
  <c r="T47" i="103" s="1"/>
  <c r="P47" i="103"/>
  <c r="V47" i="108"/>
  <c r="R47" i="99"/>
  <c r="Q58" i="97"/>
  <c r="AK85" i="103"/>
  <c r="AA91" i="108"/>
  <c r="P43" i="103"/>
  <c r="N43" i="99"/>
  <c r="L43" i="103" s="1"/>
  <c r="R43" i="99"/>
  <c r="V43" i="108"/>
  <c r="Q54" i="97"/>
  <c r="AD85" i="108"/>
  <c r="AE44" i="108"/>
  <c r="AE88" i="108"/>
  <c r="AE100" i="108"/>
  <c r="AI114" i="103"/>
  <c r="U114" i="103"/>
  <c r="AE40" i="108"/>
  <c r="AI90" i="103"/>
  <c r="U90" i="103"/>
  <c r="AI92" i="103"/>
  <c r="U92" i="103"/>
  <c r="R120" i="99"/>
  <c r="P120" i="103"/>
  <c r="V120" i="108"/>
  <c r="Q131" i="97"/>
  <c r="N120" i="99"/>
  <c r="L120" i="103" s="1"/>
  <c r="AA87" i="99"/>
  <c r="Z115" i="108"/>
  <c r="AB91" i="108"/>
  <c r="AB61" i="108"/>
  <c r="BB51" i="103"/>
  <c r="N122" i="99"/>
  <c r="L122" i="103" s="1"/>
  <c r="R122" i="99"/>
  <c r="P122" i="103"/>
  <c r="V122" i="108"/>
  <c r="Q133" i="97"/>
  <c r="U124" i="103"/>
  <c r="AI124" i="103"/>
  <c r="AE114" i="108"/>
  <c r="U40" i="103"/>
  <c r="AI40" i="103"/>
  <c r="AE90" i="108"/>
  <c r="AE92" i="108"/>
  <c r="AI42" i="103"/>
  <c r="U42" i="103"/>
  <c r="R87" i="110"/>
  <c r="R88" i="110" s="1"/>
  <c r="P73" i="97"/>
  <c r="M100" i="97"/>
  <c r="N76" i="97"/>
  <c r="N127" i="97"/>
  <c r="O103" i="97"/>
  <c r="O73" i="97"/>
  <c r="O49" i="97"/>
  <c r="M78" i="97"/>
  <c r="N103" i="97"/>
  <c r="N49" i="97"/>
  <c r="M127" i="97"/>
  <c r="O126" i="97"/>
  <c r="P101" i="97"/>
  <c r="P128" i="97"/>
  <c r="P48" i="97"/>
  <c r="M48" i="97"/>
  <c r="AA64" i="110"/>
  <c r="AA62" i="110"/>
  <c r="AA57" i="110"/>
  <c r="AA61" i="110"/>
  <c r="AA59" i="110"/>
  <c r="AA58" i="110"/>
  <c r="AA56" i="110"/>
  <c r="AA60" i="110"/>
  <c r="AA55" i="110"/>
  <c r="AA63" i="110"/>
  <c r="AO144" i="99"/>
  <c r="CJ143" i="101"/>
  <c r="AF117" i="101"/>
  <c r="AG62" i="101"/>
  <c r="AF51" i="101"/>
  <c r="CE83" i="101"/>
  <c r="Z37" i="99"/>
  <c r="Z62" i="99"/>
  <c r="AP101" i="96"/>
  <c r="AS49" i="96"/>
  <c r="CJ184" i="101"/>
  <c r="AG37" i="101"/>
  <c r="W111" i="103"/>
  <c r="AF95" i="101"/>
  <c r="Q90" i="110"/>
  <c r="AF114" i="101"/>
  <c r="AO76" i="101"/>
  <c r="AO75" i="101"/>
  <c r="AO79" i="101"/>
  <c r="AO78" i="101"/>
  <c r="AO77" i="101"/>
  <c r="CJ185" i="101"/>
  <c r="AJ60" i="99"/>
  <c r="AJ57" i="99"/>
  <c r="AJ55" i="99"/>
  <c r="AJ59" i="99"/>
  <c r="AJ61" i="99"/>
  <c r="AJ58" i="99"/>
  <c r="AJ64" i="99"/>
  <c r="AJ63" i="99"/>
  <c r="AJ62" i="99"/>
  <c r="AJ56" i="99"/>
  <c r="AJ65" i="99"/>
  <c r="AJ70" i="99"/>
  <c r="AJ74" i="99"/>
  <c r="AJ72" i="99"/>
  <c r="AJ71" i="99"/>
  <c r="AJ73" i="99"/>
  <c r="AJ69" i="99"/>
  <c r="AJ67" i="99"/>
  <c r="AJ68" i="99"/>
  <c r="AJ66" i="99"/>
  <c r="AF97" i="101"/>
  <c r="Z84" i="110"/>
  <c r="AQ50" i="96"/>
  <c r="CE80" i="101"/>
  <c r="BT89" i="101"/>
  <c r="BW37" i="101"/>
  <c r="AR104" i="96"/>
  <c r="AF43" i="101"/>
  <c r="AQ71" i="101"/>
  <c r="Z90" i="99"/>
  <c r="V85" i="103"/>
  <c r="W60" i="103"/>
  <c r="CE84" i="101"/>
  <c r="AJ80" i="99"/>
  <c r="N89" i="110"/>
  <c r="AP79" i="96"/>
  <c r="AQ57" i="101"/>
  <c r="BW90" i="101"/>
  <c r="AF96" i="101"/>
  <c r="AJ81" i="99"/>
  <c r="AP128" i="96"/>
  <c r="AJ83" i="99"/>
  <c r="AF44" i="101"/>
  <c r="AR79" i="101"/>
  <c r="AR76" i="101"/>
  <c r="AR78" i="101"/>
  <c r="AR77" i="101"/>
  <c r="AR75" i="101"/>
  <c r="CJ186" i="101"/>
  <c r="AG75" i="101"/>
  <c r="BU92" i="101"/>
  <c r="AS74" i="96"/>
  <c r="AF122" i="101"/>
  <c r="AF52" i="101"/>
  <c r="AQ128" i="96"/>
  <c r="X92" i="99"/>
  <c r="AF124" i="101"/>
  <c r="Y92" i="99"/>
  <c r="AQ68" i="101"/>
  <c r="W88" i="103"/>
  <c r="M39" i="107"/>
  <c r="CJ187" i="101"/>
  <c r="AG60" i="101"/>
  <c r="AF42" i="101"/>
  <c r="N37" i="110"/>
  <c r="X66" i="110"/>
  <c r="X70" i="110"/>
  <c r="X68" i="110"/>
  <c r="X73" i="110"/>
  <c r="X55" i="110"/>
  <c r="X56" i="110"/>
  <c r="X65" i="110"/>
  <c r="X62" i="110"/>
  <c r="X72" i="110"/>
  <c r="X64" i="110"/>
  <c r="X71" i="110"/>
  <c r="X61" i="110"/>
  <c r="X74" i="110"/>
  <c r="X63" i="110"/>
  <c r="X59" i="110"/>
  <c r="X57" i="110"/>
  <c r="X58" i="110"/>
  <c r="X60" i="110"/>
  <c r="X67" i="110"/>
  <c r="X69" i="110"/>
  <c r="AG126" i="101"/>
  <c r="AG64" i="101"/>
  <c r="O92" i="110"/>
  <c r="BT37" i="101"/>
  <c r="AG61" i="99"/>
  <c r="AG64" i="99"/>
  <c r="AG57" i="99"/>
  <c r="AG63" i="99"/>
  <c r="AG58" i="99"/>
  <c r="AG55" i="99"/>
  <c r="AG56" i="99"/>
  <c r="AG59" i="99"/>
  <c r="AG62" i="99"/>
  <c r="AG60" i="99"/>
  <c r="AG73" i="101"/>
  <c r="V113" i="103"/>
  <c r="Y115" i="99"/>
  <c r="P38" i="110"/>
  <c r="AJ84" i="99"/>
  <c r="P92" i="110"/>
  <c r="AQ58" i="101"/>
  <c r="AF92" i="101"/>
  <c r="W37" i="99"/>
  <c r="AS77" i="103"/>
  <c r="F91" i="107"/>
  <c r="K118" i="107"/>
  <c r="AF104" i="101"/>
  <c r="Y38" i="99"/>
  <c r="N67" i="110"/>
  <c r="AQ62" i="101"/>
  <c r="AF99" i="101"/>
  <c r="AS75" i="103"/>
  <c r="J91" i="107"/>
  <c r="G118" i="107"/>
  <c r="CJ144" i="101"/>
  <c r="CC55" i="101"/>
  <c r="CC58" i="101"/>
  <c r="CC62" i="101"/>
  <c r="CC61" i="101"/>
  <c r="CC63" i="101"/>
  <c r="CC57" i="101"/>
  <c r="CC56" i="101"/>
  <c r="CC59" i="101"/>
  <c r="CC60" i="101"/>
  <c r="CC64" i="101"/>
  <c r="AJ75" i="99"/>
  <c r="AJ79" i="99"/>
  <c r="AJ78" i="99"/>
  <c r="AJ76" i="99"/>
  <c r="AJ77" i="99"/>
  <c r="AG48" i="101"/>
  <c r="AG36" i="101"/>
  <c r="BJ59" i="103"/>
  <c r="BJ56" i="103"/>
  <c r="BJ60" i="103"/>
  <c r="BJ58" i="103"/>
  <c r="BJ64" i="103"/>
  <c r="BJ57" i="103"/>
  <c r="BJ62" i="103"/>
  <c r="BJ63" i="103"/>
  <c r="BJ55" i="103"/>
  <c r="BJ61" i="103"/>
  <c r="BV115" i="101"/>
  <c r="AJ82" i="99"/>
  <c r="W85" i="103"/>
  <c r="K40" i="107"/>
  <c r="BV92" i="101"/>
  <c r="AA69" i="110"/>
  <c r="AA66" i="110"/>
  <c r="AA65" i="110"/>
  <c r="AA74" i="110"/>
  <c r="AA72" i="110"/>
  <c r="AA70" i="110"/>
  <c r="AA67" i="110"/>
  <c r="AA68" i="110"/>
  <c r="AA73" i="110"/>
  <c r="AA71" i="110"/>
  <c r="AA78" i="110"/>
  <c r="AA79" i="110"/>
  <c r="AA76" i="110"/>
  <c r="AA77" i="110"/>
  <c r="AA75" i="110"/>
  <c r="AF145" i="110" s="1"/>
  <c r="CF55" i="101"/>
  <c r="CF63" i="101"/>
  <c r="CF58" i="101"/>
  <c r="CF61" i="101"/>
  <c r="CF56" i="101"/>
  <c r="CF62" i="101"/>
  <c r="CF57" i="101"/>
  <c r="CF64" i="101"/>
  <c r="CF60" i="101"/>
  <c r="CF59" i="101"/>
  <c r="AG63" i="101"/>
  <c r="AG116" i="101"/>
  <c r="AF111" i="101"/>
  <c r="AF120" i="101"/>
  <c r="P115" i="110"/>
  <c r="AF102" i="101"/>
  <c r="BV38" i="101"/>
  <c r="AF123" i="101"/>
  <c r="W67" i="99"/>
  <c r="AQ65" i="101"/>
  <c r="X65" i="99"/>
  <c r="AQ77" i="96"/>
  <c r="AS76" i="103"/>
  <c r="G40" i="107"/>
  <c r="Z76" i="110"/>
  <c r="AF66" i="101"/>
  <c r="AA80" i="110"/>
  <c r="BT67" i="101"/>
  <c r="AQ74" i="101"/>
  <c r="BU65" i="101"/>
  <c r="AS79" i="103"/>
  <c r="T48" i="97"/>
  <c r="AI37" i="101" s="1"/>
  <c r="AF184" i="110"/>
  <c r="R33" i="99"/>
  <c r="AQ104" i="96"/>
  <c r="G94" i="107" s="1"/>
  <c r="AF100" i="101"/>
  <c r="AS102" i="96"/>
  <c r="K67" i="107"/>
  <c r="Y62" i="99"/>
  <c r="AF186" i="110"/>
  <c r="AG103" i="101"/>
  <c r="AG68" i="101"/>
  <c r="Z78" i="110"/>
  <c r="U117" i="99"/>
  <c r="V60" i="103"/>
  <c r="CE77" i="101"/>
  <c r="AA84" i="110"/>
  <c r="AF40" i="101"/>
  <c r="BT116" i="101"/>
  <c r="AQ73" i="101"/>
  <c r="AQ61" i="101"/>
  <c r="O65" i="110"/>
  <c r="AR127" i="96"/>
  <c r="AR74" i="96"/>
  <c r="G67" i="107"/>
  <c r="Z79" i="110"/>
  <c r="T128" i="97"/>
  <c r="AI117" i="101" s="1"/>
  <c r="CE79" i="101"/>
  <c r="AA82" i="110"/>
  <c r="W116" i="99"/>
  <c r="AQ59" i="101"/>
  <c r="AQ60" i="101"/>
  <c r="BV62" i="101"/>
  <c r="AP49" i="96"/>
  <c r="I92" i="107"/>
  <c r="AF90" i="101"/>
  <c r="AI79" i="99"/>
  <c r="P62" i="110"/>
  <c r="AF119" i="101"/>
  <c r="M92" i="107"/>
  <c r="AQ69" i="101"/>
  <c r="T73" i="97"/>
  <c r="AI62" i="101" s="1"/>
  <c r="AF187" i="110"/>
  <c r="AG98" i="101"/>
  <c r="AG115" i="101"/>
  <c r="AF50" i="101"/>
  <c r="AF41" i="101"/>
  <c r="BU116" i="101"/>
  <c r="I64" i="107"/>
  <c r="CE76" i="101"/>
  <c r="AQ64" i="101"/>
  <c r="O116" i="110"/>
  <c r="M64" i="107"/>
  <c r="AQ67" i="101"/>
  <c r="H117" i="107"/>
  <c r="AO187" i="99"/>
  <c r="Q44" i="97"/>
  <c r="Z77" i="110"/>
  <c r="Q117" i="99"/>
  <c r="AA83" i="110"/>
  <c r="N116" i="110"/>
  <c r="AQ66" i="101"/>
  <c r="U62" i="99"/>
  <c r="W86" i="103"/>
  <c r="AS78" i="103"/>
  <c r="AO185" i="99"/>
  <c r="AO143" i="99"/>
  <c r="N33" i="99"/>
  <c r="AG38" i="101"/>
  <c r="AG39" i="101"/>
  <c r="AF91" i="101"/>
  <c r="AG67" i="101"/>
  <c r="Z75" i="110"/>
  <c r="Z117" i="99"/>
  <c r="AF47" i="101"/>
  <c r="CE78" i="101"/>
  <c r="AA81" i="110"/>
  <c r="AI77" i="99"/>
  <c r="X116" i="99"/>
  <c r="K94" i="107"/>
  <c r="AO186" i="99"/>
  <c r="AG49" i="101"/>
  <c r="Z80" i="110"/>
  <c r="BW117" i="101"/>
  <c r="CE75" i="101"/>
  <c r="AI78" i="99"/>
  <c r="Q37" i="99"/>
  <c r="AQ63" i="101"/>
  <c r="U90" i="99"/>
  <c r="BU38" i="101"/>
  <c r="Q62" i="99"/>
  <c r="H94" i="107"/>
  <c r="L117" i="107"/>
  <c r="Z83" i="110"/>
  <c r="CE82" i="101"/>
  <c r="Q37" i="110"/>
  <c r="AQ72" i="101"/>
  <c r="T101" i="97"/>
  <c r="AI90" i="101" s="1"/>
  <c r="BW62" i="101"/>
  <c r="Z82" i="110"/>
  <c r="W87" i="103"/>
  <c r="F69" i="107"/>
  <c r="W35" i="103"/>
  <c r="I39" i="107"/>
  <c r="AO184" i="99"/>
  <c r="AG125" i="101"/>
  <c r="Z81" i="110"/>
  <c r="Q117" i="110"/>
  <c r="AR50" i="96"/>
  <c r="CE81" i="101"/>
  <c r="AI76" i="99"/>
  <c r="U37" i="99"/>
  <c r="AQ70" i="101"/>
  <c r="Q90" i="99"/>
  <c r="O38" i="110"/>
  <c r="Q62" i="110"/>
  <c r="L94" i="107"/>
  <c r="AI75" i="99"/>
  <c r="AF88" i="101"/>
  <c r="X38" i="99"/>
  <c r="J69" i="107"/>
  <c r="AF127" i="101"/>
  <c r="W89" i="99"/>
  <c r="AQ55" i="101"/>
  <c r="AS129" i="96"/>
  <c r="AF121" i="101"/>
  <c r="AQ56" i="101"/>
  <c r="F118" i="107"/>
  <c r="J118" i="107"/>
  <c r="AF189" i="110"/>
  <c r="AF144" i="110"/>
  <c r="H64" i="107"/>
  <c r="L64" i="107"/>
  <c r="J39" i="107"/>
  <c r="F39" i="107"/>
  <c r="AF33" i="101"/>
  <c r="H40" i="107"/>
  <c r="L40" i="107"/>
  <c r="M119" i="107"/>
  <c r="I119" i="107"/>
  <c r="AF143" i="110"/>
  <c r="AF188" i="110"/>
  <c r="AP140" i="99" l="1"/>
  <c r="AP50" i="99"/>
  <c r="AP51" i="99" s="1"/>
  <c r="AH121" i="103"/>
  <c r="AI103" i="103"/>
  <c r="CK50" i="101"/>
  <c r="AJ33" i="101"/>
  <c r="AP184" i="99"/>
  <c r="AQ184" i="99" s="1"/>
  <c r="BB184" i="99" s="1"/>
  <c r="L33" i="103"/>
  <c r="AD33" i="108"/>
  <c r="V33" i="99"/>
  <c r="AG184" i="110"/>
  <c r="AH184" i="110" s="1"/>
  <c r="AS184" i="110" s="1"/>
  <c r="AJ111" i="101"/>
  <c r="BK75" i="101"/>
  <c r="AA15" i="101" s="1"/>
  <c r="BK77" i="101"/>
  <c r="BK78" i="101"/>
  <c r="BK76" i="101"/>
  <c r="BK79" i="101"/>
  <c r="BH77" i="101"/>
  <c r="BH78" i="101"/>
  <c r="BH79" i="101"/>
  <c r="BH75" i="101"/>
  <c r="X15" i="101" s="1"/>
  <c r="BH76" i="101"/>
  <c r="CK184" i="101"/>
  <c r="CL184" i="101" s="1"/>
  <c r="R35" i="110"/>
  <c r="AH40" i="103"/>
  <c r="AE125" i="108"/>
  <c r="AI49" i="103"/>
  <c r="U49" i="103"/>
  <c r="R39" i="99"/>
  <c r="N39" i="99"/>
  <c r="L39" i="103" s="1"/>
  <c r="V39" i="108"/>
  <c r="Q50" i="97"/>
  <c r="P39" i="103"/>
  <c r="V62" i="108"/>
  <c r="N62" i="99"/>
  <c r="L62" i="103" s="1"/>
  <c r="R62" i="99"/>
  <c r="P62" i="103"/>
  <c r="Q73" i="97"/>
  <c r="U98" i="103"/>
  <c r="AI98" i="103"/>
  <c r="AE49" i="108"/>
  <c r="T91" i="103"/>
  <c r="AH91" i="103"/>
  <c r="AI39" i="103"/>
  <c r="U39" i="103"/>
  <c r="AE67" i="108"/>
  <c r="AD91" i="108"/>
  <c r="AE39" i="108"/>
  <c r="AE38" i="108"/>
  <c r="AK34" i="103"/>
  <c r="AL34" i="103" s="1"/>
  <c r="AI67" i="103"/>
  <c r="U67" i="103"/>
  <c r="AI115" i="103"/>
  <c r="U115" i="103"/>
  <c r="R68" i="99"/>
  <c r="P68" i="103"/>
  <c r="V68" i="108"/>
  <c r="Q79" i="97"/>
  <c r="N68" i="99"/>
  <c r="L68" i="103" s="1"/>
  <c r="AI38" i="103"/>
  <c r="U38" i="103"/>
  <c r="AH117" i="103"/>
  <c r="T117" i="103"/>
  <c r="AK114" i="103"/>
  <c r="AJ33" i="103"/>
  <c r="AE115" i="108"/>
  <c r="AE98" i="108"/>
  <c r="AI68" i="103"/>
  <c r="U68" i="103"/>
  <c r="AJ111" i="103"/>
  <c r="N67" i="99"/>
  <c r="L67" i="103" s="1"/>
  <c r="T67" i="103" s="1"/>
  <c r="R67" i="99"/>
  <c r="V67" i="108"/>
  <c r="P67" i="103"/>
  <c r="Q78" i="97"/>
  <c r="Q109" i="97"/>
  <c r="N98" i="99"/>
  <c r="L98" i="103" s="1"/>
  <c r="P98" i="103"/>
  <c r="V98" i="108"/>
  <c r="R98" i="99"/>
  <c r="AE68" i="108"/>
  <c r="Q74" i="97"/>
  <c r="N63" i="99"/>
  <c r="L63" i="103" s="1"/>
  <c r="P63" i="103"/>
  <c r="R63" i="99"/>
  <c r="V63" i="108"/>
  <c r="AE103" i="108"/>
  <c r="R38" i="99"/>
  <c r="P38" i="103"/>
  <c r="V38" i="108"/>
  <c r="Q49" i="97"/>
  <c r="N38" i="99"/>
  <c r="L38" i="103" s="1"/>
  <c r="N103" i="99"/>
  <c r="L103" i="103" s="1"/>
  <c r="V103" i="108"/>
  <c r="P103" i="103"/>
  <c r="R103" i="99"/>
  <c r="Q114" i="97"/>
  <c r="V48" i="108"/>
  <c r="R48" i="99"/>
  <c r="P48" i="103"/>
  <c r="Q59" i="97"/>
  <c r="N48" i="99"/>
  <c r="L48" i="103" s="1"/>
  <c r="AK113" i="103"/>
  <c r="AL113" i="103" s="1"/>
  <c r="AK33" i="103"/>
  <c r="AD111" i="108"/>
  <c r="N64" i="99"/>
  <c r="L64" i="103" s="1"/>
  <c r="T64" i="103" s="1"/>
  <c r="Q75" i="97"/>
  <c r="R64" i="99"/>
  <c r="V64" i="108"/>
  <c r="P64" i="103"/>
  <c r="R115" i="99"/>
  <c r="V115" i="108"/>
  <c r="Q126" i="97"/>
  <c r="N115" i="99"/>
  <c r="L115" i="103" s="1"/>
  <c r="P115" i="103"/>
  <c r="U36" i="103"/>
  <c r="AI36" i="103"/>
  <c r="AE116" i="108"/>
  <c r="AE63" i="108"/>
  <c r="U48" i="103"/>
  <c r="AI48" i="103"/>
  <c r="BC51" i="103"/>
  <c r="AE36" i="108"/>
  <c r="AI116" i="103"/>
  <c r="U116" i="103"/>
  <c r="AI63" i="103"/>
  <c r="U63" i="103"/>
  <c r="AE48" i="108"/>
  <c r="AI73" i="103"/>
  <c r="U73" i="103"/>
  <c r="BX34" i="101"/>
  <c r="U64" i="103"/>
  <c r="AI64" i="103"/>
  <c r="U60" i="103"/>
  <c r="AI60" i="103"/>
  <c r="N36" i="99"/>
  <c r="L36" i="103" s="1"/>
  <c r="T36" i="103" s="1"/>
  <c r="V36" i="108"/>
  <c r="R36" i="99"/>
  <c r="P36" i="103"/>
  <c r="Q47" i="97"/>
  <c r="AE73" i="108"/>
  <c r="N126" i="99"/>
  <c r="L126" i="103" s="1"/>
  <c r="R126" i="99"/>
  <c r="P126" i="103"/>
  <c r="V126" i="108"/>
  <c r="Q137" i="97"/>
  <c r="BX112" i="101"/>
  <c r="AA34" i="99"/>
  <c r="AE64" i="108"/>
  <c r="V75" i="108"/>
  <c r="Q86" i="97"/>
  <c r="P75" i="103"/>
  <c r="N75" i="99"/>
  <c r="L75" i="103" s="1"/>
  <c r="R75" i="99"/>
  <c r="N60" i="99"/>
  <c r="L60" i="103" s="1"/>
  <c r="R60" i="99"/>
  <c r="V60" i="99" s="1"/>
  <c r="V60" i="108"/>
  <c r="P60" i="103"/>
  <c r="Q71" i="97"/>
  <c r="R60" i="110"/>
  <c r="BX60" i="101"/>
  <c r="AA60" i="99"/>
  <c r="AE126" i="108"/>
  <c r="N37" i="99"/>
  <c r="L37" i="103" s="1"/>
  <c r="T37" i="103" s="1"/>
  <c r="Q48" i="97"/>
  <c r="P37" i="103"/>
  <c r="R37" i="99"/>
  <c r="V37" i="108"/>
  <c r="V112" i="99"/>
  <c r="T111" i="103"/>
  <c r="AH111" i="103"/>
  <c r="AI75" i="103"/>
  <c r="U75" i="103"/>
  <c r="AE60" i="108"/>
  <c r="AI126" i="103"/>
  <c r="U126" i="103"/>
  <c r="AK112" i="103"/>
  <c r="AL112" i="103" s="1"/>
  <c r="AE75" i="108"/>
  <c r="P116" i="103"/>
  <c r="Q127" i="97"/>
  <c r="N116" i="99"/>
  <c r="L116" i="103" s="1"/>
  <c r="V116" i="108"/>
  <c r="R116" i="99"/>
  <c r="P73" i="103"/>
  <c r="Q84" i="97"/>
  <c r="R73" i="99"/>
  <c r="N73" i="99"/>
  <c r="L73" i="103" s="1"/>
  <c r="V73" i="108"/>
  <c r="AI37" i="103"/>
  <c r="U37" i="103"/>
  <c r="AG50" i="110"/>
  <c r="U62" i="103"/>
  <c r="AI62" i="103"/>
  <c r="V125" i="108"/>
  <c r="N125" i="99"/>
  <c r="L125" i="103" s="1"/>
  <c r="P125" i="103"/>
  <c r="R125" i="99"/>
  <c r="Q136" i="97"/>
  <c r="AE37" i="108"/>
  <c r="AE62" i="108"/>
  <c r="U125" i="103"/>
  <c r="AI125" i="103"/>
  <c r="R49" i="99"/>
  <c r="Q60" i="97"/>
  <c r="N49" i="99"/>
  <c r="L49" i="103" s="1"/>
  <c r="V49" i="108"/>
  <c r="P49" i="103"/>
  <c r="AD117" i="108"/>
  <c r="AG141" i="110"/>
  <c r="AG142" i="110" s="1"/>
  <c r="AG143" i="110" s="1"/>
  <c r="AG144" i="110" s="1"/>
  <c r="AG145" i="110" s="1"/>
  <c r="AH140" i="110"/>
  <c r="AS140" i="110" s="1"/>
  <c r="AJ117" i="101"/>
  <c r="O62" i="103"/>
  <c r="AG62" i="108"/>
  <c r="AG90" i="108"/>
  <c r="O90" i="103"/>
  <c r="BJ67" i="101"/>
  <c r="BJ66" i="101"/>
  <c r="BJ60" i="101"/>
  <c r="BJ61" i="101"/>
  <c r="BJ74" i="101"/>
  <c r="BJ65" i="101"/>
  <c r="Z13" i="101" s="1"/>
  <c r="BJ62" i="101"/>
  <c r="BJ58" i="101"/>
  <c r="BJ56" i="101"/>
  <c r="BJ68" i="101"/>
  <c r="BJ57" i="101"/>
  <c r="BJ71" i="101"/>
  <c r="BJ55" i="101"/>
  <c r="BJ72" i="101"/>
  <c r="BJ70" i="101"/>
  <c r="Z14" i="101" s="1"/>
  <c r="BJ63" i="101"/>
  <c r="BJ69" i="101"/>
  <c r="BJ64" i="101"/>
  <c r="BJ59" i="101"/>
  <c r="BJ73" i="101"/>
  <c r="AJ88" i="101"/>
  <c r="O37" i="103"/>
  <c r="AG37" i="108"/>
  <c r="R89" i="110"/>
  <c r="BX89" i="101"/>
  <c r="AJ90" i="101"/>
  <c r="O117" i="103"/>
  <c r="AG117" i="108"/>
  <c r="R115" i="110"/>
  <c r="AA115" i="99"/>
  <c r="AJ114" i="101"/>
  <c r="AC62" i="108"/>
  <c r="AD121" i="108"/>
  <c r="CL140" i="101"/>
  <c r="CK141" i="101"/>
  <c r="AD96" i="108"/>
  <c r="AH44" i="103"/>
  <c r="T44" i="103"/>
  <c r="AH42" i="103"/>
  <c r="T42" i="103"/>
  <c r="AD119" i="108"/>
  <c r="AQ140" i="99"/>
  <c r="BB140" i="99" s="1"/>
  <c r="AP141" i="99"/>
  <c r="AH97" i="103"/>
  <c r="T97" i="103"/>
  <c r="AA38" i="108"/>
  <c r="AA116" i="108"/>
  <c r="T92" i="103"/>
  <c r="AH92" i="103"/>
  <c r="AD99" i="108"/>
  <c r="Z37" i="108"/>
  <c r="AC90" i="108"/>
  <c r="AB62" i="108"/>
  <c r="AA65" i="108"/>
  <c r="AD92" i="108"/>
  <c r="AH90" i="103"/>
  <c r="BB8" i="103"/>
  <c r="V87" i="99"/>
  <c r="BB9" i="103" s="1"/>
  <c r="AD44" i="108"/>
  <c r="AD52" i="108"/>
  <c r="AD122" i="108"/>
  <c r="AD43" i="108"/>
  <c r="T123" i="103"/>
  <c r="AH123" i="103"/>
  <c r="AD88" i="108"/>
  <c r="AH95" i="103"/>
  <c r="T95" i="103"/>
  <c r="AK36" i="103"/>
  <c r="AH41" i="103"/>
  <c r="T41" i="103"/>
  <c r="AH96" i="110"/>
  <c r="AS96" i="110" s="1"/>
  <c r="AG97" i="110"/>
  <c r="AC37" i="108"/>
  <c r="Z116" i="108"/>
  <c r="Z67" i="108"/>
  <c r="AB92" i="108"/>
  <c r="Z89" i="108"/>
  <c r="T127" i="103"/>
  <c r="AH127" i="103"/>
  <c r="AD41" i="108"/>
  <c r="AH51" i="103"/>
  <c r="T51" i="103"/>
  <c r="AH96" i="103"/>
  <c r="AD40" i="108"/>
  <c r="AD100" i="108"/>
  <c r="AQ96" i="99"/>
  <c r="BB96" i="99" s="1"/>
  <c r="AP97" i="99"/>
  <c r="AD123" i="108"/>
  <c r="AK116" i="103"/>
  <c r="AK61" i="103"/>
  <c r="T119" i="103"/>
  <c r="AH119" i="103"/>
  <c r="T124" i="103"/>
  <c r="AH124" i="103"/>
  <c r="AH52" i="103"/>
  <c r="T99" i="103"/>
  <c r="AH99" i="103"/>
  <c r="AB38" i="108"/>
  <c r="AH66" i="103"/>
  <c r="T66" i="103"/>
  <c r="AD124" i="108"/>
  <c r="AJ61" i="103"/>
  <c r="AD47" i="108"/>
  <c r="AH100" i="103"/>
  <c r="T100" i="103"/>
  <c r="AH50" i="103"/>
  <c r="T50" i="103"/>
  <c r="T122" i="103"/>
  <c r="AH122" i="103"/>
  <c r="AH120" i="103"/>
  <c r="T120" i="103"/>
  <c r="T104" i="103"/>
  <c r="AH104" i="103"/>
  <c r="AD90" i="108"/>
  <c r="AD50" i="108"/>
  <c r="T114" i="103"/>
  <c r="AH114" i="103"/>
  <c r="T88" i="103"/>
  <c r="AH88" i="103"/>
  <c r="AL88" i="103" s="1"/>
  <c r="AL85" i="103"/>
  <c r="AD66" i="108"/>
  <c r="AD102" i="108"/>
  <c r="AK89" i="103"/>
  <c r="AL89" i="103" s="1"/>
  <c r="AD127" i="108"/>
  <c r="AD51" i="108"/>
  <c r="AC117" i="108"/>
  <c r="AH43" i="103"/>
  <c r="T43" i="103"/>
  <c r="AB115" i="108"/>
  <c r="AA92" i="108"/>
  <c r="AD120" i="108"/>
  <c r="AH47" i="103"/>
  <c r="CL96" i="101"/>
  <c r="CK97" i="101"/>
  <c r="AD104" i="108"/>
  <c r="AD114" i="108"/>
  <c r="AD42" i="108"/>
  <c r="AD97" i="108"/>
  <c r="T102" i="103"/>
  <c r="AH102" i="103"/>
  <c r="AD95" i="108"/>
  <c r="AA88" i="99"/>
  <c r="AA89" i="99" s="1"/>
  <c r="N104" i="97"/>
  <c r="O74" i="97"/>
  <c r="N77" i="97"/>
  <c r="M49" i="97"/>
  <c r="O104" i="97"/>
  <c r="M101" i="97"/>
  <c r="O127" i="97"/>
  <c r="P49" i="97"/>
  <c r="M128" i="97"/>
  <c r="M79" i="97"/>
  <c r="P102" i="97"/>
  <c r="O50" i="97"/>
  <c r="N128" i="97"/>
  <c r="P74" i="97"/>
  <c r="P129" i="97"/>
  <c r="N50" i="97"/>
  <c r="AO69" i="101"/>
  <c r="AO70" i="101"/>
  <c r="AO72" i="101"/>
  <c r="AO71" i="101"/>
  <c r="AO67" i="101"/>
  <c r="AO65" i="101"/>
  <c r="AO74" i="101"/>
  <c r="AO73" i="101"/>
  <c r="AO66" i="101"/>
  <c r="AO68" i="101"/>
  <c r="AO64" i="101"/>
  <c r="AO56" i="101"/>
  <c r="AO61" i="101"/>
  <c r="AO59" i="101"/>
  <c r="AO55" i="101"/>
  <c r="AO60" i="101"/>
  <c r="AO57" i="101"/>
  <c r="AO62" i="101"/>
  <c r="AO58" i="101"/>
  <c r="AO63" i="101"/>
  <c r="AF115" i="101"/>
  <c r="CD67" i="101"/>
  <c r="CD65" i="101"/>
  <c r="CD70" i="101"/>
  <c r="CD71" i="101"/>
  <c r="CD69" i="101"/>
  <c r="CD68" i="101"/>
  <c r="CD74" i="101"/>
  <c r="CD73" i="101"/>
  <c r="CD72" i="101"/>
  <c r="CD66" i="101"/>
  <c r="W117" i="99"/>
  <c r="T102" i="97"/>
  <c r="BI70" i="103"/>
  <c r="AS86" i="103"/>
  <c r="AS50" i="96"/>
  <c r="AS56" i="103"/>
  <c r="O66" i="110"/>
  <c r="AQ82" i="101"/>
  <c r="AJ88" i="99"/>
  <c r="AR51" i="96"/>
  <c r="H41" i="107"/>
  <c r="AS85" i="103"/>
  <c r="T129" i="97"/>
  <c r="AO145" i="99"/>
  <c r="AF126" i="101"/>
  <c r="AH74" i="99"/>
  <c r="AH73" i="99"/>
  <c r="AH65" i="99"/>
  <c r="AH70" i="99"/>
  <c r="AH67" i="99"/>
  <c r="AH66" i="99"/>
  <c r="AH69" i="99"/>
  <c r="AH68" i="99"/>
  <c r="AH72" i="99"/>
  <c r="AH71" i="99"/>
  <c r="AT77" i="103"/>
  <c r="AT79" i="103"/>
  <c r="AT75" i="103"/>
  <c r="AT78" i="103"/>
  <c r="AT76" i="103"/>
  <c r="Q91" i="99"/>
  <c r="BI67" i="103"/>
  <c r="AS88" i="103"/>
  <c r="AS103" i="96"/>
  <c r="AS59" i="103"/>
  <c r="X66" i="99"/>
  <c r="AQ81" i="101"/>
  <c r="AJ86" i="99"/>
  <c r="U118" i="99"/>
  <c r="AI118" i="101"/>
  <c r="BV93" i="101"/>
  <c r="V111" i="103"/>
  <c r="AF48" i="101"/>
  <c r="CC70" i="101"/>
  <c r="CC73" i="101"/>
  <c r="CC69" i="101"/>
  <c r="CC65" i="101"/>
  <c r="CC72" i="101"/>
  <c r="CC66" i="101"/>
  <c r="CC71" i="101"/>
  <c r="CC67" i="101"/>
  <c r="CC74" i="101"/>
  <c r="CC68" i="101"/>
  <c r="CF66" i="101"/>
  <c r="CF67" i="101"/>
  <c r="CF69" i="101"/>
  <c r="CF68" i="101"/>
  <c r="CF74" i="101"/>
  <c r="CF70" i="101"/>
  <c r="CF65" i="101"/>
  <c r="CF73" i="101"/>
  <c r="CF72" i="101"/>
  <c r="CF71" i="101"/>
  <c r="W112" i="103"/>
  <c r="U91" i="99"/>
  <c r="BI71" i="103"/>
  <c r="AS89" i="103"/>
  <c r="AQ129" i="96"/>
  <c r="AS55" i="103"/>
  <c r="BU66" i="101"/>
  <c r="AQ89" i="101"/>
  <c r="P93" i="110"/>
  <c r="AJ85" i="99"/>
  <c r="W61" i="103"/>
  <c r="Q118" i="99"/>
  <c r="BT38" i="101"/>
  <c r="CJ145" i="101"/>
  <c r="AG66" i="99"/>
  <c r="AG72" i="99"/>
  <c r="AG74" i="99"/>
  <c r="AG71" i="99"/>
  <c r="AG69" i="99"/>
  <c r="AG67" i="99"/>
  <c r="AG65" i="99"/>
  <c r="AG73" i="99"/>
  <c r="AG68" i="99"/>
  <c r="AG70" i="99"/>
  <c r="Z91" i="99"/>
  <c r="AF68" i="101"/>
  <c r="AF37" i="101"/>
  <c r="BW91" i="101"/>
  <c r="BI74" i="103"/>
  <c r="AS87" i="103"/>
  <c r="AS68" i="103"/>
  <c r="AQ85" i="101"/>
  <c r="Y93" i="99"/>
  <c r="W36" i="103"/>
  <c r="CE87" i="101"/>
  <c r="W38" i="99"/>
  <c r="Z118" i="99"/>
  <c r="AI91" i="101"/>
  <c r="O117" i="110"/>
  <c r="W113" i="103"/>
  <c r="AF116" i="101"/>
  <c r="Q91" i="110"/>
  <c r="BI75" i="103"/>
  <c r="AI80" i="99"/>
  <c r="AS70" i="103"/>
  <c r="AQ87" i="101"/>
  <c r="U38" i="99"/>
  <c r="CE86" i="101"/>
  <c r="N38" i="110"/>
  <c r="Q118" i="110"/>
  <c r="AS84" i="103"/>
  <c r="AO189" i="99"/>
  <c r="AF75" i="101"/>
  <c r="Q63" i="99"/>
  <c r="AA89" i="110"/>
  <c r="BI76" i="103"/>
  <c r="AI81" i="99"/>
  <c r="AS69" i="103"/>
  <c r="AQ86" i="101"/>
  <c r="T49" i="97"/>
  <c r="CE88" i="101"/>
  <c r="N90" i="110"/>
  <c r="BW118" i="101"/>
  <c r="AP129" i="96"/>
  <c r="F119" i="107" s="1"/>
  <c r="AS66" i="103"/>
  <c r="AO188" i="99"/>
  <c r="W33" i="103"/>
  <c r="T74" i="97"/>
  <c r="AI63" i="101" s="1"/>
  <c r="AA87" i="110"/>
  <c r="BI77" i="103"/>
  <c r="AI84" i="99"/>
  <c r="AS65" i="103"/>
  <c r="Q38" i="99"/>
  <c r="CE85" i="101"/>
  <c r="W90" i="99"/>
  <c r="W89" i="103"/>
  <c r="J119" i="107"/>
  <c r="O39" i="110"/>
  <c r="AF39" i="101"/>
  <c r="AF67" i="101"/>
  <c r="AF38" i="101"/>
  <c r="AF125" i="101"/>
  <c r="U63" i="99"/>
  <c r="AA88" i="110"/>
  <c r="BI79" i="103"/>
  <c r="AI83" i="99"/>
  <c r="AS74" i="103"/>
  <c r="BW38" i="101"/>
  <c r="AQ93" i="101"/>
  <c r="BT90" i="101"/>
  <c r="BV63" i="101"/>
  <c r="I40" i="107"/>
  <c r="Z88" i="110"/>
  <c r="AF98" i="101"/>
  <c r="AP80" i="96"/>
  <c r="Q63" i="110"/>
  <c r="AA86" i="110"/>
  <c r="BI78" i="103"/>
  <c r="AI82" i="99"/>
  <c r="AS61" i="103"/>
  <c r="AS67" i="103"/>
  <c r="Z38" i="99"/>
  <c r="AQ91" i="101"/>
  <c r="N68" i="110"/>
  <c r="Y63" i="99"/>
  <c r="M40" i="107"/>
  <c r="O93" i="110"/>
  <c r="BI65" i="103"/>
  <c r="AO190" i="99"/>
  <c r="W115" i="103"/>
  <c r="W114" i="103"/>
  <c r="AF64" i="101"/>
  <c r="AF73" i="101"/>
  <c r="P116" i="110"/>
  <c r="BW63" i="101"/>
  <c r="AA85" i="110"/>
  <c r="V61" i="103"/>
  <c r="AI87" i="99"/>
  <c r="AS64" i="103"/>
  <c r="AS71" i="103"/>
  <c r="Z89" i="110"/>
  <c r="AQ105" i="96"/>
  <c r="Q38" i="110"/>
  <c r="AQ94" i="101"/>
  <c r="W68" i="99"/>
  <c r="P63" i="110"/>
  <c r="I93" i="107"/>
  <c r="AS62" i="103"/>
  <c r="G119" i="107"/>
  <c r="AJ87" i="99"/>
  <c r="CJ53" i="101"/>
  <c r="AQ76" i="103"/>
  <c r="AQ78" i="103"/>
  <c r="AQ75" i="103"/>
  <c r="AQ79" i="103"/>
  <c r="AQ77" i="103"/>
  <c r="AF36" i="101"/>
  <c r="BV116" i="101"/>
  <c r="AR84" i="101"/>
  <c r="Z63" i="99"/>
  <c r="BI72" i="103"/>
  <c r="AS83" i="103"/>
  <c r="AI86" i="99"/>
  <c r="AS60" i="103"/>
  <c r="AS73" i="103"/>
  <c r="Z85" i="110"/>
  <c r="AQ78" i="96"/>
  <c r="BU39" i="101"/>
  <c r="AQ92" i="101"/>
  <c r="BT68" i="101"/>
  <c r="BU117" i="101"/>
  <c r="M93" i="107"/>
  <c r="AI89" i="99"/>
  <c r="AO53" i="99"/>
  <c r="W34" i="103"/>
  <c r="V33" i="103"/>
  <c r="Y116" i="99"/>
  <c r="AR83" i="101"/>
  <c r="BI68" i="103"/>
  <c r="AS82" i="103"/>
  <c r="AI85" i="99"/>
  <c r="AS63" i="103"/>
  <c r="AS72" i="103"/>
  <c r="W116" i="103"/>
  <c r="Z87" i="110"/>
  <c r="AR105" i="96"/>
  <c r="X39" i="99"/>
  <c r="AQ90" i="101"/>
  <c r="P39" i="110"/>
  <c r="X117" i="99"/>
  <c r="K119" i="107"/>
  <c r="AI38" i="101"/>
  <c r="AQ80" i="101"/>
  <c r="Y39" i="99"/>
  <c r="AQ51" i="96"/>
  <c r="AR57" i="101"/>
  <c r="AR62" i="101"/>
  <c r="AR74" i="101"/>
  <c r="AR66" i="101"/>
  <c r="AR70" i="101"/>
  <c r="AR61" i="101"/>
  <c r="AR67" i="101"/>
  <c r="AR56" i="101"/>
  <c r="AR64" i="101"/>
  <c r="AR60" i="101"/>
  <c r="AR59" i="101"/>
  <c r="AR68" i="101"/>
  <c r="AR72" i="101"/>
  <c r="AR71" i="101"/>
  <c r="AR65" i="101"/>
  <c r="AR69" i="101"/>
  <c r="AR55" i="101"/>
  <c r="AR58" i="101"/>
  <c r="AR63" i="101"/>
  <c r="AR73" i="101"/>
  <c r="AF53" i="110"/>
  <c r="AR128" i="96"/>
  <c r="AR80" i="101"/>
  <c r="BI69" i="103"/>
  <c r="CJ188" i="101"/>
  <c r="AF54" i="110"/>
  <c r="AF103" i="101"/>
  <c r="AF60" i="101"/>
  <c r="AF49" i="101"/>
  <c r="BT117" i="101"/>
  <c r="AR82" i="101"/>
  <c r="BI73" i="103"/>
  <c r="AS81" i="103"/>
  <c r="AI88" i="99"/>
  <c r="AS57" i="103"/>
  <c r="BU93" i="101"/>
  <c r="AQ83" i="101"/>
  <c r="Z86" i="110"/>
  <c r="AS75" i="96"/>
  <c r="BV39" i="101"/>
  <c r="J70" i="107"/>
  <c r="G41" i="107"/>
  <c r="CE89" i="101"/>
  <c r="AF190" i="110"/>
  <c r="X75" i="110"/>
  <c r="X76" i="110"/>
  <c r="X77" i="110"/>
  <c r="X79" i="110"/>
  <c r="X78" i="110"/>
  <c r="AF62" i="101"/>
  <c r="AF63" i="101"/>
  <c r="Y67" i="110"/>
  <c r="Y69" i="110"/>
  <c r="Y71" i="110"/>
  <c r="Y70" i="110"/>
  <c r="Y66" i="110"/>
  <c r="Y68" i="110"/>
  <c r="Y74" i="110"/>
  <c r="Y65" i="110"/>
  <c r="Y73" i="110"/>
  <c r="Y72" i="110"/>
  <c r="N117" i="110"/>
  <c r="AR81" i="101"/>
  <c r="AS130" i="96"/>
  <c r="BI66" i="103"/>
  <c r="AS80" i="103"/>
  <c r="AR75" i="96"/>
  <c r="AS58" i="103"/>
  <c r="X93" i="99"/>
  <c r="AQ84" i="101"/>
  <c r="AJ89" i="99"/>
  <c r="AP102" i="96"/>
  <c r="AP50" i="96"/>
  <c r="F70" i="107"/>
  <c r="K41" i="107"/>
  <c r="L41" i="107"/>
  <c r="AQ88" i="101"/>
  <c r="AF146" i="110"/>
  <c r="K95" i="107"/>
  <c r="G95" i="107"/>
  <c r="K68" i="107"/>
  <c r="G68" i="107"/>
  <c r="L95" i="107"/>
  <c r="H95" i="107"/>
  <c r="L118" i="107"/>
  <c r="H118" i="107"/>
  <c r="M65" i="107"/>
  <c r="I65" i="107"/>
  <c r="I120" i="107"/>
  <c r="M120" i="107"/>
  <c r="H65" i="107"/>
  <c r="L65" i="107"/>
  <c r="F92" i="107"/>
  <c r="J92" i="107"/>
  <c r="F40" i="107"/>
  <c r="J40" i="107"/>
  <c r="AL114" i="103" l="1"/>
  <c r="AQ50" i="99"/>
  <c r="BB50" i="99" s="1"/>
  <c r="AH64" i="103"/>
  <c r="AL61" i="103"/>
  <c r="AH36" i="103"/>
  <c r="AL36" i="103" s="1"/>
  <c r="CL50" i="101"/>
  <c r="CK51" i="101"/>
  <c r="AJ62" i="101"/>
  <c r="AJ60" i="101"/>
  <c r="BK73" i="101"/>
  <c r="BK63" i="101"/>
  <c r="BK58" i="101"/>
  <c r="BK55" i="101"/>
  <c r="BK69" i="101"/>
  <c r="BK65" i="101"/>
  <c r="AA13" i="101" s="1"/>
  <c r="BK71" i="101"/>
  <c r="BK72" i="101"/>
  <c r="BK68" i="101"/>
  <c r="BK59" i="101"/>
  <c r="BK60" i="101"/>
  <c r="BK64" i="101"/>
  <c r="BK56" i="101"/>
  <c r="BK67" i="101"/>
  <c r="BK61" i="101"/>
  <c r="BK70" i="101"/>
  <c r="AA14" i="101" s="1"/>
  <c r="BK66" i="101"/>
  <c r="BK74" i="101"/>
  <c r="BK62" i="101"/>
  <c r="BK57" i="101"/>
  <c r="AJ36" i="101"/>
  <c r="AJ116" i="101"/>
  <c r="AJ37" i="101"/>
  <c r="AJ115" i="101"/>
  <c r="BH63" i="101"/>
  <c r="BH58" i="101"/>
  <c r="BH62" i="101"/>
  <c r="BH57" i="101"/>
  <c r="BH60" i="101"/>
  <c r="BH55" i="101"/>
  <c r="BH59" i="101"/>
  <c r="BH61" i="101"/>
  <c r="BH56" i="101"/>
  <c r="BH64" i="101"/>
  <c r="BH68" i="101"/>
  <c r="BH66" i="101"/>
  <c r="BH73" i="101"/>
  <c r="BH74" i="101"/>
  <c r="BH65" i="101"/>
  <c r="X13" i="101" s="1"/>
  <c r="BH67" i="101"/>
  <c r="BH71" i="101"/>
  <c r="BH72" i="101"/>
  <c r="BH70" i="101"/>
  <c r="X14" i="101" s="1"/>
  <c r="BH69" i="101"/>
  <c r="T49" i="103"/>
  <c r="AH49" i="103"/>
  <c r="R61" i="110"/>
  <c r="AD63" i="108"/>
  <c r="AD62" i="108"/>
  <c r="R36" i="110"/>
  <c r="AD49" i="108"/>
  <c r="AD60" i="108"/>
  <c r="AD103" i="108"/>
  <c r="AH126" i="103"/>
  <c r="T126" i="103"/>
  <c r="T73" i="103"/>
  <c r="AH73" i="103"/>
  <c r="T62" i="103"/>
  <c r="AH62" i="103"/>
  <c r="AG185" i="110"/>
  <c r="AL111" i="103"/>
  <c r="BA8" i="103"/>
  <c r="V61" i="99"/>
  <c r="BA9" i="103" s="1"/>
  <c r="AD36" i="108"/>
  <c r="AD73" i="108"/>
  <c r="T60" i="103"/>
  <c r="AH60" i="103"/>
  <c r="AL60" i="103" s="1"/>
  <c r="AD64" i="108"/>
  <c r="T103" i="103"/>
  <c r="AH103" i="103"/>
  <c r="T98" i="103"/>
  <c r="AH98" i="103"/>
  <c r="AZ7" i="103"/>
  <c r="V34" i="99"/>
  <c r="AH38" i="103"/>
  <c r="T38" i="103"/>
  <c r="AD98" i="108"/>
  <c r="AD125" i="108"/>
  <c r="BC8" i="103"/>
  <c r="V113" i="99"/>
  <c r="T75" i="103"/>
  <c r="AH75" i="103"/>
  <c r="AD38" i="108"/>
  <c r="AD67" i="108"/>
  <c r="AD39" i="108"/>
  <c r="CK185" i="101"/>
  <c r="AH67" i="103"/>
  <c r="T116" i="103"/>
  <c r="AH116" i="103"/>
  <c r="AL116" i="103" s="1"/>
  <c r="AD75" i="108"/>
  <c r="T39" i="103"/>
  <c r="AH39" i="103"/>
  <c r="AP185" i="99"/>
  <c r="AH125" i="103"/>
  <c r="T125" i="103"/>
  <c r="AD116" i="108"/>
  <c r="AH37" i="103"/>
  <c r="AH68" i="103"/>
  <c r="T68" i="103"/>
  <c r="AH33" i="103"/>
  <c r="AL33" i="103" s="1"/>
  <c r="AD37" i="108"/>
  <c r="AD68" i="108"/>
  <c r="AG146" i="110"/>
  <c r="AA35" i="99"/>
  <c r="T48" i="103"/>
  <c r="AH48" i="103"/>
  <c r="BX113" i="101"/>
  <c r="BX35" i="101"/>
  <c r="AD48" i="108"/>
  <c r="AA61" i="99"/>
  <c r="AD126" i="108"/>
  <c r="T115" i="103"/>
  <c r="AH115" i="103"/>
  <c r="AL115" i="103" s="1"/>
  <c r="AH50" i="110"/>
  <c r="AS50" i="110" s="1"/>
  <c r="AG51" i="110"/>
  <c r="BX61" i="101"/>
  <c r="AD115" i="108"/>
  <c r="T63" i="103"/>
  <c r="AH63" i="103"/>
  <c r="AH141" i="110"/>
  <c r="AS141" i="110" s="1"/>
  <c r="AJ118" i="101"/>
  <c r="AJ38" i="101"/>
  <c r="AJ63" i="101"/>
  <c r="AJ91" i="101"/>
  <c r="AG118" i="108"/>
  <c r="O118" i="103"/>
  <c r="BX90" i="101"/>
  <c r="AA90" i="99"/>
  <c r="R90" i="110"/>
  <c r="BJ90" i="101"/>
  <c r="Z18" i="101" s="1"/>
  <c r="BJ92" i="101"/>
  <c r="BJ94" i="101"/>
  <c r="BJ91" i="101"/>
  <c r="BJ93" i="101"/>
  <c r="O38" i="103"/>
  <c r="AG38" i="108"/>
  <c r="BJ86" i="101"/>
  <c r="BJ87" i="101"/>
  <c r="BJ85" i="101"/>
  <c r="Z17" i="101" s="1"/>
  <c r="BJ88" i="101"/>
  <c r="BJ89" i="101"/>
  <c r="BJ81" i="101"/>
  <c r="BJ82" i="101"/>
  <c r="BJ84" i="101"/>
  <c r="BJ83" i="101"/>
  <c r="BJ80" i="101"/>
  <c r="Z16" i="101" s="1"/>
  <c r="BP72" i="103"/>
  <c r="BP73" i="103"/>
  <c r="BP67" i="103"/>
  <c r="BP65" i="103"/>
  <c r="BJ5" i="99" s="1"/>
  <c r="BP70" i="103"/>
  <c r="BJ6" i="99" s="1"/>
  <c r="BP55" i="103"/>
  <c r="BU55" i="103"/>
  <c r="BP59" i="103"/>
  <c r="BU59" i="103"/>
  <c r="BP56" i="103"/>
  <c r="BU56" i="103"/>
  <c r="BP58" i="103"/>
  <c r="BU58" i="103"/>
  <c r="BP57" i="103"/>
  <c r="BU57" i="103"/>
  <c r="BP62" i="103"/>
  <c r="BU62" i="103"/>
  <c r="BU63" i="103"/>
  <c r="BP63" i="103"/>
  <c r="BP60" i="103"/>
  <c r="BU60" i="103"/>
  <c r="BP64" i="103"/>
  <c r="BU64" i="103"/>
  <c r="BP61" i="103"/>
  <c r="BU61" i="103"/>
  <c r="BU78" i="103"/>
  <c r="BP78" i="103"/>
  <c r="BP79" i="103"/>
  <c r="BU79" i="103"/>
  <c r="BU77" i="103"/>
  <c r="BP77" i="103"/>
  <c r="BU76" i="103"/>
  <c r="BP76" i="103"/>
  <c r="BP75" i="103"/>
  <c r="BJ7" i="99" s="1"/>
  <c r="BU75" i="103"/>
  <c r="BO7" i="99" s="1"/>
  <c r="BP74" i="103"/>
  <c r="BU74" i="103"/>
  <c r="BU65" i="103"/>
  <c r="BO5" i="99" s="1"/>
  <c r="BP71" i="103"/>
  <c r="BU71" i="103"/>
  <c r="BU67" i="103"/>
  <c r="BU70" i="103"/>
  <c r="BO6" i="99" s="1"/>
  <c r="BP66" i="103"/>
  <c r="BU66" i="103"/>
  <c r="BU73" i="103"/>
  <c r="BP69" i="103"/>
  <c r="BU69" i="103"/>
  <c r="BP68" i="103"/>
  <c r="BU68" i="103"/>
  <c r="BU72" i="103"/>
  <c r="AG63" i="108"/>
  <c r="O63" i="103"/>
  <c r="O91" i="103"/>
  <c r="AG91" i="108"/>
  <c r="BK81" i="101"/>
  <c r="BK82" i="101"/>
  <c r="BK80" i="101"/>
  <c r="AA16" i="101" s="1"/>
  <c r="BK83" i="101"/>
  <c r="BK84" i="101"/>
  <c r="AA116" i="99"/>
  <c r="R116" i="110"/>
  <c r="AA117" i="108"/>
  <c r="AB63" i="108"/>
  <c r="AC118" i="108"/>
  <c r="V88" i="99"/>
  <c r="AK117" i="103"/>
  <c r="AL117" i="103" s="1"/>
  <c r="AH97" i="110"/>
  <c r="AS97" i="110" s="1"/>
  <c r="AG98" i="110"/>
  <c r="CL141" i="101"/>
  <c r="CK142" i="101"/>
  <c r="AB39" i="108"/>
  <c r="Z68" i="108"/>
  <c r="Z90" i="108"/>
  <c r="Z38" i="108"/>
  <c r="AQ97" i="99"/>
  <c r="BB97" i="99" s="1"/>
  <c r="AP98" i="99"/>
  <c r="AA39" i="108"/>
  <c r="AC38" i="108"/>
  <c r="CL97" i="101"/>
  <c r="CK98" i="101"/>
  <c r="AK37" i="103"/>
  <c r="AB93" i="108"/>
  <c r="AA66" i="108"/>
  <c r="AA93" i="108"/>
  <c r="BB53" i="103"/>
  <c r="AH142" i="110"/>
  <c r="AS142" i="110" s="1"/>
  <c r="BB52" i="103"/>
  <c r="AK90" i="103"/>
  <c r="AL90" i="103" s="1"/>
  <c r="AK62" i="103"/>
  <c r="AL62" i="103" s="1"/>
  <c r="AC63" i="108"/>
  <c r="AC91" i="108"/>
  <c r="Z117" i="108"/>
  <c r="AB116" i="108"/>
  <c r="AQ51" i="99"/>
  <c r="BB51" i="99" s="1"/>
  <c r="AP52" i="99"/>
  <c r="AQ141" i="99"/>
  <c r="BB141" i="99" s="1"/>
  <c r="AP142" i="99"/>
  <c r="O75" i="97"/>
  <c r="P50" i="97"/>
  <c r="N51" i="97"/>
  <c r="O128" i="97"/>
  <c r="P103" i="97"/>
  <c r="M102" i="97"/>
  <c r="M80" i="97"/>
  <c r="M50" i="97"/>
  <c r="P130" i="97"/>
  <c r="O51" i="97"/>
  <c r="P75" i="97"/>
  <c r="M129" i="97"/>
  <c r="O105" i="97"/>
  <c r="N78" i="97"/>
  <c r="N105" i="97"/>
  <c r="N129" i="97"/>
  <c r="AT84" i="103"/>
  <c r="AT80" i="103"/>
  <c r="AT83" i="103"/>
  <c r="AT81" i="103"/>
  <c r="AT82" i="103"/>
  <c r="AQ80" i="103"/>
  <c r="AQ84" i="103"/>
  <c r="AQ81" i="103"/>
  <c r="AQ83" i="103"/>
  <c r="AQ82" i="103"/>
  <c r="AF99" i="110"/>
  <c r="AR86" i="101"/>
  <c r="AR89" i="101"/>
  <c r="AR88" i="101"/>
  <c r="AR87" i="101"/>
  <c r="AR85" i="101"/>
  <c r="AR94" i="101"/>
  <c r="AR90" i="101"/>
  <c r="AR92" i="101"/>
  <c r="AR91" i="101"/>
  <c r="AR93" i="101"/>
  <c r="CD77" i="101"/>
  <c r="CD78" i="101"/>
  <c r="CD79" i="101"/>
  <c r="CD75" i="101"/>
  <c r="CD76" i="101"/>
  <c r="AR103" i="101"/>
  <c r="BU118" i="101"/>
  <c r="BV64" i="101"/>
  <c r="Q119" i="110"/>
  <c r="Q92" i="110"/>
  <c r="CE91" i="101"/>
  <c r="AR106" i="96"/>
  <c r="Q39" i="99"/>
  <c r="Q64" i="110"/>
  <c r="AT95" i="103"/>
  <c r="Z92" i="99"/>
  <c r="AP80" i="101"/>
  <c r="AP84" i="101"/>
  <c r="AP81" i="101"/>
  <c r="AP83" i="101"/>
  <c r="AP82" i="101"/>
  <c r="AS104" i="96"/>
  <c r="I94" i="107" s="1"/>
  <c r="AF55" i="110"/>
  <c r="CJ146" i="101"/>
  <c r="BG59" i="103"/>
  <c r="BG55" i="103"/>
  <c r="BG57" i="103"/>
  <c r="BG60" i="103"/>
  <c r="BG61" i="103"/>
  <c r="BG58" i="103"/>
  <c r="BG63" i="103"/>
  <c r="BG64" i="103"/>
  <c r="BG56" i="103"/>
  <c r="BG62" i="103"/>
  <c r="AQ130" i="96"/>
  <c r="AP86" i="101"/>
  <c r="AQ95" i="101"/>
  <c r="BW92" i="101"/>
  <c r="CE92" i="101"/>
  <c r="AP51" i="96"/>
  <c r="Z39" i="99"/>
  <c r="X94" i="99"/>
  <c r="X40" i="99"/>
  <c r="G120" i="107"/>
  <c r="J41" i="107"/>
  <c r="AP78" i="101"/>
  <c r="AP77" i="101"/>
  <c r="AP75" i="101"/>
  <c r="AP79" i="101"/>
  <c r="AP76" i="101"/>
  <c r="AP68" i="101"/>
  <c r="AP65" i="101"/>
  <c r="AP73" i="101"/>
  <c r="AP74" i="101"/>
  <c r="AP72" i="101"/>
  <c r="AP69" i="101"/>
  <c r="AP66" i="101"/>
  <c r="AP71" i="101"/>
  <c r="AP67" i="101"/>
  <c r="AP70" i="101"/>
  <c r="AR96" i="101"/>
  <c r="AR99" i="101"/>
  <c r="AR97" i="101"/>
  <c r="AR95" i="101"/>
  <c r="AR98" i="101"/>
  <c r="AG78" i="99"/>
  <c r="AG79" i="99"/>
  <c r="AG76" i="99"/>
  <c r="AG77" i="99"/>
  <c r="AG75" i="99"/>
  <c r="AO90" i="101"/>
  <c r="AP89" i="101"/>
  <c r="AQ99" i="101"/>
  <c r="BV40" i="101"/>
  <c r="AR76" i="96"/>
  <c r="Q39" i="110"/>
  <c r="O94" i="110"/>
  <c r="AJ93" i="99"/>
  <c r="BU40" i="101"/>
  <c r="L66" i="107"/>
  <c r="AQ106" i="96"/>
  <c r="AF191" i="110"/>
  <c r="AO93" i="101"/>
  <c r="AP85" i="101"/>
  <c r="AQ97" i="101"/>
  <c r="P40" i="110"/>
  <c r="AS131" i="96"/>
  <c r="BW39" i="101"/>
  <c r="AP103" i="96"/>
  <c r="AJ94" i="99"/>
  <c r="AA90" i="110"/>
  <c r="H66" i="107"/>
  <c r="T75" i="97"/>
  <c r="AO54" i="99"/>
  <c r="AO94" i="101"/>
  <c r="AP87" i="101"/>
  <c r="AQ98" i="101"/>
  <c r="Y40" i="99"/>
  <c r="Y117" i="99"/>
  <c r="BT91" i="101"/>
  <c r="AS76" i="96"/>
  <c r="AJ92" i="99"/>
  <c r="AA94" i="110"/>
  <c r="M121" i="107"/>
  <c r="W118" i="99"/>
  <c r="AS94" i="103"/>
  <c r="AO191" i="99"/>
  <c r="AT60" i="103"/>
  <c r="AT56" i="103"/>
  <c r="AT59" i="103"/>
  <c r="AT72" i="103"/>
  <c r="AT55" i="103"/>
  <c r="AT74" i="103"/>
  <c r="AT64" i="103"/>
  <c r="AT68" i="103"/>
  <c r="AT62" i="103"/>
  <c r="AT71" i="103"/>
  <c r="AT57" i="103"/>
  <c r="AT69" i="103"/>
  <c r="AT70" i="103"/>
  <c r="AT66" i="103"/>
  <c r="AT65" i="103"/>
  <c r="AT73" i="103"/>
  <c r="AT63" i="103"/>
  <c r="AT67" i="103"/>
  <c r="AT61" i="103"/>
  <c r="AT58" i="103"/>
  <c r="CF79" i="101"/>
  <c r="CF77" i="101"/>
  <c r="CF75" i="101"/>
  <c r="CF76" i="101"/>
  <c r="CF78" i="101"/>
  <c r="AO92" i="101"/>
  <c r="AP88" i="101"/>
  <c r="AQ96" i="101"/>
  <c r="X67" i="99"/>
  <c r="P117" i="110"/>
  <c r="W91" i="99"/>
  <c r="N39" i="110"/>
  <c r="AJ91" i="99"/>
  <c r="AA91" i="110"/>
  <c r="I121" i="107"/>
  <c r="CJ189" i="101"/>
  <c r="BH79" i="103"/>
  <c r="BH77" i="103"/>
  <c r="BH75" i="103"/>
  <c r="BH78" i="103"/>
  <c r="BH76" i="103"/>
  <c r="BH71" i="103"/>
  <c r="BH68" i="103"/>
  <c r="BH72" i="103"/>
  <c r="BH66" i="103"/>
  <c r="BH73" i="103"/>
  <c r="BH67" i="103"/>
  <c r="BH69" i="103"/>
  <c r="BH65" i="103"/>
  <c r="BH74" i="103"/>
  <c r="BH70" i="103"/>
  <c r="CC77" i="101"/>
  <c r="CC79" i="101"/>
  <c r="CC75" i="101"/>
  <c r="CC76" i="101"/>
  <c r="CC78" i="101"/>
  <c r="AO91" i="101"/>
  <c r="BU67" i="101"/>
  <c r="BV117" i="101"/>
  <c r="N91" i="110"/>
  <c r="W39" i="99"/>
  <c r="AJ90" i="99"/>
  <c r="AA92" i="110"/>
  <c r="AI90" i="99"/>
  <c r="M66" i="107"/>
  <c r="CJ54" i="101"/>
  <c r="Y75" i="110"/>
  <c r="Y77" i="110"/>
  <c r="Y78" i="110"/>
  <c r="Y76" i="110"/>
  <c r="Y79" i="110"/>
  <c r="O67" i="110"/>
  <c r="AR52" i="96"/>
  <c r="L42" i="107" s="1"/>
  <c r="P94" i="110"/>
  <c r="BT69" i="101"/>
  <c r="BT39" i="101"/>
  <c r="W117" i="103"/>
  <c r="AA93" i="110"/>
  <c r="H42" i="107"/>
  <c r="AI64" i="101"/>
  <c r="O40" i="110"/>
  <c r="BJ74" i="103"/>
  <c r="BJ68" i="103"/>
  <c r="BJ66" i="103"/>
  <c r="BJ69" i="103"/>
  <c r="BJ73" i="103"/>
  <c r="BJ70" i="103"/>
  <c r="BJ65" i="103"/>
  <c r="BJ71" i="103"/>
  <c r="BJ72" i="103"/>
  <c r="BJ67" i="103"/>
  <c r="AQ79" i="96"/>
  <c r="Y94" i="99"/>
  <c r="N69" i="110"/>
  <c r="Z94" i="110"/>
  <c r="AS51" i="96"/>
  <c r="W37" i="103"/>
  <c r="K69" i="107"/>
  <c r="J93" i="107"/>
  <c r="Z92" i="110"/>
  <c r="AH78" i="99"/>
  <c r="AH76" i="99"/>
  <c r="AH75" i="99"/>
  <c r="AH79" i="99"/>
  <c r="AH77" i="99"/>
  <c r="AQ52" i="96"/>
  <c r="K42" i="107" s="1"/>
  <c r="BV94" i="101"/>
  <c r="AI93" i="99"/>
  <c r="W69" i="99"/>
  <c r="Z90" i="110"/>
  <c r="AP81" i="96"/>
  <c r="F71" i="107" s="1"/>
  <c r="AS90" i="103"/>
  <c r="G69" i="107"/>
  <c r="F93" i="107"/>
  <c r="AO146" i="99"/>
  <c r="X84" i="110"/>
  <c r="X83" i="110"/>
  <c r="X80" i="110"/>
  <c r="X81" i="110"/>
  <c r="X82" i="110"/>
  <c r="AR83" i="103"/>
  <c r="AO88" i="101"/>
  <c r="AO85" i="101"/>
  <c r="AO86" i="101"/>
  <c r="AO89" i="101"/>
  <c r="AO87" i="101"/>
  <c r="AO82" i="101"/>
  <c r="AO83" i="101"/>
  <c r="AO84" i="101"/>
  <c r="AO80" i="101"/>
  <c r="AO81" i="101"/>
  <c r="AR76" i="103"/>
  <c r="AR77" i="103"/>
  <c r="AR78" i="103"/>
  <c r="AR79" i="103"/>
  <c r="AR75" i="103"/>
  <c r="AR72" i="103"/>
  <c r="AR67" i="103"/>
  <c r="AR68" i="103"/>
  <c r="AR65" i="103"/>
  <c r="AR73" i="103"/>
  <c r="AR74" i="103"/>
  <c r="AR70" i="103"/>
  <c r="AR66" i="103"/>
  <c r="AR69" i="103"/>
  <c r="AR71" i="103"/>
  <c r="AR101" i="101"/>
  <c r="BT118" i="101"/>
  <c r="T130" i="97"/>
  <c r="AI119" i="101" s="1"/>
  <c r="W62" i="103"/>
  <c r="AR82" i="103"/>
  <c r="AI94" i="99"/>
  <c r="Q64" i="99"/>
  <c r="Z91" i="110"/>
  <c r="AT98" i="103"/>
  <c r="AS93" i="103"/>
  <c r="G42" i="107"/>
  <c r="I66" i="107"/>
  <c r="CE94" i="101"/>
  <c r="F41" i="107"/>
  <c r="AT88" i="103"/>
  <c r="AT89" i="103"/>
  <c r="AT86" i="103"/>
  <c r="AT85" i="103"/>
  <c r="AT87" i="103"/>
  <c r="AT90" i="103"/>
  <c r="AT93" i="103"/>
  <c r="AT91" i="103"/>
  <c r="AT92" i="103"/>
  <c r="AT94" i="103"/>
  <c r="AR104" i="101"/>
  <c r="N118" i="110"/>
  <c r="W90" i="103"/>
  <c r="U119" i="99"/>
  <c r="T103" i="97"/>
  <c r="AI92" i="101" s="1"/>
  <c r="AR81" i="103"/>
  <c r="AI92" i="99"/>
  <c r="U64" i="99"/>
  <c r="Z93" i="110"/>
  <c r="AT99" i="103"/>
  <c r="AS91" i="103"/>
  <c r="L96" i="107"/>
  <c r="M41" i="107"/>
  <c r="O118" i="110"/>
  <c r="AR129" i="96"/>
  <c r="BU94" i="101"/>
  <c r="AO99" i="99"/>
  <c r="AQ74" i="103"/>
  <c r="AQ69" i="103"/>
  <c r="AQ65" i="103"/>
  <c r="AQ73" i="103"/>
  <c r="AQ71" i="103"/>
  <c r="AQ67" i="103"/>
  <c r="AQ72" i="103"/>
  <c r="AQ70" i="103"/>
  <c r="AQ66" i="103"/>
  <c r="AQ68" i="103"/>
  <c r="AQ64" i="103"/>
  <c r="AQ56" i="103"/>
  <c r="AQ61" i="103"/>
  <c r="AQ60" i="103"/>
  <c r="AQ57" i="103"/>
  <c r="AQ58" i="103"/>
  <c r="AQ55" i="103"/>
  <c r="AQ59" i="103"/>
  <c r="AQ62" i="103"/>
  <c r="AQ63" i="103"/>
  <c r="AR100" i="101"/>
  <c r="AP130" i="96"/>
  <c r="F120" i="107" s="1"/>
  <c r="Y64" i="99"/>
  <c r="Q119" i="99"/>
  <c r="U92" i="99"/>
  <c r="CE90" i="101"/>
  <c r="AR80" i="103"/>
  <c r="AI91" i="99"/>
  <c r="Z64" i="99"/>
  <c r="AT96" i="103"/>
  <c r="AS92" i="103"/>
  <c r="H96" i="107"/>
  <c r="I41" i="107"/>
  <c r="BW119" i="101"/>
  <c r="U39" i="99"/>
  <c r="CJ99" i="101"/>
  <c r="T33" i="103"/>
  <c r="AR102" i="101"/>
  <c r="X118" i="99"/>
  <c r="P64" i="110"/>
  <c r="Z119" i="99"/>
  <c r="Q92" i="99"/>
  <c r="CE93" i="101"/>
  <c r="AR84" i="103"/>
  <c r="T50" i="97"/>
  <c r="AI39" i="101" s="1"/>
  <c r="BW64" i="101"/>
  <c r="AT97" i="103"/>
  <c r="J120" i="107"/>
  <c r="M94" i="107"/>
  <c r="J71" i="107"/>
  <c r="K120" i="107"/>
  <c r="K96" i="107"/>
  <c r="G96" i="107"/>
  <c r="L119" i="107"/>
  <c r="H119" i="107"/>
  <c r="CL51" i="101" l="1"/>
  <c r="CK52" i="101"/>
  <c r="BN63" i="103"/>
  <c r="BN62" i="103"/>
  <c r="BN59" i="103"/>
  <c r="BN55" i="103"/>
  <c r="BN58" i="103"/>
  <c r="BN57" i="103"/>
  <c r="BN60" i="103"/>
  <c r="BN61" i="103"/>
  <c r="BN56" i="103"/>
  <c r="BN64" i="103"/>
  <c r="BO71" i="103"/>
  <c r="BO69" i="103"/>
  <c r="BO66" i="103"/>
  <c r="BO70" i="103"/>
  <c r="BI6" i="99" s="1"/>
  <c r="BO74" i="103"/>
  <c r="BO73" i="103"/>
  <c r="BO65" i="103"/>
  <c r="BI5" i="99" s="1"/>
  <c r="BO68" i="103"/>
  <c r="BO67" i="103"/>
  <c r="BO72" i="103"/>
  <c r="BO75" i="103"/>
  <c r="BI7" i="99" s="1"/>
  <c r="BO79" i="103"/>
  <c r="BO78" i="103"/>
  <c r="BO77" i="103"/>
  <c r="BO76" i="103"/>
  <c r="BH81" i="101"/>
  <c r="BH80" i="101"/>
  <c r="X16" i="101" s="1"/>
  <c r="BH84" i="101"/>
  <c r="BH83" i="101"/>
  <c r="BH82" i="101"/>
  <c r="BH87" i="101"/>
  <c r="BH89" i="101"/>
  <c r="BH86" i="101"/>
  <c r="BH85" i="101"/>
  <c r="X17" i="101" s="1"/>
  <c r="BH88" i="101"/>
  <c r="BV67" i="103"/>
  <c r="BV72" i="103"/>
  <c r="BV71" i="103"/>
  <c r="BV65" i="103"/>
  <c r="BP5" i="99" s="1"/>
  <c r="BV70" i="103"/>
  <c r="BP6" i="99" s="1"/>
  <c r="BV73" i="103"/>
  <c r="BV69" i="103"/>
  <c r="BV66" i="103"/>
  <c r="BV68" i="103"/>
  <c r="BV74" i="103"/>
  <c r="BT70" i="103"/>
  <c r="BN6" i="99" s="1"/>
  <c r="BT74" i="103"/>
  <c r="BT65" i="103"/>
  <c r="BN5" i="99" s="1"/>
  <c r="BT69" i="103"/>
  <c r="BT67" i="103"/>
  <c r="BT73" i="103"/>
  <c r="BT66" i="103"/>
  <c r="BT72" i="103"/>
  <c r="BT68" i="103"/>
  <c r="BT71" i="103"/>
  <c r="BT76" i="103"/>
  <c r="BT78" i="103"/>
  <c r="BT75" i="103"/>
  <c r="BN7" i="99" s="1"/>
  <c r="BT77" i="103"/>
  <c r="BT79" i="103"/>
  <c r="BQ58" i="103"/>
  <c r="BV58" i="103"/>
  <c r="BQ61" i="103"/>
  <c r="BV61" i="103"/>
  <c r="BQ67" i="103"/>
  <c r="BQ63" i="103"/>
  <c r="BV63" i="103"/>
  <c r="BQ73" i="103"/>
  <c r="BQ65" i="103"/>
  <c r="BK5" i="99" s="1"/>
  <c r="BQ66" i="103"/>
  <c r="BQ70" i="103"/>
  <c r="BK6" i="99" s="1"/>
  <c r="BQ69" i="103"/>
  <c r="BQ57" i="103"/>
  <c r="BV57" i="103"/>
  <c r="BQ71" i="103"/>
  <c r="BQ62" i="103"/>
  <c r="BV62" i="103"/>
  <c r="BQ68" i="103"/>
  <c r="BQ64" i="103"/>
  <c r="BV64" i="103"/>
  <c r="BQ74" i="103"/>
  <c r="BQ55" i="103"/>
  <c r="BV55" i="103"/>
  <c r="BQ72" i="103"/>
  <c r="BQ59" i="103"/>
  <c r="BV59" i="103"/>
  <c r="BQ56" i="103"/>
  <c r="BV56" i="103"/>
  <c r="BQ60" i="103"/>
  <c r="BV60" i="103"/>
  <c r="BK98" i="101"/>
  <c r="BK95" i="101"/>
  <c r="AA19" i="101" s="1"/>
  <c r="BK97" i="101"/>
  <c r="BK99" i="101"/>
  <c r="BK96" i="101"/>
  <c r="BI70" i="101"/>
  <c r="Y14" i="101" s="1"/>
  <c r="BI67" i="101"/>
  <c r="BI71" i="101"/>
  <c r="BI66" i="101"/>
  <c r="BI69" i="101"/>
  <c r="BI72" i="101"/>
  <c r="BI74" i="101"/>
  <c r="BI73" i="101"/>
  <c r="BI65" i="101"/>
  <c r="Y13" i="101" s="1"/>
  <c r="BI68" i="101"/>
  <c r="BI76" i="101"/>
  <c r="BI79" i="101"/>
  <c r="BI75" i="101"/>
  <c r="Y15" i="101" s="1"/>
  <c r="BI77" i="101"/>
  <c r="BI78" i="101"/>
  <c r="BS62" i="103"/>
  <c r="BS56" i="103"/>
  <c r="BS64" i="103"/>
  <c r="BS63" i="103"/>
  <c r="BS58" i="103"/>
  <c r="BS61" i="103"/>
  <c r="BS60" i="103"/>
  <c r="BS57" i="103"/>
  <c r="BS55" i="103"/>
  <c r="BS59" i="103"/>
  <c r="BI82" i="101"/>
  <c r="BI83" i="101"/>
  <c r="BI81" i="101"/>
  <c r="BI84" i="101"/>
  <c r="BI80" i="101"/>
  <c r="Y16" i="101" s="1"/>
  <c r="BK93" i="101"/>
  <c r="BK91" i="101"/>
  <c r="BK92" i="101"/>
  <c r="BK90" i="101"/>
  <c r="AA18" i="101" s="1"/>
  <c r="BK94" i="101"/>
  <c r="BK85" i="101"/>
  <c r="AA17" i="101" s="1"/>
  <c r="BK87" i="101"/>
  <c r="BK88" i="101"/>
  <c r="BK89" i="101"/>
  <c r="BK86" i="101"/>
  <c r="AH51" i="110"/>
  <c r="AS51" i="110" s="1"/>
  <c r="AG52" i="110"/>
  <c r="R37" i="110"/>
  <c r="AA62" i="99"/>
  <c r="BC9" i="103"/>
  <c r="V114" i="99"/>
  <c r="BC52" i="103"/>
  <c r="BA53" i="103"/>
  <c r="R62" i="110"/>
  <c r="BX36" i="101"/>
  <c r="AQ185" i="99"/>
  <c r="BB185" i="99" s="1"/>
  <c r="AP186" i="99"/>
  <c r="BA52" i="103"/>
  <c r="BX114" i="101"/>
  <c r="AH185" i="110"/>
  <c r="AS185" i="110" s="1"/>
  <c r="AG186" i="110"/>
  <c r="V62" i="99"/>
  <c r="AL37" i="103"/>
  <c r="AA36" i="99"/>
  <c r="AZ8" i="103"/>
  <c r="V35" i="99"/>
  <c r="AZ51" i="103"/>
  <c r="BX62" i="101"/>
  <c r="CL185" i="101"/>
  <c r="CK186" i="101"/>
  <c r="AJ64" i="101"/>
  <c r="AJ39" i="101"/>
  <c r="AJ92" i="101"/>
  <c r="AJ119" i="101"/>
  <c r="O64" i="103"/>
  <c r="AG64" i="108"/>
  <c r="R91" i="110"/>
  <c r="AA91" i="99"/>
  <c r="BX91" i="101"/>
  <c r="O39" i="103"/>
  <c r="AG39" i="108"/>
  <c r="R117" i="110"/>
  <c r="AA117" i="99"/>
  <c r="O92" i="103"/>
  <c r="AG92" i="108"/>
  <c r="BJ96" i="101"/>
  <c r="BJ98" i="101"/>
  <c r="BJ97" i="101"/>
  <c r="BJ99" i="101"/>
  <c r="BJ95" i="101"/>
  <c r="Z19" i="101" s="1"/>
  <c r="O119" i="103"/>
  <c r="AG119" i="108"/>
  <c r="BI88" i="101"/>
  <c r="BI87" i="101"/>
  <c r="BI85" i="101"/>
  <c r="Y17" i="101" s="1"/>
  <c r="BI89" i="101"/>
  <c r="BI86" i="101"/>
  <c r="BH91" i="101"/>
  <c r="BH92" i="101"/>
  <c r="BH94" i="101"/>
  <c r="BH93" i="101"/>
  <c r="BH90" i="101"/>
  <c r="X18" i="101" s="1"/>
  <c r="BK103" i="101"/>
  <c r="BK102" i="101"/>
  <c r="BK100" i="101"/>
  <c r="AA20" i="101" s="1"/>
  <c r="BK104" i="101"/>
  <c r="BK101" i="101"/>
  <c r="AA40" i="108"/>
  <c r="AH143" i="110"/>
  <c r="AS143" i="110" s="1"/>
  <c r="CL98" i="101"/>
  <c r="CK99" i="101"/>
  <c r="Z39" i="108"/>
  <c r="AQ142" i="99"/>
  <c r="BB142" i="99" s="1"/>
  <c r="AP143" i="99"/>
  <c r="AA94" i="108"/>
  <c r="AC64" i="108"/>
  <c r="Z69" i="108"/>
  <c r="Z91" i="108"/>
  <c r="AC39" i="108"/>
  <c r="BB10" i="103"/>
  <c r="V89" i="99"/>
  <c r="AB94" i="108"/>
  <c r="AB117" i="108"/>
  <c r="AQ52" i="99"/>
  <c r="BB52" i="99" s="1"/>
  <c r="AP53" i="99"/>
  <c r="AQ98" i="99"/>
  <c r="BB98" i="99" s="1"/>
  <c r="AP99" i="99"/>
  <c r="AA67" i="108"/>
  <c r="AB40" i="108"/>
  <c r="AC92" i="108"/>
  <c r="CL142" i="101"/>
  <c r="CK143" i="101"/>
  <c r="AK91" i="103"/>
  <c r="AL91" i="103" s="1"/>
  <c r="AK38" i="103"/>
  <c r="AL38" i="103" s="1"/>
  <c r="AC119" i="108"/>
  <c r="AH98" i="110"/>
  <c r="AS98" i="110" s="1"/>
  <c r="AG99" i="110"/>
  <c r="AB64" i="108"/>
  <c r="AA118" i="108"/>
  <c r="AK63" i="103"/>
  <c r="AL63" i="103" s="1"/>
  <c r="Z118" i="108"/>
  <c r="AK118" i="103"/>
  <c r="AL118" i="103" s="1"/>
  <c r="M81" i="97"/>
  <c r="M103" i="97"/>
  <c r="P51" i="97"/>
  <c r="P76" i="97"/>
  <c r="O52" i="97"/>
  <c r="P104" i="97"/>
  <c r="N106" i="97"/>
  <c r="N130" i="97"/>
  <c r="P131" i="97"/>
  <c r="O129" i="97"/>
  <c r="O76" i="97"/>
  <c r="N79" i="97"/>
  <c r="O106" i="97"/>
  <c r="M130" i="97"/>
  <c r="M51" i="97"/>
  <c r="N52" i="97"/>
  <c r="CD81" i="101"/>
  <c r="CD80" i="101"/>
  <c r="CD83" i="101"/>
  <c r="CD82" i="101"/>
  <c r="CD84" i="101"/>
  <c r="T76" i="97"/>
  <c r="Z98" i="110"/>
  <c r="AI97" i="99"/>
  <c r="AR130" i="96"/>
  <c r="AS97" i="103"/>
  <c r="AT103" i="103"/>
  <c r="BU41" i="101"/>
  <c r="AQ131" i="96"/>
  <c r="BI80" i="103"/>
  <c r="T131" i="97"/>
  <c r="AI99" i="99"/>
  <c r="L120" i="107"/>
  <c r="AA96" i="110"/>
  <c r="Y83" i="110"/>
  <c r="Y84" i="110"/>
  <c r="Y82" i="110"/>
  <c r="Y81" i="110"/>
  <c r="Y80" i="110"/>
  <c r="Q65" i="99"/>
  <c r="AO96" i="101"/>
  <c r="AI120" i="101"/>
  <c r="AO98" i="101"/>
  <c r="CC83" i="101"/>
  <c r="CC81" i="101"/>
  <c r="CC84" i="101"/>
  <c r="CC82" i="101"/>
  <c r="CC80" i="101"/>
  <c r="Q65" i="110"/>
  <c r="Z97" i="110"/>
  <c r="AI95" i="99"/>
  <c r="CE98" i="101"/>
  <c r="AP52" i="96"/>
  <c r="N92" i="110"/>
  <c r="AT101" i="103"/>
  <c r="AS132" i="96"/>
  <c r="BI81" i="103"/>
  <c r="Z120" i="99"/>
  <c r="AP131" i="96"/>
  <c r="H120" i="107"/>
  <c r="M122" i="107"/>
  <c r="AT104" i="103"/>
  <c r="U93" i="99"/>
  <c r="Z65" i="99"/>
  <c r="O95" i="110"/>
  <c r="AI98" i="99"/>
  <c r="CE97" i="101"/>
  <c r="BT92" i="101"/>
  <c r="AT102" i="103"/>
  <c r="AO97" i="101"/>
  <c r="BI84" i="103"/>
  <c r="BW120" i="101"/>
  <c r="Y95" i="99"/>
  <c r="I122" i="107"/>
  <c r="BW65" i="101"/>
  <c r="W92" i="99"/>
  <c r="P95" i="110"/>
  <c r="X119" i="99"/>
  <c r="CE99" i="101"/>
  <c r="N40" i="110"/>
  <c r="BU95" i="101"/>
  <c r="CE96" i="101"/>
  <c r="BU119" i="101"/>
  <c r="T104" i="97"/>
  <c r="AO95" i="101"/>
  <c r="AQ94" i="103"/>
  <c r="AP92" i="101"/>
  <c r="Q40" i="99"/>
  <c r="BV95" i="101"/>
  <c r="J42" i="107"/>
  <c r="CF84" i="101"/>
  <c r="CF80" i="101"/>
  <c r="CF82" i="101"/>
  <c r="CF81" i="101"/>
  <c r="CF83" i="101"/>
  <c r="W40" i="99"/>
  <c r="AR106" i="101"/>
  <c r="CE95" i="101"/>
  <c r="O119" i="110"/>
  <c r="Q93" i="99"/>
  <c r="W118" i="103"/>
  <c r="AO99" i="101"/>
  <c r="AQ92" i="103"/>
  <c r="AP91" i="101"/>
  <c r="T51" i="97"/>
  <c r="AI40" i="101" s="1"/>
  <c r="F42" i="107"/>
  <c r="BT40" i="101"/>
  <c r="AQ53" i="96"/>
  <c r="AF100" i="110"/>
  <c r="AS52" i="96"/>
  <c r="AR105" i="101"/>
  <c r="AA95" i="110"/>
  <c r="AJ98" i="99"/>
  <c r="P65" i="110"/>
  <c r="Z93" i="99"/>
  <c r="AS105" i="96"/>
  <c r="Y118" i="99"/>
  <c r="AQ90" i="103"/>
  <c r="AP90" i="101"/>
  <c r="Z40" i="99"/>
  <c r="AI65" i="101"/>
  <c r="G43" i="107"/>
  <c r="F121" i="107"/>
  <c r="AR107" i="101"/>
  <c r="N70" i="110"/>
  <c r="Y65" i="99"/>
  <c r="AR89" i="103"/>
  <c r="W63" i="103"/>
  <c r="M42" i="107"/>
  <c r="CJ55" i="101"/>
  <c r="AO55" i="99"/>
  <c r="AQ101" i="101"/>
  <c r="AR108" i="101"/>
  <c r="AA99" i="110"/>
  <c r="AJ97" i="99"/>
  <c r="BV65" i="101"/>
  <c r="BW93" i="101"/>
  <c r="W38" i="103"/>
  <c r="P118" i="110"/>
  <c r="AQ93" i="103"/>
  <c r="BW40" i="101"/>
  <c r="I42" i="107"/>
  <c r="K43" i="107"/>
  <c r="J121" i="107"/>
  <c r="AQ89" i="103"/>
  <c r="AQ86" i="103"/>
  <c r="AQ87" i="103"/>
  <c r="AQ88" i="103"/>
  <c r="AQ85" i="103"/>
  <c r="AJ99" i="99"/>
  <c r="BV118" i="101"/>
  <c r="W119" i="99"/>
  <c r="CJ190" i="101"/>
  <c r="AQ104" i="101"/>
  <c r="AA98" i="110"/>
  <c r="Q93" i="110"/>
  <c r="I95" i="107"/>
  <c r="AP93" i="101"/>
  <c r="X88" i="110"/>
  <c r="X87" i="110"/>
  <c r="X86" i="110"/>
  <c r="X85" i="110"/>
  <c r="X89" i="110"/>
  <c r="AG82" i="99"/>
  <c r="AG84" i="99"/>
  <c r="AG81" i="99"/>
  <c r="AG80" i="99"/>
  <c r="AG83" i="99"/>
  <c r="AQ102" i="101"/>
  <c r="BT70" i="101"/>
  <c r="AA97" i="110"/>
  <c r="AJ96" i="99"/>
  <c r="BU68" i="101"/>
  <c r="AR88" i="103"/>
  <c r="Y41" i="99"/>
  <c r="N119" i="110"/>
  <c r="M95" i="107"/>
  <c r="AS95" i="103"/>
  <c r="BI83" i="103"/>
  <c r="BI82" i="103"/>
  <c r="AQ91" i="103"/>
  <c r="AH83" i="99"/>
  <c r="AH84" i="99"/>
  <c r="AH82" i="99"/>
  <c r="AH81" i="99"/>
  <c r="AH80" i="99"/>
  <c r="BG69" i="103"/>
  <c r="BG71" i="103"/>
  <c r="BG74" i="103"/>
  <c r="BG65" i="103"/>
  <c r="BG70" i="103"/>
  <c r="BG73" i="103"/>
  <c r="BG67" i="103"/>
  <c r="BG68" i="103"/>
  <c r="BG66" i="103"/>
  <c r="BG72" i="103"/>
  <c r="AQ103" i="101"/>
  <c r="W70" i="99"/>
  <c r="W91" i="103"/>
  <c r="AJ95" i="99"/>
  <c r="O68" i="110"/>
  <c r="AR87" i="103"/>
  <c r="BV41" i="101"/>
  <c r="BT119" i="101"/>
  <c r="Z96" i="110"/>
  <c r="AT100" i="103"/>
  <c r="AP94" i="101"/>
  <c r="AO100" i="99"/>
  <c r="BJ75" i="103"/>
  <c r="BJ76" i="103"/>
  <c r="BJ78" i="103"/>
  <c r="BJ79" i="103"/>
  <c r="BJ77" i="103"/>
  <c r="AQ100" i="101"/>
  <c r="AP82" i="96"/>
  <c r="AS99" i="103"/>
  <c r="X68" i="99"/>
  <c r="AR85" i="103"/>
  <c r="P41" i="110"/>
  <c r="K121" i="107"/>
  <c r="AR107" i="96"/>
  <c r="H97" i="107" s="1"/>
  <c r="X95" i="99"/>
  <c r="U40" i="99"/>
  <c r="AI93" i="101"/>
  <c r="CJ100" i="101"/>
  <c r="AQ80" i="96"/>
  <c r="Z99" i="110"/>
  <c r="AS77" i="96"/>
  <c r="I67" i="107" s="1"/>
  <c r="AS98" i="103"/>
  <c r="O41" i="110"/>
  <c r="AR86" i="103"/>
  <c r="Q120" i="99"/>
  <c r="AR53" i="96"/>
  <c r="M67" i="107"/>
  <c r="AR77" i="96"/>
  <c r="AI96" i="99"/>
  <c r="L97" i="107"/>
  <c r="AR109" i="101"/>
  <c r="U65" i="99"/>
  <c r="Z95" i="110"/>
  <c r="AQ107" i="96"/>
  <c r="K97" i="107" s="1"/>
  <c r="AS96" i="103"/>
  <c r="X41" i="99"/>
  <c r="AP104" i="96"/>
  <c r="U120" i="99"/>
  <c r="G97" i="107"/>
  <c r="G121" i="107"/>
  <c r="Q120" i="110"/>
  <c r="Q40" i="110"/>
  <c r="AF147" i="110"/>
  <c r="J72" i="107"/>
  <c r="F72" i="107"/>
  <c r="K70" i="107"/>
  <c r="G70" i="107"/>
  <c r="L43" i="107"/>
  <c r="H43" i="107"/>
  <c r="L67" i="107"/>
  <c r="H67" i="107"/>
  <c r="J94" i="107"/>
  <c r="F94" i="107"/>
  <c r="CK53" i="101" l="1"/>
  <c r="CL52" i="101"/>
  <c r="AG147" i="110"/>
  <c r="BV77" i="103"/>
  <c r="BQ77" i="103"/>
  <c r="BV79" i="103"/>
  <c r="BQ79" i="103"/>
  <c r="BV78" i="103"/>
  <c r="BQ78" i="103"/>
  <c r="BV76" i="103"/>
  <c r="BQ76" i="103"/>
  <c r="BV75" i="103"/>
  <c r="BP7" i="99" s="1"/>
  <c r="BQ75" i="103"/>
  <c r="BK7" i="99" s="1"/>
  <c r="BS72" i="103"/>
  <c r="BN72" i="103"/>
  <c r="BS66" i="103"/>
  <c r="BN66" i="103"/>
  <c r="BS68" i="103"/>
  <c r="BN68" i="103"/>
  <c r="BS67" i="103"/>
  <c r="BN67" i="103"/>
  <c r="BS73" i="103"/>
  <c r="BN73" i="103"/>
  <c r="BS70" i="103"/>
  <c r="BM6" i="99" s="1"/>
  <c r="BN70" i="103"/>
  <c r="BH6" i="99" s="1"/>
  <c r="BS65" i="103"/>
  <c r="BM5" i="99" s="1"/>
  <c r="BN65" i="103"/>
  <c r="BH5" i="99" s="1"/>
  <c r="BS74" i="103"/>
  <c r="BN74" i="103"/>
  <c r="BS71" i="103"/>
  <c r="BN71" i="103"/>
  <c r="BS69" i="103"/>
  <c r="BN69" i="103"/>
  <c r="V115" i="99"/>
  <c r="BC10" i="103"/>
  <c r="AZ9" i="103"/>
  <c r="V36" i="99"/>
  <c r="BC53" i="103"/>
  <c r="AZ52" i="103"/>
  <c r="AA63" i="99"/>
  <c r="AQ186" i="99"/>
  <c r="BB186" i="99" s="1"/>
  <c r="AP187" i="99"/>
  <c r="AA37" i="99"/>
  <c r="R38" i="110"/>
  <c r="AH52" i="110"/>
  <c r="AS52" i="110" s="1"/>
  <c r="AG53" i="110"/>
  <c r="BA10" i="103"/>
  <c r="V63" i="99"/>
  <c r="AH186" i="110"/>
  <c r="AS186" i="110" s="1"/>
  <c r="AG187" i="110"/>
  <c r="BX115" i="101"/>
  <c r="CL186" i="101"/>
  <c r="CK187" i="101"/>
  <c r="BX37" i="101"/>
  <c r="R63" i="110"/>
  <c r="BX63" i="101"/>
  <c r="AJ40" i="101"/>
  <c r="AJ120" i="101"/>
  <c r="AJ93" i="101"/>
  <c r="AJ65" i="101"/>
  <c r="AG40" i="108"/>
  <c r="O40" i="103"/>
  <c r="BI90" i="101"/>
  <c r="Y18" i="101" s="1"/>
  <c r="BI93" i="101"/>
  <c r="BI91" i="101"/>
  <c r="BI92" i="101"/>
  <c r="BI94" i="101"/>
  <c r="AG120" i="108"/>
  <c r="O120" i="103"/>
  <c r="BP82" i="103"/>
  <c r="BU82" i="103"/>
  <c r="BP84" i="103"/>
  <c r="BU84" i="103"/>
  <c r="BU81" i="103"/>
  <c r="BP81" i="103"/>
  <c r="BP83" i="103"/>
  <c r="BU83" i="103"/>
  <c r="BP80" i="103"/>
  <c r="BJ8" i="99" s="1"/>
  <c r="BU80" i="103"/>
  <c r="BO8" i="99" s="1"/>
  <c r="R118" i="110"/>
  <c r="AA118" i="99"/>
  <c r="BH98" i="101"/>
  <c r="BH99" i="101"/>
  <c r="BH95" i="101"/>
  <c r="X19" i="101" s="1"/>
  <c r="BH96" i="101"/>
  <c r="BH97" i="101"/>
  <c r="O93" i="103"/>
  <c r="AG93" i="108"/>
  <c r="AA92" i="99"/>
  <c r="BX92" i="101"/>
  <c r="R92" i="110"/>
  <c r="BK107" i="101"/>
  <c r="BK108" i="101"/>
  <c r="BK105" i="101"/>
  <c r="AA21" i="101" s="1"/>
  <c r="BK109" i="101"/>
  <c r="BK106" i="101"/>
  <c r="BJ100" i="101"/>
  <c r="Z20" i="101" s="1"/>
  <c r="BJ103" i="101"/>
  <c r="BJ102" i="101"/>
  <c r="BJ104" i="101"/>
  <c r="BJ101" i="101"/>
  <c r="O65" i="103"/>
  <c r="AG65" i="108"/>
  <c r="AB95" i="108"/>
  <c r="Z119" i="108"/>
  <c r="AC40" i="108"/>
  <c r="AQ53" i="99"/>
  <c r="BB53" i="99" s="1"/>
  <c r="AP54" i="99"/>
  <c r="AC120" i="108"/>
  <c r="AB41" i="108"/>
  <c r="BB54" i="103"/>
  <c r="AK119" i="103"/>
  <c r="AL119" i="103" s="1"/>
  <c r="AB118" i="108"/>
  <c r="AH144" i="110"/>
  <c r="AS144" i="110" s="1"/>
  <c r="BB11" i="103"/>
  <c r="V90" i="99"/>
  <c r="AK92" i="103"/>
  <c r="AL92" i="103" s="1"/>
  <c r="AK39" i="103"/>
  <c r="AL39" i="103" s="1"/>
  <c r="AQ99" i="99"/>
  <c r="BB99" i="99" s="1"/>
  <c r="AP100" i="99"/>
  <c r="AA41" i="108"/>
  <c r="AA68" i="108"/>
  <c r="AC93" i="108"/>
  <c r="AQ143" i="99"/>
  <c r="BB143" i="99" s="1"/>
  <c r="AP144" i="99"/>
  <c r="AB65" i="108"/>
  <c r="AA119" i="108"/>
  <c r="Z92" i="108"/>
  <c r="AK64" i="103"/>
  <c r="AL64" i="103" s="1"/>
  <c r="Z70" i="108"/>
  <c r="AA95" i="108"/>
  <c r="AH99" i="110"/>
  <c r="AS99" i="110" s="1"/>
  <c r="AG100" i="110"/>
  <c r="CL99" i="101"/>
  <c r="CK100" i="101"/>
  <c r="CL143" i="101"/>
  <c r="CK144" i="101"/>
  <c r="Z40" i="108"/>
  <c r="AC65" i="108"/>
  <c r="P105" i="97"/>
  <c r="P52" i="97"/>
  <c r="M131" i="97"/>
  <c r="P132" i="97"/>
  <c r="O53" i="97"/>
  <c r="O77" i="97"/>
  <c r="N131" i="97"/>
  <c r="M104" i="97"/>
  <c r="N80" i="97"/>
  <c r="O107" i="97"/>
  <c r="N107" i="97"/>
  <c r="P77" i="97"/>
  <c r="M82" i="97"/>
  <c r="N53" i="97"/>
  <c r="M52" i="97"/>
  <c r="O130" i="97"/>
  <c r="AF192" i="110"/>
  <c r="BI88" i="103"/>
  <c r="AT109" i="103"/>
  <c r="CE101" i="101"/>
  <c r="BW66" i="101"/>
  <c r="Q121" i="110"/>
  <c r="BV42" i="101"/>
  <c r="BV96" i="101"/>
  <c r="AP132" i="96"/>
  <c r="F122" i="107"/>
  <c r="AO147" i="99"/>
  <c r="AF56" i="110"/>
  <c r="BI85" i="103"/>
  <c r="AT105" i="103"/>
  <c r="CE100" i="101"/>
  <c r="Q66" i="110"/>
  <c r="BW121" i="101"/>
  <c r="Y42" i="99"/>
  <c r="N71" i="110"/>
  <c r="O120" i="110"/>
  <c r="AR108" i="96"/>
  <c r="J122" i="107"/>
  <c r="AG85" i="99"/>
  <c r="AG89" i="99"/>
  <c r="AG88" i="99"/>
  <c r="AG86" i="99"/>
  <c r="AG87" i="99"/>
  <c r="AR90" i="103"/>
  <c r="AS133" i="96"/>
  <c r="AI101" i="99"/>
  <c r="CE102" i="101"/>
  <c r="Z66" i="99"/>
  <c r="O96" i="110"/>
  <c r="P42" i="110"/>
  <c r="W71" i="99"/>
  <c r="X120" i="99"/>
  <c r="AR114" i="101"/>
  <c r="M123" i="107"/>
  <c r="L98" i="107"/>
  <c r="X93" i="110"/>
  <c r="X94" i="110"/>
  <c r="X90" i="110"/>
  <c r="X92" i="110"/>
  <c r="X91" i="110"/>
  <c r="AR93" i="103"/>
  <c r="AP96" i="101"/>
  <c r="AI104" i="99"/>
  <c r="CE103" i="101"/>
  <c r="W41" i="99"/>
  <c r="X96" i="99"/>
  <c r="U41" i="99"/>
  <c r="BT71" i="101"/>
  <c r="BU120" i="101"/>
  <c r="BV119" i="101"/>
  <c r="AR110" i="101"/>
  <c r="I123" i="107"/>
  <c r="H98" i="107"/>
  <c r="AR92" i="103"/>
  <c r="AP95" i="101"/>
  <c r="AI103" i="99"/>
  <c r="CE104" i="101"/>
  <c r="BT41" i="101"/>
  <c r="BU96" i="101"/>
  <c r="Q41" i="99"/>
  <c r="AS53" i="96"/>
  <c r="AR78" i="96"/>
  <c r="BU42" i="101"/>
  <c r="P119" i="110"/>
  <c r="AR112" i="101"/>
  <c r="AR91" i="103"/>
  <c r="AP97" i="101"/>
  <c r="AI100" i="99"/>
  <c r="AQ96" i="103"/>
  <c r="N41" i="110"/>
  <c r="T52" i="97"/>
  <c r="AP105" i="96"/>
  <c r="AP83" i="96"/>
  <c r="X42" i="99"/>
  <c r="Y119" i="99"/>
  <c r="AR113" i="101"/>
  <c r="BH82" i="103"/>
  <c r="BH81" i="103"/>
  <c r="BH83" i="103"/>
  <c r="BH80" i="103"/>
  <c r="BH84" i="103"/>
  <c r="AR94" i="103"/>
  <c r="AP99" i="101"/>
  <c r="AI102" i="99"/>
  <c r="AQ97" i="103"/>
  <c r="U94" i="99"/>
  <c r="Z41" i="99"/>
  <c r="AS78" i="96"/>
  <c r="AR131" i="96"/>
  <c r="O42" i="110"/>
  <c r="AR111" i="101"/>
  <c r="L68" i="107"/>
  <c r="AS106" i="96"/>
  <c r="AP98" i="101"/>
  <c r="AQ95" i="103"/>
  <c r="T105" i="97"/>
  <c r="BW41" i="101"/>
  <c r="AP53" i="96"/>
  <c r="AJ104" i="99"/>
  <c r="AA103" i="110"/>
  <c r="H68" i="107"/>
  <c r="CJ147" i="101"/>
  <c r="AO101" i="101"/>
  <c r="AQ106" i="101"/>
  <c r="AQ99" i="103"/>
  <c r="Q94" i="99"/>
  <c r="Q41" i="110"/>
  <c r="BT120" i="101"/>
  <c r="AJ101" i="99"/>
  <c r="AA104" i="110"/>
  <c r="J73" i="107"/>
  <c r="AO104" i="101"/>
  <c r="AQ109" i="101"/>
  <c r="AQ98" i="103"/>
  <c r="BW94" i="101"/>
  <c r="W64" i="103"/>
  <c r="N120" i="110"/>
  <c r="AJ102" i="99"/>
  <c r="AA102" i="110"/>
  <c r="AI94" i="101"/>
  <c r="F73" i="107"/>
  <c r="BJ82" i="103"/>
  <c r="BJ80" i="103"/>
  <c r="BJ83" i="103"/>
  <c r="BJ81" i="103"/>
  <c r="BJ84" i="103"/>
  <c r="CF86" i="101"/>
  <c r="CF88" i="101"/>
  <c r="CF87" i="101"/>
  <c r="CF85" i="101"/>
  <c r="CF89" i="101"/>
  <c r="AO100" i="101"/>
  <c r="AQ107" i="101"/>
  <c r="BT93" i="101"/>
  <c r="Z94" i="99"/>
  <c r="AS103" i="103"/>
  <c r="Z103" i="110"/>
  <c r="W120" i="99"/>
  <c r="AJ100" i="99"/>
  <c r="AA101" i="110"/>
  <c r="H121" i="107"/>
  <c r="BG79" i="103"/>
  <c r="BG76" i="103"/>
  <c r="BG77" i="103"/>
  <c r="BG75" i="103"/>
  <c r="BG78" i="103"/>
  <c r="AO102" i="101"/>
  <c r="AQ108" i="101"/>
  <c r="N93" i="110"/>
  <c r="Q94" i="110"/>
  <c r="AS102" i="103"/>
  <c r="Z101" i="110"/>
  <c r="Y66" i="99"/>
  <c r="AJ103" i="99"/>
  <c r="AA100" i="110"/>
  <c r="L121" i="107"/>
  <c r="AO192" i="99"/>
  <c r="AO103" i="101"/>
  <c r="AQ105" i="101"/>
  <c r="W119" i="103"/>
  <c r="W93" i="99"/>
  <c r="U121" i="99"/>
  <c r="AS101" i="103"/>
  <c r="Z100" i="110"/>
  <c r="P66" i="110"/>
  <c r="AQ132" i="96"/>
  <c r="W92" i="103"/>
  <c r="G122" i="107"/>
  <c r="CC89" i="101"/>
  <c r="CC88" i="101"/>
  <c r="CC87" i="101"/>
  <c r="CC86" i="101"/>
  <c r="CC85" i="101"/>
  <c r="BI86" i="103"/>
  <c r="AT106" i="103"/>
  <c r="W39" i="103"/>
  <c r="U66" i="99"/>
  <c r="Q121" i="99"/>
  <c r="AS100" i="103"/>
  <c r="Z102" i="110"/>
  <c r="BV66" i="101"/>
  <c r="AQ54" i="96"/>
  <c r="X69" i="99"/>
  <c r="AI41" i="101"/>
  <c r="K122" i="107"/>
  <c r="Y88" i="110"/>
  <c r="Y89" i="110"/>
  <c r="Y87" i="110"/>
  <c r="Y85" i="110"/>
  <c r="Y86" i="110"/>
  <c r="BI87" i="103"/>
  <c r="AT108" i="103"/>
  <c r="AR54" i="96"/>
  <c r="T77" i="97"/>
  <c r="AI66" i="101" s="1"/>
  <c r="T132" i="97"/>
  <c r="AI121" i="101" s="1"/>
  <c r="AS104" i="103"/>
  <c r="Z104" i="110"/>
  <c r="P96" i="110"/>
  <c r="O69" i="110"/>
  <c r="M43" i="107"/>
  <c r="K44" i="107"/>
  <c r="AH89" i="99"/>
  <c r="AH87" i="99"/>
  <c r="AH86" i="99"/>
  <c r="AH88" i="99"/>
  <c r="AH85" i="99"/>
  <c r="CD87" i="101"/>
  <c r="CD86" i="101"/>
  <c r="CD85" i="101"/>
  <c r="CD89" i="101"/>
  <c r="CD88" i="101"/>
  <c r="BI89" i="103"/>
  <c r="AT107" i="103"/>
  <c r="AQ81" i="96"/>
  <c r="Q66" i="99"/>
  <c r="Z121" i="99"/>
  <c r="AQ108" i="96"/>
  <c r="Y96" i="99"/>
  <c r="BU69" i="101"/>
  <c r="I43" i="107"/>
  <c r="G44" i="107"/>
  <c r="J95" i="107"/>
  <c r="F95" i="107"/>
  <c r="I68" i="107"/>
  <c r="M68" i="107"/>
  <c r="M96" i="107"/>
  <c r="I96" i="107"/>
  <c r="F43" i="107"/>
  <c r="J43" i="107"/>
  <c r="L44" i="107"/>
  <c r="H44" i="107"/>
  <c r="K71" i="107"/>
  <c r="G71" i="107"/>
  <c r="K98" i="107"/>
  <c r="G98" i="107"/>
  <c r="CL53" i="101" l="1"/>
  <c r="CK54" i="101"/>
  <c r="BS78" i="103"/>
  <c r="BN78" i="103"/>
  <c r="BS75" i="103"/>
  <c r="BM7" i="99" s="1"/>
  <c r="BN75" i="103"/>
  <c r="BH7" i="99" s="1"/>
  <c r="BS77" i="103"/>
  <c r="BN77" i="103"/>
  <c r="BS76" i="103"/>
  <c r="BN76" i="103"/>
  <c r="BS79" i="103"/>
  <c r="BN79" i="103"/>
  <c r="BV84" i="103"/>
  <c r="BQ84" i="103"/>
  <c r="BQ81" i="103"/>
  <c r="BV81" i="103"/>
  <c r="BV83" i="103"/>
  <c r="BQ83" i="103"/>
  <c r="BV80" i="103"/>
  <c r="BP8" i="99" s="1"/>
  <c r="BQ80" i="103"/>
  <c r="BK8" i="99" s="1"/>
  <c r="BQ82" i="103"/>
  <c r="BV82" i="103"/>
  <c r="BT84" i="103"/>
  <c r="BO84" i="103"/>
  <c r="BO80" i="103"/>
  <c r="BI8" i="99" s="1"/>
  <c r="BT80" i="103"/>
  <c r="BN8" i="99" s="1"/>
  <c r="BO83" i="103"/>
  <c r="BT83" i="103"/>
  <c r="BO81" i="103"/>
  <c r="BT81" i="103"/>
  <c r="BO82" i="103"/>
  <c r="BT82" i="103"/>
  <c r="BX64" i="101"/>
  <c r="AA64" i="99"/>
  <c r="R64" i="110"/>
  <c r="BX38" i="101"/>
  <c r="CL187" i="101"/>
  <c r="CK188" i="101"/>
  <c r="AZ10" i="103"/>
  <c r="V37" i="99"/>
  <c r="AZ53" i="103"/>
  <c r="BX116" i="101"/>
  <c r="BC54" i="103"/>
  <c r="AH187" i="110"/>
  <c r="AS187" i="110" s="1"/>
  <c r="AG188" i="110"/>
  <c r="BC11" i="103"/>
  <c r="V116" i="99"/>
  <c r="BA11" i="103"/>
  <c r="V64" i="99"/>
  <c r="BA54" i="103"/>
  <c r="AH53" i="110"/>
  <c r="AS53" i="110" s="1"/>
  <c r="AG54" i="110"/>
  <c r="R39" i="110"/>
  <c r="AA38" i="99"/>
  <c r="AQ187" i="99"/>
  <c r="BB187" i="99" s="1"/>
  <c r="AP188" i="99"/>
  <c r="AJ41" i="101"/>
  <c r="AJ121" i="101"/>
  <c r="AJ94" i="101"/>
  <c r="AJ66" i="101"/>
  <c r="BK111" i="101"/>
  <c r="BK113" i="101"/>
  <c r="BK112" i="101"/>
  <c r="BK110" i="101"/>
  <c r="AA22" i="101" s="1"/>
  <c r="BK114" i="101"/>
  <c r="AA119" i="99"/>
  <c r="R119" i="110"/>
  <c r="AG41" i="108"/>
  <c r="O41" i="103"/>
  <c r="AG121" i="108"/>
  <c r="O121" i="103"/>
  <c r="O94" i="103"/>
  <c r="AG94" i="108"/>
  <c r="O66" i="103"/>
  <c r="AG66" i="108"/>
  <c r="AA93" i="99"/>
  <c r="R93" i="110"/>
  <c r="BX93" i="101"/>
  <c r="BI98" i="101"/>
  <c r="BI99" i="101"/>
  <c r="BI97" i="101"/>
  <c r="BI95" i="101"/>
  <c r="Y19" i="101" s="1"/>
  <c r="BI96" i="101"/>
  <c r="BJ105" i="101"/>
  <c r="Z21" i="101" s="1"/>
  <c r="BJ108" i="101"/>
  <c r="BJ107" i="101"/>
  <c r="BJ109" i="101"/>
  <c r="BJ106" i="101"/>
  <c r="BU85" i="103"/>
  <c r="BO9" i="99" s="1"/>
  <c r="BP85" i="103"/>
  <c r="BJ9" i="99" s="1"/>
  <c r="BP88" i="103"/>
  <c r="BU88" i="103"/>
  <c r="BP89" i="103"/>
  <c r="BU89" i="103"/>
  <c r="BP87" i="103"/>
  <c r="BU87" i="103"/>
  <c r="BP86" i="103"/>
  <c r="BU86" i="103"/>
  <c r="BH103" i="101"/>
  <c r="BH102" i="101"/>
  <c r="BH100" i="101"/>
  <c r="X20" i="101" s="1"/>
  <c r="BH104" i="101"/>
  <c r="BH101" i="101"/>
  <c r="AA69" i="108"/>
  <c r="BB12" i="103"/>
  <c r="V91" i="99"/>
  <c r="AB119" i="108"/>
  <c r="AQ100" i="99"/>
  <c r="BB100" i="99" s="1"/>
  <c r="AH145" i="110"/>
  <c r="AS145" i="110" s="1"/>
  <c r="AA42" i="108"/>
  <c r="AA120" i="108"/>
  <c r="AK40" i="103"/>
  <c r="AL40" i="103" s="1"/>
  <c r="Z71" i="108"/>
  <c r="AB96" i="108"/>
  <c r="AB66" i="108"/>
  <c r="Z120" i="108"/>
  <c r="CL144" i="101"/>
  <c r="CK145" i="101"/>
  <c r="AC41" i="108"/>
  <c r="AB42" i="108"/>
  <c r="AH100" i="110"/>
  <c r="AS100" i="110" s="1"/>
  <c r="AA96" i="108"/>
  <c r="AC121" i="108"/>
  <c r="AC94" i="108"/>
  <c r="Z41" i="108"/>
  <c r="AC66" i="108"/>
  <c r="Z93" i="108"/>
  <c r="AQ144" i="99"/>
  <c r="BB144" i="99" s="1"/>
  <c r="AP145" i="99"/>
  <c r="AQ54" i="99"/>
  <c r="BB54" i="99" s="1"/>
  <c r="AP55" i="99"/>
  <c r="CL100" i="101"/>
  <c r="AK120" i="103"/>
  <c r="AL120" i="103" s="1"/>
  <c r="AK65" i="103"/>
  <c r="AL65" i="103" s="1"/>
  <c r="BB55" i="103"/>
  <c r="AK93" i="103"/>
  <c r="AL93" i="103" s="1"/>
  <c r="O78" i="97"/>
  <c r="M132" i="97"/>
  <c r="O108" i="97"/>
  <c r="M105" i="97"/>
  <c r="P53" i="97"/>
  <c r="O131" i="97"/>
  <c r="N81" i="97"/>
  <c r="O54" i="97"/>
  <c r="M53" i="97"/>
  <c r="N108" i="97"/>
  <c r="N132" i="97"/>
  <c r="P133" i="97"/>
  <c r="P106" i="97"/>
  <c r="M83" i="97"/>
  <c r="P78" i="97"/>
  <c r="N54" i="97"/>
  <c r="CJ101" i="101"/>
  <c r="CE105" i="101"/>
  <c r="W72" i="99"/>
  <c r="AQ114" i="101"/>
  <c r="AP102" i="101"/>
  <c r="AR79" i="96"/>
  <c r="AT112" i="103"/>
  <c r="AR109" i="96"/>
  <c r="AR98" i="103"/>
  <c r="AO101" i="99"/>
  <c r="AI105" i="99"/>
  <c r="AF101" i="110"/>
  <c r="BJ87" i="103"/>
  <c r="BJ85" i="103"/>
  <c r="BJ89" i="103"/>
  <c r="BJ86" i="103"/>
  <c r="BJ88" i="103"/>
  <c r="AO105" i="101"/>
  <c r="AS106" i="103"/>
  <c r="AR55" i="96"/>
  <c r="N94" i="110"/>
  <c r="AQ111" i="101"/>
  <c r="AS134" i="96"/>
  <c r="X97" i="99"/>
  <c r="W93" i="103"/>
  <c r="AR97" i="103"/>
  <c r="M124" i="107"/>
  <c r="CJ56" i="101"/>
  <c r="AO56" i="99"/>
  <c r="AO106" i="101"/>
  <c r="AS108" i="103"/>
  <c r="AQ133" i="96"/>
  <c r="W94" i="99"/>
  <c r="P67" i="110"/>
  <c r="AS79" i="96"/>
  <c r="Q42" i="99"/>
  <c r="BH89" i="103"/>
  <c r="BH86" i="103"/>
  <c r="BH87" i="103"/>
  <c r="BH88" i="103"/>
  <c r="BH85" i="103"/>
  <c r="AO109" i="101"/>
  <c r="AS107" i="103"/>
  <c r="BT121" i="101"/>
  <c r="W65" i="103"/>
  <c r="BT94" i="101"/>
  <c r="BV67" i="101"/>
  <c r="Z106" i="110"/>
  <c r="T53" i="97"/>
  <c r="AR95" i="103"/>
  <c r="L99" i="107"/>
  <c r="M69" i="107"/>
  <c r="AP54" i="96"/>
  <c r="AQ55" i="96"/>
  <c r="Z122" i="99"/>
  <c r="Q95" i="99"/>
  <c r="AI109" i="99"/>
  <c r="W40" i="103"/>
  <c r="AP106" i="96"/>
  <c r="CD90" i="101"/>
  <c r="CD92" i="101"/>
  <c r="CD94" i="101"/>
  <c r="CD91" i="101"/>
  <c r="CD93" i="101"/>
  <c r="AO108" i="101"/>
  <c r="AS105" i="103"/>
  <c r="N121" i="110"/>
  <c r="P97" i="110"/>
  <c r="U67" i="99"/>
  <c r="Y67" i="99"/>
  <c r="Z108" i="110"/>
  <c r="U42" i="99"/>
  <c r="AQ100" i="103"/>
  <c r="H99" i="107"/>
  <c r="I69" i="107"/>
  <c r="Q122" i="110"/>
  <c r="K123" i="107"/>
  <c r="O121" i="110"/>
  <c r="G45" i="107"/>
  <c r="Z95" i="99"/>
  <c r="N72" i="110"/>
  <c r="AR96" i="103"/>
  <c r="O97" i="110"/>
  <c r="AH90" i="99"/>
  <c r="AH94" i="99"/>
  <c r="AH92" i="99"/>
  <c r="AH93" i="99"/>
  <c r="AH91" i="99"/>
  <c r="AO107" i="101"/>
  <c r="AS109" i="103"/>
  <c r="W121" i="99"/>
  <c r="BV97" i="101"/>
  <c r="T78" i="97"/>
  <c r="U122" i="99"/>
  <c r="AJ106" i="99"/>
  <c r="Z105" i="110"/>
  <c r="Q42" i="110"/>
  <c r="AQ104" i="103"/>
  <c r="L45" i="107"/>
  <c r="O43" i="110"/>
  <c r="AJ109" i="99"/>
  <c r="BI90" i="103"/>
  <c r="AQ102" i="103"/>
  <c r="P120" i="110"/>
  <c r="X70" i="99"/>
  <c r="H69" i="107"/>
  <c r="Y93" i="110"/>
  <c r="Y92" i="110"/>
  <c r="Y91" i="110"/>
  <c r="Y94" i="110"/>
  <c r="Y90" i="110"/>
  <c r="AS54" i="96"/>
  <c r="BU43" i="101"/>
  <c r="Y97" i="99"/>
  <c r="Q67" i="99"/>
  <c r="Q122" i="99"/>
  <c r="AJ108" i="99"/>
  <c r="AP133" i="96"/>
  <c r="F123" i="107" s="1"/>
  <c r="Z109" i="110"/>
  <c r="Z42" i="99"/>
  <c r="AQ103" i="103"/>
  <c r="H45" i="107"/>
  <c r="J123" i="107"/>
  <c r="P43" i="110"/>
  <c r="U95" i="99"/>
  <c r="AS107" i="96"/>
  <c r="I44" i="107"/>
  <c r="AQ110" i="101"/>
  <c r="J44" i="107"/>
  <c r="AQ112" i="101"/>
  <c r="CC94" i="101"/>
  <c r="CC93" i="101"/>
  <c r="CC90" i="101"/>
  <c r="CC92" i="101"/>
  <c r="CC91" i="101"/>
  <c r="AQ82" i="96"/>
  <c r="G72" i="107" s="1"/>
  <c r="X43" i="99"/>
  <c r="BV43" i="101"/>
  <c r="Z67" i="99"/>
  <c r="T133" i="97"/>
  <c r="AI122" i="101" s="1"/>
  <c r="AJ107" i="99"/>
  <c r="AR132" i="96"/>
  <c r="L122" i="107" s="1"/>
  <c r="BI92" i="103"/>
  <c r="BW42" i="101"/>
  <c r="AQ101" i="103"/>
  <c r="G123" i="107"/>
  <c r="H122" i="107"/>
  <c r="AA106" i="110"/>
  <c r="BI93" i="103"/>
  <c r="AA105" i="110"/>
  <c r="AI106" i="99"/>
  <c r="X96" i="110"/>
  <c r="X99" i="110"/>
  <c r="X95" i="110"/>
  <c r="X97" i="110"/>
  <c r="X98" i="110"/>
  <c r="BW67" i="101"/>
  <c r="AT111" i="103"/>
  <c r="J96" i="107"/>
  <c r="AG94" i="99"/>
  <c r="AG91" i="99"/>
  <c r="AG93" i="99"/>
  <c r="AG92" i="99"/>
  <c r="AG90" i="99"/>
  <c r="AQ109" i="96"/>
  <c r="AR115" i="101"/>
  <c r="Y43" i="99"/>
  <c r="Q67" i="110"/>
  <c r="BW122" i="101"/>
  <c r="AJ105" i="99"/>
  <c r="AA109" i="110"/>
  <c r="O70" i="110"/>
  <c r="BI94" i="103"/>
  <c r="T106" i="97"/>
  <c r="AI95" i="101" s="1"/>
  <c r="M44" i="107"/>
  <c r="K45" i="107"/>
  <c r="BG84" i="103"/>
  <c r="BG82" i="103"/>
  <c r="BG81" i="103"/>
  <c r="BG80" i="103"/>
  <c r="BG83" i="103"/>
  <c r="AR117" i="101"/>
  <c r="AA108" i="110"/>
  <c r="BT42" i="101"/>
  <c r="W42" i="99"/>
  <c r="F96" i="107"/>
  <c r="G99" i="107"/>
  <c r="AR99" i="103"/>
  <c r="CE109" i="101"/>
  <c r="AR118" i="101"/>
  <c r="BU121" i="101"/>
  <c r="Y120" i="99"/>
  <c r="AP101" i="101"/>
  <c r="AA107" i="110"/>
  <c r="BU70" i="101"/>
  <c r="BI91" i="103"/>
  <c r="Q95" i="110"/>
  <c r="K72" i="107"/>
  <c r="AI67" i="101"/>
  <c r="AI42" i="101"/>
  <c r="CE107" i="101"/>
  <c r="AR116" i="101"/>
  <c r="X121" i="99"/>
  <c r="BV120" i="101"/>
  <c r="AP104" i="101"/>
  <c r="AT113" i="103"/>
  <c r="AI108" i="99"/>
  <c r="BU97" i="101"/>
  <c r="AP84" i="96"/>
  <c r="Z107" i="110"/>
  <c r="CJ191" i="101"/>
  <c r="CF94" i="101"/>
  <c r="CF92" i="101"/>
  <c r="CF91" i="101"/>
  <c r="CF90" i="101"/>
  <c r="CF93" i="101"/>
  <c r="CE106" i="101"/>
  <c r="AR119" i="101"/>
  <c r="BT72" i="101"/>
  <c r="AQ113" i="101"/>
  <c r="AP100" i="101"/>
  <c r="AI107" i="99"/>
  <c r="N42" i="110"/>
  <c r="AT110" i="103"/>
  <c r="BW95" i="101"/>
  <c r="F44" i="107"/>
  <c r="L69" i="107"/>
  <c r="CE108" i="101"/>
  <c r="AP103" i="101"/>
  <c r="K99" i="107"/>
  <c r="W120" i="103"/>
  <c r="AT114" i="103"/>
  <c r="I124" i="107"/>
  <c r="AF148" i="110"/>
  <c r="I97" i="107"/>
  <c r="M97" i="107"/>
  <c r="F74" i="107"/>
  <c r="J74" i="107"/>
  <c r="CL54" i="101" l="1"/>
  <c r="CK55" i="101"/>
  <c r="CL55" i="101" s="1"/>
  <c r="AG148" i="110"/>
  <c r="BN83" i="103"/>
  <c r="BS83" i="103"/>
  <c r="BS80" i="103"/>
  <c r="BM8" i="99" s="1"/>
  <c r="BN80" i="103"/>
  <c r="BH8" i="99" s="1"/>
  <c r="BN81" i="103"/>
  <c r="BS81" i="103"/>
  <c r="BN82" i="103"/>
  <c r="BS82" i="103"/>
  <c r="BN84" i="103"/>
  <c r="BS84" i="103"/>
  <c r="BO85" i="103"/>
  <c r="BI9" i="99" s="1"/>
  <c r="BT85" i="103"/>
  <c r="BN9" i="99" s="1"/>
  <c r="BT88" i="103"/>
  <c r="BO88" i="103"/>
  <c r="BT87" i="103"/>
  <c r="BO87" i="103"/>
  <c r="BT86" i="103"/>
  <c r="BO86" i="103"/>
  <c r="BT89" i="103"/>
  <c r="BO89" i="103"/>
  <c r="BV88" i="103"/>
  <c r="BQ88" i="103"/>
  <c r="BV86" i="103"/>
  <c r="BQ86" i="103"/>
  <c r="BQ89" i="103"/>
  <c r="BV89" i="103"/>
  <c r="BV85" i="103"/>
  <c r="BP9" i="99" s="1"/>
  <c r="BQ85" i="103"/>
  <c r="BK9" i="99" s="1"/>
  <c r="BV87" i="103"/>
  <c r="BQ87" i="103"/>
  <c r="AG101" i="110"/>
  <c r="AH101" i="110" s="1"/>
  <c r="AS101" i="110" s="1"/>
  <c r="AP101" i="99"/>
  <c r="AQ101" i="99" s="1"/>
  <c r="BB101" i="99" s="1"/>
  <c r="CK101" i="101"/>
  <c r="CL101" i="101" s="1"/>
  <c r="BX117" i="101"/>
  <c r="AQ188" i="99"/>
  <c r="BB188" i="99" s="1"/>
  <c r="AP189" i="99"/>
  <c r="AZ11" i="103"/>
  <c r="V38" i="99"/>
  <c r="AZ54" i="103"/>
  <c r="AA39" i="99"/>
  <c r="CL188" i="101"/>
  <c r="CK189" i="101"/>
  <c r="R40" i="110"/>
  <c r="AH54" i="110"/>
  <c r="AS54" i="110" s="1"/>
  <c r="AG55" i="110"/>
  <c r="BX39" i="101"/>
  <c r="R65" i="110"/>
  <c r="AH188" i="110"/>
  <c r="AS188" i="110" s="1"/>
  <c r="AG189" i="110"/>
  <c r="AA65" i="99"/>
  <c r="BA12" i="103"/>
  <c r="V65" i="99"/>
  <c r="BX65" i="101"/>
  <c r="BA55" i="103"/>
  <c r="V117" i="99"/>
  <c r="BC12" i="103"/>
  <c r="BC55" i="103"/>
  <c r="AJ95" i="101"/>
  <c r="AJ42" i="101"/>
  <c r="AJ122" i="101"/>
  <c r="AJ67" i="101"/>
  <c r="O95" i="103"/>
  <c r="AG95" i="108"/>
  <c r="AG42" i="108"/>
  <c r="O42" i="103"/>
  <c r="BP91" i="103"/>
  <c r="BU91" i="103"/>
  <c r="BU93" i="103"/>
  <c r="BP93" i="103"/>
  <c r="BU94" i="103"/>
  <c r="BP94" i="103"/>
  <c r="BP90" i="103"/>
  <c r="BJ10" i="99" s="1"/>
  <c r="BU90" i="103"/>
  <c r="BO10" i="99" s="1"/>
  <c r="BU92" i="103"/>
  <c r="BP92" i="103"/>
  <c r="BI102" i="101"/>
  <c r="BI103" i="101"/>
  <c r="BI100" i="101"/>
  <c r="Y20" i="101" s="1"/>
  <c r="BI104" i="101"/>
  <c r="BI101" i="101"/>
  <c r="AG122" i="108"/>
  <c r="O122" i="103"/>
  <c r="BJ111" i="101"/>
  <c r="BJ112" i="101"/>
  <c r="BJ114" i="101"/>
  <c r="BJ110" i="101"/>
  <c r="Z22" i="101" s="1"/>
  <c r="BJ113" i="101"/>
  <c r="AA120" i="99"/>
  <c r="R120" i="110"/>
  <c r="O67" i="103"/>
  <c r="AG67" i="108"/>
  <c r="BX94" i="101"/>
  <c r="AA94" i="99"/>
  <c r="R94" i="110"/>
  <c r="BK119" i="101"/>
  <c r="BK116" i="101"/>
  <c r="BK118" i="101"/>
  <c r="BK117" i="101"/>
  <c r="BK115" i="101"/>
  <c r="AA23" i="101" s="1"/>
  <c r="BH107" i="101"/>
  <c r="BH108" i="101"/>
  <c r="BH109" i="101"/>
  <c r="BH106" i="101"/>
  <c r="BH105" i="101"/>
  <c r="X21" i="101" s="1"/>
  <c r="AC95" i="108"/>
  <c r="AC42" i="108"/>
  <c r="BB56" i="103"/>
  <c r="AA97" i="108"/>
  <c r="Z42" i="108"/>
  <c r="AA70" i="108"/>
  <c r="AH146" i="110"/>
  <c r="AS146" i="110" s="1"/>
  <c r="AK94" i="103"/>
  <c r="AL94" i="103" s="1"/>
  <c r="AK41" i="103"/>
  <c r="AL41" i="103" s="1"/>
  <c r="AK66" i="103"/>
  <c r="AL66" i="103" s="1"/>
  <c r="AK121" i="103"/>
  <c r="AL121" i="103" s="1"/>
  <c r="AC122" i="108"/>
  <c r="AB67" i="108"/>
  <c r="AB120" i="108"/>
  <c r="AC67" i="108"/>
  <c r="Z94" i="108"/>
  <c r="AQ55" i="99"/>
  <c r="BB55" i="99" s="1"/>
  <c r="AP56" i="99"/>
  <c r="Z72" i="108"/>
  <c r="AA121" i="108"/>
  <c r="AB43" i="108"/>
  <c r="AB97" i="108"/>
  <c r="CL145" i="101"/>
  <c r="CK146" i="101"/>
  <c r="AA43" i="108"/>
  <c r="Z121" i="108"/>
  <c r="AQ145" i="99"/>
  <c r="BB145" i="99" s="1"/>
  <c r="AP146" i="99"/>
  <c r="BB13" i="103"/>
  <c r="V92" i="99"/>
  <c r="P107" i="97"/>
  <c r="N109" i="97"/>
  <c r="M54" i="97"/>
  <c r="N82" i="97"/>
  <c r="P54" i="97"/>
  <c r="M133" i="97"/>
  <c r="M84" i="97"/>
  <c r="O132" i="97"/>
  <c r="N55" i="97"/>
  <c r="P134" i="97"/>
  <c r="M106" i="97"/>
  <c r="O79" i="97"/>
  <c r="P79" i="97"/>
  <c r="N133" i="97"/>
  <c r="O55" i="97"/>
  <c r="O109" i="97"/>
  <c r="AF193" i="110"/>
  <c r="AQ83" i="96"/>
  <c r="T54" i="97"/>
  <c r="BV44" i="101"/>
  <c r="AR123" i="101"/>
  <c r="AP106" i="101"/>
  <c r="AJ112" i="99"/>
  <c r="BI97" i="103"/>
  <c r="BT122" i="101"/>
  <c r="AP134" i="96"/>
  <c r="X102" i="110"/>
  <c r="X104" i="110"/>
  <c r="X103" i="110"/>
  <c r="X100" i="110"/>
  <c r="X101" i="110"/>
  <c r="AP85" i="96"/>
  <c r="F75" i="107" s="1"/>
  <c r="U43" i="99"/>
  <c r="AR104" i="103"/>
  <c r="AR121" i="101"/>
  <c r="AP108" i="101"/>
  <c r="Z113" i="110"/>
  <c r="AJ111" i="99"/>
  <c r="BI96" i="103"/>
  <c r="N122" i="110"/>
  <c r="AQ56" i="96"/>
  <c r="J75" i="107"/>
  <c r="AS135" i="96"/>
  <c r="M125" i="107" s="1"/>
  <c r="BW43" i="101"/>
  <c r="AR101" i="103"/>
  <c r="AR124" i="101"/>
  <c r="Z110" i="110"/>
  <c r="W94" i="103"/>
  <c r="BI99" i="103"/>
  <c r="P98" i="110"/>
  <c r="AP107" i="96"/>
  <c r="I125" i="107"/>
  <c r="W122" i="99"/>
  <c r="AR80" i="96"/>
  <c r="Z43" i="99"/>
  <c r="AR103" i="103"/>
  <c r="CE111" i="101"/>
  <c r="Z112" i="110"/>
  <c r="N43" i="110"/>
  <c r="BI98" i="103"/>
  <c r="BV98" i="101"/>
  <c r="AQ134" i="96"/>
  <c r="H70" i="107"/>
  <c r="AO148" i="99"/>
  <c r="CC98" i="101"/>
  <c r="CC99" i="101"/>
  <c r="CC95" i="101"/>
  <c r="CC97" i="101"/>
  <c r="CC96" i="101"/>
  <c r="AT116" i="103"/>
  <c r="Q43" i="110"/>
  <c r="AR102" i="103"/>
  <c r="CE113" i="101"/>
  <c r="Z111" i="110"/>
  <c r="W43" i="99"/>
  <c r="BT73" i="101"/>
  <c r="Y98" i="99"/>
  <c r="AR110" i="96"/>
  <c r="H100" i="107" s="1"/>
  <c r="L70" i="107"/>
  <c r="AP55" i="96"/>
  <c r="Y97" i="110"/>
  <c r="Y96" i="110"/>
  <c r="Y98" i="110"/>
  <c r="Y95" i="110"/>
  <c r="Y99" i="110"/>
  <c r="AQ118" i="101"/>
  <c r="AT119" i="103"/>
  <c r="BV121" i="101"/>
  <c r="AR100" i="103"/>
  <c r="CE114" i="101"/>
  <c r="Z114" i="110"/>
  <c r="BT43" i="101"/>
  <c r="N73" i="110"/>
  <c r="AQ109" i="103"/>
  <c r="AA112" i="110"/>
  <c r="J45" i="107"/>
  <c r="K46" i="107"/>
  <c r="Q43" i="99"/>
  <c r="AJ114" i="99"/>
  <c r="CJ148" i="101"/>
  <c r="AQ116" i="101"/>
  <c r="AT115" i="103"/>
  <c r="Y121" i="99"/>
  <c r="AS108" i="96"/>
  <c r="CE112" i="101"/>
  <c r="AS112" i="103"/>
  <c r="O44" i="110"/>
  <c r="W73" i="99"/>
  <c r="AQ105" i="103"/>
  <c r="AA110" i="110"/>
  <c r="AI43" i="101"/>
  <c r="F45" i="107"/>
  <c r="AQ117" i="101"/>
  <c r="AT118" i="103"/>
  <c r="P121" i="110"/>
  <c r="AS55" i="96"/>
  <c r="CE110" i="101"/>
  <c r="AS110" i="103"/>
  <c r="BU44" i="101"/>
  <c r="BV68" i="101"/>
  <c r="AQ107" i="103"/>
  <c r="AA111" i="110"/>
  <c r="F124" i="107"/>
  <c r="I45" i="107"/>
  <c r="W41" i="103"/>
  <c r="AP107" i="101"/>
  <c r="CF97" i="101"/>
  <c r="CF99" i="101"/>
  <c r="CF98" i="101"/>
  <c r="CF96" i="101"/>
  <c r="CF95" i="101"/>
  <c r="AH96" i="99"/>
  <c r="AH99" i="99"/>
  <c r="AH95" i="99"/>
  <c r="AH97" i="99"/>
  <c r="AH98" i="99"/>
  <c r="AQ119" i="101"/>
  <c r="AT117" i="103"/>
  <c r="W66" i="103"/>
  <c r="U68" i="99"/>
  <c r="AR133" i="96"/>
  <c r="AI111" i="99"/>
  <c r="AS113" i="103"/>
  <c r="X44" i="99"/>
  <c r="Y68" i="99"/>
  <c r="AQ108" i="103"/>
  <c r="AA114" i="110"/>
  <c r="M98" i="107"/>
  <c r="J124" i="107"/>
  <c r="BH93" i="103"/>
  <c r="BH92" i="103"/>
  <c r="BH94" i="103"/>
  <c r="BH91" i="103"/>
  <c r="BH90" i="103"/>
  <c r="AQ115" i="101"/>
  <c r="AO110" i="101"/>
  <c r="U96" i="99"/>
  <c r="Q68" i="99"/>
  <c r="AS80" i="96"/>
  <c r="I70" i="107" s="1"/>
  <c r="AI112" i="99"/>
  <c r="AS114" i="103"/>
  <c r="BT95" i="101"/>
  <c r="P68" i="110"/>
  <c r="AQ106" i="103"/>
  <c r="AA113" i="110"/>
  <c r="I98" i="107"/>
  <c r="G46" i="107"/>
  <c r="O71" i="110"/>
  <c r="AR120" i="101"/>
  <c r="AO114" i="101"/>
  <c r="T107" i="97"/>
  <c r="AI96" i="101" s="1"/>
  <c r="T79" i="97"/>
  <c r="AI68" i="101" s="1"/>
  <c r="AR56" i="96"/>
  <c r="AI113" i="99"/>
  <c r="AS111" i="103"/>
  <c r="N95" i="110"/>
  <c r="U123" i="99"/>
  <c r="Y44" i="99"/>
  <c r="BI95" i="103"/>
  <c r="BG88" i="103"/>
  <c r="BG86" i="103"/>
  <c r="BG89" i="103"/>
  <c r="BG87" i="103"/>
  <c r="BG85" i="103"/>
  <c r="CD98" i="101"/>
  <c r="CD97" i="101"/>
  <c r="CD99" i="101"/>
  <c r="CD96" i="101"/>
  <c r="CD95" i="101"/>
  <c r="AO111" i="101"/>
  <c r="Q96" i="99"/>
  <c r="BW68" i="101"/>
  <c r="X98" i="99"/>
  <c r="AI110" i="99"/>
  <c r="W121" i="103"/>
  <c r="W95" i="99"/>
  <c r="Q123" i="99"/>
  <c r="X71" i="99"/>
  <c r="M45" i="107"/>
  <c r="F97" i="107"/>
  <c r="L100" i="107"/>
  <c r="AO193" i="99"/>
  <c r="AO113" i="101"/>
  <c r="BW96" i="101"/>
  <c r="Q68" i="110"/>
  <c r="O98" i="110"/>
  <c r="AI114" i="99"/>
  <c r="AQ110" i="96"/>
  <c r="X122" i="99"/>
  <c r="T134" i="97"/>
  <c r="AI123" i="101" s="1"/>
  <c r="BU71" i="101"/>
  <c r="H123" i="107"/>
  <c r="J97" i="107"/>
  <c r="Z123" i="99"/>
  <c r="AF57" i="110"/>
  <c r="AO112" i="101"/>
  <c r="Z96" i="99"/>
  <c r="Z68" i="99"/>
  <c r="BU98" i="101"/>
  <c r="AP109" i="101"/>
  <c r="AJ113" i="99"/>
  <c r="BU122" i="101"/>
  <c r="BW123" i="101"/>
  <c r="K73" i="107"/>
  <c r="L123" i="107"/>
  <c r="G124" i="107"/>
  <c r="AG98" i="99"/>
  <c r="AG96" i="99"/>
  <c r="AG99" i="99"/>
  <c r="AG95" i="99"/>
  <c r="AG97" i="99"/>
  <c r="BJ93" i="103"/>
  <c r="BJ90" i="103"/>
  <c r="BJ94" i="103"/>
  <c r="BJ92" i="103"/>
  <c r="BJ91" i="103"/>
  <c r="Q96" i="110"/>
  <c r="P44" i="110"/>
  <c r="AR122" i="101"/>
  <c r="AP105" i="101"/>
  <c r="AJ110" i="99"/>
  <c r="O122" i="110"/>
  <c r="Q123" i="110"/>
  <c r="G73" i="107"/>
  <c r="M70" i="107"/>
  <c r="K124" i="107"/>
  <c r="H46" i="107"/>
  <c r="L46" i="107"/>
  <c r="K100" i="107"/>
  <c r="G100" i="107"/>
  <c r="CK56" i="101" l="1"/>
  <c r="CL56" i="101" s="1"/>
  <c r="BV91" i="103"/>
  <c r="BQ91" i="103"/>
  <c r="BV92" i="103"/>
  <c r="BQ92" i="103"/>
  <c r="BV94" i="103"/>
  <c r="BQ94" i="103"/>
  <c r="BV90" i="103"/>
  <c r="BP10" i="99" s="1"/>
  <c r="BQ90" i="103"/>
  <c r="BK10" i="99" s="1"/>
  <c r="BV93" i="103"/>
  <c r="BQ93" i="103"/>
  <c r="BS85" i="103"/>
  <c r="BM9" i="99" s="1"/>
  <c r="BN85" i="103"/>
  <c r="BH9" i="99" s="1"/>
  <c r="BS87" i="103"/>
  <c r="BN87" i="103"/>
  <c r="BS89" i="103"/>
  <c r="BN89" i="103"/>
  <c r="BS86" i="103"/>
  <c r="BN86" i="103"/>
  <c r="BS88" i="103"/>
  <c r="BN88" i="103"/>
  <c r="BT90" i="103"/>
  <c r="BN10" i="99" s="1"/>
  <c r="BO90" i="103"/>
  <c r="BI10" i="99" s="1"/>
  <c r="BO91" i="103"/>
  <c r="BT91" i="103"/>
  <c r="BT94" i="103"/>
  <c r="BO94" i="103"/>
  <c r="BO92" i="103"/>
  <c r="BT92" i="103"/>
  <c r="BO93" i="103"/>
  <c r="BT93" i="103"/>
  <c r="BC56" i="103"/>
  <c r="AA40" i="99"/>
  <c r="BC13" i="103"/>
  <c r="V118" i="99"/>
  <c r="AZ12" i="103"/>
  <c r="V39" i="99"/>
  <c r="BX66" i="101"/>
  <c r="AZ55" i="103"/>
  <c r="BA13" i="103"/>
  <c r="V66" i="99"/>
  <c r="AQ189" i="99"/>
  <c r="BB189" i="99" s="1"/>
  <c r="AP190" i="99"/>
  <c r="BA56" i="103"/>
  <c r="AA66" i="99"/>
  <c r="BX118" i="101"/>
  <c r="AH189" i="110"/>
  <c r="AS189" i="110" s="1"/>
  <c r="AG190" i="110"/>
  <c r="R66" i="110"/>
  <c r="BX40" i="101"/>
  <c r="AH55" i="110"/>
  <c r="AS55" i="110" s="1"/>
  <c r="AG56" i="110"/>
  <c r="AH56" i="110" s="1"/>
  <c r="AS56" i="110" s="1"/>
  <c r="R41" i="110"/>
  <c r="CL189" i="101"/>
  <c r="CK190" i="101"/>
  <c r="AJ123" i="101"/>
  <c r="AJ68" i="101"/>
  <c r="AJ43" i="101"/>
  <c r="AJ96" i="101"/>
  <c r="AG123" i="108"/>
  <c r="O123" i="103"/>
  <c r="BP98" i="103"/>
  <c r="BU98" i="103"/>
  <c r="BU99" i="103"/>
  <c r="BP99" i="103"/>
  <c r="BU96" i="103"/>
  <c r="BP96" i="103"/>
  <c r="BU97" i="103"/>
  <c r="BP97" i="103"/>
  <c r="BP95" i="103"/>
  <c r="BJ11" i="99" s="1"/>
  <c r="BU95" i="103"/>
  <c r="BO11" i="99" s="1"/>
  <c r="AA95" i="99"/>
  <c r="R95" i="110"/>
  <c r="BX95" i="101"/>
  <c r="BI108" i="101"/>
  <c r="BI106" i="101"/>
  <c r="BI107" i="101"/>
  <c r="BI105" i="101"/>
  <c r="Y21" i="101" s="1"/>
  <c r="BI109" i="101"/>
  <c r="BK124" i="101"/>
  <c r="BK121" i="101"/>
  <c r="BK123" i="101"/>
  <c r="BK120" i="101"/>
  <c r="AA24" i="101" s="1"/>
  <c r="BK122" i="101"/>
  <c r="AG68" i="108"/>
  <c r="O68" i="103"/>
  <c r="R121" i="110"/>
  <c r="AA121" i="99"/>
  <c r="AG43" i="108"/>
  <c r="O43" i="103"/>
  <c r="O96" i="103"/>
  <c r="AG96" i="108"/>
  <c r="BH112" i="101"/>
  <c r="BH113" i="101"/>
  <c r="BH111" i="101"/>
  <c r="BH114" i="101"/>
  <c r="BH110" i="101"/>
  <c r="X22" i="101" s="1"/>
  <c r="BJ115" i="101"/>
  <c r="Z23" i="101" s="1"/>
  <c r="BJ119" i="101"/>
  <c r="BJ117" i="101"/>
  <c r="BJ116" i="101"/>
  <c r="BJ118" i="101"/>
  <c r="AA71" i="108"/>
  <c r="AK67" i="103"/>
  <c r="AL67" i="103" s="1"/>
  <c r="AQ146" i="99"/>
  <c r="BB146" i="99" s="1"/>
  <c r="AP147" i="99"/>
  <c r="AC123" i="108"/>
  <c r="AB98" i="108"/>
  <c r="Z122" i="108"/>
  <c r="AK42" i="103"/>
  <c r="AL42" i="103" s="1"/>
  <c r="AB68" i="108"/>
  <c r="Z73" i="108"/>
  <c r="BB57" i="103"/>
  <c r="AA122" i="108"/>
  <c r="Z95" i="108"/>
  <c r="AA44" i="108"/>
  <c r="Z43" i="108"/>
  <c r="AQ56" i="99"/>
  <c r="BB56" i="99" s="1"/>
  <c r="AH147" i="110"/>
  <c r="AS147" i="110" s="1"/>
  <c r="AK122" i="103"/>
  <c r="AL122" i="103" s="1"/>
  <c r="AA98" i="108"/>
  <c r="AB44" i="108"/>
  <c r="AC68" i="108"/>
  <c r="AB121" i="108"/>
  <c r="AC43" i="108"/>
  <c r="AC96" i="108"/>
  <c r="CL146" i="101"/>
  <c r="CK147" i="101"/>
  <c r="BB14" i="103"/>
  <c r="V93" i="99"/>
  <c r="AK95" i="103"/>
  <c r="AL95" i="103" s="1"/>
  <c r="O80" i="97"/>
  <c r="P135" i="97"/>
  <c r="M85" i="97"/>
  <c r="N83" i="97"/>
  <c r="N134" i="97"/>
  <c r="N56" i="97"/>
  <c r="M134" i="97"/>
  <c r="M55" i="97"/>
  <c r="M107" i="97"/>
  <c r="N110" i="97"/>
  <c r="O110" i="97"/>
  <c r="O56" i="97"/>
  <c r="O133" i="97"/>
  <c r="P55" i="97"/>
  <c r="P108" i="97"/>
  <c r="P80" i="97"/>
  <c r="AR134" i="96"/>
  <c r="AP110" i="101"/>
  <c r="BT96" i="101"/>
  <c r="AT123" i="103"/>
  <c r="Q124" i="99"/>
  <c r="BI102" i="103"/>
  <c r="CE119" i="101"/>
  <c r="X99" i="99"/>
  <c r="AS118" i="103"/>
  <c r="AR109" i="103"/>
  <c r="AP112" i="101"/>
  <c r="W96" i="99"/>
  <c r="AT120" i="103"/>
  <c r="Z124" i="99"/>
  <c r="BI103" i="103"/>
  <c r="CE116" i="101"/>
  <c r="U69" i="99"/>
  <c r="AP135" i="96"/>
  <c r="AS115" i="103"/>
  <c r="AO102" i="99"/>
  <c r="AR105" i="103"/>
  <c r="AP113" i="101"/>
  <c r="Y99" i="99"/>
  <c r="AT122" i="103"/>
  <c r="BW124" i="101"/>
  <c r="BI104" i="103"/>
  <c r="CE115" i="101"/>
  <c r="Q69" i="99"/>
  <c r="AS81" i="96"/>
  <c r="BU72" i="101"/>
  <c r="CJ192" i="101"/>
  <c r="AR108" i="103"/>
  <c r="BV99" i="101"/>
  <c r="AT124" i="103"/>
  <c r="Q124" i="110"/>
  <c r="BI100" i="103"/>
  <c r="AJ116" i="99"/>
  <c r="T80" i="97"/>
  <c r="X72" i="99"/>
  <c r="AF102" i="110"/>
  <c r="AH102" i="99"/>
  <c r="AH103" i="99"/>
  <c r="AH101" i="99"/>
  <c r="AH104" i="99"/>
  <c r="AH100" i="99"/>
  <c r="AR106" i="103"/>
  <c r="P99" i="110"/>
  <c r="AT121" i="103"/>
  <c r="AI118" i="99"/>
  <c r="U97" i="99"/>
  <c r="Z119" i="110"/>
  <c r="BI101" i="103"/>
  <c r="AJ118" i="99"/>
  <c r="Z69" i="99"/>
  <c r="O72" i="110"/>
  <c r="AI69" i="101"/>
  <c r="AS119" i="103"/>
  <c r="CJ57" i="101"/>
  <c r="CF104" i="101"/>
  <c r="CF103" i="101"/>
  <c r="CF102" i="101"/>
  <c r="CF100" i="101"/>
  <c r="CF101" i="101"/>
  <c r="AR107" i="103"/>
  <c r="Q44" i="99"/>
  <c r="AR81" i="96"/>
  <c r="AI115" i="99"/>
  <c r="T108" i="97"/>
  <c r="Z115" i="110"/>
  <c r="AS136" i="96"/>
  <c r="AJ117" i="99"/>
  <c r="BW69" i="101"/>
  <c r="BT44" i="101"/>
  <c r="J125" i="107"/>
  <c r="X45" i="99"/>
  <c r="T55" i="97"/>
  <c r="AQ135" i="96"/>
  <c r="AI116" i="99"/>
  <c r="Q97" i="99"/>
  <c r="Z117" i="110"/>
  <c r="AQ57" i="96"/>
  <c r="AJ115" i="99"/>
  <c r="Q69" i="110"/>
  <c r="W44" i="99"/>
  <c r="F125" i="107"/>
  <c r="O45" i="110"/>
  <c r="U44" i="99"/>
  <c r="AP108" i="96"/>
  <c r="AI117" i="99"/>
  <c r="Z97" i="99"/>
  <c r="Z118" i="110"/>
  <c r="AR57" i="96"/>
  <c r="AJ119" i="99"/>
  <c r="N44" i="110"/>
  <c r="I71" i="107"/>
  <c r="AR126" i="101"/>
  <c r="AG100" i="99"/>
  <c r="AG103" i="99"/>
  <c r="AG101" i="99"/>
  <c r="AG102" i="99"/>
  <c r="AG104" i="99"/>
  <c r="Y101" i="110"/>
  <c r="Y102" i="110"/>
  <c r="Y100" i="110"/>
  <c r="Y104" i="110"/>
  <c r="Y103" i="110"/>
  <c r="BU45" i="101"/>
  <c r="W122" i="103"/>
  <c r="Z44" i="99"/>
  <c r="AR111" i="96"/>
  <c r="AI119" i="99"/>
  <c r="BW97" i="101"/>
  <c r="Z116" i="110"/>
  <c r="AS109" i="96"/>
  <c r="W74" i="99"/>
  <c r="Y122" i="99"/>
  <c r="M71" i="107"/>
  <c r="O99" i="110"/>
  <c r="BJ98" i="103"/>
  <c r="BJ96" i="103"/>
  <c r="BJ97" i="103"/>
  <c r="BJ95" i="103"/>
  <c r="BJ99" i="103"/>
  <c r="CC102" i="101"/>
  <c r="CC104" i="101"/>
  <c r="CC101" i="101"/>
  <c r="CC103" i="101"/>
  <c r="CC100" i="101"/>
  <c r="P45" i="110"/>
  <c r="Y69" i="99"/>
  <c r="BW44" i="101"/>
  <c r="AS56" i="96"/>
  <c r="M46" i="107" s="1"/>
  <c r="Q97" i="110"/>
  <c r="AA119" i="110"/>
  <c r="N74" i="110"/>
  <c r="BV122" i="101"/>
  <c r="H124" i="107"/>
  <c r="I46" i="107"/>
  <c r="AO57" i="99"/>
  <c r="Y45" i="99"/>
  <c r="P69" i="110"/>
  <c r="Q44" i="110"/>
  <c r="AQ122" i="101"/>
  <c r="AQ113" i="103"/>
  <c r="AA117" i="110"/>
  <c r="BT74" i="101"/>
  <c r="P122" i="110"/>
  <c r="L124" i="107"/>
  <c r="AR125" i="101"/>
  <c r="BG92" i="103"/>
  <c r="BG93" i="103"/>
  <c r="BG94" i="103"/>
  <c r="BG91" i="103"/>
  <c r="BG90" i="103"/>
  <c r="BV45" i="101"/>
  <c r="BV69" i="101"/>
  <c r="AO119" i="101"/>
  <c r="AQ123" i="101"/>
  <c r="AQ114" i="103"/>
  <c r="AA115" i="110"/>
  <c r="N123" i="110"/>
  <c r="AR128" i="101"/>
  <c r="AI97" i="101"/>
  <c r="X105" i="110"/>
  <c r="X109" i="110"/>
  <c r="X107" i="110"/>
  <c r="X108" i="110"/>
  <c r="X106" i="110"/>
  <c r="AP86" i="96"/>
  <c r="X123" i="99"/>
  <c r="AO115" i="101"/>
  <c r="AQ124" i="101"/>
  <c r="AQ111" i="103"/>
  <c r="AA118" i="110"/>
  <c r="BT123" i="101"/>
  <c r="I126" i="107"/>
  <c r="CJ102" i="101"/>
  <c r="CD102" i="101"/>
  <c r="CD100" i="101"/>
  <c r="CD101" i="101"/>
  <c r="CD104" i="101"/>
  <c r="CD103" i="101"/>
  <c r="W95" i="103"/>
  <c r="AQ111" i="96"/>
  <c r="G101" i="107" s="1"/>
  <c r="O123" i="110"/>
  <c r="AO116" i="101"/>
  <c r="AQ120" i="101"/>
  <c r="AQ112" i="103"/>
  <c r="AA116" i="110"/>
  <c r="W123" i="99"/>
  <c r="AS116" i="103"/>
  <c r="AR127" i="101"/>
  <c r="K101" i="107"/>
  <c r="M126" i="107"/>
  <c r="W67" i="103"/>
  <c r="AQ84" i="96"/>
  <c r="AP114" i="101"/>
  <c r="BU123" i="101"/>
  <c r="AO117" i="101"/>
  <c r="AQ121" i="101"/>
  <c r="T135" i="97"/>
  <c r="AI124" i="101" s="1"/>
  <c r="AQ110" i="103"/>
  <c r="CE117" i="101"/>
  <c r="K47" i="107"/>
  <c r="BH97" i="103"/>
  <c r="BH99" i="103"/>
  <c r="BH96" i="103"/>
  <c r="BH98" i="103"/>
  <c r="BH95" i="103"/>
  <c r="AP56" i="96"/>
  <c r="AP111" i="101"/>
  <c r="N96" i="110"/>
  <c r="AO118" i="101"/>
  <c r="U124" i="99"/>
  <c r="W42" i="103"/>
  <c r="CE118" i="101"/>
  <c r="BU99" i="101"/>
  <c r="AS117" i="103"/>
  <c r="AR129" i="101"/>
  <c r="AI44" i="101"/>
  <c r="G47" i="107"/>
  <c r="H71" i="107"/>
  <c r="L71" i="107"/>
  <c r="K125" i="107"/>
  <c r="G125" i="107"/>
  <c r="F98" i="107"/>
  <c r="J98" i="107"/>
  <c r="L47" i="107"/>
  <c r="H47" i="107"/>
  <c r="H101" i="107"/>
  <c r="L101" i="107"/>
  <c r="I99" i="107"/>
  <c r="M99" i="107"/>
  <c r="J76" i="107"/>
  <c r="F76" i="107"/>
  <c r="AF149" i="110"/>
  <c r="G74" i="107"/>
  <c r="K74" i="107"/>
  <c r="F46" i="107"/>
  <c r="J46" i="107"/>
  <c r="AG149" i="110" l="1"/>
  <c r="BO95" i="103"/>
  <c r="BI11" i="99" s="1"/>
  <c r="BT95" i="103"/>
  <c r="BN11" i="99" s="1"/>
  <c r="BT98" i="103"/>
  <c r="BO98" i="103"/>
  <c r="BT96" i="103"/>
  <c r="BO96" i="103"/>
  <c r="BO99" i="103"/>
  <c r="BT99" i="103"/>
  <c r="BT97" i="103"/>
  <c r="BO97" i="103"/>
  <c r="CK102" i="101"/>
  <c r="CL102" i="101" s="1"/>
  <c r="BS90" i="103"/>
  <c r="BM10" i="99" s="1"/>
  <c r="BN90" i="103"/>
  <c r="BH10" i="99" s="1"/>
  <c r="BN91" i="103"/>
  <c r="BS91" i="103"/>
  <c r="BN94" i="103"/>
  <c r="BS94" i="103"/>
  <c r="BS93" i="103"/>
  <c r="BN93" i="103"/>
  <c r="BN92" i="103"/>
  <c r="BS92" i="103"/>
  <c r="AP57" i="99"/>
  <c r="BV99" i="103"/>
  <c r="BQ99" i="103"/>
  <c r="BV95" i="103"/>
  <c r="BP11" i="99" s="1"/>
  <c r="BQ95" i="103"/>
  <c r="BK11" i="99" s="1"/>
  <c r="BQ97" i="103"/>
  <c r="BV97" i="103"/>
  <c r="BQ96" i="103"/>
  <c r="BV96" i="103"/>
  <c r="BV98" i="103"/>
  <c r="BQ98" i="103"/>
  <c r="CK57" i="101"/>
  <c r="CL57" i="101" s="1"/>
  <c r="AG102" i="110"/>
  <c r="AH102" i="110" s="1"/>
  <c r="AS102" i="110" s="1"/>
  <c r="AP102" i="99"/>
  <c r="AQ102" i="99" s="1"/>
  <c r="BB102" i="99" s="1"/>
  <c r="BA57" i="103"/>
  <c r="CL190" i="101"/>
  <c r="CK191" i="101"/>
  <c r="CL191" i="101" s="1"/>
  <c r="BX67" i="101"/>
  <c r="R42" i="110"/>
  <c r="AZ13" i="103"/>
  <c r="V40" i="99"/>
  <c r="AZ56" i="103"/>
  <c r="AG57" i="110"/>
  <c r="AH57" i="110" s="1"/>
  <c r="AS57" i="110" s="1"/>
  <c r="BC14" i="103"/>
  <c r="V119" i="99"/>
  <c r="BX41" i="101"/>
  <c r="BC57" i="103"/>
  <c r="R67" i="110"/>
  <c r="AA41" i="99"/>
  <c r="AH190" i="110"/>
  <c r="AS190" i="110" s="1"/>
  <c r="AG191" i="110"/>
  <c r="BX119" i="101"/>
  <c r="AA67" i="99"/>
  <c r="AQ190" i="99"/>
  <c r="BB190" i="99" s="1"/>
  <c r="AP191" i="99"/>
  <c r="BA14" i="103"/>
  <c r="V67" i="99"/>
  <c r="AJ69" i="101"/>
  <c r="AJ97" i="101"/>
  <c r="AJ124" i="101"/>
  <c r="AJ44" i="101"/>
  <c r="BK129" i="101"/>
  <c r="BK126" i="101"/>
  <c r="BK127" i="101"/>
  <c r="BK125" i="101"/>
  <c r="AA25" i="101" s="1"/>
  <c r="BK128" i="101"/>
  <c r="R122" i="110"/>
  <c r="AA122" i="99"/>
  <c r="AG69" i="108"/>
  <c r="O69" i="103"/>
  <c r="BU101" i="103"/>
  <c r="BP101" i="103"/>
  <c r="BP100" i="103"/>
  <c r="BJ12" i="99" s="1"/>
  <c r="BU100" i="103"/>
  <c r="BO12" i="99" s="1"/>
  <c r="BU104" i="103"/>
  <c r="BP104" i="103"/>
  <c r="BP103" i="103"/>
  <c r="BU103" i="103"/>
  <c r="BU102" i="103"/>
  <c r="BP102" i="103"/>
  <c r="O97" i="103"/>
  <c r="AG97" i="108"/>
  <c r="O124" i="103"/>
  <c r="AG124" i="108"/>
  <c r="BJ121" i="101"/>
  <c r="BJ120" i="101"/>
  <c r="Z24" i="101" s="1"/>
  <c r="BJ124" i="101"/>
  <c r="BJ123" i="101"/>
  <c r="BJ122" i="101"/>
  <c r="BH118" i="101"/>
  <c r="BH117" i="101"/>
  <c r="BH116" i="101"/>
  <c r="BH115" i="101"/>
  <c r="X23" i="101" s="1"/>
  <c r="BH119" i="101"/>
  <c r="AG44" i="108"/>
  <c r="O44" i="103"/>
  <c r="AA96" i="99"/>
  <c r="BX96" i="101"/>
  <c r="R96" i="110"/>
  <c r="BI113" i="101"/>
  <c r="BI112" i="101"/>
  <c r="BI110" i="101"/>
  <c r="Y22" i="101" s="1"/>
  <c r="BI111" i="101"/>
  <c r="BI114" i="101"/>
  <c r="AH148" i="110"/>
  <c r="AS148" i="110" s="1"/>
  <c r="AB122" i="108"/>
  <c r="Z44" i="108"/>
  <c r="AA72" i="108"/>
  <c r="AQ57" i="99"/>
  <c r="BB57" i="99" s="1"/>
  <c r="AQ147" i="99"/>
  <c r="BB147" i="99" s="1"/>
  <c r="AP148" i="99"/>
  <c r="AQ148" i="99" s="1"/>
  <c r="BB148" i="99" s="1"/>
  <c r="AC69" i="108"/>
  <c r="AA99" i="108"/>
  <c r="Z123" i="108"/>
  <c r="Z74" i="108"/>
  <c r="BB15" i="103"/>
  <c r="V94" i="99"/>
  <c r="BB58" i="103"/>
  <c r="AC97" i="108"/>
  <c r="AC124" i="108"/>
  <c r="CL147" i="101"/>
  <c r="CK148" i="101"/>
  <c r="CL148" i="101" s="1"/>
  <c r="AK96" i="103"/>
  <c r="AL96" i="103" s="1"/>
  <c r="AK68" i="103"/>
  <c r="AL68" i="103" s="1"/>
  <c r="AC44" i="108"/>
  <c r="AB99" i="108"/>
  <c r="Z96" i="108"/>
  <c r="AA123" i="108"/>
  <c r="AB69" i="108"/>
  <c r="AK43" i="103"/>
  <c r="AL43" i="103" s="1"/>
  <c r="AB45" i="108"/>
  <c r="AA45" i="108"/>
  <c r="AK123" i="103"/>
  <c r="AL123" i="103" s="1"/>
  <c r="M56" i="97"/>
  <c r="N84" i="97"/>
  <c r="M135" i="97"/>
  <c r="M86" i="97"/>
  <c r="P81" i="97"/>
  <c r="O57" i="97"/>
  <c r="N57" i="97"/>
  <c r="P136" i="97"/>
  <c r="P109" i="97"/>
  <c r="O111" i="97"/>
  <c r="M108" i="97"/>
  <c r="N135" i="97"/>
  <c r="O81" i="97"/>
  <c r="O134" i="97"/>
  <c r="N111" i="97"/>
  <c r="P56" i="97"/>
  <c r="BU73" i="101"/>
  <c r="T136" i="97"/>
  <c r="AR130" i="101"/>
  <c r="O73" i="110"/>
  <c r="BW45" i="101"/>
  <c r="AO194" i="99"/>
  <c r="BJ101" i="103"/>
  <c r="BJ104" i="103"/>
  <c r="BJ100" i="103"/>
  <c r="BJ102" i="103"/>
  <c r="BJ103" i="103"/>
  <c r="AP119" i="101"/>
  <c r="Q125" i="99"/>
  <c r="BT124" i="101"/>
  <c r="AA121" i="110"/>
  <c r="AP109" i="96"/>
  <c r="AO121" i="101"/>
  <c r="AJ121" i="99"/>
  <c r="Q70" i="99"/>
  <c r="AI123" i="99"/>
  <c r="Y46" i="99"/>
  <c r="Q125" i="110"/>
  <c r="W75" i="99"/>
  <c r="T81" i="97"/>
  <c r="CE124" i="101"/>
  <c r="AS123" i="103"/>
  <c r="Y100" i="99"/>
  <c r="Q98" i="99"/>
  <c r="AQ58" i="96"/>
  <c r="AO149" i="99"/>
  <c r="AP116" i="101"/>
  <c r="Z125" i="99"/>
  <c r="BU46" i="101"/>
  <c r="AA123" i="110"/>
  <c r="BT75" i="101"/>
  <c r="AO123" i="101"/>
  <c r="AJ124" i="99"/>
  <c r="U70" i="99"/>
  <c r="AI124" i="99"/>
  <c r="P46" i="110"/>
  <c r="CC107" i="101"/>
  <c r="CC106" i="101"/>
  <c r="CC105" i="101"/>
  <c r="CC108" i="101"/>
  <c r="CC109" i="101"/>
  <c r="Z124" i="110"/>
  <c r="X46" i="99"/>
  <c r="AA120" i="110"/>
  <c r="AO120" i="101"/>
  <c r="AJ123" i="99"/>
  <c r="AI122" i="99"/>
  <c r="BV46" i="101"/>
  <c r="Q70" i="110"/>
  <c r="O100" i="110"/>
  <c r="AS120" i="103"/>
  <c r="AI70" i="101"/>
  <c r="AJ120" i="99"/>
  <c r="Z121" i="110"/>
  <c r="BW125" i="101"/>
  <c r="O46" i="110"/>
  <c r="AA124" i="110"/>
  <c r="N75" i="110"/>
  <c r="AO122" i="101"/>
  <c r="AJ122" i="99"/>
  <c r="BW70" i="101"/>
  <c r="AS121" i="103"/>
  <c r="CE120" i="101"/>
  <c r="BV100" i="101"/>
  <c r="Y105" i="110"/>
  <c r="Y107" i="110"/>
  <c r="Y106" i="110"/>
  <c r="Y108" i="110"/>
  <c r="Y109" i="110"/>
  <c r="Z122" i="110"/>
  <c r="AQ125" i="101"/>
  <c r="BT97" i="101"/>
  <c r="AQ112" i="96"/>
  <c r="AO124" i="101"/>
  <c r="AT129" i="103"/>
  <c r="CE121" i="101"/>
  <c r="BI108" i="103"/>
  <c r="BU124" i="101"/>
  <c r="AI125" i="101"/>
  <c r="G102" i="107"/>
  <c r="CJ149" i="101"/>
  <c r="AG108" i="99"/>
  <c r="AG109" i="99"/>
  <c r="AG105" i="99"/>
  <c r="AG106" i="99"/>
  <c r="AG107" i="99"/>
  <c r="Z123" i="110"/>
  <c r="AQ128" i="101"/>
  <c r="W97" i="99"/>
  <c r="BI106" i="103"/>
  <c r="AT126" i="103"/>
  <c r="Z70" i="99"/>
  <c r="W96" i="103"/>
  <c r="AS122" i="103"/>
  <c r="CE122" i="101"/>
  <c r="P100" i="110"/>
  <c r="AQ126" i="101"/>
  <c r="N97" i="110"/>
  <c r="BI107" i="103"/>
  <c r="AT125" i="103"/>
  <c r="X124" i="99"/>
  <c r="AS124" i="103"/>
  <c r="CE123" i="101"/>
  <c r="BV123" i="101"/>
  <c r="AQ127" i="101"/>
  <c r="AR114" i="103"/>
  <c r="AR113" i="103"/>
  <c r="W45" i="99"/>
  <c r="Z120" i="110"/>
  <c r="T109" i="97"/>
  <c r="W68" i="103"/>
  <c r="AT128" i="103"/>
  <c r="Y123" i="99"/>
  <c r="AS82" i="96"/>
  <c r="AP117" i="101"/>
  <c r="AI120" i="99"/>
  <c r="AF194" i="110"/>
  <c r="CF105" i="101"/>
  <c r="CF106" i="101"/>
  <c r="CF109" i="101"/>
  <c r="CF108" i="101"/>
  <c r="CF107" i="101"/>
  <c r="AR58" i="96"/>
  <c r="AQ129" i="101"/>
  <c r="BU100" i="101"/>
  <c r="BI105" i="103"/>
  <c r="AT127" i="103"/>
  <c r="U98" i="99"/>
  <c r="O124" i="110"/>
  <c r="AP57" i="96"/>
  <c r="AR110" i="103"/>
  <c r="P123" i="110"/>
  <c r="AH107" i="99"/>
  <c r="AH109" i="99"/>
  <c r="AH106" i="99"/>
  <c r="AH108" i="99"/>
  <c r="AH105" i="99"/>
  <c r="X100" i="99"/>
  <c r="BI109" i="103"/>
  <c r="AP87" i="96"/>
  <c r="Q98" i="110"/>
  <c r="AQ116" i="103"/>
  <c r="AR112" i="96"/>
  <c r="AF58" i="110"/>
  <c r="CD106" i="101"/>
  <c r="CD109" i="101"/>
  <c r="CD108" i="101"/>
  <c r="CD105" i="101"/>
  <c r="CD107" i="101"/>
  <c r="AR131" i="101"/>
  <c r="Q45" i="99"/>
  <c r="AS137" i="96"/>
  <c r="Z98" i="99"/>
  <c r="AS110" i="96"/>
  <c r="AR111" i="103"/>
  <c r="AQ115" i="103"/>
  <c r="G48" i="107"/>
  <c r="AI98" i="101"/>
  <c r="AR112" i="103"/>
  <c r="K48" i="107"/>
  <c r="J99" i="107"/>
  <c r="U125" i="99"/>
  <c r="Z45" i="99"/>
  <c r="AI121" i="99"/>
  <c r="K102" i="107"/>
  <c r="X113" i="110"/>
  <c r="X112" i="110"/>
  <c r="X110" i="110"/>
  <c r="X111" i="110"/>
  <c r="X114" i="110"/>
  <c r="AR134" i="101"/>
  <c r="T56" i="97"/>
  <c r="AI45" i="101" s="1"/>
  <c r="AQ136" i="96"/>
  <c r="BW98" i="101"/>
  <c r="AR82" i="96"/>
  <c r="AQ119" i="103"/>
  <c r="F47" i="107"/>
  <c r="AP115" i="101"/>
  <c r="AR133" i="101"/>
  <c r="Q45" i="110"/>
  <c r="BT45" i="101"/>
  <c r="X73" i="99"/>
  <c r="M72" i="107"/>
  <c r="AP118" i="101"/>
  <c r="W124" i="99"/>
  <c r="AP136" i="96"/>
  <c r="BV70" i="101"/>
  <c r="AQ85" i="96"/>
  <c r="AA122" i="110"/>
  <c r="W123" i="103"/>
  <c r="BG96" i="103"/>
  <c r="BG99" i="103"/>
  <c r="BG97" i="103"/>
  <c r="BG98" i="103"/>
  <c r="BG95" i="103"/>
  <c r="BH103" i="103"/>
  <c r="BH102" i="103"/>
  <c r="BH100" i="103"/>
  <c r="BH104" i="103"/>
  <c r="BH101" i="103"/>
  <c r="AR132" i="101"/>
  <c r="U45" i="99"/>
  <c r="AS57" i="96"/>
  <c r="P70" i="110"/>
  <c r="AR135" i="96"/>
  <c r="W43" i="103"/>
  <c r="AQ118" i="103"/>
  <c r="F99" i="107"/>
  <c r="J47" i="107"/>
  <c r="Y70" i="99"/>
  <c r="AQ117" i="103"/>
  <c r="N45" i="110"/>
  <c r="I72" i="107"/>
  <c r="N124" i="110"/>
  <c r="L48" i="107"/>
  <c r="H48" i="107"/>
  <c r="J77" i="107"/>
  <c r="F77" i="107"/>
  <c r="H102" i="107"/>
  <c r="L102" i="107"/>
  <c r="M127" i="107"/>
  <c r="I127" i="107"/>
  <c r="I100" i="107"/>
  <c r="M100" i="107"/>
  <c r="G126" i="107"/>
  <c r="K126" i="107"/>
  <c r="H72" i="107"/>
  <c r="L72" i="107"/>
  <c r="F126" i="107"/>
  <c r="J126" i="107"/>
  <c r="G75" i="107"/>
  <c r="K75" i="107"/>
  <c r="M47" i="107"/>
  <c r="I47" i="107"/>
  <c r="H125" i="107"/>
  <c r="L125" i="107"/>
  <c r="BT101" i="103" l="1"/>
  <c r="BO101" i="103"/>
  <c r="BT104" i="103"/>
  <c r="BO104" i="103"/>
  <c r="BT100" i="103"/>
  <c r="BN12" i="99" s="1"/>
  <c r="BO100" i="103"/>
  <c r="BI12" i="99" s="1"/>
  <c r="BT102" i="103"/>
  <c r="BO102" i="103"/>
  <c r="BO103" i="103"/>
  <c r="BT103" i="103"/>
  <c r="BN95" i="103"/>
  <c r="BH11" i="99" s="1"/>
  <c r="BS95" i="103"/>
  <c r="BM11" i="99" s="1"/>
  <c r="BN98" i="103"/>
  <c r="BS98" i="103"/>
  <c r="BN97" i="103"/>
  <c r="BS97" i="103"/>
  <c r="BS99" i="103"/>
  <c r="BN99" i="103"/>
  <c r="BS96" i="103"/>
  <c r="BN96" i="103"/>
  <c r="AG58" i="110"/>
  <c r="AH58" i="110" s="1"/>
  <c r="AS58" i="110" s="1"/>
  <c r="BV103" i="103"/>
  <c r="BQ103" i="103"/>
  <c r="BV102" i="103"/>
  <c r="BQ102" i="103"/>
  <c r="BQ100" i="103"/>
  <c r="BK12" i="99" s="1"/>
  <c r="BV100" i="103"/>
  <c r="BP12" i="99" s="1"/>
  <c r="BQ104" i="103"/>
  <c r="BV104" i="103"/>
  <c r="BV101" i="103"/>
  <c r="BQ101" i="103"/>
  <c r="BA58" i="103"/>
  <c r="AZ57" i="103"/>
  <c r="AZ14" i="103"/>
  <c r="V41" i="99"/>
  <c r="AQ191" i="99"/>
  <c r="BB191" i="99" s="1"/>
  <c r="AP192" i="99"/>
  <c r="R43" i="110"/>
  <c r="BX68" i="101"/>
  <c r="AA68" i="99"/>
  <c r="BX120" i="101"/>
  <c r="AH191" i="110"/>
  <c r="AS191" i="110" s="1"/>
  <c r="AG192" i="110"/>
  <c r="AA42" i="99"/>
  <c r="R68" i="110"/>
  <c r="CK192" i="101"/>
  <c r="CL192" i="101" s="1"/>
  <c r="BX42" i="101"/>
  <c r="V120" i="99"/>
  <c r="BC15" i="103"/>
  <c r="BC58" i="103"/>
  <c r="BA15" i="103"/>
  <c r="V68" i="99"/>
  <c r="AJ98" i="101"/>
  <c r="AJ70" i="101"/>
  <c r="AJ45" i="101"/>
  <c r="AJ125" i="101"/>
  <c r="R123" i="110"/>
  <c r="AA123" i="99"/>
  <c r="O98" i="103"/>
  <c r="AG98" i="108"/>
  <c r="AG70" i="108"/>
  <c r="O70" i="103"/>
  <c r="BH124" i="101"/>
  <c r="BH122" i="101"/>
  <c r="BH120" i="101"/>
  <c r="X24" i="101" s="1"/>
  <c r="BH123" i="101"/>
  <c r="BH121" i="101"/>
  <c r="AG45" i="108"/>
  <c r="O45" i="103"/>
  <c r="BP109" i="103"/>
  <c r="BU109" i="103"/>
  <c r="BP105" i="103"/>
  <c r="BJ13" i="99" s="1"/>
  <c r="BU105" i="103"/>
  <c r="BO13" i="99" s="1"/>
  <c r="BU108" i="103"/>
  <c r="BP108" i="103"/>
  <c r="BP107" i="103"/>
  <c r="BU107" i="103"/>
  <c r="BP106" i="103"/>
  <c r="BU106" i="103"/>
  <c r="BK130" i="101"/>
  <c r="AA26" i="101" s="1"/>
  <c r="BK133" i="101"/>
  <c r="BK132" i="101"/>
  <c r="BK134" i="101"/>
  <c r="BK131" i="101"/>
  <c r="R97" i="110"/>
  <c r="AA97" i="99"/>
  <c r="BX97" i="101"/>
  <c r="BJ129" i="101"/>
  <c r="BJ127" i="101"/>
  <c r="BJ126" i="101"/>
  <c r="BJ128" i="101"/>
  <c r="BJ125" i="101"/>
  <c r="Z25" i="101" s="1"/>
  <c r="O125" i="103"/>
  <c r="AG125" i="108"/>
  <c r="BI116" i="101"/>
  <c r="BI119" i="101"/>
  <c r="BI117" i="101"/>
  <c r="BI118" i="101"/>
  <c r="BI115" i="101"/>
  <c r="Y23" i="101" s="1"/>
  <c r="AB123" i="108"/>
  <c r="AB100" i="108"/>
  <c r="AB46" i="108"/>
  <c r="AA73" i="108"/>
  <c r="AH149" i="110"/>
  <c r="AS149" i="110" s="1"/>
  <c r="AA124" i="108"/>
  <c r="AB70" i="108"/>
  <c r="AC98" i="108"/>
  <c r="AC70" i="108"/>
  <c r="Z45" i="108"/>
  <c r="AK44" i="103"/>
  <c r="AL44" i="103" s="1"/>
  <c r="BB16" i="103"/>
  <c r="V95" i="99"/>
  <c r="AK124" i="103"/>
  <c r="AL124" i="103" s="1"/>
  <c r="AC45" i="108"/>
  <c r="BB59" i="103"/>
  <c r="Z75" i="108"/>
  <c r="CK149" i="101"/>
  <c r="CL149" i="101" s="1"/>
  <c r="AA100" i="108"/>
  <c r="Z97" i="108"/>
  <c r="AA46" i="108"/>
  <c r="Z124" i="108"/>
  <c r="AP149" i="99"/>
  <c r="AQ149" i="99" s="1"/>
  <c r="BB149" i="99" s="1"/>
  <c r="AK69" i="103"/>
  <c r="AL69" i="103" s="1"/>
  <c r="AC125" i="108"/>
  <c r="AK97" i="103"/>
  <c r="AL97" i="103" s="1"/>
  <c r="M87" i="97"/>
  <c r="M136" i="97"/>
  <c r="P57" i="97"/>
  <c r="N58" i="97"/>
  <c r="O58" i="97"/>
  <c r="N85" i="97"/>
  <c r="P137" i="97"/>
  <c r="O112" i="97"/>
  <c r="N112" i="97"/>
  <c r="O135" i="97"/>
  <c r="O82" i="97"/>
  <c r="P82" i="97"/>
  <c r="M57" i="97"/>
  <c r="N136" i="97"/>
  <c r="M109" i="97"/>
  <c r="P110" i="97"/>
  <c r="CF110" i="101"/>
  <c r="CF114" i="101"/>
  <c r="CF113" i="101"/>
  <c r="CF111" i="101"/>
  <c r="CF112" i="101"/>
  <c r="BT46" i="101"/>
  <c r="AT132" i="103"/>
  <c r="T110" i="97"/>
  <c r="AS127" i="103"/>
  <c r="O101" i="110"/>
  <c r="AR115" i="103"/>
  <c r="Q46" i="99"/>
  <c r="W98" i="99"/>
  <c r="P47" i="110"/>
  <c r="AT131" i="103"/>
  <c r="AQ59" i="96"/>
  <c r="X74" i="99"/>
  <c r="AR118" i="103"/>
  <c r="W125" i="99"/>
  <c r="AI99" i="101"/>
  <c r="AG111" i="99"/>
  <c r="AG114" i="99"/>
  <c r="AG110" i="99"/>
  <c r="AG112" i="99"/>
  <c r="AG113" i="99"/>
  <c r="BU74" i="101"/>
  <c r="W97" i="103"/>
  <c r="BW99" i="101"/>
  <c r="AS83" i="96"/>
  <c r="BU125" i="101"/>
  <c r="AR116" i="103"/>
  <c r="Z46" i="99"/>
  <c r="AQ131" i="101"/>
  <c r="BT125" i="101"/>
  <c r="K49" i="107"/>
  <c r="O74" i="110"/>
  <c r="N125" i="110"/>
  <c r="CJ103" i="101"/>
  <c r="Y112" i="110"/>
  <c r="Y110" i="110"/>
  <c r="Y114" i="110"/>
  <c r="Y111" i="110"/>
  <c r="Y113" i="110"/>
  <c r="AP137" i="96"/>
  <c r="F127" i="107" s="1"/>
  <c r="BU47" i="101"/>
  <c r="Q99" i="110"/>
  <c r="O125" i="110"/>
  <c r="AR117" i="103"/>
  <c r="Q46" i="110"/>
  <c r="AQ134" i="101"/>
  <c r="P124" i="110"/>
  <c r="G49" i="107"/>
  <c r="BV124" i="101"/>
  <c r="Q71" i="99"/>
  <c r="AJ129" i="99"/>
  <c r="AS138" i="96"/>
  <c r="AP120" i="101"/>
  <c r="X47" i="99"/>
  <c r="Z99" i="99"/>
  <c r="AI127" i="99"/>
  <c r="AA126" i="110"/>
  <c r="U126" i="99"/>
  <c r="AQ132" i="101"/>
  <c r="AS58" i="96"/>
  <c r="Z127" i="110"/>
  <c r="AQ120" i="103"/>
  <c r="Z126" i="99"/>
  <c r="CE126" i="101"/>
  <c r="U71" i="99"/>
  <c r="AR136" i="96"/>
  <c r="H126" i="107" s="1"/>
  <c r="BW46" i="101"/>
  <c r="AO103" i="99"/>
  <c r="CC113" i="101"/>
  <c r="CC110" i="101"/>
  <c r="CC111" i="101"/>
  <c r="CC112" i="101"/>
  <c r="CC114" i="101"/>
  <c r="AR136" i="101"/>
  <c r="AP123" i="101"/>
  <c r="O47" i="110"/>
  <c r="AO128" i="101"/>
  <c r="AI129" i="99"/>
  <c r="AA128" i="110"/>
  <c r="T137" i="97"/>
  <c r="AJ127" i="99"/>
  <c r="AR83" i="96"/>
  <c r="Y124" i="99"/>
  <c r="AI126" i="101"/>
  <c r="AS129" i="103"/>
  <c r="Y71" i="99"/>
  <c r="U99" i="99"/>
  <c r="CJ193" i="101"/>
  <c r="AR135" i="101"/>
  <c r="AP122" i="101"/>
  <c r="P101" i="110"/>
  <c r="AO126" i="101"/>
  <c r="AI128" i="99"/>
  <c r="AA129" i="110"/>
  <c r="Q126" i="99"/>
  <c r="AJ125" i="99"/>
  <c r="AP110" i="96"/>
  <c r="BI110" i="103"/>
  <c r="I73" i="107"/>
  <c r="I48" i="107"/>
  <c r="M73" i="107"/>
  <c r="AR137" i="101"/>
  <c r="AP88" i="96"/>
  <c r="H73" i="107"/>
  <c r="Z126" i="110"/>
  <c r="BJ106" i="103"/>
  <c r="BJ105" i="103"/>
  <c r="BJ108" i="103"/>
  <c r="BJ107" i="103"/>
  <c r="BJ109" i="103"/>
  <c r="AR138" i="101"/>
  <c r="AP124" i="101"/>
  <c r="BV101" i="101"/>
  <c r="AO127" i="101"/>
  <c r="AI125" i="99"/>
  <c r="AA127" i="110"/>
  <c r="BW126" i="101"/>
  <c r="AJ126" i="99"/>
  <c r="AS111" i="96"/>
  <c r="BI111" i="103"/>
  <c r="M48" i="107"/>
  <c r="AT130" i="103"/>
  <c r="AQ130" i="101"/>
  <c r="AO58" i="99"/>
  <c r="BG104" i="103"/>
  <c r="BG101" i="103"/>
  <c r="BG102" i="103"/>
  <c r="BG103" i="103"/>
  <c r="BG100" i="103"/>
  <c r="AR139" i="101"/>
  <c r="AP121" i="101"/>
  <c r="Z125" i="110"/>
  <c r="Y101" i="99"/>
  <c r="AO125" i="101"/>
  <c r="AI126" i="99"/>
  <c r="AQ122" i="103"/>
  <c r="AA125" i="110"/>
  <c r="Q126" i="110"/>
  <c r="AJ128" i="99"/>
  <c r="CE129" i="101"/>
  <c r="BI113" i="103"/>
  <c r="J78" i="107"/>
  <c r="L73" i="107"/>
  <c r="BH105" i="103"/>
  <c r="BH108" i="103"/>
  <c r="BH107" i="103"/>
  <c r="BH106" i="103"/>
  <c r="BH109" i="103"/>
  <c r="W44" i="103"/>
  <c r="BI114" i="103"/>
  <c r="AQ121" i="103"/>
  <c r="F100" i="107"/>
  <c r="X125" i="99"/>
  <c r="AF103" i="110"/>
  <c r="AO129" i="101"/>
  <c r="F78" i="107"/>
  <c r="W76" i="99"/>
  <c r="AQ113" i="96"/>
  <c r="CJ58" i="101"/>
  <c r="N76" i="110"/>
  <c r="Z129" i="110"/>
  <c r="T82" i="97"/>
  <c r="W124" i="103"/>
  <c r="AQ123" i="103"/>
  <c r="AR59" i="96"/>
  <c r="H49" i="107" s="1"/>
  <c r="P71" i="110"/>
  <c r="CE127" i="101"/>
  <c r="BI112" i="103"/>
  <c r="L49" i="107"/>
  <c r="J100" i="107"/>
  <c r="CE128" i="101"/>
  <c r="X116" i="110"/>
  <c r="X119" i="110"/>
  <c r="X115" i="110"/>
  <c r="X117" i="110"/>
  <c r="X118" i="110"/>
  <c r="BT76" i="101"/>
  <c r="Z128" i="110"/>
  <c r="BW71" i="101"/>
  <c r="AS128" i="103"/>
  <c r="AQ124" i="103"/>
  <c r="AP58" i="96"/>
  <c r="F48" i="107" s="1"/>
  <c r="BV71" i="101"/>
  <c r="CE125" i="101"/>
  <c r="M128" i="107"/>
  <c r="K103" i="107"/>
  <c r="M101" i="107"/>
  <c r="I128" i="107"/>
  <c r="I101" i="107"/>
  <c r="U46" i="99"/>
  <c r="AR119" i="103"/>
  <c r="CD113" i="101"/>
  <c r="CD110" i="101"/>
  <c r="CD114" i="101"/>
  <c r="CD111" i="101"/>
  <c r="CD112" i="101"/>
  <c r="N46" i="110"/>
  <c r="AT134" i="103"/>
  <c r="Z71" i="99"/>
  <c r="AS126" i="103"/>
  <c r="BU101" i="101"/>
  <c r="AQ86" i="96"/>
  <c r="BT98" i="101"/>
  <c r="BV47" i="101"/>
  <c r="G103" i="107"/>
  <c r="Q99" i="99"/>
  <c r="W69" i="103"/>
  <c r="AQ133" i="101"/>
  <c r="AI71" i="101"/>
  <c r="AR113" i="96"/>
  <c r="AH114" i="99"/>
  <c r="AH112" i="99"/>
  <c r="AH110" i="99"/>
  <c r="AH111" i="99"/>
  <c r="AH113" i="99"/>
  <c r="W46" i="99"/>
  <c r="AT133" i="103"/>
  <c r="Q71" i="110"/>
  <c r="AS125" i="103"/>
  <c r="X101" i="99"/>
  <c r="AQ137" i="96"/>
  <c r="T57" i="97"/>
  <c r="AI46" i="101" s="1"/>
  <c r="N98" i="110"/>
  <c r="Y47" i="99"/>
  <c r="J127" i="107"/>
  <c r="J48" i="107"/>
  <c r="L126" i="107"/>
  <c r="AF150" i="110"/>
  <c r="K76" i="107"/>
  <c r="G76" i="107"/>
  <c r="L103" i="107"/>
  <c r="H103" i="107"/>
  <c r="G127" i="107"/>
  <c r="K127" i="107"/>
  <c r="AG150" i="110" l="1"/>
  <c r="AH150" i="110" s="1"/>
  <c r="AS150" i="110" s="1"/>
  <c r="CK58" i="101"/>
  <c r="CL58" i="101" s="1"/>
  <c r="AG103" i="110"/>
  <c r="AH103" i="110" s="1"/>
  <c r="AS103" i="110" s="1"/>
  <c r="BT109" i="103"/>
  <c r="BO109" i="103"/>
  <c r="BT106" i="103"/>
  <c r="BO106" i="103"/>
  <c r="BT107" i="103"/>
  <c r="BO107" i="103"/>
  <c r="BO108" i="103"/>
  <c r="BT108" i="103"/>
  <c r="BO105" i="103"/>
  <c r="BI13" i="99" s="1"/>
  <c r="BT105" i="103"/>
  <c r="BN13" i="99" s="1"/>
  <c r="BN100" i="103"/>
  <c r="BH12" i="99" s="1"/>
  <c r="BS100" i="103"/>
  <c r="BM12" i="99" s="1"/>
  <c r="BN103" i="103"/>
  <c r="BS103" i="103"/>
  <c r="BN102" i="103"/>
  <c r="BS102" i="103"/>
  <c r="BN101" i="103"/>
  <c r="BS101" i="103"/>
  <c r="BN104" i="103"/>
  <c r="BS104" i="103"/>
  <c r="AP58" i="99"/>
  <c r="AQ58" i="99" s="1"/>
  <c r="BB58" i="99" s="1"/>
  <c r="BV109" i="103"/>
  <c r="BQ109" i="103"/>
  <c r="BV107" i="103"/>
  <c r="BQ107" i="103"/>
  <c r="BV108" i="103"/>
  <c r="BQ108" i="103"/>
  <c r="BV105" i="103"/>
  <c r="BP13" i="99" s="1"/>
  <c r="BQ105" i="103"/>
  <c r="BK13" i="99" s="1"/>
  <c r="BV106" i="103"/>
  <c r="BQ106" i="103"/>
  <c r="CK193" i="101"/>
  <c r="CL193" i="101" s="1"/>
  <c r="AP103" i="99"/>
  <c r="AQ103" i="99" s="1"/>
  <c r="BB103" i="99" s="1"/>
  <c r="CK103" i="101"/>
  <c r="CL103" i="101" s="1"/>
  <c r="AA69" i="99"/>
  <c r="AH192" i="110"/>
  <c r="AS192" i="110" s="1"/>
  <c r="AG193" i="110"/>
  <c r="BX69" i="101"/>
  <c r="R44" i="110"/>
  <c r="AQ192" i="99"/>
  <c r="BB192" i="99" s="1"/>
  <c r="AP193" i="99"/>
  <c r="BA16" i="103"/>
  <c r="V69" i="99"/>
  <c r="AZ15" i="103"/>
  <c r="V42" i="99"/>
  <c r="BA59" i="103"/>
  <c r="AZ58" i="103"/>
  <c r="BC59" i="103"/>
  <c r="BC16" i="103"/>
  <c r="V121" i="99"/>
  <c r="BX43" i="101"/>
  <c r="R69" i="110"/>
  <c r="AA43" i="99"/>
  <c r="BX121" i="101"/>
  <c r="AJ126" i="101"/>
  <c r="AJ46" i="101"/>
  <c r="AJ99" i="101"/>
  <c r="AJ71" i="101"/>
  <c r="BP112" i="103"/>
  <c r="BU112" i="103"/>
  <c r="BU114" i="103"/>
  <c r="BP114" i="103"/>
  <c r="BP113" i="103"/>
  <c r="BU113" i="103"/>
  <c r="BP111" i="103"/>
  <c r="BU111" i="103"/>
  <c r="BU110" i="103"/>
  <c r="BO14" i="99" s="1"/>
  <c r="BP110" i="103"/>
  <c r="BJ14" i="99" s="1"/>
  <c r="AA124" i="99"/>
  <c r="R124" i="110"/>
  <c r="BJ132" i="101"/>
  <c r="BJ134" i="101"/>
  <c r="BJ131" i="101"/>
  <c r="BJ130" i="101"/>
  <c r="Z26" i="101" s="1"/>
  <c r="BJ133" i="101"/>
  <c r="AA98" i="99"/>
  <c r="R98" i="110"/>
  <c r="BX98" i="101"/>
  <c r="O126" i="103"/>
  <c r="AG126" i="108"/>
  <c r="O46" i="103"/>
  <c r="AG46" i="108"/>
  <c r="BH129" i="101"/>
  <c r="BH125" i="101"/>
  <c r="X25" i="101" s="1"/>
  <c r="BH127" i="101"/>
  <c r="BH126" i="101"/>
  <c r="BH128" i="101"/>
  <c r="O99" i="103"/>
  <c r="AG99" i="108"/>
  <c r="AG71" i="108"/>
  <c r="O71" i="103"/>
  <c r="BI121" i="101"/>
  <c r="BI124" i="101"/>
  <c r="BI122" i="101"/>
  <c r="BI123" i="101"/>
  <c r="BI120" i="101"/>
  <c r="Y24" i="101" s="1"/>
  <c r="BK137" i="101"/>
  <c r="BK139" i="101"/>
  <c r="BK138" i="101"/>
  <c r="BK135" i="101"/>
  <c r="AA27" i="101" s="1"/>
  <c r="BK136" i="101"/>
  <c r="BB60" i="103"/>
  <c r="AB124" i="108"/>
  <c r="Z125" i="108"/>
  <c r="AB47" i="108"/>
  <c r="AK70" i="103"/>
  <c r="AL70" i="103" s="1"/>
  <c r="Z98" i="108"/>
  <c r="AB71" i="108"/>
  <c r="AC126" i="108"/>
  <c r="AC46" i="108"/>
  <c r="BB17" i="103"/>
  <c r="V96" i="99"/>
  <c r="AK98" i="103"/>
  <c r="AL98" i="103" s="1"/>
  <c r="AA125" i="108"/>
  <c r="AK125" i="103"/>
  <c r="AL125" i="103" s="1"/>
  <c r="AA101" i="108"/>
  <c r="AK45" i="103"/>
  <c r="AL45" i="103" s="1"/>
  <c r="AC99" i="108"/>
  <c r="AC71" i="108"/>
  <c r="AB101" i="108"/>
  <c r="AA47" i="108"/>
  <c r="AA74" i="108"/>
  <c r="Z46" i="108"/>
  <c r="Z76" i="108"/>
  <c r="N59" i="97"/>
  <c r="M110" i="97"/>
  <c r="P58" i="97"/>
  <c r="O83" i="97"/>
  <c r="P111" i="97"/>
  <c r="N137" i="97"/>
  <c r="M137" i="97"/>
  <c r="P138" i="97"/>
  <c r="N86" i="97"/>
  <c r="O113" i="97"/>
  <c r="O136" i="97"/>
  <c r="N113" i="97"/>
  <c r="O59" i="97"/>
  <c r="M88" i="97"/>
  <c r="P83" i="97"/>
  <c r="M58" i="97"/>
  <c r="BH113" i="103"/>
  <c r="BH111" i="103"/>
  <c r="BH114" i="103"/>
  <c r="BH112" i="103"/>
  <c r="BH110" i="103"/>
  <c r="AA134" i="110"/>
  <c r="Q72" i="99"/>
  <c r="CE133" i="101"/>
  <c r="Z131" i="110"/>
  <c r="AT136" i="103"/>
  <c r="AP127" i="101"/>
  <c r="X48" i="99"/>
  <c r="AS133" i="103"/>
  <c r="W77" i="99"/>
  <c r="AR123" i="103"/>
  <c r="AS112" i="96"/>
  <c r="T83" i="97"/>
  <c r="AR121" i="103"/>
  <c r="Q127" i="110"/>
  <c r="AP89" i="96"/>
  <c r="AO132" i="101"/>
  <c r="CJ150" i="101"/>
  <c r="AS132" i="103"/>
  <c r="AF59" i="110"/>
  <c r="BG107" i="103"/>
  <c r="BG105" i="103"/>
  <c r="BG109" i="103"/>
  <c r="BG108" i="103"/>
  <c r="BG106" i="103"/>
  <c r="AA130" i="110"/>
  <c r="U72" i="99"/>
  <c r="U127" i="99"/>
  <c r="AT138" i="103"/>
  <c r="AP128" i="101"/>
  <c r="O48" i="110"/>
  <c r="AS131" i="103"/>
  <c r="AP59" i="96"/>
  <c r="AP111" i="96"/>
  <c r="F101" i="107" s="1"/>
  <c r="AI72" i="101"/>
  <c r="AI131" i="99"/>
  <c r="Q100" i="99"/>
  <c r="AI132" i="99"/>
  <c r="W125" i="103"/>
  <c r="Z72" i="99"/>
  <c r="Q127" i="99"/>
  <c r="AT139" i="103"/>
  <c r="AP129" i="101"/>
  <c r="U100" i="99"/>
  <c r="AS130" i="103"/>
  <c r="AQ138" i="96"/>
  <c r="I102" i="107"/>
  <c r="AQ135" i="101"/>
  <c r="W99" i="99"/>
  <c r="AI134" i="99"/>
  <c r="U47" i="99"/>
  <c r="Q72" i="110"/>
  <c r="Z127" i="99"/>
  <c r="AT135" i="103"/>
  <c r="AP126" i="101"/>
  <c r="T111" i="97"/>
  <c r="AI100" i="101" s="1"/>
  <c r="BI116" i="103"/>
  <c r="AS134" i="103"/>
  <c r="AR114" i="96"/>
  <c r="M102" i="107"/>
  <c r="AQ87" i="96"/>
  <c r="K77" i="107" s="1"/>
  <c r="Q100" i="110"/>
  <c r="AI130" i="99"/>
  <c r="T58" i="97"/>
  <c r="AR137" i="96"/>
  <c r="BW127" i="101"/>
  <c r="AP138" i="96"/>
  <c r="BW100" i="101"/>
  <c r="BI118" i="103"/>
  <c r="BT99" i="101"/>
  <c r="AS84" i="96"/>
  <c r="F49" i="107"/>
  <c r="BJ111" i="103"/>
  <c r="BJ113" i="103"/>
  <c r="BJ112" i="103"/>
  <c r="BJ114" i="103"/>
  <c r="BJ110" i="103"/>
  <c r="AI133" i="99"/>
  <c r="BW47" i="101"/>
  <c r="AQ137" i="101"/>
  <c r="AO133" i="101"/>
  <c r="Y72" i="99"/>
  <c r="Z100" i="99"/>
  <c r="BI119" i="103"/>
  <c r="BU126" i="101"/>
  <c r="O102" i="110"/>
  <c r="J128" i="107"/>
  <c r="J101" i="107"/>
  <c r="AR141" i="101"/>
  <c r="W126" i="99"/>
  <c r="AQ60" i="96"/>
  <c r="AH115" i="99"/>
  <c r="AH118" i="99"/>
  <c r="AH116" i="99"/>
  <c r="AH119" i="99"/>
  <c r="AH117" i="99"/>
  <c r="CC118" i="101"/>
  <c r="CC117" i="101"/>
  <c r="CC116" i="101"/>
  <c r="CC119" i="101"/>
  <c r="CC115" i="101"/>
  <c r="AR142" i="101"/>
  <c r="Z47" i="99"/>
  <c r="AQ136" i="101"/>
  <c r="AO130" i="101"/>
  <c r="BV72" i="101"/>
  <c r="O75" i="110"/>
  <c r="W98" i="103"/>
  <c r="O126" i="110"/>
  <c r="BU102" i="101"/>
  <c r="F128" i="107"/>
  <c r="G128" i="107"/>
  <c r="AQ139" i="101"/>
  <c r="AS139" i="96"/>
  <c r="K128" i="107"/>
  <c r="Y117" i="110"/>
  <c r="Y115" i="110"/>
  <c r="Y118" i="110"/>
  <c r="Y119" i="110"/>
  <c r="Y116" i="110"/>
  <c r="AO131" i="101"/>
  <c r="X75" i="99"/>
  <c r="X126" i="99"/>
  <c r="M129" i="107"/>
  <c r="AO195" i="99"/>
  <c r="AG115" i="99"/>
  <c r="AG119" i="99"/>
  <c r="AG118" i="99"/>
  <c r="AG116" i="99"/>
  <c r="AG117" i="99"/>
  <c r="AR140" i="101"/>
  <c r="N126" i="110"/>
  <c r="AQ138" i="101"/>
  <c r="AO134" i="101"/>
  <c r="AR60" i="96"/>
  <c r="AQ125" i="103"/>
  <c r="BU75" i="101"/>
  <c r="AJ131" i="99"/>
  <c r="Y102" i="99"/>
  <c r="I129" i="107"/>
  <c r="L104" i="107"/>
  <c r="BI117" i="103"/>
  <c r="J49" i="107"/>
  <c r="BI115" i="103"/>
  <c r="CD115" i="101"/>
  <c r="CD118" i="101"/>
  <c r="CD117" i="101"/>
  <c r="CD119" i="101"/>
  <c r="CD116" i="101"/>
  <c r="CF117" i="101"/>
  <c r="CF118" i="101"/>
  <c r="CF119" i="101"/>
  <c r="CF116" i="101"/>
  <c r="CF115" i="101"/>
  <c r="AR143" i="101"/>
  <c r="BT126" i="101"/>
  <c r="CE134" i="101"/>
  <c r="Z132" i="110"/>
  <c r="N47" i="110"/>
  <c r="AQ129" i="103"/>
  <c r="P48" i="110"/>
  <c r="AJ133" i="99"/>
  <c r="P102" i="110"/>
  <c r="L50" i="107"/>
  <c r="H104" i="107"/>
  <c r="AP125" i="101"/>
  <c r="G77" i="107"/>
  <c r="BW72" i="101"/>
  <c r="X123" i="110"/>
  <c r="X121" i="110"/>
  <c r="X124" i="110"/>
  <c r="X122" i="110"/>
  <c r="X120" i="110"/>
  <c r="AF195" i="110"/>
  <c r="AR144" i="101"/>
  <c r="W70" i="103"/>
  <c r="P125" i="110"/>
  <c r="CE132" i="101"/>
  <c r="Z133" i="110"/>
  <c r="BT47" i="101"/>
  <c r="AQ127" i="103"/>
  <c r="Y48" i="99"/>
  <c r="AJ134" i="99"/>
  <c r="BV102" i="101"/>
  <c r="AR120" i="103"/>
  <c r="H50" i="107"/>
  <c r="J79" i="107"/>
  <c r="I74" i="107"/>
  <c r="AT137" i="103"/>
  <c r="AI47" i="101"/>
  <c r="N99" i="110"/>
  <c r="AA131" i="110"/>
  <c r="BV125" i="101"/>
  <c r="CE131" i="101"/>
  <c r="Z130" i="110"/>
  <c r="W47" i="99"/>
  <c r="AQ126" i="103"/>
  <c r="BV48" i="101"/>
  <c r="AJ130" i="99"/>
  <c r="N77" i="110"/>
  <c r="AR124" i="103"/>
  <c r="F79" i="107"/>
  <c r="T138" i="97"/>
  <c r="AI127" i="101" s="1"/>
  <c r="W45" i="103"/>
  <c r="Q47" i="99"/>
  <c r="P72" i="110"/>
  <c r="AO150" i="99"/>
  <c r="AA133" i="110"/>
  <c r="Y125" i="99"/>
  <c r="CE130" i="101"/>
  <c r="Z134" i="110"/>
  <c r="AQ114" i="96"/>
  <c r="G104" i="107" s="1"/>
  <c r="AQ128" i="103"/>
  <c r="AJ132" i="99"/>
  <c r="BT77" i="101"/>
  <c r="AR122" i="103"/>
  <c r="AR84" i="96"/>
  <c r="L74" i="107" s="1"/>
  <c r="K104" i="107"/>
  <c r="M74" i="107"/>
  <c r="AA132" i="110"/>
  <c r="BU48" i="101"/>
  <c r="H74" i="107"/>
  <c r="AS59" i="96"/>
  <c r="Q47" i="110"/>
  <c r="X102" i="99"/>
  <c r="L127" i="107"/>
  <c r="H127" i="107"/>
  <c r="G50" i="107"/>
  <c r="K50" i="107"/>
  <c r="I49" i="107"/>
  <c r="M49" i="107"/>
  <c r="AP150" i="99" l="1"/>
  <c r="AQ150" i="99" s="1"/>
  <c r="BB150" i="99" s="1"/>
  <c r="BQ110" i="103"/>
  <c r="BK14" i="99" s="1"/>
  <c r="BV110" i="103"/>
  <c r="BP14" i="99" s="1"/>
  <c r="BV114" i="103"/>
  <c r="BQ114" i="103"/>
  <c r="BQ112" i="103"/>
  <c r="BV112" i="103"/>
  <c r="BV113" i="103"/>
  <c r="BQ113" i="103"/>
  <c r="BV111" i="103"/>
  <c r="BQ111" i="103"/>
  <c r="BN106" i="103"/>
  <c r="BS106" i="103"/>
  <c r="BN108" i="103"/>
  <c r="BS108" i="103"/>
  <c r="BN109" i="103"/>
  <c r="BS109" i="103"/>
  <c r="BN105" i="103"/>
  <c r="BH13" i="99" s="1"/>
  <c r="BS105" i="103"/>
  <c r="BM13" i="99" s="1"/>
  <c r="BN107" i="103"/>
  <c r="BS107" i="103"/>
  <c r="AG59" i="110"/>
  <c r="AH59" i="110" s="1"/>
  <c r="AS59" i="110" s="1"/>
  <c r="CK150" i="101"/>
  <c r="CL150" i="101" s="1"/>
  <c r="BO110" i="103"/>
  <c r="BI14" i="99" s="1"/>
  <c r="BT110" i="103"/>
  <c r="BN14" i="99" s="1"/>
  <c r="BO112" i="103"/>
  <c r="BT112" i="103"/>
  <c r="BO114" i="103"/>
  <c r="BT114" i="103"/>
  <c r="BO111" i="103"/>
  <c r="BT111" i="103"/>
  <c r="BT113" i="103"/>
  <c r="BO113" i="103"/>
  <c r="AQ193" i="99"/>
  <c r="BB193" i="99" s="1"/>
  <c r="AP194" i="99"/>
  <c r="AQ194" i="99" s="1"/>
  <c r="BB194" i="99" s="1"/>
  <c r="R45" i="110"/>
  <c r="BX122" i="101"/>
  <c r="BX70" i="101"/>
  <c r="AA44" i="99"/>
  <c r="AH193" i="110"/>
  <c r="AS193" i="110" s="1"/>
  <c r="AG194" i="110"/>
  <c r="AH194" i="110" s="1"/>
  <c r="AS194" i="110" s="1"/>
  <c r="R70" i="110"/>
  <c r="BX44" i="101"/>
  <c r="AA70" i="99"/>
  <c r="V122" i="99"/>
  <c r="BC17" i="103"/>
  <c r="BC60" i="103"/>
  <c r="AZ16" i="103"/>
  <c r="V43" i="99"/>
  <c r="AZ59" i="103"/>
  <c r="BA17" i="103"/>
  <c r="V70" i="99"/>
  <c r="BA60" i="103"/>
  <c r="AJ100" i="101"/>
  <c r="AJ127" i="101"/>
  <c r="AJ72" i="101"/>
  <c r="AJ47" i="101"/>
  <c r="M89" i="97"/>
  <c r="AA99" i="99"/>
  <c r="BX99" i="101"/>
  <c r="R99" i="110"/>
  <c r="BP119" i="103"/>
  <c r="BU119" i="103"/>
  <c r="BU115" i="103"/>
  <c r="BO15" i="99" s="1"/>
  <c r="BP115" i="103"/>
  <c r="BJ15" i="99" s="1"/>
  <c r="BP118" i="103"/>
  <c r="BU118" i="103"/>
  <c r="BU117" i="103"/>
  <c r="BP117" i="103"/>
  <c r="BU116" i="103"/>
  <c r="BP116" i="103"/>
  <c r="O100" i="103"/>
  <c r="AG100" i="108"/>
  <c r="BI126" i="101"/>
  <c r="BI129" i="101"/>
  <c r="BI128" i="101"/>
  <c r="BI125" i="101"/>
  <c r="Y25" i="101" s="1"/>
  <c r="BI127" i="101"/>
  <c r="BH134" i="101"/>
  <c r="BH131" i="101"/>
  <c r="BH130" i="101"/>
  <c r="X26" i="101" s="1"/>
  <c r="BH133" i="101"/>
  <c r="BH132" i="101"/>
  <c r="O127" i="103"/>
  <c r="AG127" i="108"/>
  <c r="BJ138" i="101"/>
  <c r="BJ139" i="101"/>
  <c r="BJ136" i="101"/>
  <c r="BJ137" i="101"/>
  <c r="BJ135" i="101"/>
  <c r="Z27" i="101" s="1"/>
  <c r="AG72" i="108"/>
  <c r="O72" i="103"/>
  <c r="AA125" i="99"/>
  <c r="R125" i="110"/>
  <c r="AG47" i="108"/>
  <c r="O47" i="103"/>
  <c r="BK144" i="101"/>
  <c r="BK143" i="101"/>
  <c r="BK140" i="101"/>
  <c r="AA28" i="101" s="1"/>
  <c r="BK141" i="101"/>
  <c r="BK142" i="101"/>
  <c r="AA102" i="108"/>
  <c r="AK99" i="103"/>
  <c r="AL99" i="103" s="1"/>
  <c r="Z77" i="108"/>
  <c r="AB102" i="108"/>
  <c r="AA126" i="108"/>
  <c r="Z99" i="108"/>
  <c r="BB18" i="103"/>
  <c r="V97" i="99"/>
  <c r="AK126" i="103"/>
  <c r="AL126" i="103" s="1"/>
  <c r="BB61" i="103"/>
  <c r="AB48" i="108"/>
  <c r="AA75" i="108"/>
  <c r="AC100" i="108"/>
  <c r="AA48" i="108"/>
  <c r="Z47" i="108"/>
  <c r="AB72" i="108"/>
  <c r="AK46" i="103"/>
  <c r="AL46" i="103" s="1"/>
  <c r="AK71" i="103"/>
  <c r="AL71" i="103" s="1"/>
  <c r="AC127" i="108"/>
  <c r="AC72" i="108"/>
  <c r="AB125" i="108"/>
  <c r="Z126" i="108"/>
  <c r="AC47" i="108"/>
  <c r="N114" i="97"/>
  <c r="O84" i="97"/>
  <c r="P84" i="97"/>
  <c r="P59" i="97"/>
  <c r="O137" i="97"/>
  <c r="N138" i="97"/>
  <c r="M111" i="97"/>
  <c r="M59" i="97"/>
  <c r="M138" i="97"/>
  <c r="O114" i="97"/>
  <c r="N87" i="97"/>
  <c r="P112" i="97"/>
  <c r="N60" i="97"/>
  <c r="P139" i="97"/>
  <c r="O60" i="97"/>
  <c r="AT141" i="103"/>
  <c r="AR146" i="101"/>
  <c r="W126" i="103"/>
  <c r="X49" i="99"/>
  <c r="AR125" i="103"/>
  <c r="Q128" i="99"/>
  <c r="BU76" i="101"/>
  <c r="AQ88" i="96"/>
  <c r="BW48" i="101"/>
  <c r="AI136" i="99"/>
  <c r="Y120" i="110"/>
  <c r="Y121" i="110"/>
  <c r="Y124" i="110"/>
  <c r="Y123" i="110"/>
  <c r="Y122" i="110"/>
  <c r="AT140" i="103"/>
  <c r="AQ130" i="103"/>
  <c r="BU49" i="101"/>
  <c r="AR129" i="103"/>
  <c r="T139" i="97"/>
  <c r="BV49" i="101"/>
  <c r="AR61" i="96"/>
  <c r="Z48" i="99"/>
  <c r="AI137" i="99"/>
  <c r="H51" i="107"/>
  <c r="CJ194" i="101"/>
  <c r="CC122" i="101"/>
  <c r="CC123" i="101"/>
  <c r="CC124" i="101"/>
  <c r="CC121" i="101"/>
  <c r="CC120" i="101"/>
  <c r="AT143" i="103"/>
  <c r="AQ133" i="103"/>
  <c r="O49" i="110"/>
  <c r="AR126" i="103"/>
  <c r="Z128" i="99"/>
  <c r="P49" i="110"/>
  <c r="AJ139" i="99"/>
  <c r="N48" i="110"/>
  <c r="AI139" i="99"/>
  <c r="CJ104" i="101"/>
  <c r="AH123" i="99"/>
  <c r="AH124" i="99"/>
  <c r="AH121" i="99"/>
  <c r="AH120" i="99"/>
  <c r="AH122" i="99"/>
  <c r="AP60" i="96"/>
  <c r="AQ131" i="103"/>
  <c r="AP131" i="101"/>
  <c r="AQ115" i="96"/>
  <c r="BW128" i="101"/>
  <c r="Y49" i="99"/>
  <c r="AJ135" i="99"/>
  <c r="W48" i="99"/>
  <c r="K78" i="107"/>
  <c r="L51" i="107"/>
  <c r="AI138" i="99"/>
  <c r="AO59" i="99"/>
  <c r="AQ140" i="101"/>
  <c r="AQ132" i="103"/>
  <c r="AP132" i="101"/>
  <c r="AR138" i="96"/>
  <c r="H128" i="107" s="1"/>
  <c r="Q128" i="110"/>
  <c r="AR85" i="96"/>
  <c r="L75" i="107" s="1"/>
  <c r="AJ137" i="99"/>
  <c r="BT48" i="101"/>
  <c r="G78" i="107"/>
  <c r="Q48" i="99"/>
  <c r="AR149" i="101"/>
  <c r="AR128" i="103"/>
  <c r="AP112" i="96"/>
  <c r="BJ118" i="103"/>
  <c r="BJ119" i="103"/>
  <c r="BJ116" i="103"/>
  <c r="BJ115" i="103"/>
  <c r="BJ117" i="103"/>
  <c r="AQ144" i="101"/>
  <c r="AQ134" i="103"/>
  <c r="AP134" i="101"/>
  <c r="AP139" i="96"/>
  <c r="CE138" i="101"/>
  <c r="AQ139" i="96"/>
  <c r="T84" i="97"/>
  <c r="AI73" i="101" s="1"/>
  <c r="AJ138" i="99"/>
  <c r="U101" i="99"/>
  <c r="AI128" i="101"/>
  <c r="AF104" i="110"/>
  <c r="AQ142" i="101"/>
  <c r="AA137" i="110"/>
  <c r="W71" i="103"/>
  <c r="AP133" i="101"/>
  <c r="AQ61" i="96"/>
  <c r="CE137" i="101"/>
  <c r="AR115" i="96"/>
  <c r="H105" i="107" s="1"/>
  <c r="Q73" i="99"/>
  <c r="AJ136" i="99"/>
  <c r="T112" i="97"/>
  <c r="CJ59" i="101"/>
  <c r="BG112" i="103"/>
  <c r="BG110" i="103"/>
  <c r="BG114" i="103"/>
  <c r="BG111" i="103"/>
  <c r="BG113" i="103"/>
  <c r="AQ143" i="101"/>
  <c r="AA138" i="110"/>
  <c r="BU103" i="101"/>
  <c r="AP130" i="101"/>
  <c r="AO135" i="101"/>
  <c r="CE136" i="101"/>
  <c r="AS140" i="96"/>
  <c r="U73" i="99"/>
  <c r="Q101" i="99"/>
  <c r="H75" i="107"/>
  <c r="AS85" i="96"/>
  <c r="I75" i="107" s="1"/>
  <c r="AS136" i="103"/>
  <c r="L128" i="107"/>
  <c r="AO104" i="99"/>
  <c r="AQ141" i="101"/>
  <c r="AA139" i="110"/>
  <c r="O103" i="110"/>
  <c r="AO139" i="101"/>
  <c r="CE139" i="101"/>
  <c r="N78" i="110"/>
  <c r="Z73" i="99"/>
  <c r="Q101" i="110"/>
  <c r="O127" i="110"/>
  <c r="K129" i="107"/>
  <c r="AI101" i="101"/>
  <c r="U128" i="99"/>
  <c r="Y103" i="99"/>
  <c r="AA136" i="110"/>
  <c r="X103" i="99"/>
  <c r="AO137" i="101"/>
  <c r="CE135" i="101"/>
  <c r="BT78" i="101"/>
  <c r="BW73" i="101"/>
  <c r="BI123" i="103"/>
  <c r="Z101" i="99"/>
  <c r="X127" i="99"/>
  <c r="G129" i="107"/>
  <c r="BU127" i="101"/>
  <c r="BH117" i="103"/>
  <c r="BH119" i="103"/>
  <c r="BH118" i="103"/>
  <c r="BH116" i="103"/>
  <c r="BH115" i="103"/>
  <c r="BV103" i="101"/>
  <c r="AA135" i="110"/>
  <c r="P126" i="110"/>
  <c r="AO138" i="101"/>
  <c r="W78" i="99"/>
  <c r="Q73" i="110"/>
  <c r="BI120" i="103"/>
  <c r="BW101" i="101"/>
  <c r="X129" i="110"/>
  <c r="X127" i="110"/>
  <c r="X128" i="110"/>
  <c r="X125" i="110"/>
  <c r="X126" i="110"/>
  <c r="P103" i="110"/>
  <c r="AS138" i="103"/>
  <c r="Y126" i="99"/>
  <c r="AO136" i="101"/>
  <c r="Z139" i="110"/>
  <c r="BT100" i="101"/>
  <c r="BI124" i="103"/>
  <c r="W99" i="103"/>
  <c r="F50" i="107"/>
  <c r="L105" i="107"/>
  <c r="I130" i="107"/>
  <c r="Q48" i="110"/>
  <c r="CF121" i="101"/>
  <c r="CF123" i="101"/>
  <c r="CF122" i="101"/>
  <c r="CF120" i="101"/>
  <c r="CF124" i="101"/>
  <c r="AR145" i="101"/>
  <c r="AS135" i="103"/>
  <c r="BV126" i="101"/>
  <c r="P73" i="110"/>
  <c r="Z138" i="110"/>
  <c r="W100" i="99"/>
  <c r="BI121" i="103"/>
  <c r="U48" i="99"/>
  <c r="AS60" i="96"/>
  <c r="J50" i="107"/>
  <c r="M130" i="107"/>
  <c r="G105" i="107"/>
  <c r="X76" i="99"/>
  <c r="CD123" i="101"/>
  <c r="CD120" i="101"/>
  <c r="CD122" i="101"/>
  <c r="CD121" i="101"/>
  <c r="CD124" i="101"/>
  <c r="AR147" i="101"/>
  <c r="AS139" i="103"/>
  <c r="W127" i="99"/>
  <c r="W46" i="103"/>
  <c r="BV73" i="101"/>
  <c r="Z137" i="110"/>
  <c r="N100" i="110"/>
  <c r="BI122" i="103"/>
  <c r="T59" i="97"/>
  <c r="AI48" i="101" s="1"/>
  <c r="AS113" i="96"/>
  <c r="K105" i="107"/>
  <c r="AI135" i="99"/>
  <c r="AG124" i="99"/>
  <c r="AG122" i="99"/>
  <c r="AG120" i="99"/>
  <c r="AG121" i="99"/>
  <c r="AG123" i="99"/>
  <c r="AT142" i="103"/>
  <c r="AR148" i="101"/>
  <c r="AS137" i="103"/>
  <c r="N127" i="110"/>
  <c r="AR127" i="103"/>
  <c r="Y73" i="99"/>
  <c r="Z135" i="110"/>
  <c r="O76" i="110"/>
  <c r="AT144" i="103"/>
  <c r="BT127" i="101"/>
  <c r="Z136" i="110"/>
  <c r="M75" i="107"/>
  <c r="AF151" i="110"/>
  <c r="J102" i="107"/>
  <c r="F102" i="107"/>
  <c r="F129" i="107"/>
  <c r="J129" i="107"/>
  <c r="G51" i="107"/>
  <c r="K51" i="107"/>
  <c r="I50" i="107"/>
  <c r="M50" i="107"/>
  <c r="M103" i="107"/>
  <c r="I103" i="107"/>
  <c r="AG151" i="110" l="1"/>
  <c r="BO115" i="103"/>
  <c r="BI15" i="99" s="1"/>
  <c r="BT115" i="103"/>
  <c r="BN15" i="99" s="1"/>
  <c r="BT116" i="103"/>
  <c r="BO116" i="103"/>
  <c r="BO118" i="103"/>
  <c r="BT118" i="103"/>
  <c r="BT119" i="103"/>
  <c r="BO119" i="103"/>
  <c r="BT117" i="103"/>
  <c r="BO117" i="103"/>
  <c r="AP104" i="99"/>
  <c r="AQ104" i="99" s="1"/>
  <c r="BB104" i="99" s="1"/>
  <c r="BN113" i="103"/>
  <c r="BS113" i="103"/>
  <c r="BN111" i="103"/>
  <c r="BS111" i="103"/>
  <c r="BN114" i="103"/>
  <c r="BS114" i="103"/>
  <c r="BN110" i="103"/>
  <c r="BH14" i="99" s="1"/>
  <c r="BS110" i="103"/>
  <c r="BM14" i="99" s="1"/>
  <c r="BN112" i="103"/>
  <c r="BS112" i="103"/>
  <c r="CK59" i="101"/>
  <c r="CL59" i="101" s="1"/>
  <c r="AG104" i="110"/>
  <c r="AH104" i="110" s="1"/>
  <c r="AS104" i="110" s="1"/>
  <c r="BQ117" i="103"/>
  <c r="BV117" i="103"/>
  <c r="BQ115" i="103"/>
  <c r="BK15" i="99" s="1"/>
  <c r="BV115" i="103"/>
  <c r="BP15" i="99" s="1"/>
  <c r="BV116" i="103"/>
  <c r="BQ116" i="103"/>
  <c r="BV119" i="103"/>
  <c r="BQ119" i="103"/>
  <c r="BQ118" i="103"/>
  <c r="BV118" i="103"/>
  <c r="AP59" i="99"/>
  <c r="AQ59" i="99" s="1"/>
  <c r="BB59" i="99" s="1"/>
  <c r="CK104" i="101"/>
  <c r="CL104" i="101" s="1"/>
  <c r="CK194" i="101"/>
  <c r="CL194" i="101" s="1"/>
  <c r="AA45" i="99"/>
  <c r="BX71" i="101"/>
  <c r="BX123" i="101"/>
  <c r="BA18" i="103"/>
  <c r="V71" i="99"/>
  <c r="R46" i="110"/>
  <c r="BA61" i="103"/>
  <c r="AZ17" i="103"/>
  <c r="V44" i="99"/>
  <c r="AZ60" i="103"/>
  <c r="BC61" i="103"/>
  <c r="AP195" i="99"/>
  <c r="AQ195" i="99" s="1"/>
  <c r="BB195" i="99" s="1"/>
  <c r="BC18" i="103"/>
  <c r="V123" i="99"/>
  <c r="AA71" i="99"/>
  <c r="BX45" i="101"/>
  <c r="R71" i="110"/>
  <c r="AG195" i="110"/>
  <c r="AH195" i="110" s="1"/>
  <c r="AS195" i="110" s="1"/>
  <c r="AJ101" i="101"/>
  <c r="AJ48" i="101"/>
  <c r="AJ73" i="101"/>
  <c r="AJ128" i="101"/>
  <c r="O101" i="103"/>
  <c r="AG101" i="108"/>
  <c r="O48" i="103"/>
  <c r="AG48" i="108"/>
  <c r="BP122" i="103"/>
  <c r="BU122" i="103"/>
  <c r="BP121" i="103"/>
  <c r="BU121" i="103"/>
  <c r="BP124" i="103"/>
  <c r="BU124" i="103"/>
  <c r="BP120" i="103"/>
  <c r="BJ16" i="99" s="1"/>
  <c r="BU120" i="103"/>
  <c r="BO16" i="99" s="1"/>
  <c r="BU123" i="103"/>
  <c r="BP123" i="103"/>
  <c r="R100" i="110"/>
  <c r="AA100" i="99"/>
  <c r="BX100" i="101"/>
  <c r="O73" i="103"/>
  <c r="AG73" i="108"/>
  <c r="O115" i="97"/>
  <c r="AG128" i="108"/>
  <c r="O128" i="103"/>
  <c r="BH136" i="101"/>
  <c r="BH138" i="101"/>
  <c r="BH137" i="101"/>
  <c r="BH139" i="101"/>
  <c r="BH135" i="101"/>
  <c r="X27" i="101" s="1"/>
  <c r="N115" i="97"/>
  <c r="BI130" i="101"/>
  <c r="Y26" i="101" s="1"/>
  <c r="BI133" i="101"/>
  <c r="BI134" i="101"/>
  <c r="BI132" i="101"/>
  <c r="BI131" i="101"/>
  <c r="AA126" i="99"/>
  <c r="R126" i="110"/>
  <c r="BK146" i="101"/>
  <c r="BK149" i="101"/>
  <c r="BK148" i="101"/>
  <c r="BK147" i="101"/>
  <c r="BK145" i="101"/>
  <c r="AA29" i="101" s="1"/>
  <c r="BJ141" i="101"/>
  <c r="BJ143" i="101"/>
  <c r="BJ142" i="101"/>
  <c r="BJ144" i="101"/>
  <c r="BJ140" i="101"/>
  <c r="Z28" i="101" s="1"/>
  <c r="AA127" i="108"/>
  <c r="AC101" i="108"/>
  <c r="Z48" i="108"/>
  <c r="AC48" i="108"/>
  <c r="BB19" i="103"/>
  <c r="V98" i="99"/>
  <c r="BB62" i="103"/>
  <c r="AK47" i="103"/>
  <c r="AL47" i="103" s="1"/>
  <c r="AK72" i="103"/>
  <c r="AL72" i="103" s="1"/>
  <c r="AK100" i="103"/>
  <c r="AL100" i="103" s="1"/>
  <c r="AB49" i="108"/>
  <c r="AA76" i="108"/>
  <c r="Z100" i="108"/>
  <c r="AC73" i="108"/>
  <c r="Z78" i="108"/>
  <c r="AK127" i="103"/>
  <c r="AL127" i="103" s="1"/>
  <c r="AC128" i="108"/>
  <c r="AB73" i="108"/>
  <c r="AA49" i="108"/>
  <c r="Z127" i="108"/>
  <c r="AB126" i="108"/>
  <c r="AA103" i="108"/>
  <c r="AB103" i="108"/>
  <c r="P60" i="97"/>
  <c r="P113" i="97"/>
  <c r="P85" i="97"/>
  <c r="M112" i="97"/>
  <c r="N88" i="97"/>
  <c r="N139" i="97"/>
  <c r="O85" i="97"/>
  <c r="M60" i="97"/>
  <c r="P140" i="97"/>
  <c r="N61" i="97"/>
  <c r="O138" i="97"/>
  <c r="O61" i="97"/>
  <c r="M139" i="97"/>
  <c r="BG115" i="103"/>
  <c r="BG116" i="103"/>
  <c r="BG119" i="103"/>
  <c r="BG117" i="103"/>
  <c r="BG118" i="103"/>
  <c r="AJ143" i="99"/>
  <c r="T60" i="97"/>
  <c r="N128" i="110"/>
  <c r="W47" i="103"/>
  <c r="Z102" i="99"/>
  <c r="W72" i="103"/>
  <c r="Z140" i="110"/>
  <c r="AQ146" i="101"/>
  <c r="AP113" i="96"/>
  <c r="Z49" i="99"/>
  <c r="AT147" i="103"/>
  <c r="AF60" i="110"/>
  <c r="O128" i="110"/>
  <c r="Q49" i="99"/>
  <c r="AP136" i="101"/>
  <c r="AQ89" i="96"/>
  <c r="Q102" i="110"/>
  <c r="Z141" i="110"/>
  <c r="AQ148" i="101"/>
  <c r="AR62" i="96"/>
  <c r="X128" i="99"/>
  <c r="AP137" i="101"/>
  <c r="AQ147" i="101"/>
  <c r="AP140" i="96"/>
  <c r="BU128" i="101"/>
  <c r="BV127" i="101"/>
  <c r="Q49" i="110"/>
  <c r="AP139" i="101"/>
  <c r="BI128" i="103"/>
  <c r="BV74" i="101"/>
  <c r="AR86" i="96"/>
  <c r="AT146" i="103"/>
  <c r="AQ145" i="101"/>
  <c r="O50" i="110"/>
  <c r="AF196" i="110"/>
  <c r="AS142" i="103"/>
  <c r="BW129" i="101"/>
  <c r="G79" i="107"/>
  <c r="P74" i="110"/>
  <c r="BJ121" i="103"/>
  <c r="BJ120" i="103"/>
  <c r="BJ124" i="103"/>
  <c r="BJ122" i="103"/>
  <c r="BJ123" i="103"/>
  <c r="P127" i="110"/>
  <c r="O77" i="110"/>
  <c r="AP135" i="101"/>
  <c r="BI129" i="103"/>
  <c r="Y74" i="99"/>
  <c r="AI141" i="99"/>
  <c r="AT149" i="103"/>
  <c r="CE142" i="101"/>
  <c r="X50" i="99"/>
  <c r="AR153" i="101"/>
  <c r="AR133" i="103"/>
  <c r="AS141" i="103"/>
  <c r="AP138" i="101"/>
  <c r="AP61" i="96"/>
  <c r="Y127" i="99"/>
  <c r="X77" i="99"/>
  <c r="BI125" i="103"/>
  <c r="AS114" i="96"/>
  <c r="I104" i="107" s="1"/>
  <c r="AI142" i="99"/>
  <c r="AT148" i="103"/>
  <c r="CE143" i="101"/>
  <c r="BU50" i="101"/>
  <c r="AS86" i="96"/>
  <c r="AQ138" i="103"/>
  <c r="Q74" i="110"/>
  <c r="AO140" i="101"/>
  <c r="AT145" i="103"/>
  <c r="AH126" i="99"/>
  <c r="AH128" i="99"/>
  <c r="AH127" i="99"/>
  <c r="AH129" i="99"/>
  <c r="AH125" i="99"/>
  <c r="AR152" i="101"/>
  <c r="X104" i="99"/>
  <c r="BU77" i="101"/>
  <c r="BI127" i="103"/>
  <c r="AQ140" i="96"/>
  <c r="AI140" i="99"/>
  <c r="BT101" i="101"/>
  <c r="CE144" i="101"/>
  <c r="BV104" i="101"/>
  <c r="U102" i="99"/>
  <c r="BI126" i="103"/>
  <c r="AO151" i="99"/>
  <c r="CC128" i="101"/>
  <c r="CC129" i="101"/>
  <c r="CC126" i="101"/>
  <c r="CC125" i="101"/>
  <c r="CC127" i="101"/>
  <c r="AR150" i="101"/>
  <c r="BU104" i="101"/>
  <c r="Q129" i="99"/>
  <c r="AR131" i="103"/>
  <c r="T85" i="97"/>
  <c r="AI74" i="101" s="1"/>
  <c r="AQ62" i="96"/>
  <c r="AI143" i="99"/>
  <c r="N101" i="110"/>
  <c r="CE140" i="101"/>
  <c r="F51" i="107"/>
  <c r="CF127" i="101"/>
  <c r="CF126" i="101"/>
  <c r="CF129" i="101"/>
  <c r="CF125" i="101"/>
  <c r="CF128" i="101"/>
  <c r="Z129" i="99"/>
  <c r="H76" i="107"/>
  <c r="F103" i="107"/>
  <c r="AQ149" i="101"/>
  <c r="AO196" i="99"/>
  <c r="AG126" i="99"/>
  <c r="AG128" i="99"/>
  <c r="AG129" i="99"/>
  <c r="AG127" i="99"/>
  <c r="AG125" i="99"/>
  <c r="Y126" i="110"/>
  <c r="Y125" i="110"/>
  <c r="Y128" i="110"/>
  <c r="Y129" i="110"/>
  <c r="Y127" i="110"/>
  <c r="AR154" i="101"/>
  <c r="O104" i="110"/>
  <c r="U129" i="99"/>
  <c r="AR130" i="103"/>
  <c r="Q74" i="99"/>
  <c r="AS140" i="103"/>
  <c r="AI144" i="99"/>
  <c r="W101" i="99"/>
  <c r="CE141" i="101"/>
  <c r="J51" i="107"/>
  <c r="AO141" i="101"/>
  <c r="N49" i="110"/>
  <c r="AJ144" i="99"/>
  <c r="AA140" i="110"/>
  <c r="CD128" i="101"/>
  <c r="CD126" i="101"/>
  <c r="CD125" i="101"/>
  <c r="CD127" i="101"/>
  <c r="CD129" i="101"/>
  <c r="AR151" i="101"/>
  <c r="W100" i="103"/>
  <c r="AQ139" i="103"/>
  <c r="T140" i="97"/>
  <c r="AI129" i="101" s="1"/>
  <c r="AR132" i="103"/>
  <c r="U74" i="99"/>
  <c r="AS143" i="103"/>
  <c r="P104" i="110"/>
  <c r="W49" i="99"/>
  <c r="AI49" i="101"/>
  <c r="L76" i="107"/>
  <c r="AA141" i="110"/>
  <c r="BW74" i="101"/>
  <c r="AS141" i="96"/>
  <c r="CJ151" i="101"/>
  <c r="BH124" i="103"/>
  <c r="BH123" i="103"/>
  <c r="BH120" i="103"/>
  <c r="BH122" i="103"/>
  <c r="BH121" i="103"/>
  <c r="AJ141" i="99"/>
  <c r="AO144" i="101"/>
  <c r="AQ136" i="103"/>
  <c r="Q129" i="110"/>
  <c r="AR134" i="103"/>
  <c r="Z74" i="99"/>
  <c r="AA143" i="110"/>
  <c r="AS144" i="103"/>
  <c r="Y104" i="99"/>
  <c r="BT49" i="101"/>
  <c r="K79" i="107"/>
  <c r="J103" i="107"/>
  <c r="AQ135" i="103"/>
  <c r="Y50" i="99"/>
  <c r="BW49" i="101"/>
  <c r="X130" i="110"/>
  <c r="X134" i="110"/>
  <c r="X133" i="110"/>
  <c r="X132" i="110"/>
  <c r="X131" i="110"/>
  <c r="AJ142" i="99"/>
  <c r="AO142" i="101"/>
  <c r="AQ137" i="103"/>
  <c r="W128" i="99"/>
  <c r="T113" i="97"/>
  <c r="AI102" i="101" s="1"/>
  <c r="AA142" i="110"/>
  <c r="Z144" i="110"/>
  <c r="P50" i="110"/>
  <c r="F130" i="107"/>
  <c r="H52" i="107"/>
  <c r="BW102" i="101"/>
  <c r="AS61" i="96"/>
  <c r="AJ140" i="99"/>
  <c r="AO143" i="101"/>
  <c r="U49" i="99"/>
  <c r="BT128" i="101"/>
  <c r="Q102" i="99"/>
  <c r="AA144" i="110"/>
  <c r="Z143" i="110"/>
  <c r="BV50" i="101"/>
  <c r="W127" i="103"/>
  <c r="J130" i="107"/>
  <c r="L52" i="107"/>
  <c r="Z142" i="110"/>
  <c r="M104" i="107"/>
  <c r="AR139" i="96"/>
  <c r="M76" i="107"/>
  <c r="I76" i="107"/>
  <c r="G130" i="107"/>
  <c r="K130" i="107"/>
  <c r="G52" i="107"/>
  <c r="K52" i="107"/>
  <c r="M131" i="107"/>
  <c r="I131" i="107"/>
  <c r="M51" i="107"/>
  <c r="I51" i="107"/>
  <c r="L129" i="107"/>
  <c r="H129" i="107"/>
  <c r="BT121" i="103" l="1"/>
  <c r="BO121" i="103"/>
  <c r="BO122" i="103"/>
  <c r="BT122" i="103"/>
  <c r="BT120" i="103"/>
  <c r="BN16" i="99" s="1"/>
  <c r="BO120" i="103"/>
  <c r="BI16" i="99" s="1"/>
  <c r="BT123" i="103"/>
  <c r="BO123" i="103"/>
  <c r="BO124" i="103"/>
  <c r="BT124" i="103"/>
  <c r="CK151" i="101"/>
  <c r="CL151" i="101" s="1"/>
  <c r="AP196" i="99"/>
  <c r="AQ196" i="99" s="1"/>
  <c r="BB196" i="99" s="1"/>
  <c r="AP151" i="99"/>
  <c r="AQ151" i="99" s="1"/>
  <c r="BB151" i="99" s="1"/>
  <c r="BV123" i="103"/>
  <c r="BQ123" i="103"/>
  <c r="BV122" i="103"/>
  <c r="BQ122" i="103"/>
  <c r="BQ124" i="103"/>
  <c r="BV124" i="103"/>
  <c r="BV120" i="103"/>
  <c r="BP16" i="99" s="1"/>
  <c r="BQ120" i="103"/>
  <c r="BK16" i="99" s="1"/>
  <c r="BQ121" i="103"/>
  <c r="BV121" i="103"/>
  <c r="AG196" i="110"/>
  <c r="AH196" i="110" s="1"/>
  <c r="AS196" i="110" s="1"/>
  <c r="AG60" i="110"/>
  <c r="AH60" i="110" s="1"/>
  <c r="AS60" i="110" s="1"/>
  <c r="BN118" i="103"/>
  <c r="BS118" i="103"/>
  <c r="BS117" i="103"/>
  <c r="BN117" i="103"/>
  <c r="BN119" i="103"/>
  <c r="BS119" i="103"/>
  <c r="BN116" i="103"/>
  <c r="BS116" i="103"/>
  <c r="BN115" i="103"/>
  <c r="BH15" i="99" s="1"/>
  <c r="BS115" i="103"/>
  <c r="BM15" i="99" s="1"/>
  <c r="R47" i="110"/>
  <c r="BA19" i="103"/>
  <c r="V72" i="99"/>
  <c r="BA62" i="103"/>
  <c r="BX72" i="101"/>
  <c r="R72" i="110"/>
  <c r="AA46" i="99"/>
  <c r="BX124" i="101"/>
  <c r="BX46" i="101"/>
  <c r="AA72" i="99"/>
  <c r="BC19" i="103"/>
  <c r="V124" i="99"/>
  <c r="BC62" i="103"/>
  <c r="AZ18" i="103"/>
  <c r="V45" i="99"/>
  <c r="AZ61" i="103"/>
  <c r="AH151" i="110"/>
  <c r="AS151" i="110" s="1"/>
  <c r="AJ74" i="101"/>
  <c r="AJ102" i="101"/>
  <c r="AJ129" i="101"/>
  <c r="AJ49" i="101"/>
  <c r="P141" i="97"/>
  <c r="BJ145" i="101"/>
  <c r="Z29" i="101" s="1"/>
  <c r="BJ149" i="101"/>
  <c r="BJ147" i="101"/>
  <c r="BJ148" i="101"/>
  <c r="BJ146" i="101"/>
  <c r="AA101" i="99"/>
  <c r="R101" i="110"/>
  <c r="BX101" i="101"/>
  <c r="O74" i="103"/>
  <c r="AG74" i="108"/>
  <c r="BP127" i="103"/>
  <c r="BU127" i="103"/>
  <c r="BP125" i="103"/>
  <c r="BJ17" i="99" s="1"/>
  <c r="BU125" i="103"/>
  <c r="BO17" i="99" s="1"/>
  <c r="BP129" i="103"/>
  <c r="BU129" i="103"/>
  <c r="BU128" i="103"/>
  <c r="BP128" i="103"/>
  <c r="BP126" i="103"/>
  <c r="BU126" i="103"/>
  <c r="O102" i="103"/>
  <c r="AG102" i="108"/>
  <c r="N89" i="97"/>
  <c r="BI135" i="101"/>
  <c r="Y27" i="101" s="1"/>
  <c r="BI139" i="101"/>
  <c r="BI138" i="101"/>
  <c r="BI137" i="101"/>
  <c r="BI136" i="101"/>
  <c r="AG129" i="108"/>
  <c r="O129" i="103"/>
  <c r="O49" i="103"/>
  <c r="AG49" i="108"/>
  <c r="BH143" i="101"/>
  <c r="BH142" i="101"/>
  <c r="BH140" i="101"/>
  <c r="X28" i="101" s="1"/>
  <c r="BH144" i="101"/>
  <c r="BH141" i="101"/>
  <c r="AA127" i="99"/>
  <c r="R127" i="110"/>
  <c r="BK153" i="101"/>
  <c r="BK151" i="101"/>
  <c r="BK154" i="101"/>
  <c r="BK150" i="101"/>
  <c r="AA30" i="101" s="1"/>
  <c r="BK152" i="101"/>
  <c r="AA50" i="108"/>
  <c r="AB50" i="108"/>
  <c r="Z49" i="108"/>
  <c r="Z101" i="108"/>
  <c r="AB104" i="108"/>
  <c r="BB20" i="103"/>
  <c r="V99" i="99"/>
  <c r="AK128" i="103"/>
  <c r="AL128" i="103" s="1"/>
  <c r="AK48" i="103"/>
  <c r="AL48" i="103" s="1"/>
  <c r="AB74" i="108"/>
  <c r="AK101" i="103"/>
  <c r="AL101" i="103" s="1"/>
  <c r="AC74" i="108"/>
  <c r="BB63" i="103"/>
  <c r="AC102" i="108"/>
  <c r="AK73" i="103"/>
  <c r="AL73" i="103" s="1"/>
  <c r="Z128" i="108"/>
  <c r="AC129" i="108"/>
  <c r="AA77" i="108"/>
  <c r="AC49" i="108"/>
  <c r="AA104" i="108"/>
  <c r="AB127" i="108"/>
  <c r="AA128" i="108"/>
  <c r="M113" i="97"/>
  <c r="O62" i="97"/>
  <c r="P86" i="97"/>
  <c r="O86" i="97"/>
  <c r="O139" i="97"/>
  <c r="N140" i="97"/>
  <c r="P114" i="97"/>
  <c r="N62" i="97"/>
  <c r="M140" i="97"/>
  <c r="P61" i="97"/>
  <c r="M61" i="97"/>
  <c r="CJ60" i="101"/>
  <c r="CF132" i="101"/>
  <c r="CF131" i="101"/>
  <c r="CF133" i="101"/>
  <c r="CF130" i="101"/>
  <c r="CF134" i="101"/>
  <c r="AP141" i="101"/>
  <c r="AA146" i="110"/>
  <c r="AQ150" i="101"/>
  <c r="T61" i="97"/>
  <c r="Q130" i="99"/>
  <c r="BI133" i="103"/>
  <c r="Z103" i="99"/>
  <c r="AJ148" i="99"/>
  <c r="U50" i="99"/>
  <c r="CC131" i="101"/>
  <c r="CC133" i="101"/>
  <c r="CC134" i="101"/>
  <c r="CC132" i="101"/>
  <c r="CC130" i="101"/>
  <c r="AP142" i="101"/>
  <c r="AA145" i="110"/>
  <c r="AQ154" i="101"/>
  <c r="Z50" i="99"/>
  <c r="T141" i="97"/>
  <c r="BI131" i="103"/>
  <c r="Q103" i="110"/>
  <c r="AJ145" i="99"/>
  <c r="AO105" i="99"/>
  <c r="AH131" i="99"/>
  <c r="AH132" i="99"/>
  <c r="AH130" i="99"/>
  <c r="AH133" i="99"/>
  <c r="AH134" i="99"/>
  <c r="AP144" i="101"/>
  <c r="N102" i="110"/>
  <c r="AQ152" i="101"/>
  <c r="BW50" i="101"/>
  <c r="BW130" i="101"/>
  <c r="AT150" i="103"/>
  <c r="BW103" i="101"/>
  <c r="AJ149" i="99"/>
  <c r="AQ63" i="96"/>
  <c r="AI130" i="101"/>
  <c r="BJ129" i="103"/>
  <c r="BJ126" i="103"/>
  <c r="BJ125" i="103"/>
  <c r="BJ128" i="103"/>
  <c r="BJ127" i="103"/>
  <c r="CE146" i="101"/>
  <c r="W102" i="99"/>
  <c r="AQ153" i="101"/>
  <c r="Q50" i="110"/>
  <c r="Z130" i="99"/>
  <c r="AT154" i="103"/>
  <c r="N50" i="110"/>
  <c r="AS115" i="96"/>
  <c r="AQ141" i="103"/>
  <c r="AJ146" i="99"/>
  <c r="AP141" i="96"/>
  <c r="J131" i="107" s="1"/>
  <c r="BU51" i="101"/>
  <c r="CE147" i="101"/>
  <c r="BT102" i="101"/>
  <c r="AR63" i="96"/>
  <c r="Q130" i="110"/>
  <c r="AT151" i="103"/>
  <c r="W50" i="99"/>
  <c r="AI146" i="99"/>
  <c r="AQ143" i="103"/>
  <c r="AR136" i="103"/>
  <c r="P51" i="110"/>
  <c r="O129" i="110"/>
  <c r="M105" i="107"/>
  <c r="W101" i="103"/>
  <c r="CE148" i="101"/>
  <c r="BT129" i="101"/>
  <c r="AO147" i="101"/>
  <c r="AT152" i="103"/>
  <c r="BT50" i="101"/>
  <c r="AI149" i="99"/>
  <c r="AQ140" i="103"/>
  <c r="AR137" i="103"/>
  <c r="BV51" i="101"/>
  <c r="BU129" i="101"/>
  <c r="I105" i="107"/>
  <c r="BG124" i="103"/>
  <c r="BG121" i="103"/>
  <c r="BG123" i="103"/>
  <c r="BG122" i="103"/>
  <c r="BG120" i="103"/>
  <c r="CE149" i="101"/>
  <c r="W129" i="99"/>
  <c r="AO148" i="101"/>
  <c r="AT153" i="103"/>
  <c r="AI147" i="99"/>
  <c r="AQ142" i="103"/>
  <c r="AR139" i="103"/>
  <c r="Y51" i="99"/>
  <c r="X129" i="99"/>
  <c r="AR140" i="96"/>
  <c r="CE145" i="101"/>
  <c r="N129" i="110"/>
  <c r="AO145" i="101"/>
  <c r="T86" i="97"/>
  <c r="AI75" i="101" s="1"/>
  <c r="AI148" i="99"/>
  <c r="AQ144" i="103"/>
  <c r="AR138" i="103"/>
  <c r="AS62" i="96"/>
  <c r="AQ141" i="96"/>
  <c r="AP114" i="96"/>
  <c r="AO149" i="101"/>
  <c r="Q75" i="99"/>
  <c r="AI145" i="99"/>
  <c r="W73" i="103"/>
  <c r="AR135" i="103"/>
  <c r="Z148" i="110"/>
  <c r="F104" i="107"/>
  <c r="Q103" i="99"/>
  <c r="X138" i="110"/>
  <c r="X136" i="110"/>
  <c r="X137" i="110"/>
  <c r="X135" i="110"/>
  <c r="X139" i="110"/>
  <c r="AS148" i="103"/>
  <c r="AR155" i="101"/>
  <c r="AO146" i="101"/>
  <c r="U75" i="99"/>
  <c r="BV75" i="101"/>
  <c r="AR87" i="96"/>
  <c r="Z147" i="110"/>
  <c r="J104" i="107"/>
  <c r="BI134" i="103"/>
  <c r="BH125" i="103"/>
  <c r="BH126" i="103"/>
  <c r="BH129" i="103"/>
  <c r="BH127" i="103"/>
  <c r="BH128" i="103"/>
  <c r="AS146" i="103"/>
  <c r="AR159" i="101"/>
  <c r="X78" i="99"/>
  <c r="BW75" i="101"/>
  <c r="Y75" i="99"/>
  <c r="Y128" i="99"/>
  <c r="Z145" i="110"/>
  <c r="AI50" i="101"/>
  <c r="M52" i="107"/>
  <c r="O51" i="110"/>
  <c r="CJ105" i="101"/>
  <c r="AS149" i="103"/>
  <c r="AR157" i="101"/>
  <c r="BU78" i="101"/>
  <c r="Z75" i="99"/>
  <c r="W48" i="103"/>
  <c r="P75" i="110"/>
  <c r="BV128" i="101"/>
  <c r="Z149" i="110"/>
  <c r="L53" i="107"/>
  <c r="I52" i="107"/>
  <c r="K53" i="107"/>
  <c r="F131" i="107"/>
  <c r="AF105" i="110"/>
  <c r="AS145" i="103"/>
  <c r="AR156" i="101"/>
  <c r="O78" i="110"/>
  <c r="Q75" i="110"/>
  <c r="AS87" i="96"/>
  <c r="X51" i="99"/>
  <c r="P128" i="110"/>
  <c r="Z146" i="110"/>
  <c r="H53" i="107"/>
  <c r="G53" i="107"/>
  <c r="AO60" i="99"/>
  <c r="CD131" i="101"/>
  <c r="CD130" i="101"/>
  <c r="CD134" i="101"/>
  <c r="CD133" i="101"/>
  <c r="CD132" i="101"/>
  <c r="AA148" i="110"/>
  <c r="AS147" i="103"/>
  <c r="AR158" i="101"/>
  <c r="BI130" i="103"/>
  <c r="U103" i="99"/>
  <c r="AP62" i="96"/>
  <c r="Y131" i="110"/>
  <c r="Y133" i="110"/>
  <c r="Y130" i="110"/>
  <c r="Y132" i="110"/>
  <c r="Y134" i="110"/>
  <c r="AP143" i="101"/>
  <c r="AA149" i="110"/>
  <c r="W128" i="103"/>
  <c r="CJ195" i="101"/>
  <c r="AG131" i="99"/>
  <c r="AG130" i="99"/>
  <c r="AG134" i="99"/>
  <c r="AG132" i="99"/>
  <c r="AG133" i="99"/>
  <c r="AP140" i="101"/>
  <c r="AA147" i="110"/>
  <c r="AQ151" i="101"/>
  <c r="Q50" i="99"/>
  <c r="U130" i="99"/>
  <c r="BI132" i="103"/>
  <c r="T114" i="97"/>
  <c r="AI103" i="101" s="1"/>
  <c r="AJ147" i="99"/>
  <c r="AF152" i="110"/>
  <c r="H130" i="107"/>
  <c r="L130" i="107"/>
  <c r="K131" i="107"/>
  <c r="G131" i="107"/>
  <c r="L77" i="107"/>
  <c r="H77" i="107"/>
  <c r="I77" i="107"/>
  <c r="M77" i="107"/>
  <c r="F52" i="107"/>
  <c r="J52" i="107"/>
  <c r="AG152" i="110" l="1"/>
  <c r="CK195" i="101"/>
  <c r="CL195" i="101" s="1"/>
  <c r="AP60" i="99"/>
  <c r="AQ60" i="99" s="1"/>
  <c r="BB60" i="99" s="1"/>
  <c r="AG105" i="110"/>
  <c r="AH105" i="110" s="1"/>
  <c r="AS105" i="110" s="1"/>
  <c r="CK105" i="101"/>
  <c r="CL105" i="101" s="1"/>
  <c r="BO128" i="103"/>
  <c r="BT128" i="103"/>
  <c r="BT127" i="103"/>
  <c r="BO127" i="103"/>
  <c r="BO129" i="103"/>
  <c r="BT129" i="103"/>
  <c r="BO126" i="103"/>
  <c r="BT126" i="103"/>
  <c r="BT125" i="103"/>
  <c r="BN17" i="99" s="1"/>
  <c r="BO125" i="103"/>
  <c r="BI17" i="99" s="1"/>
  <c r="BN120" i="103"/>
  <c r="BH16" i="99" s="1"/>
  <c r="BS120" i="103"/>
  <c r="BM16" i="99" s="1"/>
  <c r="BN122" i="103"/>
  <c r="BS122" i="103"/>
  <c r="BN123" i="103"/>
  <c r="BS123" i="103"/>
  <c r="BN121" i="103"/>
  <c r="BS121" i="103"/>
  <c r="BS124" i="103"/>
  <c r="BN124" i="103"/>
  <c r="BQ127" i="103"/>
  <c r="BV127" i="103"/>
  <c r="BQ128" i="103"/>
  <c r="BV128" i="103"/>
  <c r="BV125" i="103"/>
  <c r="BP17" i="99" s="1"/>
  <c r="BQ125" i="103"/>
  <c r="BK17" i="99" s="1"/>
  <c r="BV126" i="103"/>
  <c r="BQ126" i="103"/>
  <c r="BQ129" i="103"/>
  <c r="BV129" i="103"/>
  <c r="AP105" i="99"/>
  <c r="AQ105" i="99" s="1"/>
  <c r="BB105" i="99" s="1"/>
  <c r="CK60" i="101"/>
  <c r="CL60" i="101" s="1"/>
  <c r="AA47" i="99"/>
  <c r="R73" i="110"/>
  <c r="BX73" i="101"/>
  <c r="BA20" i="103"/>
  <c r="V73" i="99"/>
  <c r="BA63" i="103"/>
  <c r="R48" i="110"/>
  <c r="AZ19" i="103"/>
  <c r="V46" i="99"/>
  <c r="AZ62" i="103"/>
  <c r="BC20" i="103"/>
  <c r="V125" i="99"/>
  <c r="BC63" i="103"/>
  <c r="AA73" i="99"/>
  <c r="BX47" i="101"/>
  <c r="BX125" i="101"/>
  <c r="AJ103" i="101"/>
  <c r="AJ75" i="101"/>
  <c r="AJ130" i="101"/>
  <c r="AJ50" i="101"/>
  <c r="N141" i="97"/>
  <c r="M141" i="97"/>
  <c r="N63" i="97"/>
  <c r="R128" i="110"/>
  <c r="AA128" i="99"/>
  <c r="P115" i="97"/>
  <c r="AG103" i="108"/>
  <c r="O103" i="103"/>
  <c r="O75" i="103"/>
  <c r="AG75" i="108"/>
  <c r="BU131" i="103"/>
  <c r="BP131" i="103"/>
  <c r="BP133" i="103"/>
  <c r="BU133" i="103"/>
  <c r="BP132" i="103"/>
  <c r="BU132" i="103"/>
  <c r="BP134" i="103"/>
  <c r="BU134" i="103"/>
  <c r="BU130" i="103"/>
  <c r="BO18" i="99" s="1"/>
  <c r="BP130" i="103"/>
  <c r="BJ18" i="99" s="1"/>
  <c r="AG130" i="108"/>
  <c r="O130" i="103"/>
  <c r="BH146" i="101"/>
  <c r="BH149" i="101"/>
  <c r="BH145" i="101"/>
  <c r="X29" i="101" s="1"/>
  <c r="BH148" i="101"/>
  <c r="BH147" i="101"/>
  <c r="O63" i="97"/>
  <c r="AG50" i="108"/>
  <c r="O50" i="103"/>
  <c r="BK158" i="101"/>
  <c r="BK156" i="101"/>
  <c r="BK157" i="101"/>
  <c r="BK159" i="101"/>
  <c r="BK155" i="101"/>
  <c r="AA31" i="101" s="1"/>
  <c r="BJ153" i="101"/>
  <c r="BJ152" i="101"/>
  <c r="BJ154" i="101"/>
  <c r="BJ150" i="101"/>
  <c r="Z30" i="101" s="1"/>
  <c r="BJ151" i="101"/>
  <c r="BX102" i="101"/>
  <c r="AA102" i="99"/>
  <c r="R102" i="110"/>
  <c r="BI144" i="101"/>
  <c r="BI142" i="101"/>
  <c r="BI141" i="101"/>
  <c r="BI140" i="101"/>
  <c r="Y28" i="101" s="1"/>
  <c r="BI143" i="101"/>
  <c r="AK49" i="103"/>
  <c r="AL49" i="103" s="1"/>
  <c r="AA129" i="108"/>
  <c r="AK129" i="103"/>
  <c r="AL129" i="103" s="1"/>
  <c r="AK102" i="103"/>
  <c r="AL102" i="103" s="1"/>
  <c r="AB51" i="108"/>
  <c r="AB128" i="108"/>
  <c r="AA51" i="108"/>
  <c r="AB75" i="108"/>
  <c r="BB21" i="103"/>
  <c r="V100" i="99"/>
  <c r="Z50" i="108"/>
  <c r="AC103" i="108"/>
  <c r="AC75" i="108"/>
  <c r="BB64" i="103"/>
  <c r="AA78" i="108"/>
  <c r="AC130" i="108"/>
  <c r="AK74" i="103"/>
  <c r="AL74" i="103" s="1"/>
  <c r="AC50" i="108"/>
  <c r="Z129" i="108"/>
  <c r="Z102" i="108"/>
  <c r="O87" i="97"/>
  <c r="P87" i="97"/>
  <c r="M62" i="97"/>
  <c r="P62" i="97"/>
  <c r="O140" i="97"/>
  <c r="M114" i="97"/>
  <c r="AO152" i="99"/>
  <c r="BG125" i="103"/>
  <c r="BG127" i="103"/>
  <c r="BG128" i="103"/>
  <c r="BG126" i="103"/>
  <c r="BG129" i="103"/>
  <c r="AP149" i="101"/>
  <c r="BU130" i="101"/>
  <c r="AQ146" i="103"/>
  <c r="Y52" i="99"/>
  <c r="CE152" i="101"/>
  <c r="X52" i="99"/>
  <c r="AA151" i="110"/>
  <c r="AP145" i="101"/>
  <c r="AS150" i="103"/>
  <c r="CE154" i="101"/>
  <c r="W74" i="103"/>
  <c r="AA152" i="110"/>
  <c r="AP146" i="101"/>
  <c r="AS154" i="103"/>
  <c r="BV52" i="101"/>
  <c r="CE151" i="101"/>
  <c r="BU52" i="101"/>
  <c r="AA150" i="110"/>
  <c r="AI151" i="99"/>
  <c r="AS153" i="103"/>
  <c r="CE153" i="101"/>
  <c r="T62" i="97"/>
  <c r="BJ134" i="103"/>
  <c r="BJ130" i="103"/>
  <c r="BJ131" i="103"/>
  <c r="BJ132" i="103"/>
  <c r="BJ133" i="103"/>
  <c r="AP147" i="101"/>
  <c r="AS151" i="103"/>
  <c r="W49" i="103"/>
  <c r="CE150" i="101"/>
  <c r="AT158" i="103"/>
  <c r="U104" i="99"/>
  <c r="Q51" i="99"/>
  <c r="AR88" i="96"/>
  <c r="AI154" i="99"/>
  <c r="AO152" i="101"/>
  <c r="AS152" i="103"/>
  <c r="W51" i="99"/>
  <c r="BI137" i="103"/>
  <c r="AT157" i="103"/>
  <c r="Q104" i="99"/>
  <c r="U51" i="99"/>
  <c r="AI51" i="101"/>
  <c r="W103" i="99"/>
  <c r="AR163" i="101"/>
  <c r="Z76" i="99"/>
  <c r="AH139" i="99"/>
  <c r="AH135" i="99"/>
  <c r="AH138" i="99"/>
  <c r="AH137" i="99"/>
  <c r="AH136" i="99"/>
  <c r="AI150" i="99"/>
  <c r="AO151" i="101"/>
  <c r="AR140" i="103"/>
  <c r="BT51" i="101"/>
  <c r="BI139" i="103"/>
  <c r="AT156" i="103"/>
  <c r="Q104" i="110"/>
  <c r="Q51" i="110"/>
  <c r="AQ158" i="101"/>
  <c r="CC137" i="101"/>
  <c r="CC136" i="101"/>
  <c r="CC139" i="101"/>
  <c r="CC138" i="101"/>
  <c r="CC135" i="101"/>
  <c r="AI152" i="99"/>
  <c r="AO150" i="101"/>
  <c r="Z150" i="110"/>
  <c r="AR143" i="103"/>
  <c r="N51" i="110"/>
  <c r="BI135" i="103"/>
  <c r="AT159" i="103"/>
  <c r="BW104" i="101"/>
  <c r="BW51" i="101"/>
  <c r="Z153" i="110"/>
  <c r="N130" i="110"/>
  <c r="AQ159" i="101"/>
  <c r="CF136" i="101"/>
  <c r="CF138" i="101"/>
  <c r="CF139" i="101"/>
  <c r="CF137" i="101"/>
  <c r="CF135" i="101"/>
  <c r="AI153" i="99"/>
  <c r="AO154" i="101"/>
  <c r="Z154" i="110"/>
  <c r="AR144" i="103"/>
  <c r="BI136" i="103"/>
  <c r="AP63" i="96"/>
  <c r="J53" i="107" s="1"/>
  <c r="W129" i="103"/>
  <c r="Z104" i="99"/>
  <c r="Z51" i="99"/>
  <c r="AS63" i="96"/>
  <c r="AR162" i="101"/>
  <c r="Q76" i="99"/>
  <c r="AJ153" i="99"/>
  <c r="AG137" i="99"/>
  <c r="AG139" i="99"/>
  <c r="AG138" i="99"/>
  <c r="AG135" i="99"/>
  <c r="AG136" i="99"/>
  <c r="AF197" i="110"/>
  <c r="AR164" i="101"/>
  <c r="AO153" i="101"/>
  <c r="Z152" i="110"/>
  <c r="AR142" i="103"/>
  <c r="BI138" i="103"/>
  <c r="AR141" i="96"/>
  <c r="AQ157" i="101"/>
  <c r="L78" i="107"/>
  <c r="AQ155" i="101"/>
  <c r="BV129" i="101"/>
  <c r="BV76" i="101"/>
  <c r="T115" i="97"/>
  <c r="AI104" i="101" s="1"/>
  <c r="Y139" i="110"/>
  <c r="Y135" i="110"/>
  <c r="Y136" i="110"/>
  <c r="Y137" i="110"/>
  <c r="Y138" i="110"/>
  <c r="AR161" i="101"/>
  <c r="AJ152" i="99"/>
  <c r="Z151" i="110"/>
  <c r="AR141" i="103"/>
  <c r="U76" i="99"/>
  <c r="W102" i="103"/>
  <c r="H78" i="107"/>
  <c r="AS88" i="96"/>
  <c r="I78" i="107" s="1"/>
  <c r="CD139" i="101"/>
  <c r="CD135" i="101"/>
  <c r="CD137" i="101"/>
  <c r="CD138" i="101"/>
  <c r="CD136" i="101"/>
  <c r="AJ151" i="99"/>
  <c r="AO197" i="99"/>
  <c r="BH131" i="103"/>
  <c r="BH134" i="103"/>
  <c r="BH132" i="103"/>
  <c r="BH133" i="103"/>
  <c r="BH130" i="103"/>
  <c r="P129" i="110"/>
  <c r="AR160" i="101"/>
  <c r="AJ150" i="99"/>
  <c r="AQ147" i="103"/>
  <c r="AP115" i="96"/>
  <c r="J105" i="107" s="1"/>
  <c r="T87" i="97"/>
  <c r="N103" i="110"/>
  <c r="AQ156" i="101"/>
  <c r="M78" i="107"/>
  <c r="AQ148" i="103"/>
  <c r="BT103" i="101"/>
  <c r="Y129" i="99"/>
  <c r="AR165" i="101"/>
  <c r="AJ154" i="99"/>
  <c r="AQ149" i="103"/>
  <c r="W130" i="99"/>
  <c r="P76" i="110"/>
  <c r="Q76" i="110"/>
  <c r="AA154" i="110"/>
  <c r="F105" i="107"/>
  <c r="P52" i="110"/>
  <c r="F53" i="107"/>
  <c r="AF61" i="110"/>
  <c r="X142" i="110"/>
  <c r="X143" i="110"/>
  <c r="X144" i="110"/>
  <c r="X140" i="110"/>
  <c r="X141" i="110"/>
  <c r="AP148" i="101"/>
  <c r="X130" i="99"/>
  <c r="AQ145" i="103"/>
  <c r="BT130" i="101"/>
  <c r="Y76" i="99"/>
  <c r="BW76" i="101"/>
  <c r="AA153" i="110"/>
  <c r="AI76" i="101"/>
  <c r="CJ152" i="101"/>
  <c r="O130" i="110"/>
  <c r="O52" i="110"/>
  <c r="AT155" i="103"/>
  <c r="M53" i="107"/>
  <c r="I53" i="107"/>
  <c r="L131" i="107"/>
  <c r="H131" i="107"/>
  <c r="CK152" i="101" l="1"/>
  <c r="CL152" i="101" s="1"/>
  <c r="AG61" i="110"/>
  <c r="AH61" i="110" s="1"/>
  <c r="AS61" i="110" s="1"/>
  <c r="BT130" i="103"/>
  <c r="BN18" i="99" s="1"/>
  <c r="BO130" i="103"/>
  <c r="BI18" i="99" s="1"/>
  <c r="BT133" i="103"/>
  <c r="BO133" i="103"/>
  <c r="BO132" i="103"/>
  <c r="BT132" i="103"/>
  <c r="BO134" i="103"/>
  <c r="BT134" i="103"/>
  <c r="BT131" i="103"/>
  <c r="BO131" i="103"/>
  <c r="AP197" i="99"/>
  <c r="AQ197" i="99" s="1"/>
  <c r="BB197" i="99" s="1"/>
  <c r="AG197" i="110"/>
  <c r="AH197" i="110" s="1"/>
  <c r="AS197" i="110" s="1"/>
  <c r="BQ133" i="103"/>
  <c r="BV133" i="103"/>
  <c r="BQ132" i="103"/>
  <c r="BV132" i="103"/>
  <c r="BV131" i="103"/>
  <c r="BQ131" i="103"/>
  <c r="BV130" i="103"/>
  <c r="BP18" i="99" s="1"/>
  <c r="BQ130" i="103"/>
  <c r="BK18" i="99" s="1"/>
  <c r="BV134" i="103"/>
  <c r="BQ134" i="103"/>
  <c r="BN129" i="103"/>
  <c r="BS129" i="103"/>
  <c r="BN126" i="103"/>
  <c r="BS126" i="103"/>
  <c r="BS128" i="103"/>
  <c r="BN128" i="103"/>
  <c r="BN127" i="103"/>
  <c r="BS127" i="103"/>
  <c r="BN125" i="103"/>
  <c r="BH17" i="99" s="1"/>
  <c r="BS125" i="103"/>
  <c r="BM17" i="99" s="1"/>
  <c r="AP152" i="99"/>
  <c r="AQ152" i="99" s="1"/>
  <c r="BB152" i="99" s="1"/>
  <c r="R49" i="110"/>
  <c r="AZ20" i="103"/>
  <c r="V47" i="99"/>
  <c r="BA21" i="103"/>
  <c r="V74" i="99"/>
  <c r="BA64" i="103"/>
  <c r="BX74" i="101"/>
  <c r="R74" i="110"/>
  <c r="AA48" i="99"/>
  <c r="BX126" i="101"/>
  <c r="BX48" i="101"/>
  <c r="AA74" i="99"/>
  <c r="BC21" i="103"/>
  <c r="V126" i="99"/>
  <c r="BC64" i="103"/>
  <c r="AZ63" i="103"/>
  <c r="AH152" i="110"/>
  <c r="AS152" i="110" s="1"/>
  <c r="AJ51" i="101"/>
  <c r="AJ104" i="101"/>
  <c r="AJ76" i="101"/>
  <c r="P63" i="97"/>
  <c r="BJ159" i="101"/>
  <c r="BJ156" i="101"/>
  <c r="BJ158" i="101"/>
  <c r="BJ155" i="101"/>
  <c r="Z31" i="101" s="1"/>
  <c r="BJ157" i="101"/>
  <c r="AG51" i="108"/>
  <c r="O51" i="103"/>
  <c r="O104" i="103"/>
  <c r="AG104" i="108"/>
  <c r="BX103" i="101"/>
  <c r="R103" i="110"/>
  <c r="AA103" i="99"/>
  <c r="O141" i="97"/>
  <c r="M63" i="97"/>
  <c r="AG76" i="108"/>
  <c r="O76" i="103"/>
  <c r="BP138" i="103"/>
  <c r="BU138" i="103"/>
  <c r="BP136" i="103"/>
  <c r="BU136" i="103"/>
  <c r="BU135" i="103"/>
  <c r="BO19" i="99" s="1"/>
  <c r="BP135" i="103"/>
  <c r="BJ19" i="99" s="1"/>
  <c r="BP139" i="103"/>
  <c r="BU139" i="103"/>
  <c r="BP137" i="103"/>
  <c r="BU137" i="103"/>
  <c r="M115" i="97"/>
  <c r="BH153" i="101"/>
  <c r="BH154" i="101"/>
  <c r="BH150" i="101"/>
  <c r="X30" i="101" s="1"/>
  <c r="BH151" i="101"/>
  <c r="BH152" i="101"/>
  <c r="BK165" i="101"/>
  <c r="AA33" i="101" s="1"/>
  <c r="BK163" i="101"/>
  <c r="BK160" i="101"/>
  <c r="AA32" i="101" s="1"/>
  <c r="BK162" i="101"/>
  <c r="BK161" i="101"/>
  <c r="BK164" i="101"/>
  <c r="BI147" i="101"/>
  <c r="BI146" i="101"/>
  <c r="BI145" i="101"/>
  <c r="Y29" i="101" s="1"/>
  <c r="BI149" i="101"/>
  <c r="BI148" i="101"/>
  <c r="AA129" i="99"/>
  <c r="R129" i="110"/>
  <c r="AC51" i="108"/>
  <c r="AK50" i="103"/>
  <c r="AL50" i="103" s="1"/>
  <c r="AC104" i="108"/>
  <c r="Z103" i="108"/>
  <c r="AA52" i="108"/>
  <c r="AC76" i="108"/>
  <c r="BB65" i="103"/>
  <c r="AB76" i="108"/>
  <c r="Z51" i="108"/>
  <c r="AB52" i="108"/>
  <c r="AK130" i="103"/>
  <c r="AL130" i="103" s="1"/>
  <c r="AK75" i="103"/>
  <c r="AL75" i="103" s="1"/>
  <c r="Z130" i="108"/>
  <c r="BB22" i="103"/>
  <c r="V101" i="99"/>
  <c r="AA130" i="108"/>
  <c r="AK103" i="103"/>
  <c r="AL103" i="103" s="1"/>
  <c r="AB129" i="108"/>
  <c r="P88" i="97"/>
  <c r="O88" i="97"/>
  <c r="AO61" i="99"/>
  <c r="Y140" i="110"/>
  <c r="Y141" i="110"/>
  <c r="Y142" i="110"/>
  <c r="Y143" i="110"/>
  <c r="Y144" i="110"/>
  <c r="AQ163" i="101"/>
  <c r="AT160" i="103"/>
  <c r="Z52" i="99"/>
  <c r="Z159" i="110"/>
  <c r="AI158" i="99"/>
  <c r="Z77" i="99"/>
  <c r="BV77" i="101"/>
  <c r="CE158" i="101"/>
  <c r="Y77" i="99"/>
  <c r="CE159" i="101"/>
  <c r="BT52" i="101"/>
  <c r="CJ196" i="101"/>
  <c r="AG141" i="99"/>
  <c r="AG142" i="99"/>
  <c r="AG140" i="99"/>
  <c r="AG143" i="99"/>
  <c r="AG144" i="99"/>
  <c r="AQ161" i="101"/>
  <c r="AT163" i="103"/>
  <c r="CE156" i="101"/>
  <c r="Z155" i="110"/>
  <c r="AI156" i="99"/>
  <c r="BV130" i="101"/>
  <c r="P77" i="110"/>
  <c r="CJ61" i="101"/>
  <c r="Z157" i="110"/>
  <c r="AT161" i="103"/>
  <c r="Y130" i="99"/>
  <c r="BI143" i="103"/>
  <c r="N104" i="110"/>
  <c r="AQ154" i="103"/>
  <c r="AR145" i="103"/>
  <c r="AH143" i="99"/>
  <c r="AH141" i="99"/>
  <c r="AH144" i="99"/>
  <c r="AH140" i="99"/>
  <c r="AH142" i="99"/>
  <c r="AQ165" i="101"/>
  <c r="AT165" i="103"/>
  <c r="CE157" i="101"/>
  <c r="AS155" i="103"/>
  <c r="N52" i="110"/>
  <c r="W50" i="103"/>
  <c r="AO155" i="101"/>
  <c r="AQ151" i="103"/>
  <c r="BJ136" i="103"/>
  <c r="BJ137" i="103"/>
  <c r="BJ135" i="103"/>
  <c r="BJ139" i="103"/>
  <c r="BJ138" i="103"/>
  <c r="AS157" i="103"/>
  <c r="AO157" i="101"/>
  <c r="AS156" i="103"/>
  <c r="AO156" i="101"/>
  <c r="W75" i="103"/>
  <c r="AS159" i="103"/>
  <c r="BI140" i="103"/>
  <c r="AO158" i="101"/>
  <c r="AQ150" i="103"/>
  <c r="W104" i="99"/>
  <c r="AS158" i="103"/>
  <c r="BI141" i="103"/>
  <c r="AJ158" i="99"/>
  <c r="AA157" i="110"/>
  <c r="AJ159" i="99"/>
  <c r="X149" i="110"/>
  <c r="X147" i="110"/>
  <c r="X145" i="110"/>
  <c r="X148" i="110"/>
  <c r="X146" i="110"/>
  <c r="BT104" i="101"/>
  <c r="AR149" i="103"/>
  <c r="BI142" i="103"/>
  <c r="AA156" i="110"/>
  <c r="AP152" i="101"/>
  <c r="Q52" i="99"/>
  <c r="BG133" i="103"/>
  <c r="BG130" i="103"/>
  <c r="BG131" i="103"/>
  <c r="BG132" i="103"/>
  <c r="BG134" i="103"/>
  <c r="AA159" i="110"/>
  <c r="W130" i="103"/>
  <c r="AP153" i="101"/>
  <c r="AR146" i="103"/>
  <c r="AS89" i="96"/>
  <c r="M79" i="107" s="1"/>
  <c r="U52" i="99"/>
  <c r="AR147" i="103"/>
  <c r="Q77" i="99"/>
  <c r="BH137" i="103"/>
  <c r="BH138" i="103"/>
  <c r="BH135" i="103"/>
  <c r="BH139" i="103"/>
  <c r="BH136" i="103"/>
  <c r="AP154" i="101"/>
  <c r="T88" i="97"/>
  <c r="CJ106" i="101"/>
  <c r="AA155" i="110"/>
  <c r="T63" i="97"/>
  <c r="AP151" i="101"/>
  <c r="AR148" i="103"/>
  <c r="U77" i="99"/>
  <c r="AJ155" i="99"/>
  <c r="AR89" i="96"/>
  <c r="L79" i="107" s="1"/>
  <c r="AQ160" i="101"/>
  <c r="P130" i="110"/>
  <c r="CC141" i="101"/>
  <c r="CC144" i="101"/>
  <c r="CC140" i="101"/>
  <c r="CC143" i="101"/>
  <c r="CC142" i="101"/>
  <c r="AQ152" i="103"/>
  <c r="CE155" i="101"/>
  <c r="W52" i="99"/>
  <c r="AF106" i="110"/>
  <c r="AA158" i="110"/>
  <c r="BW52" i="101"/>
  <c r="AP150" i="101"/>
  <c r="W103" i="103"/>
  <c r="AI159" i="99"/>
  <c r="Q77" i="110"/>
  <c r="AJ157" i="99"/>
  <c r="BW77" i="101"/>
  <c r="AT164" i="103"/>
  <c r="AI155" i="99"/>
  <c r="AI52" i="101"/>
  <c r="AQ162" i="101"/>
  <c r="Z156" i="110"/>
  <c r="AO159" i="101"/>
  <c r="I79" i="107"/>
  <c r="BI144" i="103"/>
  <c r="CD144" i="101"/>
  <c r="CD140" i="101"/>
  <c r="CD141" i="101"/>
  <c r="CD143" i="101"/>
  <c r="CD142" i="101"/>
  <c r="AQ164" i="101"/>
  <c r="AT162" i="103"/>
  <c r="Q52" i="110"/>
  <c r="Z158" i="110"/>
  <c r="AI157" i="99"/>
  <c r="AJ156" i="99"/>
  <c r="CF142" i="101"/>
  <c r="CF141" i="101"/>
  <c r="CF143" i="101"/>
  <c r="CF140" i="101"/>
  <c r="CF144" i="101"/>
  <c r="AO106" i="99"/>
  <c r="AI77" i="101"/>
  <c r="AQ153" i="103"/>
  <c r="H79" i="107"/>
  <c r="AF153" i="110"/>
  <c r="AG153" i="110" l="1"/>
  <c r="AP106" i="99"/>
  <c r="AQ106" i="99" s="1"/>
  <c r="BB106" i="99" s="1"/>
  <c r="AG106" i="110"/>
  <c r="AH106" i="110" s="1"/>
  <c r="AS106" i="110" s="1"/>
  <c r="CK106" i="101"/>
  <c r="CL106" i="101" s="1"/>
  <c r="BO136" i="103"/>
  <c r="BT136" i="103"/>
  <c r="BO139" i="103"/>
  <c r="BT139" i="103"/>
  <c r="BT135" i="103"/>
  <c r="BN19" i="99" s="1"/>
  <c r="BO135" i="103"/>
  <c r="BI19" i="99" s="1"/>
  <c r="BT138" i="103"/>
  <c r="BO138" i="103"/>
  <c r="BT137" i="103"/>
  <c r="BO137" i="103"/>
  <c r="BN134" i="103"/>
  <c r="BS134" i="103"/>
  <c r="BN132" i="103"/>
  <c r="BS132" i="103"/>
  <c r="BS131" i="103"/>
  <c r="BN131" i="103"/>
  <c r="BS130" i="103"/>
  <c r="BM18" i="99" s="1"/>
  <c r="BN130" i="103"/>
  <c r="BH18" i="99" s="1"/>
  <c r="BN133" i="103"/>
  <c r="BS133" i="103"/>
  <c r="BV138" i="103"/>
  <c r="BQ138" i="103"/>
  <c r="BV139" i="103"/>
  <c r="BQ139" i="103"/>
  <c r="BQ135" i="103"/>
  <c r="BK19" i="99" s="1"/>
  <c r="BV135" i="103"/>
  <c r="BP19" i="99" s="1"/>
  <c r="BV137" i="103"/>
  <c r="BQ137" i="103"/>
  <c r="BV136" i="103"/>
  <c r="BQ136" i="103"/>
  <c r="CK61" i="101"/>
  <c r="CL61" i="101" s="1"/>
  <c r="CK196" i="101"/>
  <c r="CL196" i="101" s="1"/>
  <c r="AP61" i="99"/>
  <c r="AQ61" i="99" s="1"/>
  <c r="BB61" i="99" s="1"/>
  <c r="BX127" i="101"/>
  <c r="BX75" i="101"/>
  <c r="BX49" i="101"/>
  <c r="BA22" i="103"/>
  <c r="V75" i="99"/>
  <c r="BA65" i="103"/>
  <c r="AZ64" i="103"/>
  <c r="AZ21" i="103"/>
  <c r="V48" i="99"/>
  <c r="R50" i="110"/>
  <c r="BC22" i="103"/>
  <c r="V127" i="99"/>
  <c r="BC65" i="103"/>
  <c r="AA75" i="99"/>
  <c r="AA49" i="99"/>
  <c r="R75" i="110"/>
  <c r="AJ77" i="101"/>
  <c r="AJ52" i="101"/>
  <c r="O89" i="97"/>
  <c r="BH156" i="101"/>
  <c r="BH158" i="101"/>
  <c r="BH157" i="101"/>
  <c r="BH155" i="101"/>
  <c r="X31" i="101" s="1"/>
  <c r="BH159" i="101"/>
  <c r="P89" i="97"/>
  <c r="BP142" i="103"/>
  <c r="BU142" i="103"/>
  <c r="BU141" i="103"/>
  <c r="BP141" i="103"/>
  <c r="BP144" i="103"/>
  <c r="BU144" i="103"/>
  <c r="BU140" i="103"/>
  <c r="BO20" i="99" s="1"/>
  <c r="BP140" i="103"/>
  <c r="BJ20" i="99" s="1"/>
  <c r="BP143" i="103"/>
  <c r="BU143" i="103"/>
  <c r="AA130" i="99"/>
  <c r="R130" i="110"/>
  <c r="AG77" i="108"/>
  <c r="O77" i="103"/>
  <c r="BI150" i="101"/>
  <c r="Y30" i="101" s="1"/>
  <c r="BI151" i="101"/>
  <c r="BI154" i="101"/>
  <c r="BI152" i="101"/>
  <c r="BI153" i="101"/>
  <c r="BX104" i="101"/>
  <c r="AA104" i="99"/>
  <c r="R104" i="110"/>
  <c r="AG52" i="108"/>
  <c r="O52" i="103"/>
  <c r="BJ165" i="101"/>
  <c r="Z33" i="101" s="1"/>
  <c r="BJ162" i="101"/>
  <c r="BJ160" i="101"/>
  <c r="Z32" i="101" s="1"/>
  <c r="BJ161" i="101"/>
  <c r="BJ163" i="101"/>
  <c r="BJ164" i="101"/>
  <c r="BB23" i="103"/>
  <c r="V102" i="99"/>
  <c r="AK76" i="103"/>
  <c r="AL76" i="103" s="1"/>
  <c r="AK104" i="103"/>
  <c r="AL104" i="103" s="1"/>
  <c r="AB77" i="108"/>
  <c r="BB66" i="103"/>
  <c r="AB130" i="108"/>
  <c r="AC77" i="108"/>
  <c r="Z52" i="108"/>
  <c r="AK51" i="103"/>
  <c r="AL51" i="103" s="1"/>
  <c r="Z104" i="108"/>
  <c r="AC52" i="108"/>
  <c r="BG136" i="103"/>
  <c r="BG137" i="103"/>
  <c r="BG135" i="103"/>
  <c r="BG138" i="103"/>
  <c r="BG139" i="103"/>
  <c r="CE160" i="101"/>
  <c r="Y78" i="99"/>
  <c r="AP157" i="101"/>
  <c r="AR150" i="103"/>
  <c r="AO161" i="101"/>
  <c r="CE161" i="101"/>
  <c r="AJ164" i="99"/>
  <c r="AP159" i="101"/>
  <c r="AR152" i="103"/>
  <c r="AO198" i="99"/>
  <c r="X151" i="110"/>
  <c r="X150" i="110"/>
  <c r="X153" i="110"/>
  <c r="X154" i="110"/>
  <c r="X152" i="110"/>
  <c r="AO160" i="101"/>
  <c r="W76" i="103"/>
  <c r="CE162" i="101"/>
  <c r="Z164" i="110"/>
  <c r="AJ163" i="99"/>
  <c r="AS164" i="103"/>
  <c r="AO153" i="99"/>
  <c r="BJ140" i="103"/>
  <c r="BJ142" i="103"/>
  <c r="BJ144" i="103"/>
  <c r="BJ143" i="103"/>
  <c r="BJ141" i="103"/>
  <c r="AO163" i="101"/>
  <c r="W104" i="103"/>
  <c r="CE163" i="101"/>
  <c r="Z161" i="110"/>
  <c r="AJ162" i="99"/>
  <c r="AS162" i="103"/>
  <c r="AO164" i="101"/>
  <c r="AQ157" i="103"/>
  <c r="CE165" i="101"/>
  <c r="Z162" i="110"/>
  <c r="AJ160" i="99"/>
  <c r="AS160" i="103"/>
  <c r="CJ153" i="101"/>
  <c r="AO162" i="101"/>
  <c r="AQ156" i="103"/>
  <c r="AI160" i="99"/>
  <c r="Z160" i="110"/>
  <c r="AJ161" i="99"/>
  <c r="AS161" i="103"/>
  <c r="AS163" i="103"/>
  <c r="AH146" i="99"/>
  <c r="AH147" i="99"/>
  <c r="AH149" i="99"/>
  <c r="AH145" i="99"/>
  <c r="AH148" i="99"/>
  <c r="AO165" i="101"/>
  <c r="AQ155" i="103"/>
  <c r="AI164" i="99"/>
  <c r="Z163" i="110"/>
  <c r="AJ165" i="99"/>
  <c r="AG149" i="99"/>
  <c r="AG145" i="99"/>
  <c r="AG147" i="99"/>
  <c r="AG148" i="99"/>
  <c r="AG146" i="99"/>
  <c r="AQ159" i="103"/>
  <c r="AI162" i="99"/>
  <c r="Z165" i="110"/>
  <c r="AA164" i="110"/>
  <c r="AS165" i="103"/>
  <c r="Y147" i="110"/>
  <c r="Y146" i="110"/>
  <c r="Y148" i="110"/>
  <c r="Y149" i="110"/>
  <c r="Y145" i="110"/>
  <c r="AQ158" i="103"/>
  <c r="AI161" i="99"/>
  <c r="BI145" i="103"/>
  <c r="AA162" i="110"/>
  <c r="CF146" i="101"/>
  <c r="CF147" i="101"/>
  <c r="CF145" i="101"/>
  <c r="CF149" i="101"/>
  <c r="CF148" i="101"/>
  <c r="AF198" i="110"/>
  <c r="Q78" i="99"/>
  <c r="AI163" i="99"/>
  <c r="BI148" i="103"/>
  <c r="AA163" i="110"/>
  <c r="AR153" i="103"/>
  <c r="CD148" i="101"/>
  <c r="CD146" i="101"/>
  <c r="CD149" i="101"/>
  <c r="CD147" i="101"/>
  <c r="CD145" i="101"/>
  <c r="T89" i="97"/>
  <c r="AI78" i="101" s="1"/>
  <c r="AI165" i="99"/>
  <c r="BI149" i="103"/>
  <c r="AA161" i="110"/>
  <c r="AA160" i="110"/>
  <c r="AF62" i="110"/>
  <c r="CC145" i="101"/>
  <c r="CC149" i="101"/>
  <c r="CC148" i="101"/>
  <c r="CC147" i="101"/>
  <c r="CC146" i="101"/>
  <c r="U78" i="99"/>
  <c r="BI146" i="103"/>
  <c r="BH142" i="103"/>
  <c r="BH144" i="103"/>
  <c r="BH140" i="103"/>
  <c r="BH141" i="103"/>
  <c r="BH143" i="103"/>
  <c r="Z78" i="99"/>
  <c r="BI147" i="103"/>
  <c r="AA165" i="110"/>
  <c r="AP156" i="101"/>
  <c r="BW78" i="101"/>
  <c r="W51" i="103"/>
  <c r="Q78" i="110"/>
  <c r="P78" i="110"/>
  <c r="AP158" i="101"/>
  <c r="AR151" i="103"/>
  <c r="AR154" i="103"/>
  <c r="CE164" i="101"/>
  <c r="BV78" i="101"/>
  <c r="AP155" i="101"/>
  <c r="AF154" i="110"/>
  <c r="BO143" i="103" l="1"/>
  <c r="BT143" i="103"/>
  <c r="BO141" i="103"/>
  <c r="BT141" i="103"/>
  <c r="BO140" i="103"/>
  <c r="BI20" i="99" s="1"/>
  <c r="BT140" i="103"/>
  <c r="BN20" i="99" s="1"/>
  <c r="BO144" i="103"/>
  <c r="BT144" i="103"/>
  <c r="BO142" i="103"/>
  <c r="BT142" i="103"/>
  <c r="AG62" i="110"/>
  <c r="AH62" i="110" s="1"/>
  <c r="AS62" i="110" s="1"/>
  <c r="AG198" i="110"/>
  <c r="AH198" i="110" s="1"/>
  <c r="AS198" i="110" s="1"/>
  <c r="CK153" i="101"/>
  <c r="CL153" i="101" s="1"/>
  <c r="BV141" i="103"/>
  <c r="BQ141" i="103"/>
  <c r="BQ143" i="103"/>
  <c r="BV143" i="103"/>
  <c r="BV144" i="103"/>
  <c r="BQ144" i="103"/>
  <c r="BV142" i="103"/>
  <c r="BQ142" i="103"/>
  <c r="BV140" i="103"/>
  <c r="BP20" i="99" s="1"/>
  <c r="BQ140" i="103"/>
  <c r="BK20" i="99" s="1"/>
  <c r="AP153" i="99"/>
  <c r="AQ153" i="99" s="1"/>
  <c r="BB153" i="99" s="1"/>
  <c r="AP198" i="99"/>
  <c r="AQ198" i="99" s="1"/>
  <c r="BB198" i="99" s="1"/>
  <c r="BN139" i="103"/>
  <c r="BS139" i="103"/>
  <c r="BN138" i="103"/>
  <c r="BS138" i="103"/>
  <c r="BS135" i="103"/>
  <c r="BM19" i="99" s="1"/>
  <c r="BN135" i="103"/>
  <c r="BH19" i="99" s="1"/>
  <c r="BN137" i="103"/>
  <c r="BS137" i="103"/>
  <c r="BN136" i="103"/>
  <c r="BS136" i="103"/>
  <c r="BA23" i="103"/>
  <c r="V76" i="99"/>
  <c r="BA66" i="103"/>
  <c r="BX50" i="101"/>
  <c r="BX76" i="101"/>
  <c r="BX128" i="101"/>
  <c r="R76" i="110"/>
  <c r="AA50" i="99"/>
  <c r="AA76" i="99"/>
  <c r="V128" i="99"/>
  <c r="BC23" i="103"/>
  <c r="BC66" i="103"/>
  <c r="R51" i="110"/>
  <c r="AZ22" i="103"/>
  <c r="V49" i="99"/>
  <c r="AZ65" i="103"/>
  <c r="AG154" i="110"/>
  <c r="AH154" i="110" s="1"/>
  <c r="AS154" i="110" s="1"/>
  <c r="AH153" i="110"/>
  <c r="AS153" i="110" s="1"/>
  <c r="AJ78" i="101"/>
  <c r="BI159" i="101"/>
  <c r="BI157" i="101"/>
  <c r="BI155" i="101"/>
  <c r="Y31" i="101" s="1"/>
  <c r="BI158" i="101"/>
  <c r="BI156" i="101"/>
  <c r="BP147" i="103"/>
  <c r="BU147" i="103"/>
  <c r="BP146" i="103"/>
  <c r="BU146" i="103"/>
  <c r="BU149" i="103"/>
  <c r="BP149" i="103"/>
  <c r="BU148" i="103"/>
  <c r="BP148" i="103"/>
  <c r="BU145" i="103"/>
  <c r="BP145" i="103"/>
  <c r="AG78" i="108"/>
  <c r="O78" i="103"/>
  <c r="BH165" i="101"/>
  <c r="X33" i="101" s="1"/>
  <c r="BH162" i="101"/>
  <c r="BH164" i="101"/>
  <c r="BH163" i="101"/>
  <c r="BH160" i="101"/>
  <c r="X32" i="101" s="1"/>
  <c r="BH161" i="101"/>
  <c r="BB24" i="103"/>
  <c r="V103" i="99"/>
  <c r="AB78" i="108"/>
  <c r="BB67" i="103"/>
  <c r="AK77" i="103"/>
  <c r="AL77" i="103" s="1"/>
  <c r="AC78" i="108"/>
  <c r="AK52" i="103"/>
  <c r="AL52" i="103" s="1"/>
  <c r="AF107" i="110"/>
  <c r="CD153" i="101"/>
  <c r="CD151" i="101"/>
  <c r="CD150" i="101"/>
  <c r="CD154" i="101"/>
  <c r="CD152" i="101"/>
  <c r="AR155" i="103"/>
  <c r="W52" i="103"/>
  <c r="AQ161" i="103"/>
  <c r="AP164" i="101"/>
  <c r="AO62" i="99"/>
  <c r="CF150" i="101"/>
  <c r="CF154" i="101"/>
  <c r="CF153" i="101"/>
  <c r="CF151" i="101"/>
  <c r="CF152" i="101"/>
  <c r="AR157" i="103"/>
  <c r="AO199" i="99"/>
  <c r="Y153" i="110"/>
  <c r="Y151" i="110"/>
  <c r="Y154" i="110"/>
  <c r="Y152" i="110"/>
  <c r="Y150" i="110"/>
  <c r="AR156" i="103"/>
  <c r="W77" i="103"/>
  <c r="AO107" i="99"/>
  <c r="AG153" i="99"/>
  <c r="AG150" i="99"/>
  <c r="AG154" i="99"/>
  <c r="AG152" i="99"/>
  <c r="AG151" i="99"/>
  <c r="AH152" i="99"/>
  <c r="AH150" i="99"/>
  <c r="AH153" i="99"/>
  <c r="AH154" i="99"/>
  <c r="AH151" i="99"/>
  <c r="AP162" i="101"/>
  <c r="AR158" i="103"/>
  <c r="CJ154" i="101"/>
  <c r="AP165" i="101"/>
  <c r="BJ149" i="103"/>
  <c r="BJ148" i="103"/>
  <c r="BJ147" i="103"/>
  <c r="BJ146" i="103"/>
  <c r="BJ145" i="103"/>
  <c r="BI153" i="103"/>
  <c r="AP160" i="101"/>
  <c r="AR159" i="103"/>
  <c r="BI151" i="103"/>
  <c r="AP161" i="101"/>
  <c r="X159" i="110"/>
  <c r="X158" i="110"/>
  <c r="X157" i="110"/>
  <c r="X156" i="110"/>
  <c r="X155" i="110"/>
  <c r="AQ164" i="103"/>
  <c r="BI154" i="103"/>
  <c r="AQ162" i="103"/>
  <c r="BG144" i="103"/>
  <c r="BG143" i="103"/>
  <c r="BG141" i="103"/>
  <c r="BG140" i="103"/>
  <c r="BG142" i="103"/>
  <c r="AQ163" i="103"/>
  <c r="BI150" i="103"/>
  <c r="CJ62" i="101"/>
  <c r="BI152" i="103"/>
  <c r="AQ160" i="103"/>
  <c r="AO154" i="99"/>
  <c r="BH145" i="103"/>
  <c r="BH149" i="103"/>
  <c r="BH148" i="103"/>
  <c r="BH146" i="103"/>
  <c r="BH147" i="103"/>
  <c r="CJ107" i="101"/>
  <c r="AQ165" i="103"/>
  <c r="AP163" i="101"/>
  <c r="AF199" i="110"/>
  <c r="CJ197" i="101"/>
  <c r="CC154" i="101"/>
  <c r="CC150" i="101"/>
  <c r="CC152" i="101"/>
  <c r="CC153" i="101"/>
  <c r="CC151" i="101"/>
  <c r="CK197" i="101" l="1"/>
  <c r="CL197" i="101" s="1"/>
  <c r="AG199" i="110"/>
  <c r="AH199" i="110" s="1"/>
  <c r="AS199" i="110" s="1"/>
  <c r="CK107" i="101"/>
  <c r="CL107" i="101" s="1"/>
  <c r="BO147" i="103"/>
  <c r="BT147" i="103"/>
  <c r="BT146" i="103"/>
  <c r="BO146" i="103"/>
  <c r="BO148" i="103"/>
  <c r="BT148" i="103"/>
  <c r="BT149" i="103"/>
  <c r="BO149" i="103"/>
  <c r="BO145" i="103"/>
  <c r="BT145" i="103"/>
  <c r="AP154" i="99"/>
  <c r="AQ154" i="99" s="1"/>
  <c r="BB154" i="99" s="1"/>
  <c r="CK62" i="101"/>
  <c r="CL62" i="101" s="1"/>
  <c r="BN142" i="103"/>
  <c r="BS142" i="103"/>
  <c r="BN140" i="103"/>
  <c r="BH20" i="99" s="1"/>
  <c r="BS140" i="103"/>
  <c r="BM20" i="99" s="1"/>
  <c r="BS141" i="103"/>
  <c r="BN141" i="103"/>
  <c r="BN143" i="103"/>
  <c r="BS143" i="103"/>
  <c r="BN144" i="103"/>
  <c r="BS144" i="103"/>
  <c r="BV145" i="103"/>
  <c r="BQ145" i="103"/>
  <c r="BV146" i="103"/>
  <c r="BQ146" i="103"/>
  <c r="BV147" i="103"/>
  <c r="BQ147" i="103"/>
  <c r="BV148" i="103"/>
  <c r="BQ148" i="103"/>
  <c r="BV149" i="103"/>
  <c r="BQ149" i="103"/>
  <c r="CK154" i="101"/>
  <c r="CL154" i="101" s="1"/>
  <c r="AP107" i="99"/>
  <c r="AQ107" i="99" s="1"/>
  <c r="BB107" i="99" s="1"/>
  <c r="AP199" i="99"/>
  <c r="AQ199" i="99" s="1"/>
  <c r="BB199" i="99" s="1"/>
  <c r="AP62" i="99"/>
  <c r="AQ62" i="99" s="1"/>
  <c r="BB62" i="99" s="1"/>
  <c r="AG107" i="110"/>
  <c r="AH107" i="110" s="1"/>
  <c r="AS107" i="110" s="1"/>
  <c r="BX51" i="101"/>
  <c r="BA24" i="103"/>
  <c r="V77" i="99"/>
  <c r="BA67" i="103"/>
  <c r="AZ23" i="103"/>
  <c r="V50" i="99"/>
  <c r="AZ66" i="103"/>
  <c r="R52" i="110"/>
  <c r="BC67" i="103"/>
  <c r="BC24" i="103"/>
  <c r="V129" i="99"/>
  <c r="AA77" i="99"/>
  <c r="AA51" i="99"/>
  <c r="R77" i="110"/>
  <c r="BX129" i="101"/>
  <c r="BX77" i="101"/>
  <c r="BU152" i="103"/>
  <c r="BP152" i="103"/>
  <c r="BP150" i="103"/>
  <c r="BU150" i="103"/>
  <c r="BP154" i="103"/>
  <c r="BU154" i="103"/>
  <c r="BU151" i="103"/>
  <c r="BP151" i="103"/>
  <c r="BP153" i="103"/>
  <c r="BU153" i="103"/>
  <c r="BI165" i="101"/>
  <c r="Y33" i="101" s="1"/>
  <c r="BI164" i="101"/>
  <c r="BI163" i="101"/>
  <c r="BI162" i="101"/>
  <c r="BI160" i="101"/>
  <c r="Y32" i="101" s="1"/>
  <c r="BI161" i="101"/>
  <c r="BB68" i="103"/>
  <c r="BB25" i="103"/>
  <c r="V104" i="99"/>
  <c r="BB26" i="103" s="1"/>
  <c r="AK78" i="103"/>
  <c r="AL78" i="103" s="1"/>
  <c r="X163" i="110"/>
  <c r="X161" i="110"/>
  <c r="X164" i="110"/>
  <c r="X162" i="110"/>
  <c r="X160" i="110"/>
  <c r="X165" i="110"/>
  <c r="BI162" i="103"/>
  <c r="AR160" i="103"/>
  <c r="AR163" i="103"/>
  <c r="BI161" i="103"/>
  <c r="W78" i="103"/>
  <c r="BJ152" i="103"/>
  <c r="BJ153" i="103"/>
  <c r="BJ150" i="103"/>
  <c r="BJ154" i="103"/>
  <c r="BJ151" i="103"/>
  <c r="BI165" i="103"/>
  <c r="AR161" i="103"/>
  <c r="AR162" i="103"/>
  <c r="AG157" i="99"/>
  <c r="AG159" i="99"/>
  <c r="AG158" i="99"/>
  <c r="AG156" i="99"/>
  <c r="AG155" i="99"/>
  <c r="AH159" i="99"/>
  <c r="AH155" i="99"/>
  <c r="AH156" i="99"/>
  <c r="AH158" i="99"/>
  <c r="AH157" i="99"/>
  <c r="AR164" i="103"/>
  <c r="AR165" i="103"/>
  <c r="Y155" i="110"/>
  <c r="Y157" i="110"/>
  <c r="Y159" i="110"/>
  <c r="Y156" i="110"/>
  <c r="Y158" i="110"/>
  <c r="CF156" i="101"/>
  <c r="CF155" i="101"/>
  <c r="CF159" i="101"/>
  <c r="CF157" i="101"/>
  <c r="CF158" i="101"/>
  <c r="CD158" i="101"/>
  <c r="CD157" i="101"/>
  <c r="CD155" i="101"/>
  <c r="CD156" i="101"/>
  <c r="CD159" i="101"/>
  <c r="BI156" i="103"/>
  <c r="AF63" i="110"/>
  <c r="CC156" i="101"/>
  <c r="CC157" i="101"/>
  <c r="CC158" i="101"/>
  <c r="CC159" i="101"/>
  <c r="CC155" i="101"/>
  <c r="BI159" i="103"/>
  <c r="BH153" i="103"/>
  <c r="BH154" i="103"/>
  <c r="BH151" i="103"/>
  <c r="BH150" i="103"/>
  <c r="BH152" i="103"/>
  <c r="BI158" i="103"/>
  <c r="BI157" i="103"/>
  <c r="BG146" i="103"/>
  <c r="BG147" i="103"/>
  <c r="BG145" i="103"/>
  <c r="BG148" i="103"/>
  <c r="BG149" i="103"/>
  <c r="BI164" i="103"/>
  <c r="BI155" i="103"/>
  <c r="BI160" i="103"/>
  <c r="BI163" i="103"/>
  <c r="BN149" i="103" l="1"/>
  <c r="BS149" i="103"/>
  <c r="BS148" i="103"/>
  <c r="BN148" i="103"/>
  <c r="BN145" i="103"/>
  <c r="BS145" i="103"/>
  <c r="BN147" i="103"/>
  <c r="BS147" i="103"/>
  <c r="BN146" i="103"/>
  <c r="BS146" i="103"/>
  <c r="BO152" i="103"/>
  <c r="BT152" i="103"/>
  <c r="BT150" i="103"/>
  <c r="BO150" i="103"/>
  <c r="BT151" i="103"/>
  <c r="BO151" i="103"/>
  <c r="BO154" i="103"/>
  <c r="BT154" i="103"/>
  <c r="BO153" i="103"/>
  <c r="BT153" i="103"/>
  <c r="AG63" i="110"/>
  <c r="AH63" i="110" s="1"/>
  <c r="AS63" i="110" s="1"/>
  <c r="BV151" i="103"/>
  <c r="BQ151" i="103"/>
  <c r="BQ154" i="103"/>
  <c r="BV154" i="103"/>
  <c r="BV150" i="103"/>
  <c r="BQ150" i="103"/>
  <c r="BV153" i="103"/>
  <c r="BQ153" i="103"/>
  <c r="BV152" i="103"/>
  <c r="BQ152" i="103"/>
  <c r="BA25" i="103"/>
  <c r="V78" i="99"/>
  <c r="BA26" i="103" s="1"/>
  <c r="AZ67" i="103"/>
  <c r="BA68" i="103"/>
  <c r="AZ24" i="103"/>
  <c r="V51" i="99"/>
  <c r="BX52" i="101"/>
  <c r="BX78" i="101"/>
  <c r="BX130" i="101"/>
  <c r="R78" i="110"/>
  <c r="AA78" i="99"/>
  <c r="AA52" i="99"/>
  <c r="BC25" i="103"/>
  <c r="V130" i="99"/>
  <c r="BC26" i="103" s="1"/>
  <c r="BC68" i="103"/>
  <c r="BU165" i="103"/>
  <c r="BP165" i="103"/>
  <c r="BP161" i="103"/>
  <c r="BU161" i="103"/>
  <c r="BU162" i="103"/>
  <c r="BP162" i="103"/>
  <c r="BP164" i="103"/>
  <c r="BU164" i="103"/>
  <c r="BU163" i="103"/>
  <c r="BP163" i="103"/>
  <c r="BU160" i="103"/>
  <c r="BP160" i="103"/>
  <c r="BU155" i="103"/>
  <c r="BP155" i="103"/>
  <c r="BP157" i="103"/>
  <c r="BU157" i="103"/>
  <c r="BP158" i="103"/>
  <c r="BU158" i="103"/>
  <c r="BP159" i="103"/>
  <c r="BU159" i="103"/>
  <c r="BU156" i="103"/>
  <c r="BP156" i="103"/>
  <c r="BB70" i="103"/>
  <c r="BB69" i="103"/>
  <c r="AH160" i="99"/>
  <c r="AH163" i="99"/>
  <c r="AH164" i="99"/>
  <c r="AH162" i="99"/>
  <c r="AH161" i="99"/>
  <c r="AH165" i="99"/>
  <c r="AG161" i="99"/>
  <c r="AG163" i="99"/>
  <c r="AG160" i="99"/>
  <c r="AG162" i="99"/>
  <c r="AG164" i="99"/>
  <c r="AG165" i="99"/>
  <c r="BJ159" i="103"/>
  <c r="BJ158" i="103"/>
  <c r="BJ157" i="103"/>
  <c r="BJ156" i="103"/>
  <c r="BJ155" i="103"/>
  <c r="BJ161" i="103"/>
  <c r="BJ163" i="103"/>
  <c r="BJ160" i="103"/>
  <c r="BJ164" i="103"/>
  <c r="BJ162" i="103"/>
  <c r="BJ165" i="103"/>
  <c r="AF64" i="110"/>
  <c r="CJ63" i="101"/>
  <c r="CJ108" i="101"/>
  <c r="BH158" i="103"/>
  <c r="BH156" i="103"/>
  <c r="BH155" i="103"/>
  <c r="BH157" i="103"/>
  <c r="BH159" i="103"/>
  <c r="BH162" i="103"/>
  <c r="BH163" i="103"/>
  <c r="BH164" i="103"/>
  <c r="BH160" i="103"/>
  <c r="BH161" i="103"/>
  <c r="CJ198" i="101"/>
  <c r="BH165" i="103"/>
  <c r="AF108" i="110"/>
  <c r="BG152" i="103"/>
  <c r="BG154" i="103"/>
  <c r="BG153" i="103"/>
  <c r="BG151" i="103"/>
  <c r="BG150" i="103"/>
  <c r="CC162" i="101"/>
  <c r="CC164" i="101"/>
  <c r="CC163" i="101"/>
  <c r="CC160" i="101"/>
  <c r="CC161" i="101"/>
  <c r="CC165" i="101"/>
  <c r="AO108" i="99"/>
  <c r="AO63" i="99"/>
  <c r="CD161" i="101"/>
  <c r="CD160" i="101"/>
  <c r="CD164" i="101"/>
  <c r="CD162" i="101"/>
  <c r="CD163" i="101"/>
  <c r="CD165" i="101"/>
  <c r="CF163" i="101"/>
  <c r="CF162" i="101"/>
  <c r="CF164" i="101"/>
  <c r="CF161" i="101"/>
  <c r="CF160" i="101"/>
  <c r="CF165" i="101"/>
  <c r="Y161" i="110"/>
  <c r="Y164" i="110"/>
  <c r="Y162" i="110"/>
  <c r="Y163" i="110"/>
  <c r="Y160" i="110"/>
  <c r="Y165" i="110"/>
  <c r="AP63" i="99" l="1"/>
  <c r="AQ63" i="99" s="1"/>
  <c r="BB63" i="99" s="1"/>
  <c r="AP108" i="99"/>
  <c r="AQ108" i="99" s="1"/>
  <c r="BB108" i="99" s="1"/>
  <c r="BN150" i="103"/>
  <c r="BS150" i="103"/>
  <c r="BN151" i="103"/>
  <c r="BS151" i="103"/>
  <c r="BN153" i="103"/>
  <c r="BS153" i="103"/>
  <c r="BN154" i="103"/>
  <c r="BS154" i="103"/>
  <c r="BN152" i="103"/>
  <c r="BS152" i="103"/>
  <c r="AG108" i="110"/>
  <c r="AH108" i="110" s="1"/>
  <c r="AS108" i="110" s="1"/>
  <c r="BO165" i="103"/>
  <c r="BT165" i="103"/>
  <c r="CK198" i="101"/>
  <c r="CL198" i="101" s="1"/>
  <c r="BO161" i="103"/>
  <c r="BT161" i="103"/>
  <c r="BO160" i="103"/>
  <c r="BT160" i="103"/>
  <c r="BT164" i="103"/>
  <c r="BO164" i="103"/>
  <c r="BO163" i="103"/>
  <c r="BT163" i="103"/>
  <c r="BO162" i="103"/>
  <c r="BT162" i="103"/>
  <c r="BT159" i="103"/>
  <c r="BO159" i="103"/>
  <c r="BT157" i="103"/>
  <c r="BO157" i="103"/>
  <c r="BT155" i="103"/>
  <c r="BO155" i="103"/>
  <c r="BO156" i="103"/>
  <c r="BT156" i="103"/>
  <c r="BT158" i="103"/>
  <c r="BO158" i="103"/>
  <c r="CK108" i="101"/>
  <c r="CL108" i="101" s="1"/>
  <c r="CK63" i="101"/>
  <c r="CL63" i="101" s="1"/>
  <c r="AG64" i="110"/>
  <c r="AH64" i="110" s="1"/>
  <c r="AS64" i="110" s="1"/>
  <c r="BV165" i="103"/>
  <c r="BQ165" i="103"/>
  <c r="BV162" i="103"/>
  <c r="BQ162" i="103"/>
  <c r="BQ164" i="103"/>
  <c r="BV164" i="103"/>
  <c r="BV160" i="103"/>
  <c r="BQ160" i="103"/>
  <c r="BV163" i="103"/>
  <c r="BQ163" i="103"/>
  <c r="BV161" i="103"/>
  <c r="BQ161" i="103"/>
  <c r="BQ155" i="103"/>
  <c r="BV155" i="103"/>
  <c r="BQ156" i="103"/>
  <c r="BV156" i="103"/>
  <c r="BV157" i="103"/>
  <c r="BQ157" i="103"/>
  <c r="BV158" i="103"/>
  <c r="BQ158" i="103"/>
  <c r="BV159" i="103"/>
  <c r="BQ159" i="103"/>
  <c r="AZ25" i="103"/>
  <c r="V52" i="99"/>
  <c r="AZ26" i="103" s="1"/>
  <c r="AZ68" i="103"/>
  <c r="BA70" i="103"/>
  <c r="BA69" i="103"/>
  <c r="BC70" i="103"/>
  <c r="BC69" i="103"/>
  <c r="AF109" i="110"/>
  <c r="CJ199" i="101"/>
  <c r="AO64" i="99"/>
  <c r="BG159" i="103"/>
  <c r="BG158" i="103"/>
  <c r="BG156" i="103"/>
  <c r="BG155" i="103"/>
  <c r="BG157" i="103"/>
  <c r="BG163" i="103"/>
  <c r="BG164" i="103"/>
  <c r="BG162" i="103"/>
  <c r="BG161" i="103"/>
  <c r="BG160" i="103"/>
  <c r="CJ109" i="101"/>
  <c r="AO109" i="99"/>
  <c r="BG165" i="103"/>
  <c r="CJ64" i="101"/>
  <c r="CK64" i="101" l="1"/>
  <c r="CL64" i="101" s="1"/>
  <c r="BN165" i="103"/>
  <c r="BS165" i="103"/>
  <c r="AP109" i="99"/>
  <c r="AQ109" i="99" s="1"/>
  <c r="BB109" i="99" s="1"/>
  <c r="CK109" i="101"/>
  <c r="CL109" i="101" s="1"/>
  <c r="BN160" i="103"/>
  <c r="BS160" i="103"/>
  <c r="BN161" i="103"/>
  <c r="BS161" i="103"/>
  <c r="BN162" i="103"/>
  <c r="BS162" i="103"/>
  <c r="BN164" i="103"/>
  <c r="BS164" i="103"/>
  <c r="BN163" i="103"/>
  <c r="BS163" i="103"/>
  <c r="BN157" i="103"/>
  <c r="BS157" i="103"/>
  <c r="BN155" i="103"/>
  <c r="BS155" i="103"/>
  <c r="BN156" i="103"/>
  <c r="BS156" i="103"/>
  <c r="BS158" i="103"/>
  <c r="BN158" i="103"/>
  <c r="BN159" i="103"/>
  <c r="BS159" i="103"/>
  <c r="AP64" i="99"/>
  <c r="AQ64" i="99" s="1"/>
  <c r="BB64" i="99" s="1"/>
  <c r="CK199" i="101"/>
  <c r="CL199" i="101" s="1"/>
  <c r="AG109" i="110"/>
  <c r="AH109" i="110" s="1"/>
  <c r="AS109" i="110" s="1"/>
  <c r="AZ70" i="103"/>
  <c r="AZ69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</authors>
  <commentList>
    <comment ref="F48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终极目标，预留12%，后续版本可以更新上去</t>
        </r>
      </text>
    </comment>
    <comment ref="G48" authorId="0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终极目标，预留15%，后续版本可以更新上去</t>
        </r>
      </text>
    </comment>
    <comment ref="H48" authorId="0" shapeId="0" xr:uid="{00000000-0006-0000-0400-000003000000}">
      <text>
        <r>
          <rPr>
            <b/>
            <sz val="9"/>
            <color indexed="81"/>
            <rFont val="宋体"/>
            <family val="3"/>
            <charset val="134"/>
          </rPr>
          <t>终极目标，预留15%，后续版本可以更新上去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</authors>
  <commentList>
    <comment ref="C7" authorId="0" shapeId="0" xr:uid="{00000000-0006-0000-0500-000001000000}">
      <text>
        <r>
          <rPr>
            <b/>
            <sz val="9"/>
            <color indexed="81"/>
            <rFont val="宋体"/>
            <family val="3"/>
            <charset val="134"/>
          </rPr>
          <t>回收100%的宝物价值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admin</author>
  </authors>
  <commentList>
    <comment ref="C18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多类,大地图单刷指定部件战斗</t>
        </r>
        <r>
          <rPr>
            <sz val="9"/>
            <color indexed="81"/>
            <rFont val="宋体"/>
            <family val="3"/>
            <charset val="134"/>
          </rPr>
          <t xml:space="preserve">
国战中，装备产出为指定套装的随机部件</t>
        </r>
      </text>
    </comment>
    <comment ref="I18" authorId="1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I19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D47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普通野怪产出，故不对应盗宝贼数据</t>
        </r>
      </text>
    </comment>
    <comment ref="H63" authorId="1" shapeId="0" xr:uid="{00000000-0006-0000-0600-000005000000}">
      <text>
        <r>
          <rPr>
            <b/>
            <sz val="9"/>
            <color indexed="81"/>
            <rFont val="宋体"/>
            <family val="3"/>
            <charset val="134"/>
          </rPr>
          <t>活动投放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E17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经济表总占比约3%</t>
        </r>
      </text>
    </comment>
    <comment ref="F17" authorId="0" shapeId="0" xr:uid="{00000000-0006-0000-0700-000002000000}">
      <text>
        <r>
          <rPr>
            <b/>
            <sz val="9"/>
            <color indexed="81"/>
            <rFont val="宋体"/>
            <family val="3"/>
            <charset val="134"/>
          </rPr>
          <t>经济表总占比约5%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17" authorId="0" shapeId="0" xr:uid="{00000000-0006-0000-0900-000001000000}">
      <text>
        <r>
          <rPr>
            <b/>
            <sz val="9"/>
            <color indexed="81"/>
            <rFont val="宋体"/>
            <family val="3"/>
            <charset val="134"/>
          </rPr>
          <t>根据宝物开放等级对应定义等级为60级的武将属性进行战力折算值，对照三维增加攻血百分比情况得到的结果</t>
        </r>
      </text>
    </comment>
    <comment ref="O22" authorId="0" shapeId="0" xr:uid="{00000000-0006-0000-0900-000002000000}">
      <text>
        <r>
          <rPr>
            <b/>
            <sz val="9"/>
            <color indexed="81"/>
            <rFont val="宋体"/>
            <family val="3"/>
            <charset val="134"/>
          </rPr>
          <t>该公式当前最多能满足5条属性的算法，超出需要继续增加后面条数的计算
公式逻辑为：
n条属性全增加的概率*增加均值+
n-1条属性增加的概率*增加均值*（增加的属性之和大于下降的属性之和的概率）*（增加的属性大于下降的属性最小值的概率）-1条属性下降的概率*（增加的属性之和与下降的属性最小值的平均值）+
n-2条属性增加的概率*增加均值*（增加的属性之和大于下降的属性之和的概率）*（增加的属性大于下降的属性最小值的概率）-1条属性下降的概率*（增加的属性之和与下降的属性最小值的平均值）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I5" authorId="0" shapeId="0" xr:uid="{75566E4A-B9D6-4FB6-9C73-C63F1870115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一队平均宝石等级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yisnask</author>
  </authors>
  <commentList>
    <comment ref="W11" authorId="0" shapeId="0" xr:uid="{CF8356C3-8AA9-4F1F-A3AB-51F3EDC5415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6种宝石平均投，
这个地方就不考虑每种宝石的投放了。
只做一个累计产出</t>
        </r>
      </text>
    </comment>
    <comment ref="C26" authorId="0" shapeId="0" xr:uid="{CC276CC9-04D3-4532-AAF0-22A57B3D9841}">
      <text>
        <r>
          <rPr>
            <b/>
            <sz val="9"/>
            <rFont val="宋体"/>
            <family val="3"/>
            <charset val="134"/>
          </rPr>
          <t>admin:</t>
        </r>
        <r>
          <rPr>
            <sz val="9"/>
            <rFont val="宋体"/>
            <family val="3"/>
            <charset val="134"/>
          </rPr>
          <t xml:space="preserve">
ps：配置注意控制周期内同服玩家修建长城长度，按照5000里的标准配置（可适当超出），以减小服务器压力</t>
        </r>
      </text>
    </comment>
    <comment ref="D44" authorId="0" shapeId="0" xr:uid="{4DDD1D16-DDD5-4CE4-916B-6293F2AFF4E6}">
      <text>
        <r>
          <rPr>
            <b/>
            <sz val="9"/>
            <rFont val="宋体"/>
            <family val="3"/>
            <charset val="134"/>
          </rPr>
          <t>admin:</t>
        </r>
        <r>
          <rPr>
            <sz val="9"/>
            <rFont val="宋体"/>
            <family val="3"/>
            <charset val="134"/>
          </rPr>
          <t xml:space="preserve">
玩家不知道最优策略，
实际值估计在4次左右</t>
        </r>
      </text>
    </comment>
    <comment ref="D47" authorId="0" shapeId="0" xr:uid="{D3560189-5954-4F01-A216-963B8A426A82}">
      <text>
        <r>
          <rPr>
            <b/>
            <sz val="9"/>
            <rFont val="宋体"/>
            <family val="3"/>
            <charset val="134"/>
          </rPr>
          <t>admin:</t>
        </r>
        <r>
          <rPr>
            <sz val="9"/>
            <rFont val="宋体"/>
            <family val="3"/>
            <charset val="134"/>
          </rPr>
          <t xml:space="preserve">
加上初始的
减去出入口</t>
        </r>
      </text>
    </comment>
    <comment ref="F87" authorId="1" shapeId="0" xr:uid="{0BF91887-906A-4FEB-91A8-6CFF41033046}">
      <text>
        <r>
          <rPr>
            <b/>
            <sz val="9"/>
            <rFont val="宋体"/>
            <family val="3"/>
            <charset val="134"/>
          </rPr>
          <t>yisnask:</t>
        </r>
        <r>
          <rPr>
            <sz val="9"/>
            <rFont val="宋体"/>
            <family val="3"/>
            <charset val="134"/>
          </rPr>
          <t xml:space="preserve">
2/3的迷雾是正收益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</authors>
  <commentList>
    <comment ref="G12" authorId="0" shapeId="0" xr:uid="{00000000-0006-0000-0A00-000001000000}">
      <text>
        <r>
          <rPr>
            <b/>
            <sz val="9"/>
            <color indexed="81"/>
            <rFont val="宋体"/>
            <family val="3"/>
            <charset val="134"/>
          </rPr>
          <t>出售指定卡提高出售</t>
        </r>
      </text>
    </comment>
    <comment ref="H12" authorId="0" shapeId="0" xr:uid="{00000000-0006-0000-0A00-000002000000}">
      <text>
        <r>
          <rPr>
            <b/>
            <sz val="9"/>
            <color indexed="81"/>
            <rFont val="宋体"/>
            <family val="3"/>
            <charset val="134"/>
          </rPr>
          <t>出售指定卡按照2倍价值出售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<sst xmlns="http://schemas.openxmlformats.org/spreadsheetml/2006/main" count="2929" uniqueCount="771">
  <si>
    <t>橙</t>
    <phoneticPr fontId="1" type="noConversion"/>
  </si>
  <si>
    <t>蓝</t>
    <phoneticPr fontId="1" type="noConversion"/>
  </si>
  <si>
    <t>紫</t>
    <phoneticPr fontId="1" type="noConversion"/>
  </si>
  <si>
    <t>升阶次数</t>
    <phoneticPr fontId="1" type="noConversion"/>
  </si>
  <si>
    <t>消耗数量</t>
    <phoneticPr fontId="1" type="noConversion"/>
  </si>
  <si>
    <t>总消耗数量</t>
    <phoneticPr fontId="1" type="noConversion"/>
  </si>
  <si>
    <t>升星次数</t>
    <phoneticPr fontId="1" type="noConversion"/>
  </si>
  <si>
    <t>1紫</t>
    <phoneticPr fontId="1" type="noConversion"/>
  </si>
  <si>
    <t>3紫</t>
    <phoneticPr fontId="1" type="noConversion"/>
  </si>
  <si>
    <t>5紫</t>
    <phoneticPr fontId="1" type="noConversion"/>
  </si>
  <si>
    <t>1橙</t>
    <phoneticPr fontId="1" type="noConversion"/>
  </si>
  <si>
    <t>6橙</t>
    <phoneticPr fontId="1" type="noConversion"/>
  </si>
  <si>
    <t>时间差</t>
    <phoneticPr fontId="1" type="noConversion"/>
  </si>
  <si>
    <t>觉醒次数</t>
    <phoneticPr fontId="1" type="noConversion"/>
  </si>
  <si>
    <t>觉醒消耗</t>
    <phoneticPr fontId="1" type="noConversion"/>
  </si>
  <si>
    <t>觉醒总消耗</t>
    <phoneticPr fontId="1" type="noConversion"/>
  </si>
  <si>
    <t>1橙升1星</t>
    <phoneticPr fontId="1" type="noConversion"/>
  </si>
  <si>
    <t>6橙升1星</t>
    <phoneticPr fontId="1" type="noConversion"/>
  </si>
  <si>
    <t>6橙升3星</t>
    <phoneticPr fontId="1" type="noConversion"/>
  </si>
  <si>
    <t>6橙升7星</t>
    <phoneticPr fontId="1" type="noConversion"/>
  </si>
  <si>
    <t>4橙</t>
    <phoneticPr fontId="1" type="noConversion"/>
  </si>
  <si>
    <t>1紫升1星</t>
    <phoneticPr fontId="1" type="noConversion"/>
  </si>
  <si>
    <t>1橙觉醒</t>
    <phoneticPr fontId="1" type="noConversion"/>
  </si>
  <si>
    <t>6橙觉醒</t>
    <phoneticPr fontId="1" type="noConversion"/>
  </si>
  <si>
    <t>等级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</si>
  <si>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</si>
  <si>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</si>
  <si>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</si>
  <si>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</si>
  <si>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</si>
  <si>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品质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</si>
  <si>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</si>
  <si>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</si>
  <si>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</si>
  <si>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红</t>
    <phoneticPr fontId="1" type="noConversion"/>
  </si>
  <si>
    <t>初始属性</t>
    <phoneticPr fontId="1" type="noConversion"/>
  </si>
  <si>
    <t>成长属性</t>
    <phoneticPr fontId="1" type="noConversion"/>
  </si>
  <si>
    <t>升阶次数</t>
    <phoneticPr fontId="1" type="noConversion"/>
  </si>
  <si>
    <t>升阶附加值</t>
    <phoneticPr fontId="1" type="noConversion"/>
  </si>
  <si>
    <t>升星次数</t>
    <phoneticPr fontId="1" type="noConversion"/>
  </si>
  <si>
    <t>单次升星附加值</t>
    <phoneticPr fontId="1" type="noConversion"/>
  </si>
  <si>
    <t>属性值=基础值+成长值*等级+升星附加值*升星次数+觉醒附加值*觉醒次数</t>
    <phoneticPr fontId="1" type="noConversion"/>
  </si>
  <si>
    <t>橙</t>
    <phoneticPr fontId="1" type="noConversion"/>
  </si>
  <si>
    <t>升星次数</t>
    <phoneticPr fontId="1" type="noConversion"/>
  </si>
  <si>
    <t>阶段</t>
    <phoneticPr fontId="1" type="noConversion"/>
  </si>
  <si>
    <t>等级</t>
    <phoneticPr fontId="1" type="noConversion"/>
  </si>
  <si>
    <t>状态</t>
    <phoneticPr fontId="1" type="noConversion"/>
  </si>
  <si>
    <t>1星紫</t>
    <phoneticPr fontId="1" type="noConversion"/>
  </si>
  <si>
    <t>觉醒橙</t>
    <phoneticPr fontId="1" type="noConversion"/>
  </si>
  <si>
    <t>觉醒1星橙</t>
    <phoneticPr fontId="1" type="noConversion"/>
  </si>
  <si>
    <t>觉醒1星橙</t>
    <phoneticPr fontId="1" type="noConversion"/>
  </si>
  <si>
    <t>觉醒1星橙</t>
    <phoneticPr fontId="1" type="noConversion"/>
  </si>
  <si>
    <t>觉醒3星橙</t>
    <phoneticPr fontId="1" type="noConversion"/>
  </si>
  <si>
    <t>觉醒7星橙</t>
    <phoneticPr fontId="1" type="noConversion"/>
  </si>
  <si>
    <t>属性</t>
    <phoneticPr fontId="1" type="noConversion"/>
  </si>
  <si>
    <t>1紫5蓝</t>
    <phoneticPr fontId="1" type="noConversion"/>
  </si>
  <si>
    <t>1橙5紫</t>
    <phoneticPr fontId="1" type="noConversion"/>
  </si>
  <si>
    <t>4橙2紫</t>
    <phoneticPr fontId="1" type="noConversion"/>
  </si>
  <si>
    <t>6橙</t>
    <phoneticPr fontId="1" type="noConversion"/>
  </si>
  <si>
    <t>6橙1星</t>
    <phoneticPr fontId="1" type="noConversion"/>
  </si>
  <si>
    <t>6橙2星</t>
    <phoneticPr fontId="1" type="noConversion"/>
  </si>
  <si>
    <t>6橙7星</t>
    <phoneticPr fontId="1" type="noConversion"/>
  </si>
  <si>
    <t>基础属性属性</t>
    <phoneticPr fontId="1" type="noConversion"/>
  </si>
  <si>
    <t>1紫1星</t>
    <phoneticPr fontId="1" type="noConversion"/>
  </si>
  <si>
    <t>1橙1星</t>
    <phoneticPr fontId="1" type="noConversion"/>
  </si>
  <si>
    <t>6橙1星</t>
    <phoneticPr fontId="1" type="noConversion"/>
  </si>
  <si>
    <t>6橙3星</t>
    <phoneticPr fontId="1" type="noConversion"/>
  </si>
  <si>
    <t>6橙7星</t>
    <phoneticPr fontId="1" type="noConversion"/>
  </si>
  <si>
    <t>1星橙</t>
    <phoneticPr fontId="1" type="noConversion"/>
  </si>
  <si>
    <t>3星橙</t>
    <phoneticPr fontId="1" type="noConversion"/>
  </si>
  <si>
    <t>7星橙</t>
    <phoneticPr fontId="1" type="noConversion"/>
  </si>
  <si>
    <t>升星阶段</t>
    <phoneticPr fontId="1" type="noConversion"/>
  </si>
  <si>
    <t>升星属性</t>
    <phoneticPr fontId="1" type="noConversion"/>
  </si>
  <si>
    <t>总属性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</si>
  <si>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</si>
  <si>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</si>
  <si>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</si>
  <si>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</si>
  <si>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</si>
  <si>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蓝</t>
  </si>
  <si>
    <t>紫</t>
  </si>
  <si>
    <t>橙</t>
  </si>
  <si>
    <t>绿</t>
  </si>
  <si>
    <t>红</t>
  </si>
  <si>
    <t>绿</t>
    <phoneticPr fontId="1" type="noConversion"/>
  </si>
  <si>
    <t>蓝</t>
    <phoneticPr fontId="1" type="noConversion"/>
  </si>
  <si>
    <t>紫</t>
    <phoneticPr fontId="1" type="noConversion"/>
  </si>
  <si>
    <t>红</t>
    <phoneticPr fontId="1" type="noConversion"/>
  </si>
  <si>
    <t>主力上阵武将数量</t>
    <phoneticPr fontId="1" type="noConversion"/>
  </si>
  <si>
    <t>主力上阵武将星级</t>
    <phoneticPr fontId="1" type="noConversion"/>
  </si>
  <si>
    <t>累积天数</t>
    <phoneticPr fontId="1" type="noConversion"/>
  </si>
  <si>
    <t>品质</t>
  </si>
  <si>
    <t>指定价值</t>
  </si>
  <si>
    <t>价值</t>
    <phoneticPr fontId="1" type="noConversion"/>
  </si>
  <si>
    <t>时间差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</si>
  <si>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</si>
  <si>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</si>
  <si>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</si>
  <si>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</si>
  <si>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等级</t>
    <phoneticPr fontId="1" type="noConversion"/>
  </si>
  <si>
    <t>玩家武将数量累积消耗</t>
    <phoneticPr fontId="1" type="noConversion"/>
  </si>
  <si>
    <t>玩家等级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</si>
  <si>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</si>
  <si>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</si>
  <si>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</si>
  <si>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</si>
  <si>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</si>
  <si>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超r</t>
    <phoneticPr fontId="1" type="noConversion"/>
  </si>
  <si>
    <t>觉醒需要消耗同资质的三张卡牌</t>
    <phoneticPr fontId="1" type="noConversion"/>
  </si>
  <si>
    <t>普通玩家</t>
    <phoneticPr fontId="1" type="noConversion"/>
  </si>
  <si>
    <t>橙</t>
    <phoneticPr fontId="1" type="noConversion"/>
  </si>
  <si>
    <t>红</t>
    <phoneticPr fontId="1" type="noConversion"/>
  </si>
  <si>
    <t>3天</t>
    <phoneticPr fontId="1" type="noConversion"/>
  </si>
  <si>
    <t>可觉醒的卡牌</t>
    <phoneticPr fontId="1" type="noConversion"/>
  </si>
  <si>
    <t>橙色</t>
    <phoneticPr fontId="1" type="noConversion"/>
  </si>
  <si>
    <t>紫</t>
    <phoneticPr fontId="1" type="noConversion"/>
  </si>
  <si>
    <t>紫1</t>
    <phoneticPr fontId="1" type="noConversion"/>
  </si>
  <si>
    <t>红色</t>
    <phoneticPr fontId="1" type="noConversion"/>
  </si>
  <si>
    <t>橙1</t>
    <phoneticPr fontId="1" type="noConversion"/>
  </si>
  <si>
    <t>等级</t>
    <phoneticPr fontId="1" type="noConversion"/>
  </si>
  <si>
    <t>上阵武将数</t>
    <phoneticPr fontId="1" type="noConversion"/>
  </si>
  <si>
    <t>时间</t>
    <phoneticPr fontId="1" type="noConversion"/>
  </si>
  <si>
    <t>完成等级</t>
    <phoneticPr fontId="1" type="noConversion"/>
  </si>
  <si>
    <t>3橙1觉</t>
    <phoneticPr fontId="1" type="noConversion"/>
  </si>
  <si>
    <t>1橙1觉</t>
    <phoneticPr fontId="1" type="noConversion"/>
  </si>
  <si>
    <t>4橙1觉，1橙2觉</t>
    <phoneticPr fontId="1" type="noConversion"/>
  </si>
  <si>
    <t>3橙1觉，3橙2觉</t>
    <phoneticPr fontId="1" type="noConversion"/>
  </si>
  <si>
    <t>1觉</t>
    <phoneticPr fontId="1" type="noConversion"/>
  </si>
  <si>
    <t>2觉</t>
    <phoneticPr fontId="1" type="noConversion"/>
  </si>
  <si>
    <t>品质</t>
    <phoneticPr fontId="1" type="noConversion"/>
  </si>
  <si>
    <t>描述</t>
    <phoneticPr fontId="1" type="noConversion"/>
  </si>
  <si>
    <t>状态</t>
    <phoneticPr fontId="1" type="noConversion"/>
  </si>
  <si>
    <t xml:space="preserve">品质 </t>
    <phoneticPr fontId="1" type="noConversion"/>
  </si>
  <si>
    <t>5橙2觉</t>
    <phoneticPr fontId="1" type="noConversion"/>
  </si>
  <si>
    <t>橙卡</t>
    <phoneticPr fontId="1" type="noConversion"/>
  </si>
  <si>
    <t>红卡</t>
    <phoneticPr fontId="1" type="noConversion"/>
  </si>
  <si>
    <t>消耗</t>
    <phoneticPr fontId="1" type="noConversion"/>
  </si>
  <si>
    <t>6橙2觉1觉红</t>
    <phoneticPr fontId="1" type="noConversion"/>
  </si>
  <si>
    <t>11橙2觉2觉红</t>
    <phoneticPr fontId="1" type="noConversion"/>
  </si>
  <si>
    <t>消耗低一资质武将卡</t>
    <phoneticPr fontId="1" type="noConversion"/>
  </si>
  <si>
    <t>消耗同一资质武将卡</t>
    <phoneticPr fontId="1" type="noConversion"/>
  </si>
  <si>
    <t>消耗同名武将卡</t>
    <phoneticPr fontId="1" type="noConversion"/>
  </si>
  <si>
    <t>消耗材料数量</t>
    <phoneticPr fontId="1" type="noConversion"/>
  </si>
  <si>
    <t>品质</t>
    <phoneticPr fontId="1" type="noConversion"/>
  </si>
  <si>
    <t>材料品质</t>
    <phoneticPr fontId="1" type="noConversion"/>
  </si>
  <si>
    <t>觉醒次数</t>
    <phoneticPr fontId="1" type="noConversion"/>
  </si>
  <si>
    <t>觉醒次数</t>
    <phoneticPr fontId="1" type="noConversion"/>
  </si>
  <si>
    <t>累积材料消耗</t>
    <phoneticPr fontId="1" type="noConversion"/>
  </si>
  <si>
    <t>累积卡牌消耗</t>
    <phoneticPr fontId="1" type="noConversion"/>
  </si>
  <si>
    <t>非r</t>
    <phoneticPr fontId="1" type="noConversion"/>
  </si>
  <si>
    <t>大殿等级</t>
  </si>
  <si>
    <t>大殿等级累积停留时间(天）</t>
  </si>
  <si>
    <t>大殿等级阶段停留时间（天）</t>
  </si>
  <si>
    <t>调整值</t>
    <phoneticPr fontId="1" type="noConversion"/>
  </si>
  <si>
    <t>非r累积时长大殿等级标准</t>
  </si>
  <si>
    <t>累积停留天数(标准）</t>
    <phoneticPr fontId="1" type="noConversion"/>
  </si>
  <si>
    <t>调整系数</t>
    <phoneticPr fontId="1" type="noConversion"/>
  </si>
  <si>
    <t>天数对应大殿等级</t>
    <phoneticPr fontId="1" type="noConversion"/>
  </si>
  <si>
    <t>天数</t>
    <phoneticPr fontId="1" type="noConversion"/>
  </si>
  <si>
    <t>每个等级玩家所需价值花费</t>
    <phoneticPr fontId="1" type="noConversion"/>
  </si>
  <si>
    <t>天数对应累积消耗钻石价值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</si>
  <si>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</si>
  <si>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</si>
  <si>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</si>
  <si>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</si>
  <si>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</si>
  <si>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定义等级对应累积消耗钻石价值</t>
  </si>
  <si>
    <t>橙+</t>
    <phoneticPr fontId="1" type="noConversion"/>
  </si>
  <si>
    <t>1、宝物分为蓝、紫、橙、橙+一共4种品质</t>
    <phoneticPr fontId="1" type="noConversion"/>
  </si>
  <si>
    <t>专属技能宝物</t>
    <phoneticPr fontId="1" type="noConversion"/>
  </si>
  <si>
    <t>普通技能宝物</t>
    <phoneticPr fontId="1" type="noConversion"/>
  </si>
  <si>
    <t>2、130单次养成的收益要高于120，但消耗远大于120</t>
    <phoneticPr fontId="1" type="noConversion"/>
  </si>
  <si>
    <t>三维</t>
    <phoneticPr fontId="1" type="noConversion"/>
  </si>
  <si>
    <t>技能系数</t>
    <phoneticPr fontId="1" type="noConversion"/>
  </si>
  <si>
    <t>属性上限设想</t>
    <phoneticPr fontId="1" type="noConversion"/>
  </si>
  <si>
    <t>花费</t>
    <phoneticPr fontId="1" type="noConversion"/>
  </si>
  <si>
    <t>资质</t>
    <phoneticPr fontId="1" type="noConversion"/>
  </si>
  <si>
    <t>3、现在的重生是亏损的，所以导致玩家可能不会养，所以必须要把120的获取难度降低</t>
    <phoneticPr fontId="1" type="noConversion"/>
  </si>
  <si>
    <t>1、120宝物获取难度低，养成难度相对高，130获取难度高（例如抽奖方式获取），养成难度相对低，最终120也能养成到匹配130宝物的水平，付费也差不多</t>
    <phoneticPr fontId="1" type="noConversion"/>
  </si>
  <si>
    <t>设计思路</t>
    <phoneticPr fontId="1" type="noConversion"/>
  </si>
  <si>
    <t>怪物等级</t>
    <phoneticPr fontId="1" type="noConversion"/>
  </si>
  <si>
    <t>预估分配比例</t>
    <phoneticPr fontId="1" type="noConversion"/>
  </si>
  <si>
    <t>行军令产出分配</t>
  </si>
  <si>
    <t>平均值</t>
    <phoneticPr fontId="1" type="noConversion"/>
  </si>
  <si>
    <t>上限</t>
    <phoneticPr fontId="1" type="noConversion"/>
  </si>
  <si>
    <t>倍率</t>
    <phoneticPr fontId="1" type="noConversion"/>
  </si>
  <si>
    <t>装备</t>
  </si>
  <si>
    <t>装备经验</t>
    <phoneticPr fontId="1" type="noConversion"/>
  </si>
  <si>
    <t>城建资源</t>
  </si>
  <si>
    <t>加速令</t>
    <phoneticPr fontId="1" type="noConversion"/>
  </si>
  <si>
    <t>银币</t>
  </si>
  <si>
    <t>武将经验</t>
  </si>
  <si>
    <t>总计</t>
    <phoneticPr fontId="1" type="noConversion"/>
  </si>
  <si>
    <t>藏宝图碎片</t>
  </si>
  <si>
    <t>武将经验</t>
    <phoneticPr fontId="1" type="noConversion"/>
  </si>
  <si>
    <t>累积获取行军令</t>
  </si>
  <si>
    <t>阶段获取行军令</t>
  </si>
  <si>
    <t>阶段产出蓝色文心</t>
    <phoneticPr fontId="1" type="noConversion"/>
  </si>
  <si>
    <t>累积产出蓝色文心</t>
  </si>
  <si>
    <t>阶段产出蓝色藏宝图碎片</t>
  </si>
  <si>
    <t>阶段产出紫色藏宝图碎片</t>
  </si>
  <si>
    <t>阶段产出橙色藏宝图碎片</t>
  </si>
  <si>
    <t>累积产出蓝色藏宝图碎片</t>
  </si>
  <si>
    <t>累积产出紫色藏宝图碎片</t>
  </si>
  <si>
    <t>累积产出橙色藏宝图碎片</t>
  </si>
  <si>
    <t>橙+</t>
  </si>
  <si>
    <t>蓝</t>
    <phoneticPr fontId="1" type="noConversion"/>
  </si>
  <si>
    <t>紫</t>
    <phoneticPr fontId="1" type="noConversion"/>
  </si>
  <si>
    <t>橙</t>
    <phoneticPr fontId="1" type="noConversion"/>
  </si>
  <si>
    <t>藏宝图设计</t>
    <phoneticPr fontId="1" type="noConversion"/>
  </si>
  <si>
    <t>宝物品质</t>
    <phoneticPr fontId="1" type="noConversion"/>
  </si>
  <si>
    <t>钻石价值(指定品质)</t>
  </si>
  <si>
    <t>钻石价值(指定卡)</t>
  </si>
  <si>
    <t>藏宝图价值</t>
    <phoneticPr fontId="1" type="noConversion"/>
  </si>
  <si>
    <t>藏宝图累积产出蓝色宝物</t>
    <phoneticPr fontId="1" type="noConversion"/>
  </si>
  <si>
    <t>藏宝图累积产出紫色宝物</t>
    <phoneticPr fontId="1" type="noConversion"/>
  </si>
  <si>
    <t>藏宝图累积产出橙色宝物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</si>
  <si>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</si>
  <si>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</si>
  <si>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</si>
  <si>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</si>
  <si>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</si>
  <si>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星级对应同名卡阶段消耗</t>
    <phoneticPr fontId="1" type="noConversion"/>
  </si>
  <si>
    <t>星级</t>
    <phoneticPr fontId="1" type="noConversion"/>
  </si>
  <si>
    <t>最大星级</t>
    <phoneticPr fontId="1" type="noConversion"/>
  </si>
  <si>
    <t>星级对应特性技能效用</t>
    <phoneticPr fontId="1" type="noConversion"/>
  </si>
  <si>
    <t>1，宝物鉴赏用于随机宝物的加成条目</t>
    <phoneticPr fontId="1" type="noConversion"/>
  </si>
  <si>
    <t>2，不同的宝物有不同的随机池</t>
    <phoneticPr fontId="1" type="noConversion"/>
  </si>
  <si>
    <t>3，品质越高的宝物加成条目数越多</t>
    <phoneticPr fontId="1" type="noConversion"/>
  </si>
  <si>
    <t>品质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</si>
  <si>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</si>
  <si>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</si>
  <si>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</si>
  <si>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加成条目数</t>
    <phoneticPr fontId="1" type="noConversion"/>
  </si>
  <si>
    <t>橙+</t>
    <phoneticPr fontId="1" type="noConversion"/>
  </si>
  <si>
    <t>加成属性</t>
    <phoneticPr fontId="1" type="noConversion"/>
  </si>
  <si>
    <t>武将护甲</t>
    <phoneticPr fontId="1" type="noConversion"/>
  </si>
  <si>
    <t>武将暴击</t>
    <phoneticPr fontId="1" type="noConversion"/>
  </si>
  <si>
    <t>武将韧性</t>
    <phoneticPr fontId="1" type="noConversion"/>
  </si>
  <si>
    <t>武将命中</t>
    <phoneticPr fontId="1" type="noConversion"/>
  </si>
  <si>
    <t>武将闪避</t>
    <phoneticPr fontId="1" type="noConversion"/>
  </si>
  <si>
    <t>倾向</t>
    <phoneticPr fontId="1" type="noConversion"/>
  </si>
  <si>
    <t>宝物温养随机池子设计</t>
    <phoneticPr fontId="1" type="noConversion"/>
  </si>
  <si>
    <t>武将攻击%</t>
    <phoneticPr fontId="1" type="noConversion"/>
  </si>
  <si>
    <t>武将生命%</t>
    <phoneticPr fontId="1" type="noConversion"/>
  </si>
  <si>
    <t>宝物平均星级</t>
    <phoneticPr fontId="1" type="noConversion"/>
  </si>
  <si>
    <t>玩家阶段队伍实力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</si>
  <si>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</si>
  <si>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</si>
  <si>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</si>
  <si>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</si>
  <si>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</si>
  <si>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升星对应宝物技能效用</t>
    <phoneticPr fontId="1" type="noConversion"/>
  </si>
  <si>
    <t>星级对应宝物总效用</t>
    <phoneticPr fontId="1" type="noConversion"/>
  </si>
  <si>
    <t>非r</t>
  </si>
  <si>
    <t>小r</t>
  </si>
  <si>
    <t>中r</t>
  </si>
  <si>
    <t>大r</t>
  </si>
  <si>
    <t>超r</t>
  </si>
  <si>
    <t>定义等级对应宝物效用</t>
    <phoneticPr fontId="1" type="noConversion"/>
  </si>
  <si>
    <t>武将攻击</t>
  </si>
  <si>
    <t>武将生命</t>
  </si>
  <si>
    <t>当前不支持武将携带宝物加士兵属性</t>
    <phoneticPr fontId="1" type="noConversion"/>
  </si>
  <si>
    <t>属性条数</t>
    <phoneticPr fontId="1" type="noConversion"/>
  </si>
  <si>
    <t>武力伤害</t>
    <phoneticPr fontId="1" type="noConversion"/>
  </si>
  <si>
    <t>武力免伤</t>
    <phoneticPr fontId="1" type="noConversion"/>
  </si>
  <si>
    <t>策略伤害</t>
    <phoneticPr fontId="1" type="noConversion"/>
  </si>
  <si>
    <t>策略免伤</t>
    <phoneticPr fontId="1" type="noConversion"/>
  </si>
  <si>
    <t>固定攻击</t>
    <phoneticPr fontId="1" type="noConversion"/>
  </si>
  <si>
    <t>固定生命</t>
    <phoneticPr fontId="1" type="noConversion"/>
  </si>
  <si>
    <t>输出池子</t>
    <phoneticPr fontId="1" type="noConversion"/>
  </si>
  <si>
    <t>防御池子</t>
    <phoneticPr fontId="1" type="noConversion"/>
  </si>
  <si>
    <t>暴击池子</t>
    <phoneticPr fontId="1" type="noConversion"/>
  </si>
  <si>
    <t>闪避池子</t>
    <phoneticPr fontId="1" type="noConversion"/>
  </si>
  <si>
    <t>武力池子</t>
    <phoneticPr fontId="1" type="noConversion"/>
  </si>
  <si>
    <t>策略池子</t>
    <phoneticPr fontId="1" type="noConversion"/>
  </si>
  <si>
    <t>基础池子</t>
    <phoneticPr fontId="1" type="noConversion"/>
  </si>
  <si>
    <t>属性分类</t>
    <phoneticPr fontId="1" type="noConversion"/>
  </si>
  <si>
    <t>编号</t>
    <phoneticPr fontId="1" type="noConversion"/>
  </si>
  <si>
    <t>属性编号</t>
    <phoneticPr fontId="1" type="noConversion"/>
  </si>
  <si>
    <t>统率</t>
    <phoneticPr fontId="1" type="noConversion"/>
  </si>
  <si>
    <t>武力</t>
    <phoneticPr fontId="1" type="noConversion"/>
  </si>
  <si>
    <t>智力</t>
    <phoneticPr fontId="1" type="noConversion"/>
  </si>
  <si>
    <t>品质</t>
    <phoneticPr fontId="1" type="noConversion"/>
  </si>
  <si>
    <t>单次温养消耗文心数量</t>
    <phoneticPr fontId="1" type="noConversion"/>
  </si>
  <si>
    <t>温养分三个阶段，每到达阶段峰值自动进入下一个阶段，不同阶段的温养提升进度几率不一样</t>
    <phoneticPr fontId="1" type="noConversion"/>
  </si>
  <si>
    <t>属性条数</t>
    <phoneticPr fontId="1" type="noConversion"/>
  </si>
  <si>
    <t>等级</t>
    <phoneticPr fontId="1" type="noConversion"/>
  </si>
  <si>
    <t>定义等级对应玩家累积消耗文心</t>
    <phoneticPr fontId="1" type="noConversion"/>
  </si>
  <si>
    <t>定义等级对应玩家累积产出文心</t>
    <phoneticPr fontId="1" type="noConversion"/>
  </si>
  <si>
    <t>文心盗宝贼</t>
    <phoneticPr fontId="1" type="noConversion"/>
  </si>
  <si>
    <t>单次温养期望提升值</t>
    <phoneticPr fontId="1" type="noConversion"/>
  </si>
  <si>
    <t>带兵数</t>
    <phoneticPr fontId="1" type="noConversion"/>
  </si>
  <si>
    <t>攻城值</t>
    <phoneticPr fontId="1" type="noConversion"/>
  </si>
  <si>
    <t>星级对应实力</t>
    <phoneticPr fontId="1" type="noConversion"/>
  </si>
  <si>
    <t>橙专属</t>
    <phoneticPr fontId="1" type="noConversion"/>
  </si>
  <si>
    <t>橙+专属</t>
    <phoneticPr fontId="1" type="noConversion"/>
  </si>
  <si>
    <t>战法累计评分</t>
    <phoneticPr fontId="1" type="noConversion"/>
  </si>
  <si>
    <t>产销比</t>
    <phoneticPr fontId="1" type="noConversion"/>
  </si>
  <si>
    <t>野怪等级对应定义等级</t>
    <phoneticPr fontId="1" type="noConversion"/>
  </si>
  <si>
    <t>权重</t>
    <phoneticPr fontId="1" type="noConversion"/>
  </si>
  <si>
    <t>功能名</t>
    <phoneticPr fontId="1" type="noConversion"/>
  </si>
  <si>
    <t>合并掉落</t>
    <phoneticPr fontId="1" type="noConversion"/>
  </si>
  <si>
    <t>主要</t>
    <phoneticPr fontId="1" type="noConversion"/>
  </si>
  <si>
    <t>次要</t>
    <phoneticPr fontId="1" type="noConversion"/>
  </si>
  <si>
    <t>补充1</t>
    <phoneticPr fontId="1" type="noConversion"/>
  </si>
  <si>
    <t>补充2</t>
  </si>
  <si>
    <t>补充3</t>
  </si>
  <si>
    <t>每日行为占比</t>
    <phoneticPr fontId="1" type="noConversion"/>
  </si>
  <si>
    <t>每次消耗行军令</t>
  </si>
  <si>
    <t>预估每日完成次数</t>
    <phoneticPr fontId="1" type="noConversion"/>
  </si>
  <si>
    <t>城建资源</t>
    <phoneticPr fontId="1" type="noConversion"/>
  </si>
  <si>
    <t>银币</t>
    <phoneticPr fontId="1" type="noConversion"/>
  </si>
  <si>
    <t>盗宝贼</t>
    <phoneticPr fontId="1" type="noConversion"/>
  </si>
  <si>
    <t>这里与经济表中一致</t>
    <phoneticPr fontId="1" type="noConversion"/>
  </si>
  <si>
    <t>替代精英怪的占比</t>
    <phoneticPr fontId="1" type="noConversion"/>
  </si>
  <si>
    <t>产出文心数量/每个行军令</t>
    <phoneticPr fontId="1" type="noConversion"/>
  </si>
  <si>
    <t>随机宝物价值</t>
    <phoneticPr fontId="1" type="noConversion"/>
  </si>
  <si>
    <t>产出概率</t>
    <phoneticPr fontId="1" type="noConversion"/>
  </si>
  <si>
    <t>产出数量</t>
    <phoneticPr fontId="1" type="noConversion"/>
  </si>
  <si>
    <t>非r返利</t>
    <phoneticPr fontId="1" type="noConversion"/>
  </si>
  <si>
    <t>小r返利</t>
    <phoneticPr fontId="1" type="noConversion"/>
  </si>
  <si>
    <t>中r返利</t>
    <phoneticPr fontId="1" type="noConversion"/>
  </si>
  <si>
    <t>大r返利</t>
    <phoneticPr fontId="1" type="noConversion"/>
  </si>
  <si>
    <t>超r返利</t>
    <phoneticPr fontId="1" type="noConversion"/>
  </si>
  <si>
    <t>宝箱价格</t>
    <phoneticPr fontId="1" type="noConversion"/>
  </si>
  <si>
    <t>宝物鉴赏道具价格</t>
    <phoneticPr fontId="1" type="noConversion"/>
  </si>
  <si>
    <t>星级对应强化怒气效用</t>
    <phoneticPr fontId="1" type="noConversion"/>
  </si>
  <si>
    <t>种类数</t>
    <phoneticPr fontId="1" type="noConversion"/>
  </si>
  <si>
    <t>宝物预估种类数</t>
    <phoneticPr fontId="1" type="noConversion"/>
  </si>
  <si>
    <t>1、由于第二赛季中武将基本已经完全二觉，所以精英野怪需求大大减少，所以盗宝贼可以完全占用精英野怪的行军令产出</t>
    <phoneticPr fontId="1" type="noConversion"/>
  </si>
  <si>
    <t>4、合成一张藏宝图需要碎片数量：</t>
    <phoneticPr fontId="1" type="noConversion"/>
  </si>
  <si>
    <t>蓝色藏宝图</t>
    <phoneticPr fontId="1" type="noConversion"/>
  </si>
  <si>
    <t>=</t>
    <phoneticPr fontId="1" type="noConversion"/>
  </si>
  <si>
    <t>个蓝色藏宝图碎片</t>
    <phoneticPr fontId="1" type="noConversion"/>
  </si>
  <si>
    <t>紫色藏宝图</t>
    <phoneticPr fontId="1" type="noConversion"/>
  </si>
  <si>
    <t>橙色藏宝图</t>
    <phoneticPr fontId="1" type="noConversion"/>
  </si>
  <si>
    <t>个紫色藏宝图碎片</t>
    <phoneticPr fontId="1" type="noConversion"/>
  </si>
  <si>
    <t>个橙色藏宝图碎片</t>
    <phoneticPr fontId="1" type="noConversion"/>
  </si>
  <si>
    <t>累计产出宝物数量</t>
    <phoneticPr fontId="1" type="noConversion"/>
  </si>
  <si>
    <t>打野累计产出宝物数量</t>
    <phoneticPr fontId="1" type="noConversion"/>
  </si>
  <si>
    <t>5、宝物定位：武将变向品质提升</t>
    <phoneticPr fontId="1" type="noConversion"/>
  </si>
  <si>
    <t>4、宝物系统在定义等级60级开放</t>
    <phoneticPr fontId="1" type="noConversion"/>
  </si>
  <si>
    <t>每周循环开启宝物抽奖活动，活动持续一周，同时开启直购礼包，并且预告下一周的抽奖宝物范围</t>
    <phoneticPr fontId="1" type="noConversion"/>
  </si>
  <si>
    <t>集结获得宝物抽奖券</t>
    <phoneticPr fontId="1" type="noConversion"/>
  </si>
  <si>
    <t>宝物抽奖券</t>
    <phoneticPr fontId="1" type="noConversion"/>
  </si>
  <si>
    <t>累计产出宝物抽奖券数量</t>
    <phoneticPr fontId="1" type="noConversion"/>
  </si>
  <si>
    <t>阶段产出宝物抽奖券数量</t>
    <phoneticPr fontId="1" type="noConversion"/>
  </si>
  <si>
    <t>3、攻打盗宝贼消耗行军令量</t>
    <phoneticPr fontId="1" type="noConversion"/>
  </si>
  <si>
    <t>主力队伍装备宝物数量</t>
  </si>
  <si>
    <t>非r完成预估</t>
    <phoneticPr fontId="1" type="noConversion"/>
  </si>
  <si>
    <t>上阵武将数量</t>
    <phoneticPr fontId="1" type="noConversion"/>
  </si>
  <si>
    <t>完成天数</t>
    <phoneticPr fontId="1" type="noConversion"/>
  </si>
  <si>
    <t>对应定义等级</t>
  </si>
  <si>
    <t>小r完成预估</t>
    <phoneticPr fontId="1" type="noConversion"/>
  </si>
  <si>
    <t>中r完成预估</t>
    <phoneticPr fontId="1" type="noConversion"/>
  </si>
  <si>
    <t>大r完成预估</t>
    <phoneticPr fontId="1" type="noConversion"/>
  </si>
  <si>
    <t>超r完成预估</t>
    <phoneticPr fontId="1" type="noConversion"/>
  </si>
  <si>
    <t>玩家花费黄金比例</t>
    <phoneticPr fontId="1" type="noConversion"/>
  </si>
  <si>
    <t>抽奖累计花费黄金数量</t>
    <phoneticPr fontId="1" type="noConversion"/>
  </si>
  <si>
    <t>预估花费百分比</t>
    <phoneticPr fontId="1" type="noConversion"/>
  </si>
  <si>
    <t>阶段花费金额</t>
    <phoneticPr fontId="1" type="noConversion"/>
  </si>
  <si>
    <t>抽奖累计产出宝物数量</t>
    <phoneticPr fontId="1" type="noConversion"/>
  </si>
  <si>
    <t>等级对应单次抽奖产出宝物数量</t>
  </si>
  <si>
    <t>宝物星级</t>
  </si>
  <si>
    <t>宝物温养进度</t>
  </si>
  <si>
    <t>星级对应温养进度</t>
    <phoneticPr fontId="1" type="noConversion"/>
  </si>
  <si>
    <t>一阶段</t>
    <phoneticPr fontId="1" type="noConversion"/>
  </si>
  <si>
    <t>二阶段</t>
    <phoneticPr fontId="1" type="noConversion"/>
  </si>
  <si>
    <t>三阶段</t>
    <phoneticPr fontId="1" type="noConversion"/>
  </si>
  <si>
    <t>免费鉴赏次数/每个宝物</t>
    <phoneticPr fontId="1" type="noConversion"/>
  </si>
  <si>
    <t>非r产出比例</t>
    <phoneticPr fontId="1" type="noConversion"/>
  </si>
  <si>
    <t>打盗宝贼</t>
    <phoneticPr fontId="1" type="noConversion"/>
  </si>
  <si>
    <t>效用汇总</t>
    <phoneticPr fontId="1" type="noConversion"/>
  </si>
  <si>
    <t>一阶段属性上限</t>
    <phoneticPr fontId="1" type="noConversion"/>
  </si>
  <si>
    <t>二阶段属性上限</t>
    <phoneticPr fontId="1" type="noConversion"/>
  </si>
  <si>
    <t>三阶段属性上限</t>
    <phoneticPr fontId="1" type="noConversion"/>
  </si>
  <si>
    <t>一阶段属性提升比例谷值/单次温养</t>
    <phoneticPr fontId="1" type="noConversion"/>
  </si>
  <si>
    <t>一阶段属性提升比例峰值/单次温养</t>
    <phoneticPr fontId="1" type="noConversion"/>
  </si>
  <si>
    <t>一阶段属性提升几率/单次温养</t>
    <phoneticPr fontId="1" type="noConversion"/>
  </si>
  <si>
    <t>一阶段属性不变几率/单次温养</t>
    <phoneticPr fontId="1" type="noConversion"/>
  </si>
  <si>
    <t>一阶段属性下降比例谷值/单次温养</t>
    <phoneticPr fontId="1" type="noConversion"/>
  </si>
  <si>
    <t>一阶段属性下降比例峰值/单次温养</t>
    <phoneticPr fontId="1" type="noConversion"/>
  </si>
  <si>
    <t>一阶段属性下降几率/单次温养</t>
    <phoneticPr fontId="1" type="noConversion"/>
  </si>
  <si>
    <t>二阶段属性提升比例谷值/单次温养</t>
  </si>
  <si>
    <t>二阶段属性提升比例峰值/单次温养</t>
  </si>
  <si>
    <t>二阶段属性提升几率/单次温养</t>
  </si>
  <si>
    <t>二阶段属性不变几率/单次温养</t>
  </si>
  <si>
    <t>二阶段属性下降比例谷值/单次温养</t>
  </si>
  <si>
    <t>二阶段属性下降比例峰值/单次温养</t>
  </si>
  <si>
    <t>二阶段属性下降几率/单次温养</t>
  </si>
  <si>
    <t>三阶段属性提升比例谷值/单次温养</t>
  </si>
  <si>
    <t>三阶段属性提升比例峰值/单次温养</t>
  </si>
  <si>
    <t>三阶段属性提升几率/单次温养</t>
  </si>
  <si>
    <t>三阶段属性不变几率/单次温养</t>
  </si>
  <si>
    <t>三阶段属性下降比例谷值/单次温养</t>
  </si>
  <si>
    <t>三阶段属性下降比例峰值/单次温养</t>
  </si>
  <si>
    <t>三阶段属性下降几率/单次温养</t>
  </si>
  <si>
    <t>温养阶段对应累计养满次数</t>
    <phoneticPr fontId="1" type="noConversion"/>
  </si>
  <si>
    <t>温养阶段</t>
    <phoneticPr fontId="1" type="noConversion"/>
  </si>
  <si>
    <t>温养阶段对应阶段养满次数</t>
    <phoneticPr fontId="1" type="noConversion"/>
  </si>
  <si>
    <t>定义等级</t>
    <phoneticPr fontId="1" type="noConversion"/>
  </si>
  <si>
    <t>各品质宝物累计温养消耗文心数量</t>
  </si>
  <si>
    <t>星级对应同名卡累计消耗</t>
    <phoneticPr fontId="1" type="noConversion"/>
  </si>
  <si>
    <t>升星同名宝物累计消耗/宝物</t>
    <phoneticPr fontId="1" type="noConversion"/>
  </si>
  <si>
    <t>预估养成队伍数量</t>
    <phoneticPr fontId="1" type="noConversion"/>
  </si>
  <si>
    <r>
      <t>文心/</t>
    </r>
    <r>
      <rPr>
        <sz val="9"/>
        <color rgb="FFFF0000"/>
        <rFont val="宋体"/>
        <family val="3"/>
        <charset val="134"/>
        <scheme val="minor"/>
      </rPr>
      <t>单次</t>
    </r>
    <r>
      <rPr>
        <sz val="9"/>
        <color theme="1"/>
        <rFont val="宋体"/>
        <family val="2"/>
        <scheme val="minor"/>
      </rPr>
      <t>挑战掉落</t>
    </r>
    <phoneticPr fontId="1" type="noConversion"/>
  </si>
  <si>
    <r>
      <t>藏宝图碎片/</t>
    </r>
    <r>
      <rPr>
        <sz val="9"/>
        <color rgb="FFFF0000"/>
        <rFont val="宋体"/>
        <family val="3"/>
        <charset val="134"/>
        <scheme val="minor"/>
      </rPr>
      <t>单次</t>
    </r>
    <r>
      <rPr>
        <sz val="9"/>
        <color theme="1"/>
        <rFont val="宋体"/>
        <family val="2"/>
        <scheme val="minor"/>
      </rPr>
      <t>挑战掉落</t>
    </r>
    <phoneticPr fontId="1" type="noConversion"/>
  </si>
  <si>
    <t>一阶段期望温养阶段次数</t>
  </si>
  <si>
    <t>二阶段期望温养阶段次数</t>
  </si>
  <si>
    <t>三阶段期望温养阶段次数</t>
  </si>
  <si>
    <t>认定玩家单次随机出的总属性比例是增长的即为玩家会更新属性</t>
    <phoneticPr fontId="1" type="noConversion"/>
  </si>
  <si>
    <t>技能效用</t>
    <phoneticPr fontId="1" type="noConversion"/>
  </si>
  <si>
    <t>总评分</t>
  </si>
  <si>
    <t>评分计算</t>
    <phoneticPr fontId="1" type="noConversion"/>
  </si>
  <si>
    <t>累计消耗值</t>
    <phoneticPr fontId="1" type="noConversion"/>
  </si>
  <si>
    <t>同名卡</t>
    <phoneticPr fontId="1" type="noConversion"/>
  </si>
  <si>
    <t>累计消耗值</t>
  </si>
  <si>
    <t>累计消耗价值</t>
    <phoneticPr fontId="1" type="noConversion"/>
  </si>
  <si>
    <t>抽奖累计花费黄金数量</t>
  </si>
  <si>
    <t>1、节奏不对</t>
    <phoneticPr fontId="1" type="noConversion"/>
  </si>
  <si>
    <t>2、橙和橙+的比例与武将分布匹配</t>
    <phoneticPr fontId="1" type="noConversion"/>
  </si>
  <si>
    <t>4、性价比拆分成升星和温养各自的性价比</t>
    <phoneticPr fontId="1" type="noConversion"/>
  </si>
  <si>
    <t>6、宝物分解成一种新资源，宝物升星需要花费同名卡和新资源</t>
    <phoneticPr fontId="1" type="noConversion"/>
  </si>
  <si>
    <t>5、打野改为类似于刷贡品，有需求才刷，没有需求不刷，每个阶段温养只需要很快刷一些野就可以凑齐，平时不需要主动刷，野怪等级越高文心产出越多，抽奖券数量不变，概率掉落作为惊喜</t>
    <phoneticPr fontId="1" type="noConversion"/>
  </si>
  <si>
    <t>武将上阵情况（主力队伍）</t>
    <phoneticPr fontId="1" type="noConversion"/>
  </si>
  <si>
    <t>抽奖券调整为概率掉落</t>
    <phoneticPr fontId="1" type="noConversion"/>
  </si>
  <si>
    <r>
      <t>宝物抽奖券/</t>
    </r>
    <r>
      <rPr>
        <sz val="9"/>
        <color rgb="FFFF0000"/>
        <rFont val="宋体"/>
        <family val="3"/>
        <charset val="134"/>
        <scheme val="minor"/>
      </rPr>
      <t>单次</t>
    </r>
    <r>
      <rPr>
        <sz val="9"/>
        <color theme="1"/>
        <rFont val="宋体"/>
        <family val="2"/>
        <scheme val="minor"/>
      </rPr>
      <t>掉落</t>
    </r>
    <phoneticPr fontId="1" type="noConversion"/>
  </si>
  <si>
    <t>付费产出</t>
    <phoneticPr fontId="1" type="noConversion"/>
  </si>
  <si>
    <t>打野产出</t>
    <phoneticPr fontId="1" type="noConversion"/>
  </si>
  <si>
    <t>产出分布</t>
    <phoneticPr fontId="1" type="noConversion"/>
  </si>
  <si>
    <t>赠送物品价值/抽</t>
    <phoneticPr fontId="1" type="noConversion"/>
  </si>
  <si>
    <t>文心</t>
    <phoneticPr fontId="1" type="noConversion"/>
  </si>
  <si>
    <t>星级对应升星货币累计消耗</t>
    <phoneticPr fontId="1" type="noConversion"/>
  </si>
  <si>
    <t>星级对应升星货币阶段消耗（升至本星级所需消耗）</t>
    <phoneticPr fontId="1" type="noConversion"/>
  </si>
  <si>
    <t>宝物种类数</t>
    <phoneticPr fontId="1" type="noConversion"/>
  </si>
  <si>
    <t>同名宝物升星累计消耗/单个宝物</t>
    <phoneticPr fontId="1" type="noConversion"/>
  </si>
  <si>
    <t>宝物装备数量/主力部队</t>
    <phoneticPr fontId="1" type="noConversion"/>
  </si>
  <si>
    <t>满足同名要求需求宝物数/主力部队</t>
    <phoneticPr fontId="1" type="noConversion"/>
  </si>
  <si>
    <t>兑换升星货币数量</t>
    <phoneticPr fontId="1" type="noConversion"/>
  </si>
  <si>
    <t>主力部队占用的宝物折算升星货币数量</t>
  </si>
  <si>
    <t>除去占用宝物后总计兑换升星货币数量</t>
  </si>
  <si>
    <t>定义等级对应额外宝物折算升星货币数量</t>
  </si>
  <si>
    <t>累计消耗</t>
    <phoneticPr fontId="1" type="noConversion"/>
  </si>
  <si>
    <t>定义等级对应宝物升星货币累计消耗数量</t>
    <phoneticPr fontId="1" type="noConversion"/>
  </si>
  <si>
    <t>累计升星货币消耗</t>
    <phoneticPr fontId="1" type="noConversion"/>
  </si>
  <si>
    <t>7、宝物分解按照价值70%的比例回收</t>
    <phoneticPr fontId="1" type="noConversion"/>
  </si>
  <si>
    <t>8、宝物的性价比总深度需要加上新增的升星货币的价值</t>
    <phoneticPr fontId="1" type="noConversion"/>
  </si>
  <si>
    <t>升星货币价值</t>
    <phoneticPr fontId="1" type="noConversion"/>
  </si>
  <si>
    <t>钻</t>
    <phoneticPr fontId="1" type="noConversion"/>
  </si>
  <si>
    <t>花费文心价值</t>
    <phoneticPr fontId="1" type="noConversion"/>
  </si>
  <si>
    <t>文心</t>
  </si>
  <si>
    <t>2、盗宝贼怪物设计参照精英野怪，分三种类型的盗宝贼，分别主要产出宝物抽奖券，文心（温养道具）</t>
    <phoneticPr fontId="1" type="noConversion"/>
  </si>
  <si>
    <t>累计温养消耗文心数量/主力队伍</t>
  </si>
  <si>
    <t>付费空间</t>
    <phoneticPr fontId="1" type="noConversion"/>
  </si>
  <si>
    <t>升星货币累计消耗/主力队伍</t>
    <phoneticPr fontId="1" type="noConversion"/>
  </si>
  <si>
    <t>钻石价值(奖池内)</t>
    <phoneticPr fontId="1" type="noConversion"/>
  </si>
  <si>
    <t>宝物装配需要玩家等级</t>
    <phoneticPr fontId="1" type="noConversion"/>
  </si>
  <si>
    <t>星级对应宝物三维累计值/单条三维</t>
    <phoneticPr fontId="1" type="noConversion"/>
  </si>
  <si>
    <t>升星对应宝物三维</t>
  </si>
  <si>
    <t>定义等级对应三维</t>
    <phoneticPr fontId="1" type="noConversion"/>
  </si>
  <si>
    <t>三维</t>
  </si>
  <si>
    <t>累计产出宝物折算升星货币数量</t>
  </si>
  <si>
    <t>宝箱价值</t>
    <phoneticPr fontId="1" type="noConversion"/>
  </si>
  <si>
    <t>每抽额外获得升星货币数量</t>
    <phoneticPr fontId="1" type="noConversion"/>
  </si>
  <si>
    <t>累计消耗</t>
  </si>
  <si>
    <t>升星货币累计消耗/主力队伍</t>
  </si>
  <si>
    <t>赠送宝物升星货币*1</t>
    <phoneticPr fontId="1" type="noConversion"/>
  </si>
  <si>
    <t>最高星级</t>
    <phoneticPr fontId="1" type="noConversion"/>
  </si>
  <si>
    <t>属性上限</t>
    <phoneticPr fontId="1" type="noConversion"/>
  </si>
  <si>
    <t>抽出的概率降低</t>
    <phoneticPr fontId="1" type="noConversion"/>
  </si>
  <si>
    <t>概率略微低于统率</t>
    <phoneticPr fontId="1" type="noConversion"/>
  </si>
  <si>
    <t>攻击加成</t>
  </si>
  <si>
    <t>攻击力</t>
  </si>
  <si>
    <t>暴击</t>
  </si>
  <si>
    <t>闪避</t>
  </si>
  <si>
    <t>加伤</t>
  </si>
  <si>
    <t>护甲</t>
  </si>
  <si>
    <t>参考值</t>
    <phoneticPr fontId="1" type="noConversion"/>
  </si>
  <si>
    <t>带兵数</t>
    <phoneticPr fontId="1" type="noConversion"/>
  </si>
  <si>
    <t>攻城值</t>
    <phoneticPr fontId="1" type="noConversion"/>
  </si>
  <si>
    <t>宝物图鉴有图鉴成就任务和任务奖励</t>
    <phoneticPr fontId="1" type="noConversion"/>
  </si>
  <si>
    <t>成就任务需要做长线，贯穿始终的任务</t>
    <phoneticPr fontId="1" type="noConversion"/>
  </si>
  <si>
    <t>黄金</t>
    <phoneticPr fontId="1" type="noConversion"/>
  </si>
  <si>
    <t>条件数值</t>
    <phoneticPr fontId="1" type="noConversion"/>
  </si>
  <si>
    <t>匈奴铁骑开放等级为玩家等级</t>
    <phoneticPr fontId="1" type="noConversion"/>
  </si>
  <si>
    <t>级</t>
    <phoneticPr fontId="1" type="noConversion"/>
  </si>
  <si>
    <t>橙色藏宝图设计：</t>
    <phoneticPr fontId="1" type="noConversion"/>
  </si>
  <si>
    <t>概率</t>
    <phoneticPr fontId="1" type="noConversion"/>
  </si>
  <si>
    <t>开放等级对应天数</t>
    <phoneticPr fontId="1" type="noConversion"/>
  </si>
  <si>
    <t>匈奴铁骑为集结怪物，每日最多可领取</t>
    <phoneticPr fontId="1" type="noConversion"/>
  </si>
  <si>
    <t>次奖励</t>
    <phoneticPr fontId="1" type="noConversion"/>
  </si>
  <si>
    <t>定义等级对应累计橙色藏宝图产出数</t>
    <phoneticPr fontId="1" type="noConversion"/>
  </si>
  <si>
    <t>打野产紫色藏宝图累计数量</t>
  </si>
  <si>
    <t>集结产橙色藏宝图累计数量</t>
    <phoneticPr fontId="1" type="noConversion"/>
  </si>
  <si>
    <t>数量</t>
    <phoneticPr fontId="1" type="noConversion"/>
  </si>
  <si>
    <t>匈奴铁骑概率掉落橙色藏宝图，概率为</t>
    <phoneticPr fontId="1" type="noConversion"/>
  </si>
  <si>
    <t>集结累计产出宝物数量</t>
    <phoneticPr fontId="1" type="noConversion"/>
  </si>
  <si>
    <t>累计产出宝物数量</t>
  </si>
  <si>
    <t>难度等级</t>
    <phoneticPr fontId="1" type="noConversion"/>
  </si>
  <si>
    <t>统帅难度</t>
    <phoneticPr fontId="1" type="noConversion"/>
  </si>
  <si>
    <t>首通奖励橙色藏宝图</t>
    <phoneticPr fontId="1" type="noConversion"/>
  </si>
  <si>
    <t>行军令产出装备经验</t>
    <phoneticPr fontId="1" type="noConversion"/>
  </si>
  <si>
    <t>定义等级</t>
    <phoneticPr fontId="1" type="noConversion"/>
  </si>
  <si>
    <t>装备经验</t>
    <phoneticPr fontId="1" type="noConversion"/>
  </si>
  <si>
    <t>奖励装备经验</t>
    <phoneticPr fontId="1" type="noConversion"/>
  </si>
  <si>
    <t>定义等级对应阶段装备经验奖励</t>
    <phoneticPr fontId="1" type="noConversion"/>
  </si>
  <si>
    <t>定义等级对应累计装备经验奖励</t>
    <phoneticPr fontId="1" type="noConversion"/>
  </si>
  <si>
    <t>紫对应数量</t>
    <phoneticPr fontId="1" type="noConversion"/>
  </si>
  <si>
    <t>橙对应数量</t>
    <phoneticPr fontId="1" type="noConversion"/>
  </si>
  <si>
    <t>奖励层级</t>
    <phoneticPr fontId="1" type="noConversion"/>
  </si>
  <si>
    <t>奖励条件</t>
    <phoneticPr fontId="1" type="noConversion"/>
  </si>
  <si>
    <t>宝鉴</t>
    <phoneticPr fontId="1" type="noConversion"/>
  </si>
  <si>
    <t>宝物精华</t>
    <phoneticPr fontId="1" type="noConversion"/>
  </si>
  <si>
    <t>奖励1</t>
    <phoneticPr fontId="1" type="noConversion"/>
  </si>
  <si>
    <t>数量1</t>
    <phoneticPr fontId="1" type="noConversion"/>
  </si>
  <si>
    <t>奖励2</t>
  </si>
  <si>
    <t>数量2</t>
  </si>
  <si>
    <t>奖励3</t>
  </si>
  <si>
    <t>数量3</t>
  </si>
  <si>
    <t>达成等级</t>
    <phoneticPr fontId="1" type="noConversion"/>
  </si>
  <si>
    <t>解锁宝物图鉴数</t>
    <phoneticPr fontId="1" type="noConversion"/>
  </si>
  <si>
    <t>解锁蓝色宝物图鉴数</t>
    <phoneticPr fontId="1" type="noConversion"/>
  </si>
  <si>
    <t>解锁紫色宝物图鉴数</t>
    <phoneticPr fontId="1" type="noConversion"/>
  </si>
  <si>
    <t>解锁橙色宝物图鉴数</t>
    <phoneticPr fontId="1" type="noConversion"/>
  </si>
  <si>
    <t>解锁橙+宝物图鉴数</t>
    <phoneticPr fontId="1" type="noConversion"/>
  </si>
  <si>
    <t>非r等级对应累计产出宝物数量</t>
    <phoneticPr fontId="1" type="noConversion"/>
  </si>
  <si>
    <t>小r等级对应累计产出宝物数量</t>
    <phoneticPr fontId="1" type="noConversion"/>
  </si>
  <si>
    <t>中r等级对应累计产出宝物数量</t>
    <phoneticPr fontId="1" type="noConversion"/>
  </si>
  <si>
    <t>大r等级对应累计产出宝物数量</t>
    <phoneticPr fontId="1" type="noConversion"/>
  </si>
  <si>
    <t>超r等级对应累计产出宝物数量</t>
    <phoneticPr fontId="1" type="noConversion"/>
  </si>
  <si>
    <t>奖励刀币</t>
    <phoneticPr fontId="1" type="noConversion"/>
  </si>
  <si>
    <t>定义等级对应阶段刀币奖励</t>
    <phoneticPr fontId="1" type="noConversion"/>
  </si>
  <si>
    <t>定义等级对应累计刀币奖励</t>
    <phoneticPr fontId="1" type="noConversion"/>
  </si>
  <si>
    <t>怪物难度及奖励</t>
    <phoneticPr fontId="1" type="noConversion"/>
  </si>
  <si>
    <t>非r等级对应累计解锁图鉴数</t>
    <phoneticPr fontId="1" type="noConversion"/>
  </si>
  <si>
    <t>考虑到获得重复宝物无助于解锁图鉴，故认为平均获得两个宝物解锁一个图鉴，橙+宝物则按投放节奏计算</t>
    <phoneticPr fontId="1" type="noConversion"/>
  </si>
  <si>
    <t>超r等级对应累计解锁图鉴数</t>
    <phoneticPr fontId="1" type="noConversion"/>
  </si>
  <si>
    <t>大r等级对应累计解锁图鉴数</t>
    <phoneticPr fontId="1" type="noConversion"/>
  </si>
  <si>
    <t>中r等级对应累计解锁图鉴数</t>
    <phoneticPr fontId="1" type="noConversion"/>
  </si>
  <si>
    <t>小r等级对应累计解锁图鉴数</t>
    <phoneticPr fontId="1" type="noConversion"/>
  </si>
  <si>
    <t>总计</t>
    <phoneticPr fontId="1" type="noConversion"/>
  </si>
  <si>
    <t>价值</t>
    <phoneticPr fontId="1" type="noConversion"/>
  </si>
  <si>
    <t>道具价值</t>
    <phoneticPr fontId="1" type="noConversion"/>
  </si>
  <si>
    <t>黄金</t>
    <phoneticPr fontId="1" type="noConversion"/>
  </si>
  <si>
    <t>宝鉴</t>
    <phoneticPr fontId="1" type="noConversion"/>
  </si>
  <si>
    <t>宝物精华</t>
    <phoneticPr fontId="1" type="noConversion"/>
  </si>
  <si>
    <t>定义等级</t>
    <phoneticPr fontId="1" type="noConversion"/>
  </si>
  <si>
    <t>定义等级对应累计获取钻石价值</t>
    <phoneticPr fontId="1" type="noConversion"/>
  </si>
  <si>
    <t>城建加速时间</t>
    <phoneticPr fontId="1" type="noConversion"/>
  </si>
  <si>
    <t>定义等级对应阶段城建加速时间奖励</t>
    <phoneticPr fontId="1" type="noConversion"/>
  </si>
  <si>
    <t>定义等级对应累计城建加速时间奖励</t>
    <phoneticPr fontId="1" type="noConversion"/>
  </si>
  <si>
    <t>集结累计产出宝物数量</t>
  </si>
  <si>
    <t>宝物平均星级</t>
  </si>
  <si>
    <t>宝物特性效用</t>
    <phoneticPr fontId="1" type="noConversion"/>
  </si>
  <si>
    <t>宝物怒气技能效用</t>
    <phoneticPr fontId="1" type="noConversion"/>
  </si>
  <si>
    <t>集结产出</t>
    <phoneticPr fontId="1" type="noConversion"/>
  </si>
  <si>
    <t>3、橙+宝物单独投放，走活动投放方式，按照钻石价值计算</t>
    <phoneticPr fontId="1" type="noConversion"/>
  </si>
  <si>
    <t>2、橙色宝物常规投放为集结怪，其他部分为活动投放，按照钻石价值计算</t>
    <phoneticPr fontId="1" type="noConversion"/>
  </si>
  <si>
    <t>这里忘记乘2，活跃活动中可以多补充</t>
    <phoneticPr fontId="1" type="noConversion"/>
  </si>
  <si>
    <t>红专属</t>
    <phoneticPr fontId="1" type="noConversion"/>
  </si>
  <si>
    <t>解锁红色宝物图鉴数</t>
    <phoneticPr fontId="1" type="noConversion"/>
  </si>
  <si>
    <t>2022.1.24：减半每日攻打次数，抬高单次收益，减少玩家时间消耗</t>
    <phoneticPr fontId="1" type="noConversion"/>
  </si>
  <si>
    <t>风</t>
    <phoneticPr fontId="1" type="noConversion"/>
  </si>
  <si>
    <t>林</t>
    <phoneticPr fontId="1" type="noConversion"/>
  </si>
  <si>
    <t>火</t>
    <phoneticPr fontId="1" type="noConversion"/>
  </si>
  <si>
    <t>山</t>
    <phoneticPr fontId="1" type="noConversion"/>
  </si>
  <si>
    <t>阴</t>
    <phoneticPr fontId="1" type="noConversion"/>
  </si>
  <si>
    <t>雷</t>
    <phoneticPr fontId="1" type="noConversion"/>
  </si>
  <si>
    <t>宝石等级</t>
    <phoneticPr fontId="1" type="noConversion"/>
  </si>
  <si>
    <t>万里长城小游戏</t>
    <phoneticPr fontId="1" type="noConversion"/>
  </si>
  <si>
    <t>体力上限</t>
    <phoneticPr fontId="1" type="noConversion"/>
  </si>
  <si>
    <t>体力回复</t>
    <phoneticPr fontId="1" type="noConversion"/>
  </si>
  <si>
    <t>购买体力</t>
    <phoneticPr fontId="1" type="noConversion"/>
  </si>
  <si>
    <t>进度每周重置</t>
    <phoneticPr fontId="1" type="noConversion"/>
  </si>
  <si>
    <t>统帅</t>
    <phoneticPr fontId="1" type="noConversion"/>
  </si>
  <si>
    <t>武力</t>
  </si>
  <si>
    <t>武力</t>
    <phoneticPr fontId="1" type="noConversion"/>
  </si>
  <si>
    <t>智力</t>
  </si>
  <si>
    <t>智力</t>
    <phoneticPr fontId="1" type="noConversion"/>
  </si>
  <si>
    <t>槽位</t>
    <phoneticPr fontId="1" type="noConversion"/>
  </si>
  <si>
    <t>类型</t>
    <phoneticPr fontId="1" type="noConversion"/>
  </si>
  <si>
    <t>风</t>
    <phoneticPr fontId="1" type="noConversion"/>
  </si>
  <si>
    <t>火</t>
    <phoneticPr fontId="1" type="noConversion"/>
  </si>
  <si>
    <t>林</t>
    <phoneticPr fontId="1" type="noConversion"/>
  </si>
  <si>
    <t>山</t>
    <phoneticPr fontId="1" type="noConversion"/>
  </si>
  <si>
    <t>阴</t>
    <phoneticPr fontId="1" type="noConversion"/>
  </si>
  <si>
    <t>雷</t>
    <phoneticPr fontId="1" type="noConversion"/>
  </si>
  <si>
    <t>效果</t>
  </si>
  <si>
    <t>效果</t>
    <phoneticPr fontId="1" type="noConversion"/>
  </si>
  <si>
    <t>解锁条件：宝物星级</t>
    <phoneticPr fontId="1" type="noConversion"/>
  </si>
  <si>
    <t>宝物品质</t>
    <phoneticPr fontId="1" type="noConversion"/>
  </si>
  <si>
    <t>最大星级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</si>
  <si>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</si>
  <si>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</si>
  <si>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</si>
  <si>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橙+</t>
    <phoneticPr fontId="1" type="noConversion"/>
  </si>
  <si>
    <t>红</t>
    <phoneticPr fontId="1" type="noConversion"/>
  </si>
  <si>
    <t>武力伤害%+武力免伤%</t>
    <phoneticPr fontId="1" type="noConversion"/>
  </si>
  <si>
    <t>武将攻击%+生命%</t>
    <phoneticPr fontId="1" type="noConversion"/>
  </si>
  <si>
    <t>策略伤害%+策略免伤%</t>
    <phoneticPr fontId="1" type="noConversion"/>
  </si>
  <si>
    <t>需求1级宝石</t>
    <phoneticPr fontId="1" type="noConversion"/>
  </si>
  <si>
    <t>阵法</t>
    <phoneticPr fontId="1" type="noConversion"/>
  </si>
  <si>
    <t>预估人数</t>
    <phoneticPr fontId="1" type="noConversion"/>
  </si>
  <si>
    <t>粗铁</t>
  </si>
  <si>
    <t>圆木</t>
  </si>
  <si>
    <t>花岗石</t>
  </si>
  <si>
    <t>ID</t>
  </si>
  <si>
    <t>道具名称</t>
  </si>
  <si>
    <t>道具类型</t>
  </si>
  <si>
    <t>刷新权重</t>
  </si>
  <si>
    <t>入口</t>
  </si>
  <si>
    <t>出口</t>
  </si>
  <si>
    <t>陷阱1</t>
  </si>
  <si>
    <t>体力-2</t>
  </si>
  <si>
    <t>陷阱2</t>
  </si>
  <si>
    <t>体力-3</t>
  </si>
  <si>
    <t>鸡腿</t>
  </si>
  <si>
    <t>体力+1</t>
  </si>
  <si>
    <t>苹果</t>
  </si>
  <si>
    <t>体力+2</t>
  </si>
  <si>
    <t>火锅</t>
  </si>
  <si>
    <t>体力+3</t>
  </si>
  <si>
    <t>刀币</t>
  </si>
  <si>
    <t>黄金</t>
  </si>
  <si>
    <t>迷宫层数</t>
  </si>
  <si>
    <t>允许生成道具类型及数量区间</t>
  </si>
  <si>
    <t>每日购买3次</t>
    <phoneticPr fontId="1" type="noConversion"/>
  </si>
  <si>
    <t>探索消耗</t>
    <phoneticPr fontId="1" type="noConversion"/>
  </si>
  <si>
    <t>迷宫层数越高，随机到主题概率越高</t>
  </si>
  <si>
    <t>迷宫层数越高，通过主题迷宫后获得宝石的等级越高</t>
  </si>
  <si>
    <t>迷宫层数越高，生成有益道具的概率越高，数量越多</t>
  </si>
  <si>
    <t>统率</t>
  </si>
  <si>
    <t>统率%</t>
  </si>
  <si>
    <t>武力%</t>
  </si>
  <si>
    <t>智力%</t>
  </si>
  <si>
    <t>武将攻击%</t>
  </si>
  <si>
    <t>武将护甲</t>
  </si>
  <si>
    <t>武将护甲%</t>
  </si>
  <si>
    <t>武将生命%</t>
  </si>
  <si>
    <t>攻城值</t>
  </si>
  <si>
    <t>攻城值%</t>
  </si>
  <si>
    <t>最大带兵数</t>
  </si>
  <si>
    <t>最大带兵数%</t>
  </si>
  <si>
    <t>命中</t>
  </si>
  <si>
    <t>命中%</t>
  </si>
  <si>
    <t>闪避%</t>
  </si>
  <si>
    <t>暴击%</t>
  </si>
  <si>
    <t>韧性</t>
  </si>
  <si>
    <t>韧性%</t>
  </si>
  <si>
    <t>武力伤害</t>
  </si>
  <si>
    <t>策略伤害</t>
  </si>
  <si>
    <t>武力免伤</t>
  </si>
  <si>
    <t>策略免伤</t>
  </si>
  <si>
    <t>实力</t>
    <phoneticPr fontId="1" type="noConversion"/>
  </si>
  <si>
    <t>P(第2次点到)</t>
  </si>
  <si>
    <t>P(第3次点到)</t>
  </si>
  <si>
    <t>P(第4次点到)</t>
  </si>
  <si>
    <t>P(第5次点到)</t>
  </si>
  <si>
    <t>P(第6次点到)</t>
  </si>
  <si>
    <t>P(第7次点到)</t>
  </si>
  <si>
    <t>P(第8次点到)</t>
  </si>
  <si>
    <t>设计思路：</t>
  </si>
  <si>
    <t>日均修建</t>
  </si>
  <si>
    <t>周修建进度</t>
  </si>
  <si>
    <t>修建消耗</t>
  </si>
  <si>
    <t>1体力</t>
  </si>
  <si>
    <t>=</t>
  </si>
  <si>
    <t>1.因为关卡探索并不产出宝石，所以期望玩家快速找到出口进入下一关。</t>
  </si>
  <si>
    <t>（三种建筑材料，刀币，黄金）作为找出口的附带品。</t>
  </si>
  <si>
    <t>这样玩家目标也更清晰一点。</t>
  </si>
  <si>
    <t>2.这里简单模拟一下玩家找到出口，需要点击的次数。</t>
  </si>
  <si>
    <t>期望探索</t>
  </si>
  <si>
    <t>次进入下一关。</t>
  </si>
  <si>
    <t>探索消耗体力</t>
  </si>
  <si>
    <t>单层期望消耗体力</t>
  </si>
  <si>
    <t>单层期望探索地块数</t>
  </si>
  <si>
    <t>每体力探索地块数</t>
  </si>
  <si>
    <t>本次探索地块</t>
  </si>
  <si>
    <t>入口在1379时：</t>
  </si>
  <si>
    <t>P(第1次点到)</t>
  </si>
  <si>
    <t>入口在2468时：</t>
  </si>
  <si>
    <t>这里保证36个格子，有1/3包含道具</t>
  </si>
  <si>
    <t>类型2：类型3：类型4=3：3：2</t>
  </si>
  <si>
    <t>单层期望个数</t>
  </si>
  <si>
    <t>单层产出个数</t>
  </si>
  <si>
    <t>每体力产出</t>
  </si>
  <si>
    <t>单价</t>
  </si>
  <si>
    <t>-</t>
  </si>
  <si>
    <t>空地</t>
  </si>
  <si>
    <t>共计</t>
  </si>
  <si>
    <t>通过带有主题的迷宫必然会获得对应类型的宝石；反之，通过不带主题的迷宫必然不会获得宝石</t>
  </si>
  <si>
    <t>服务器共享修建进度，且进度每达到一定阶段，同服所有玩家都可领取一份进度奖励（具体奖励由配置决定）</t>
  </si>
  <si>
    <t>无道具</t>
    <phoneticPr fontId="1" type="noConversion"/>
  </si>
  <si>
    <t>日探索层数</t>
    <phoneticPr fontId="1" type="noConversion"/>
  </si>
  <si>
    <t>3体力</t>
    <phoneticPr fontId="1" type="noConversion"/>
  </si>
  <si>
    <t>每日240体力</t>
    <phoneticPr fontId="1" type="noConversion"/>
  </si>
  <si>
    <t>1小时10点</t>
    <phoneticPr fontId="1" type="noConversion"/>
  </si>
  <si>
    <t>每天玩一次，30小时体力自然回满</t>
    <phoneticPr fontId="1" type="noConversion"/>
  </si>
  <si>
    <t>购买100体力</t>
    <phoneticPr fontId="1" type="noConversion"/>
  </si>
  <si>
    <t>周奖励：</t>
    <phoneticPr fontId="1" type="noConversion"/>
  </si>
  <si>
    <t>1.同服进度奖励</t>
    <phoneticPr fontId="1" type="noConversion"/>
  </si>
  <si>
    <t>共建层数</t>
    <phoneticPr fontId="1" type="noConversion"/>
  </si>
  <si>
    <t>2.排行榜奖励</t>
    <phoneticPr fontId="1" type="noConversion"/>
  </si>
  <si>
    <t>排名</t>
    <phoneticPr fontId="1" type="noConversion"/>
  </si>
  <si>
    <t>4~10</t>
    <phoneticPr fontId="1" type="noConversion"/>
  </si>
  <si>
    <t>修筑奖励</t>
    <phoneticPr fontId="1" type="noConversion"/>
  </si>
  <si>
    <t>黄金</t>
    <phoneticPr fontId="1" type="noConversion"/>
  </si>
  <si>
    <t>刀币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</si>
  <si>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</si>
  <si>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</si>
  <si>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</si>
  <si>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</si>
  <si>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</si>
  <si>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各付费用户周体力</t>
  </si>
  <si>
    <t>周探索层数</t>
    <phoneticPr fontId="1" type="noConversion"/>
  </si>
  <si>
    <t>周宝石获得</t>
    <phoneticPr fontId="1" type="noConversion"/>
  </si>
  <si>
    <t>平均每日宝石</t>
    <phoneticPr fontId="1" type="noConversion"/>
  </si>
  <si>
    <t>主题+权重</t>
    <phoneticPr fontId="1" type="noConversion"/>
  </si>
  <si>
    <t>无主题</t>
    <phoneticPr fontId="1" type="noConversion"/>
  </si>
  <si>
    <t>周修建</t>
    <phoneticPr fontId="1" type="noConversion"/>
  </si>
  <si>
    <t>宝石累计</t>
    <phoneticPr fontId="1" type="noConversion"/>
  </si>
  <si>
    <t>宝石等级</t>
    <phoneticPr fontId="1" type="noConversion"/>
  </si>
  <si>
    <t>宝石平均等级</t>
    <phoneticPr fontId="1" type="noConversion"/>
  </si>
  <si>
    <t>宝物等级</t>
    <phoneticPr fontId="1" type="noConversion"/>
  </si>
  <si>
    <t>钻石价值</t>
    <phoneticPr fontId="1" type="noConversion"/>
  </si>
  <si>
    <t>钻石价值（商店)</t>
    <phoneticPr fontId="1" type="noConversion"/>
  </si>
  <si>
    <t>宝石</t>
    <phoneticPr fontId="1" type="noConversion"/>
  </si>
  <si>
    <t>总价值</t>
    <phoneticPr fontId="1" type="noConversion"/>
  </si>
  <si>
    <t>风火林5级宝石*1</t>
    <phoneticPr fontId="1" type="noConversion"/>
  </si>
  <si>
    <t>山阴雷5级宝石*1</t>
    <phoneticPr fontId="1" type="noConversion"/>
  </si>
  <si>
    <t>三个排行榜，每个500，考虑黄金+宝石</t>
    <phoneticPr fontId="1" type="noConversion"/>
  </si>
  <si>
    <t>按照500人算，5天的量。降低各服务器间的差距</t>
    <phoneticPr fontId="1" type="noConversion"/>
  </si>
  <si>
    <t>粗铁</t>
    <phoneticPr fontId="1" type="noConversion"/>
  </si>
  <si>
    <t>粗铁*10</t>
    <phoneticPr fontId="1" type="noConversion"/>
  </si>
  <si>
    <t>圆木*10</t>
    <phoneticPr fontId="1" type="noConversion"/>
  </si>
  <si>
    <t>花岗石*10</t>
    <phoneticPr fontId="1" type="noConversion"/>
  </si>
  <si>
    <t>黄金*10</t>
    <phoneticPr fontId="1" type="noConversion"/>
  </si>
  <si>
    <t>每层价值</t>
    <phoneticPr fontId="1" type="noConversion"/>
  </si>
  <si>
    <t>设计思路：</t>
    <phoneticPr fontId="1" type="noConversion"/>
  </si>
  <si>
    <t>累计价值</t>
    <phoneticPr fontId="1" type="noConversion"/>
  </si>
  <si>
    <t>风火林共计</t>
    <phoneticPr fontId="1" type="noConversion"/>
  </si>
  <si>
    <t>山阴雷共计</t>
    <phoneticPr fontId="1" type="noConversion"/>
  </si>
  <si>
    <t>计算用</t>
    <phoneticPr fontId="1" type="noConversion"/>
  </si>
  <si>
    <t>通关主题后奖励宝石数</t>
    <phoneticPr fontId="1" type="noConversion"/>
  </si>
  <si>
    <t>1级宝石</t>
    <phoneticPr fontId="1" type="noConversion"/>
  </si>
  <si>
    <t>宝石产出</t>
    <phoneticPr fontId="1" type="noConversion"/>
  </si>
  <si>
    <t>宝石累计</t>
    <phoneticPr fontId="1" type="noConversion"/>
  </si>
  <si>
    <t>级开放，同宝物一起开</t>
    <phoneticPr fontId="1" type="noConversion"/>
  </si>
  <si>
    <t>阵法效用</t>
    <phoneticPr fontId="1" type="noConversion"/>
  </si>
  <si>
    <t>武将士兵攻击%+生命%</t>
    <phoneticPr fontId="1" type="noConversion"/>
  </si>
  <si>
    <t>武将士兵武力伤害%+武力免伤%</t>
    <phoneticPr fontId="1" type="noConversion"/>
  </si>
  <si>
    <t>武将士兵策略伤害%+策略免伤%</t>
    <phoneticPr fontId="1" type="noConversion"/>
  </si>
  <si>
    <t>全体攻击生命</t>
    <phoneticPr fontId="1" type="noConversion"/>
  </si>
  <si>
    <t>刀币2000</t>
    <phoneticPr fontId="1" type="noConversion"/>
  </si>
  <si>
    <t>11~200</t>
    <phoneticPr fontId="1" type="noConversion"/>
  </si>
  <si>
    <t>2级宝石*6</t>
    <phoneticPr fontId="1" type="noConversion"/>
  </si>
  <si>
    <t>rmb</t>
    <phoneticPr fontId="1" type="noConversion"/>
  </si>
  <si>
    <t>返利比</t>
    <phoneticPr fontId="1" type="noConversion"/>
  </si>
  <si>
    <t>宝石平均等级</t>
  </si>
  <si>
    <t>宝石等级</t>
  </si>
  <si>
    <t>天数</t>
    <phoneticPr fontId="1" type="noConversion"/>
  </si>
  <si>
    <t>1级宝石数</t>
    <phoneticPr fontId="1" type="noConversion"/>
  </si>
  <si>
    <t>非r</t>
    <phoneticPr fontId="1" type="noConversion"/>
  </si>
  <si>
    <t>超r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</si>
  <si>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</si>
  <si>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</si>
  <si>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</si>
  <si>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在宝石上付费比例</t>
    <phoneticPr fontId="1" type="noConversion"/>
  </si>
  <si>
    <t>每日特惠</t>
    <phoneticPr fontId="1" type="noConversion"/>
  </si>
  <si>
    <t>共鸣对应实力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</si>
</sst>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%"/>
    <numFmt numFmtId="177" formatCode="0.000000_);[Red]\(0.000000\)"/>
    <numFmt numFmtId="178" formatCode="0.00_);[Red]\(0.00\)"/>
    <numFmt numFmtId="179" formatCode="0_);[Red]\(0\)"/>
    <numFmt numFmtId="180" formatCode="0.0"/>
    <numFmt numFmtId="181" formatCode="0.00000"/>
    <numFmt numFmtId="182" formatCode="0.000"/>
  </numFmts>
  <fonts count="2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2"/>
    </font>
    <font>
      <sz val="11"/>
      <color theme="1"/>
      <name val="宋体"/>
      <family val="2"/>
      <scheme val="minor"/>
    </font>
    <font>
      <sz val="9"/>
      <color theme="0" tint="-0.3499862666707357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rgb="FFFF0000"/>
      <name val="宋体"/>
      <family val="2"/>
      <scheme val="minor"/>
    </font>
    <font>
      <sz val="9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color theme="0" tint="-0.14999847407452621"/>
      <name val="宋体"/>
      <family val="2"/>
      <scheme val="minor"/>
    </font>
    <font>
      <strike/>
      <sz val="9"/>
      <color theme="0" tint="-0.34998626667073579"/>
      <name val="宋体"/>
      <family val="3"/>
      <charset val="134"/>
      <scheme val="minor"/>
    </font>
    <font>
      <sz val="9"/>
      <color theme="0" tint="-0.14999847407452621"/>
      <name val="宋体"/>
      <family val="3"/>
      <charset val="134"/>
      <scheme val="minor"/>
    </font>
    <font>
      <sz val="9"/>
      <color theme="0" tint="-4.9989318521683403E-2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9"/>
      <color rgb="FFC00000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color rgb="FFFF0000"/>
      <name val="宋体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6" tint="0.7999511703848384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>
      <alignment vertical="center"/>
    </xf>
  </cellStyleXfs>
  <cellXfs count="201">
    <xf numFmtId="0" fontId="0" fillId="0" borderId="0" xfId="0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9" fontId="4" fillId="0" borderId="0" xfId="0" applyNumberFormat="1" applyFont="1" applyAlignment="1">
      <alignment horizontal="center"/>
    </xf>
    <xf numFmtId="0" fontId="4" fillId="0" borderId="0" xfId="0" applyFont="1"/>
    <xf numFmtId="0" fontId="5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5" fillId="2" borderId="0" xfId="0" applyFont="1" applyFill="1" applyAlignment="1">
      <alignment horizontal="center"/>
    </xf>
    <xf numFmtId="9" fontId="5" fillId="0" borderId="0" xfId="0" applyNumberFormat="1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9" fontId="6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176" fontId="4" fillId="0" borderId="0" xfId="1" applyNumberFormat="1" applyFont="1" applyAlignment="1">
      <alignment horizontal="center" vertical="center"/>
    </xf>
    <xf numFmtId="176" fontId="8" fillId="0" borderId="0" xfId="1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77" fontId="4" fillId="0" borderId="0" xfId="0" applyNumberFormat="1" applyFont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10" fontId="4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178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9" fontId="4" fillId="0" borderId="0" xfId="1" applyFont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179" fontId="4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176" fontId="4" fillId="4" borderId="0" xfId="1" applyNumberFormat="1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9" fontId="4" fillId="0" borderId="1" xfId="0" applyNumberFormat="1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2" borderId="0" xfId="0" applyFont="1" applyFill="1"/>
    <xf numFmtId="0" fontId="4" fillId="0" borderId="11" xfId="0" applyFont="1" applyBorder="1" applyAlignment="1">
      <alignment vertical="center"/>
    </xf>
    <xf numFmtId="177" fontId="4" fillId="0" borderId="11" xfId="0" applyNumberFormat="1" applyFont="1" applyBorder="1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9" fontId="4" fillId="0" borderId="11" xfId="1" applyFont="1" applyBorder="1" applyAlignment="1">
      <alignment vertical="center"/>
    </xf>
    <xf numFmtId="9" fontId="4" fillId="0" borderId="1" xfId="1" applyFont="1" applyBorder="1" applyAlignment="1">
      <alignment horizontal="center" vertical="center"/>
    </xf>
    <xf numFmtId="0" fontId="4" fillId="0" borderId="1" xfId="1" applyNumberFormat="1" applyFont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center" vertical="center"/>
    </xf>
    <xf numFmtId="0" fontId="4" fillId="0" borderId="0" xfId="1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right" vertical="center"/>
    </xf>
    <xf numFmtId="0" fontId="10" fillId="0" borderId="0" xfId="0" applyFont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  <xf numFmtId="179" fontId="5" fillId="4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178" fontId="4" fillId="3" borderId="1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4" fillId="5" borderId="0" xfId="0" applyFont="1" applyFill="1" applyAlignment="1">
      <alignment horizontal="center" vertical="center"/>
    </xf>
    <xf numFmtId="9" fontId="4" fillId="3" borderId="1" xfId="1" applyFont="1" applyFill="1" applyBorder="1" applyAlignment="1">
      <alignment horizontal="center" vertical="center"/>
    </xf>
    <xf numFmtId="178" fontId="4" fillId="6" borderId="1" xfId="0" applyNumberFormat="1" applyFont="1" applyFill="1" applyBorder="1" applyAlignment="1">
      <alignment horizontal="center" vertical="center"/>
    </xf>
    <xf numFmtId="178" fontId="4" fillId="8" borderId="1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10" fontId="4" fillId="0" borderId="0" xfId="0" applyNumberFormat="1" applyFont="1" applyAlignment="1">
      <alignment vertical="center"/>
    </xf>
    <xf numFmtId="180" fontId="4" fillId="0" borderId="1" xfId="0" applyNumberFormat="1" applyFont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9" fontId="4" fillId="10" borderId="0" xfId="0" applyNumberFormat="1" applyFont="1" applyFill="1" applyAlignment="1">
      <alignment horizontal="center" vertical="center"/>
    </xf>
    <xf numFmtId="176" fontId="15" fillId="0" borderId="1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6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2" fontId="4" fillId="0" borderId="11" xfId="0" applyNumberFormat="1" applyFont="1" applyBorder="1" applyAlignment="1">
      <alignment horizontal="center"/>
    </xf>
    <xf numFmtId="181" fontId="4" fillId="0" borderId="11" xfId="0" applyNumberFormat="1" applyFont="1" applyBorder="1" applyAlignment="1">
      <alignment horizontal="center"/>
    </xf>
    <xf numFmtId="0" fontId="4" fillId="17" borderId="0" xfId="0" applyFont="1" applyFill="1" applyAlignment="1">
      <alignment horizontal="left"/>
    </xf>
    <xf numFmtId="0" fontId="4" fillId="17" borderId="0" xfId="0" applyFont="1" applyFill="1" applyAlignment="1">
      <alignment horizontal="center"/>
    </xf>
    <xf numFmtId="0" fontId="4" fillId="17" borderId="0" xfId="0" applyFont="1" applyFill="1" applyAlignment="1">
      <alignment horizontal="right"/>
    </xf>
    <xf numFmtId="182" fontId="17" fillId="17" borderId="0" xfId="0" applyNumberFormat="1" applyFont="1" applyFill="1" applyAlignment="1">
      <alignment horizontal="center"/>
    </xf>
    <xf numFmtId="1" fontId="17" fillId="17" borderId="0" xfId="0" applyNumberFormat="1" applyFont="1" applyFill="1" applyAlignment="1">
      <alignment horizontal="center"/>
    </xf>
    <xf numFmtId="2" fontId="4" fillId="0" borderId="0" xfId="0" applyNumberFormat="1" applyFont="1" applyAlignment="1">
      <alignment horizontal="center"/>
    </xf>
    <xf numFmtId="181" fontId="4" fillId="0" borderId="0" xfId="0" applyNumberFormat="1" applyFont="1" applyAlignment="1">
      <alignment horizontal="center"/>
    </xf>
    <xf numFmtId="58" fontId="4" fillId="0" borderId="14" xfId="0" applyNumberFormat="1" applyFont="1" applyBorder="1" applyAlignment="1">
      <alignment horizontal="center"/>
    </xf>
    <xf numFmtId="0" fontId="4" fillId="0" borderId="12" xfId="0" applyFont="1" applyBorder="1" applyAlignment="1">
      <alignment horizontal="right"/>
    </xf>
    <xf numFmtId="1" fontId="4" fillId="0" borderId="13" xfId="0" applyNumberFormat="1" applyFont="1" applyBorder="1" applyAlignment="1">
      <alignment horizontal="center"/>
    </xf>
    <xf numFmtId="0" fontId="4" fillId="0" borderId="14" xfId="0" applyFont="1" applyBorder="1" applyAlignment="1">
      <alignment horizontal="right"/>
    </xf>
    <xf numFmtId="0" fontId="4" fillId="0" borderId="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21" fillId="0" borderId="15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/>
    </xf>
    <xf numFmtId="176" fontId="4" fillId="0" borderId="11" xfId="1" applyNumberFormat="1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176" fontId="4" fillId="0" borderId="0" xfId="1" applyNumberFormat="1" applyFont="1" applyBorder="1" applyAlignment="1">
      <alignment horizontal="center" vertical="center"/>
    </xf>
    <xf numFmtId="176" fontId="21" fillId="0" borderId="0" xfId="1" applyNumberFormat="1" applyFont="1" applyBorder="1" applyAlignment="1">
      <alignment horizontal="center" vertical="center"/>
    </xf>
    <xf numFmtId="176" fontId="4" fillId="0" borderId="11" xfId="0" applyNumberFormat="1" applyFont="1" applyBorder="1" applyAlignment="1">
      <alignment horizontal="center" vertical="center"/>
    </xf>
    <xf numFmtId="9" fontId="4" fillId="0" borderId="11" xfId="0" applyNumberFormat="1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9" fontId="21" fillId="0" borderId="0" xfId="0" applyNumberFormat="1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20" fontId="4" fillId="0" borderId="0" xfId="0" applyNumberFormat="1" applyFont="1" applyAlignment="1">
      <alignment horizontal="center"/>
    </xf>
    <xf numFmtId="0" fontId="4" fillId="0" borderId="10" xfId="0" applyFont="1" applyBorder="1" applyAlignment="1">
      <alignment horizontal="left"/>
    </xf>
    <xf numFmtId="0" fontId="21" fillId="0" borderId="14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17" fillId="0" borderId="1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1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9" fontId="4" fillId="0" borderId="1" xfId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1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4" fillId="0" borderId="5" xfId="0" applyNumberFormat="1" applyFont="1" applyBorder="1" applyAlignment="1">
      <alignment horizontal="center" vertical="center"/>
    </xf>
    <xf numFmtId="178" fontId="4" fillId="0" borderId="7" xfId="0" applyNumberFormat="1" applyFont="1" applyBorder="1" applyAlignment="1">
      <alignment horizontal="center" vertical="center"/>
    </xf>
    <xf numFmtId="178" fontId="4" fillId="0" borderId="6" xfId="0" applyNumberFormat="1" applyFont="1" applyBorder="1" applyAlignment="1">
      <alignment horizontal="center" vertical="center"/>
    </xf>
    <xf numFmtId="178" fontId="4" fillId="0" borderId="2" xfId="0" applyNumberFormat="1" applyFont="1" applyBorder="1" applyAlignment="1">
      <alignment horizontal="center" vertical="center" wrapText="1"/>
    </xf>
    <xf numFmtId="178" fontId="4" fillId="0" borderId="4" xfId="0" applyNumberFormat="1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shrinkToFit="1"/>
    </xf>
    <xf numFmtId="0" fontId="5" fillId="0" borderId="1" xfId="0" applyFont="1" applyBorder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50</xdr:row>
      <xdr:rowOff>0</xdr:rowOff>
    </xdr:from>
    <xdr:to>
      <xdr:col>7</xdr:col>
      <xdr:colOff>769326</xdr:colOff>
      <xdr:row>71</xdr:row>
      <xdr:rowOff>83589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4B1E1899-E4A0-4324-AEAF-6AEF9F1F11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6315075"/>
          <a:ext cx="3095624" cy="30839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7494;&#2355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资源-星宫碎片"/>
      <sheetName val="资源-群星碎片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资源-星宫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J4">
            <v>0.3</v>
          </cell>
          <cell r="BK4">
            <v>0.30599999999999999</v>
          </cell>
          <cell r="BL4">
            <v>0.318</v>
          </cell>
          <cell r="BM4">
            <v>0.34199999999999997</v>
          </cell>
          <cell r="BN4">
            <v>0.42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J5">
            <v>0.47499999999999998</v>
          </cell>
          <cell r="BK5">
            <v>0.48449999999999999</v>
          </cell>
          <cell r="BL5">
            <v>0.50349999999999995</v>
          </cell>
          <cell r="BM5">
            <v>0.54149999999999998</v>
          </cell>
          <cell r="BN5">
            <v>0.66499999999999992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J6">
            <v>0.65</v>
          </cell>
          <cell r="BK6">
            <v>0.66300000000000003</v>
          </cell>
          <cell r="BL6">
            <v>0.68900000000000006</v>
          </cell>
          <cell r="BM6">
            <v>0.74099999999999999</v>
          </cell>
          <cell r="BN6">
            <v>0.90999999999999992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J7">
            <v>0.82499999999999996</v>
          </cell>
          <cell r="BK7">
            <v>0.84149999999999991</v>
          </cell>
          <cell r="BL7">
            <v>0.87449999999999994</v>
          </cell>
          <cell r="BM7">
            <v>0.94049999999999989</v>
          </cell>
          <cell r="BN7">
            <v>1.1549999999999998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J8">
            <v>1</v>
          </cell>
          <cell r="BK8">
            <v>1.02</v>
          </cell>
          <cell r="BL8">
            <v>1.06</v>
          </cell>
          <cell r="BM8">
            <v>1.1399999999999999</v>
          </cell>
          <cell r="BN8">
            <v>1.4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J9">
            <v>1.0333333333333334</v>
          </cell>
          <cell r="BK9">
            <v>1.054</v>
          </cell>
          <cell r="BL9">
            <v>1.0953333333333335</v>
          </cell>
          <cell r="BM9">
            <v>1.1779999999999999</v>
          </cell>
          <cell r="BN9">
            <v>1.4466666666666668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J10">
            <v>1.0666666666666669</v>
          </cell>
          <cell r="BK10">
            <v>1.0880000000000003</v>
          </cell>
          <cell r="BL10">
            <v>1.1306666666666669</v>
          </cell>
          <cell r="BM10">
            <v>1.2160000000000002</v>
          </cell>
          <cell r="BN10">
            <v>1.4933333333333336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J11">
            <v>1.1000000000000003</v>
          </cell>
          <cell r="BK11">
            <v>1.1220000000000003</v>
          </cell>
          <cell r="BL11">
            <v>1.1660000000000004</v>
          </cell>
          <cell r="BM11">
            <v>1.2540000000000002</v>
          </cell>
          <cell r="BN11">
            <v>1.5400000000000003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J12">
            <v>1.1333333333333337</v>
          </cell>
          <cell r="BK12">
            <v>1.1560000000000004</v>
          </cell>
          <cell r="BL12">
            <v>1.2013333333333338</v>
          </cell>
          <cell r="BM12">
            <v>1.2920000000000003</v>
          </cell>
          <cell r="BN12">
            <v>1.5866666666666671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J13">
            <v>1.1666666666666672</v>
          </cell>
          <cell r="BK13">
            <v>1.1900000000000006</v>
          </cell>
          <cell r="BL13">
            <v>1.2366666666666672</v>
          </cell>
          <cell r="BM13">
            <v>1.3300000000000005</v>
          </cell>
          <cell r="BN13">
            <v>1.633333333333334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J14">
            <v>1.2000000000000006</v>
          </cell>
          <cell r="BK14">
            <v>1.2240000000000006</v>
          </cell>
          <cell r="BL14">
            <v>1.2720000000000007</v>
          </cell>
          <cell r="BM14">
            <v>1.3680000000000005</v>
          </cell>
          <cell r="BN14">
            <v>1.6800000000000008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J15">
            <v>1.2333333333333341</v>
          </cell>
          <cell r="BK15">
            <v>1.2580000000000007</v>
          </cell>
          <cell r="BL15">
            <v>1.3073333333333341</v>
          </cell>
          <cell r="BM15">
            <v>1.4060000000000008</v>
          </cell>
          <cell r="BN15">
            <v>1.7266666666666677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J16">
            <v>1.2666666666666675</v>
          </cell>
          <cell r="BK16">
            <v>1.2920000000000009</v>
          </cell>
          <cell r="BL16">
            <v>1.3426666666666676</v>
          </cell>
          <cell r="BM16">
            <v>1.4440000000000008</v>
          </cell>
          <cell r="BN16">
            <v>1.7733333333333343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J17">
            <v>1.3000000000000009</v>
          </cell>
          <cell r="BK17">
            <v>1.326000000000001</v>
          </cell>
          <cell r="BL17">
            <v>1.378000000000001</v>
          </cell>
          <cell r="BM17">
            <v>1.4820000000000009</v>
          </cell>
          <cell r="BN17">
            <v>1.8200000000000012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J18">
            <v>1.3333333333333344</v>
          </cell>
          <cell r="BK18">
            <v>1.360000000000001</v>
          </cell>
          <cell r="BL18">
            <v>1.4133333333333344</v>
          </cell>
          <cell r="BM18">
            <v>1.5200000000000011</v>
          </cell>
          <cell r="BN18">
            <v>1.866666666666668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J19">
            <v>1.3666666666666678</v>
          </cell>
          <cell r="BK19">
            <v>1.3940000000000012</v>
          </cell>
          <cell r="BL19">
            <v>1.4486666666666679</v>
          </cell>
          <cell r="BM19">
            <v>1.5580000000000012</v>
          </cell>
          <cell r="BN19">
            <v>1.9133333333333349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J20">
            <v>1.4000000000000012</v>
          </cell>
          <cell r="BK20">
            <v>1.4280000000000013</v>
          </cell>
          <cell r="BL20">
            <v>1.4840000000000013</v>
          </cell>
          <cell r="BM20">
            <v>1.5960000000000012</v>
          </cell>
          <cell r="BN20">
            <v>1.9600000000000015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J21">
            <v>1.4333333333333347</v>
          </cell>
          <cell r="BK21">
            <v>1.4620000000000013</v>
          </cell>
          <cell r="BL21">
            <v>1.5193333333333348</v>
          </cell>
          <cell r="BM21">
            <v>1.6340000000000015</v>
          </cell>
          <cell r="BN21">
            <v>2.0066666666666686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J22">
            <v>1.4666666666666681</v>
          </cell>
          <cell r="BK22">
            <v>1.4960000000000016</v>
          </cell>
          <cell r="BL22">
            <v>1.5546666666666682</v>
          </cell>
          <cell r="BM22">
            <v>1.6720000000000015</v>
          </cell>
          <cell r="BN22">
            <v>2.0533333333333355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J23">
            <v>1.5000000000000016</v>
          </cell>
          <cell r="BK23">
            <v>1.5300000000000016</v>
          </cell>
          <cell r="BL23">
            <v>1.5900000000000016</v>
          </cell>
          <cell r="BM23">
            <v>1.7100000000000015</v>
          </cell>
          <cell r="BN23">
            <v>2.1000000000000019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J24">
            <v>1.533333333333335</v>
          </cell>
          <cell r="BK24">
            <v>1.5640000000000016</v>
          </cell>
          <cell r="BL24">
            <v>1.6253333333333351</v>
          </cell>
          <cell r="BM24">
            <v>1.7480000000000018</v>
          </cell>
          <cell r="BN24">
            <v>2.1466666666666687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J25">
            <v>1.5666666666666684</v>
          </cell>
          <cell r="BK25">
            <v>1.5980000000000019</v>
          </cell>
          <cell r="BL25">
            <v>1.6606666666666685</v>
          </cell>
          <cell r="BM25">
            <v>1.7860000000000018</v>
          </cell>
          <cell r="BN25">
            <v>2.1933333333333356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J26">
            <v>1.6000000000000019</v>
          </cell>
          <cell r="BK26">
            <v>1.6320000000000019</v>
          </cell>
          <cell r="BL26">
            <v>1.6960000000000022</v>
          </cell>
          <cell r="BM26">
            <v>1.8240000000000021</v>
          </cell>
          <cell r="BN26">
            <v>2.2400000000000024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J27">
            <v>1.6333333333333353</v>
          </cell>
          <cell r="BK27">
            <v>1.6660000000000021</v>
          </cell>
          <cell r="BL27">
            <v>1.7313333333333356</v>
          </cell>
          <cell r="BM27">
            <v>1.8620000000000021</v>
          </cell>
          <cell r="BN27">
            <v>2.2866666666666693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J28">
            <v>1.6666666666666687</v>
          </cell>
          <cell r="BK28">
            <v>1.7000000000000022</v>
          </cell>
          <cell r="BL28">
            <v>1.766666666666669</v>
          </cell>
          <cell r="BM28">
            <v>1.9000000000000021</v>
          </cell>
          <cell r="BN28">
            <v>2.3333333333333361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J29">
            <v>1.7000000000000022</v>
          </cell>
          <cell r="BK29">
            <v>1.7340000000000022</v>
          </cell>
          <cell r="BL29">
            <v>1.8020000000000025</v>
          </cell>
          <cell r="BM29">
            <v>1.9380000000000024</v>
          </cell>
          <cell r="BN29">
            <v>2.380000000000003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J30">
            <v>1.7333333333333356</v>
          </cell>
          <cell r="BK30">
            <v>1.7680000000000025</v>
          </cell>
          <cell r="BL30">
            <v>1.8373333333333359</v>
          </cell>
          <cell r="BM30">
            <v>1.9760000000000024</v>
          </cell>
          <cell r="BN30">
            <v>2.4266666666666699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J31">
            <v>1.766666666666669</v>
          </cell>
          <cell r="BK31">
            <v>1.8020000000000025</v>
          </cell>
          <cell r="BL31">
            <v>1.8726666666666694</v>
          </cell>
          <cell r="BM31">
            <v>2.0140000000000025</v>
          </cell>
          <cell r="BN31">
            <v>2.4733333333333367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J32">
            <v>1.8000000000000025</v>
          </cell>
          <cell r="BK32">
            <v>1.8360000000000025</v>
          </cell>
          <cell r="BL32">
            <v>1.9080000000000028</v>
          </cell>
          <cell r="BM32">
            <v>2.0520000000000027</v>
          </cell>
          <cell r="BN32">
            <v>2.5200000000000031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J33">
            <v>1.8333333333333359</v>
          </cell>
          <cell r="BK33">
            <v>1.8700000000000028</v>
          </cell>
          <cell r="BL33">
            <v>1.9433333333333362</v>
          </cell>
          <cell r="BM33">
            <v>2.090000000000003</v>
          </cell>
          <cell r="BN33">
            <v>2.56666666666667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J34">
            <v>1.8666666666666694</v>
          </cell>
          <cell r="BK34">
            <v>1.9040000000000028</v>
          </cell>
          <cell r="BL34">
            <v>1.9786666666666697</v>
          </cell>
          <cell r="BM34">
            <v>2.1280000000000028</v>
          </cell>
          <cell r="BN34">
            <v>2.6133333333333368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J35">
            <v>1.9000000000000028</v>
          </cell>
          <cell r="BK35">
            <v>1.9380000000000028</v>
          </cell>
          <cell r="BL35">
            <v>2.0140000000000029</v>
          </cell>
          <cell r="BM35">
            <v>2.166000000000003</v>
          </cell>
          <cell r="BN35">
            <v>2.6600000000000037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J36">
            <v>1.9333333333333362</v>
          </cell>
          <cell r="BK36">
            <v>1.9720000000000031</v>
          </cell>
          <cell r="BL36">
            <v>2.0493333333333363</v>
          </cell>
          <cell r="BM36">
            <v>2.2040000000000033</v>
          </cell>
          <cell r="BN36">
            <v>2.7066666666666706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J37">
            <v>1.9666666666666697</v>
          </cell>
          <cell r="BK37">
            <v>2.0060000000000029</v>
          </cell>
          <cell r="BL37">
            <v>2.0846666666666698</v>
          </cell>
          <cell r="BM37">
            <v>2.2420000000000031</v>
          </cell>
          <cell r="BN37">
            <v>2.7533333333333374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J38">
            <v>2.0000000000000031</v>
          </cell>
          <cell r="BK38">
            <v>2.0400000000000031</v>
          </cell>
          <cell r="BL38">
            <v>2.1200000000000032</v>
          </cell>
          <cell r="BM38">
            <v>2.2800000000000034</v>
          </cell>
          <cell r="BN38">
            <v>2.8000000000000043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J39">
            <v>2.0333333333333363</v>
          </cell>
          <cell r="BK39">
            <v>2.074000000000003</v>
          </cell>
          <cell r="BL39">
            <v>2.1553333333333367</v>
          </cell>
          <cell r="BM39">
            <v>2.3180000000000032</v>
          </cell>
          <cell r="BN39">
            <v>2.8466666666666707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J40">
            <v>2.0666666666666695</v>
          </cell>
          <cell r="BK40">
            <v>2.1080000000000028</v>
          </cell>
          <cell r="BL40">
            <v>2.1906666666666696</v>
          </cell>
          <cell r="BM40">
            <v>2.356000000000003</v>
          </cell>
          <cell r="BN40">
            <v>2.8933333333333371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J41">
            <v>2.1000000000000028</v>
          </cell>
          <cell r="BK41">
            <v>2.142000000000003</v>
          </cell>
          <cell r="BL41">
            <v>2.2260000000000031</v>
          </cell>
          <cell r="BM41">
            <v>2.3940000000000028</v>
          </cell>
          <cell r="BN41">
            <v>2.9400000000000035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J42">
            <v>2.133333333333336</v>
          </cell>
          <cell r="BK42">
            <v>2.1760000000000028</v>
          </cell>
          <cell r="BL42">
            <v>2.2613333333333361</v>
          </cell>
          <cell r="BM42">
            <v>2.4320000000000026</v>
          </cell>
          <cell r="BN42">
            <v>2.9866666666666704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J43">
            <v>2.1666666666666692</v>
          </cell>
          <cell r="BK43">
            <v>2.2100000000000026</v>
          </cell>
          <cell r="BL43">
            <v>2.2966666666666695</v>
          </cell>
          <cell r="BM43">
            <v>2.4700000000000029</v>
          </cell>
          <cell r="BN43">
            <v>3.0333333333333368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J44">
            <v>2.2000000000000024</v>
          </cell>
          <cell r="BK44">
            <v>2.2440000000000024</v>
          </cell>
          <cell r="BL44">
            <v>2.3320000000000025</v>
          </cell>
          <cell r="BM44">
            <v>2.5080000000000027</v>
          </cell>
          <cell r="BN44">
            <v>3.0800000000000032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J45">
            <v>2.2333333333333356</v>
          </cell>
          <cell r="BK45">
            <v>2.2780000000000022</v>
          </cell>
          <cell r="BL45">
            <v>2.367333333333336</v>
          </cell>
          <cell r="BM45">
            <v>2.5460000000000025</v>
          </cell>
          <cell r="BN45">
            <v>3.1266666666666696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J46">
            <v>2.2666666666666688</v>
          </cell>
          <cell r="BK46">
            <v>2.3120000000000021</v>
          </cell>
          <cell r="BL46">
            <v>2.4026666666666689</v>
          </cell>
          <cell r="BM46">
            <v>2.5840000000000023</v>
          </cell>
          <cell r="BN46">
            <v>3.173333333333336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J47">
            <v>2.300000000000002</v>
          </cell>
          <cell r="BK47">
            <v>2.3460000000000023</v>
          </cell>
          <cell r="BL47">
            <v>2.4380000000000024</v>
          </cell>
          <cell r="BM47">
            <v>2.6220000000000021</v>
          </cell>
          <cell r="BN47">
            <v>3.2200000000000029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J48">
            <v>2.3333333333333353</v>
          </cell>
          <cell r="BK48">
            <v>2.3800000000000021</v>
          </cell>
          <cell r="BL48">
            <v>2.4733333333333354</v>
          </cell>
          <cell r="BM48">
            <v>2.6600000000000019</v>
          </cell>
          <cell r="BN48">
            <v>3.2666666666666693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J49">
            <v>2.3666666666666685</v>
          </cell>
          <cell r="BK49">
            <v>2.4140000000000019</v>
          </cell>
          <cell r="BL49">
            <v>2.5086666666666688</v>
          </cell>
          <cell r="BM49">
            <v>2.6980000000000017</v>
          </cell>
          <cell r="BN49">
            <v>3.3133333333333357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J50">
            <v>2.4000000000000017</v>
          </cell>
          <cell r="BK50">
            <v>2.4480000000000017</v>
          </cell>
          <cell r="BL50">
            <v>2.5440000000000018</v>
          </cell>
          <cell r="BM50">
            <v>2.7360000000000015</v>
          </cell>
          <cell r="BN50">
            <v>3.3600000000000021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J51">
            <v>2.4333333333333349</v>
          </cell>
          <cell r="BK51">
            <v>2.4820000000000015</v>
          </cell>
          <cell r="BL51">
            <v>2.5793333333333353</v>
          </cell>
          <cell r="BM51">
            <v>2.7740000000000014</v>
          </cell>
          <cell r="BN51">
            <v>3.4066666666666685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J52">
            <v>2.4666666666666681</v>
          </cell>
          <cell r="BK52">
            <v>2.5160000000000013</v>
          </cell>
          <cell r="BL52">
            <v>2.6146666666666682</v>
          </cell>
          <cell r="BM52">
            <v>2.8120000000000016</v>
          </cell>
          <cell r="BN52">
            <v>3.4533333333333354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J53">
            <v>2.5000000000000013</v>
          </cell>
          <cell r="BK53">
            <v>2.5500000000000016</v>
          </cell>
          <cell r="BL53">
            <v>2.6500000000000017</v>
          </cell>
          <cell r="BM53">
            <v>2.8500000000000014</v>
          </cell>
          <cell r="BN53">
            <v>3.5000000000000018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BJ54">
            <v>2.5333333333333345</v>
          </cell>
          <cell r="BK54">
            <v>2.5840000000000014</v>
          </cell>
          <cell r="BL54">
            <v>2.6853333333333347</v>
          </cell>
          <cell r="BM54">
            <v>2.8880000000000012</v>
          </cell>
          <cell r="BN54">
            <v>3.5466666666666682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BJ55">
            <v>2.5666666666666678</v>
          </cell>
          <cell r="BK55">
            <v>2.6180000000000012</v>
          </cell>
          <cell r="BL55">
            <v>2.7206666666666681</v>
          </cell>
          <cell r="BM55">
            <v>2.926000000000001</v>
          </cell>
          <cell r="BN55">
            <v>3.5933333333333346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BJ56">
            <v>2.600000000000001</v>
          </cell>
          <cell r="BK56">
            <v>2.652000000000001</v>
          </cell>
          <cell r="BL56">
            <v>2.7560000000000011</v>
          </cell>
          <cell r="BM56">
            <v>2.9640000000000009</v>
          </cell>
          <cell r="BN56">
            <v>3.640000000000001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BJ57">
            <v>2.6333333333333342</v>
          </cell>
          <cell r="BK57">
            <v>2.6860000000000008</v>
          </cell>
          <cell r="BL57">
            <v>2.7913333333333346</v>
          </cell>
          <cell r="BM57">
            <v>3.0020000000000007</v>
          </cell>
          <cell r="BN57">
            <v>3.6866666666666674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BJ58">
            <v>2.6666666666666674</v>
          </cell>
          <cell r="BK58">
            <v>2.7200000000000006</v>
          </cell>
          <cell r="BL58">
            <v>2.8266666666666675</v>
          </cell>
          <cell r="BM58">
            <v>3.0400000000000005</v>
          </cell>
          <cell r="BN58">
            <v>3.7333333333333343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BJ59">
            <v>2.7000000000000006</v>
          </cell>
          <cell r="BK59">
            <v>2.7540000000000009</v>
          </cell>
          <cell r="BL59">
            <v>2.862000000000001</v>
          </cell>
          <cell r="BM59">
            <v>3.0780000000000003</v>
          </cell>
          <cell r="BN59">
            <v>3.7800000000000007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BJ60">
            <v>2.7333333333333338</v>
          </cell>
          <cell r="BK60">
            <v>2.7880000000000007</v>
          </cell>
          <cell r="BL60">
            <v>2.897333333333334</v>
          </cell>
          <cell r="BM60">
            <v>3.1160000000000001</v>
          </cell>
          <cell r="BN60">
            <v>3.8266666666666671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BJ61">
            <v>2.7666666666666671</v>
          </cell>
          <cell r="BK61">
            <v>2.8220000000000005</v>
          </cell>
          <cell r="BL61">
            <v>2.9326666666666674</v>
          </cell>
          <cell r="BM61">
            <v>3.1540000000000004</v>
          </cell>
          <cell r="BN61">
            <v>3.8733333333333335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BJ62">
            <v>2.8000000000000003</v>
          </cell>
          <cell r="BK62">
            <v>2.8560000000000003</v>
          </cell>
          <cell r="BL62">
            <v>2.9680000000000004</v>
          </cell>
          <cell r="BM62">
            <v>3.1920000000000002</v>
          </cell>
          <cell r="BN62">
            <v>3.92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BJ63">
            <v>2.8333333333333335</v>
          </cell>
          <cell r="BK63">
            <v>2.89</v>
          </cell>
          <cell r="BL63">
            <v>3.0033333333333339</v>
          </cell>
          <cell r="BM63">
            <v>3.23</v>
          </cell>
          <cell r="BN63">
            <v>3.9666666666666668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BJ64">
            <v>2.8666666666666667</v>
          </cell>
          <cell r="BK64">
            <v>2.9239999999999999</v>
          </cell>
          <cell r="BL64">
            <v>3.0386666666666668</v>
          </cell>
          <cell r="BM64">
            <v>3.2679999999999998</v>
          </cell>
          <cell r="BN64">
            <v>4.0133333333333328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BJ65">
            <v>2.9</v>
          </cell>
          <cell r="BK65">
            <v>2.9579999999999997</v>
          </cell>
          <cell r="BL65">
            <v>3.0739999999999998</v>
          </cell>
          <cell r="BM65">
            <v>3.3059999999999996</v>
          </cell>
          <cell r="BN65">
            <v>4.0599999999999996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BJ66">
            <v>2.9333333333333331</v>
          </cell>
          <cell r="BK66">
            <v>2.992</v>
          </cell>
          <cell r="BL66">
            <v>3.1093333333333333</v>
          </cell>
          <cell r="BM66">
            <v>3.3439999999999994</v>
          </cell>
          <cell r="BN66">
            <v>4.1066666666666665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BJ67">
            <v>2.9666666666666663</v>
          </cell>
          <cell r="BK67">
            <v>3.0259999999999998</v>
          </cell>
          <cell r="BL67">
            <v>3.1446666666666663</v>
          </cell>
          <cell r="BM67">
            <v>3.3819999999999992</v>
          </cell>
          <cell r="BN67">
            <v>4.1533333333333324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BJ68">
            <v>2.9999999999999996</v>
          </cell>
          <cell r="BK68">
            <v>3.0599999999999996</v>
          </cell>
          <cell r="BL68">
            <v>3.1799999999999997</v>
          </cell>
          <cell r="BM68">
            <v>3.419999999999999</v>
          </cell>
          <cell r="BN68">
            <v>4.1999999999999993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BJ69">
            <v>3.0333333333333328</v>
          </cell>
          <cell r="BK69">
            <v>3.0939999999999994</v>
          </cell>
          <cell r="BL69">
            <v>3.2153333333333327</v>
          </cell>
          <cell r="BM69">
            <v>3.4579999999999989</v>
          </cell>
          <cell r="BN69">
            <v>4.2466666666666653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BJ70">
            <v>3.066666666666666</v>
          </cell>
          <cell r="BK70">
            <v>3.1279999999999992</v>
          </cell>
          <cell r="BL70">
            <v>3.2506666666666661</v>
          </cell>
          <cell r="BM70">
            <v>3.4959999999999991</v>
          </cell>
          <cell r="BN70">
            <v>4.2933333333333321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BJ71">
            <v>3.0999999999999992</v>
          </cell>
          <cell r="BK71">
            <v>3.161999999999999</v>
          </cell>
          <cell r="BL71">
            <v>3.2859999999999991</v>
          </cell>
          <cell r="BM71">
            <v>3.5339999999999989</v>
          </cell>
          <cell r="BN71">
            <v>4.339999999999999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BJ72">
            <v>3.1333333333333324</v>
          </cell>
          <cell r="BK72">
            <v>3.1959999999999993</v>
          </cell>
          <cell r="BL72">
            <v>3.3213333333333326</v>
          </cell>
          <cell r="BM72">
            <v>3.5719999999999987</v>
          </cell>
          <cell r="BN72">
            <v>4.3866666666666649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BJ73">
            <v>3.1666666666666656</v>
          </cell>
          <cell r="BK73">
            <v>3.2299999999999991</v>
          </cell>
          <cell r="BL73">
            <v>3.3566666666666656</v>
          </cell>
          <cell r="BM73">
            <v>3.6099999999999985</v>
          </cell>
          <cell r="BN73">
            <v>4.4333333333333318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BJ74">
            <v>3.1999999999999988</v>
          </cell>
          <cell r="BK74">
            <v>3.2639999999999989</v>
          </cell>
          <cell r="BL74">
            <v>3.391999999999999</v>
          </cell>
          <cell r="BM74">
            <v>3.6479999999999984</v>
          </cell>
          <cell r="BN74">
            <v>4.4799999999999978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BJ75">
            <v>3.2333333333333321</v>
          </cell>
          <cell r="BK75">
            <v>3.2979999999999987</v>
          </cell>
          <cell r="BL75">
            <v>3.427333333333332</v>
          </cell>
          <cell r="BM75">
            <v>3.6859999999999982</v>
          </cell>
          <cell r="BN75">
            <v>4.5266666666666646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BJ76">
            <v>3.2666666666666653</v>
          </cell>
          <cell r="BK76">
            <v>3.3319999999999985</v>
          </cell>
          <cell r="BL76">
            <v>3.4626666666666654</v>
          </cell>
          <cell r="BM76">
            <v>3.723999999999998</v>
          </cell>
          <cell r="BN76">
            <v>4.5733333333333315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BJ77">
            <v>3.2999999999999985</v>
          </cell>
          <cell r="BK77">
            <v>3.3659999999999983</v>
          </cell>
          <cell r="BL77">
            <v>3.4979999999999984</v>
          </cell>
          <cell r="BM77">
            <v>3.7619999999999978</v>
          </cell>
          <cell r="BN77">
            <v>4.6199999999999974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BJ78">
            <v>3.3333333333333317</v>
          </cell>
          <cell r="BK78">
            <v>3.3999999999999986</v>
          </cell>
          <cell r="BL78">
            <v>3.5333333333333319</v>
          </cell>
          <cell r="BM78">
            <v>3.7999999999999976</v>
          </cell>
          <cell r="BN78">
            <v>4.6666666666666643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BJ79">
            <v>3.3666666666666649</v>
          </cell>
          <cell r="BK79">
            <v>3.4339999999999984</v>
          </cell>
          <cell r="BL79">
            <v>3.5686666666666649</v>
          </cell>
          <cell r="BM79">
            <v>3.8379999999999979</v>
          </cell>
          <cell r="BN79">
            <v>4.7133333333333303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BJ80">
            <v>3.3999999999999981</v>
          </cell>
          <cell r="BK80">
            <v>3.4679999999999982</v>
          </cell>
          <cell r="BL80">
            <v>3.6039999999999983</v>
          </cell>
          <cell r="BM80">
            <v>3.8759999999999977</v>
          </cell>
          <cell r="BN80">
            <v>4.7599999999999971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BJ81">
            <v>3.4333333333333313</v>
          </cell>
          <cell r="BK81">
            <v>3.501999999999998</v>
          </cell>
          <cell r="BL81">
            <v>3.6393333333333313</v>
          </cell>
          <cell r="BM81">
            <v>3.9139999999999975</v>
          </cell>
          <cell r="BN81">
            <v>4.806666666666664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BJ82">
            <v>3.4666666666666646</v>
          </cell>
          <cell r="BK82">
            <v>3.5359999999999978</v>
          </cell>
          <cell r="BL82">
            <v>3.6746666666666647</v>
          </cell>
          <cell r="BM82">
            <v>3.9519999999999973</v>
          </cell>
          <cell r="BN82">
            <v>4.8533333333333299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BJ83">
            <v>3.4999999999999978</v>
          </cell>
          <cell r="BK83">
            <v>3.5699999999999976</v>
          </cell>
          <cell r="BL83">
            <v>3.7099999999999977</v>
          </cell>
          <cell r="BM83">
            <v>3.9899999999999971</v>
          </cell>
          <cell r="BN83">
            <v>4.8999999999999968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J84">
            <v>3.4999999999999978</v>
          </cell>
          <cell r="BK84">
            <v>3.5699999999999976</v>
          </cell>
          <cell r="BL84">
            <v>3.7099999999999977</v>
          </cell>
          <cell r="BM84">
            <v>3.9899999999999971</v>
          </cell>
          <cell r="BN84">
            <v>4.8999999999999968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J85">
            <v>3.4999999999999978</v>
          </cell>
          <cell r="BK85">
            <v>3.5699999999999976</v>
          </cell>
          <cell r="BL85">
            <v>3.7099999999999977</v>
          </cell>
          <cell r="BM85">
            <v>3.9899999999999971</v>
          </cell>
          <cell r="BN85">
            <v>4.8999999999999968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J86">
            <v>3.4999999999999978</v>
          </cell>
          <cell r="BK86">
            <v>3.5699999999999976</v>
          </cell>
          <cell r="BL86">
            <v>3.7099999999999977</v>
          </cell>
          <cell r="BM86">
            <v>3.9899999999999971</v>
          </cell>
          <cell r="BN86">
            <v>4.8999999999999968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J87">
            <v>3.4999999999999978</v>
          </cell>
          <cell r="BK87">
            <v>3.5699999999999976</v>
          </cell>
          <cell r="BL87">
            <v>3.7099999999999977</v>
          </cell>
          <cell r="BM87">
            <v>3.9899999999999971</v>
          </cell>
          <cell r="BN87">
            <v>4.8999999999999968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J88">
            <v>3.4999999999999978</v>
          </cell>
          <cell r="BK88">
            <v>3.5699999999999976</v>
          </cell>
          <cell r="BL88">
            <v>3.7099999999999977</v>
          </cell>
          <cell r="BM88">
            <v>3.9899999999999971</v>
          </cell>
          <cell r="BN88">
            <v>4.8999999999999968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J89">
            <v>3.4999999999999978</v>
          </cell>
          <cell r="BK89">
            <v>3.5699999999999976</v>
          </cell>
          <cell r="BL89">
            <v>3.7099999999999977</v>
          </cell>
          <cell r="BM89">
            <v>3.9899999999999971</v>
          </cell>
          <cell r="BN89">
            <v>4.8999999999999968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J90">
            <v>3.4999999999999978</v>
          </cell>
          <cell r="BK90">
            <v>3.5699999999999976</v>
          </cell>
          <cell r="BL90">
            <v>3.7099999999999977</v>
          </cell>
          <cell r="BM90">
            <v>3.9899999999999971</v>
          </cell>
          <cell r="BN90">
            <v>4.8999999999999968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J91">
            <v>3.4999999999999978</v>
          </cell>
          <cell r="BK91">
            <v>3.5699999999999976</v>
          </cell>
          <cell r="BL91">
            <v>3.7099999999999977</v>
          </cell>
          <cell r="BM91">
            <v>3.9899999999999971</v>
          </cell>
          <cell r="BN91">
            <v>4.8999999999999968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J92">
            <v>3.4999999999999978</v>
          </cell>
          <cell r="BK92">
            <v>3.5699999999999976</v>
          </cell>
          <cell r="BL92">
            <v>3.7099999999999977</v>
          </cell>
          <cell r="BM92">
            <v>3.9899999999999971</v>
          </cell>
          <cell r="BN92">
            <v>4.8999999999999968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J93">
            <v>3.4999999999999978</v>
          </cell>
          <cell r="BK93">
            <v>3.5699999999999976</v>
          </cell>
          <cell r="BL93">
            <v>3.7099999999999977</v>
          </cell>
          <cell r="BM93">
            <v>3.9899999999999971</v>
          </cell>
          <cell r="BN93">
            <v>4.8999999999999968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J94">
            <v>3.4999999999999978</v>
          </cell>
          <cell r="BK94">
            <v>3.5699999999999976</v>
          </cell>
          <cell r="BL94">
            <v>3.7099999999999977</v>
          </cell>
          <cell r="BM94">
            <v>3.9899999999999971</v>
          </cell>
          <cell r="BN94">
            <v>4.8999999999999968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J95">
            <v>3.4999999999999978</v>
          </cell>
          <cell r="BK95">
            <v>3.5699999999999976</v>
          </cell>
          <cell r="BL95">
            <v>3.7099999999999977</v>
          </cell>
          <cell r="BM95">
            <v>3.9899999999999971</v>
          </cell>
          <cell r="BN95">
            <v>4.8999999999999968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J96">
            <v>3.4999999999999978</v>
          </cell>
          <cell r="BK96">
            <v>3.5699999999999976</v>
          </cell>
          <cell r="BL96">
            <v>3.7099999999999977</v>
          </cell>
          <cell r="BM96">
            <v>3.9899999999999971</v>
          </cell>
          <cell r="BN96">
            <v>4.8999999999999968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J97">
            <v>3.4999999999999978</v>
          </cell>
          <cell r="BK97">
            <v>3.5699999999999976</v>
          </cell>
          <cell r="BL97">
            <v>3.7099999999999977</v>
          </cell>
          <cell r="BM97">
            <v>3.9899999999999971</v>
          </cell>
          <cell r="BN97">
            <v>4.8999999999999968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J98">
            <v>3.4999999999999978</v>
          </cell>
          <cell r="BK98">
            <v>3.5699999999999976</v>
          </cell>
          <cell r="BL98">
            <v>3.7099999999999977</v>
          </cell>
          <cell r="BM98">
            <v>3.9899999999999971</v>
          </cell>
          <cell r="BN98">
            <v>4.8999999999999968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J99">
            <v>3.4999999999999978</v>
          </cell>
          <cell r="BK99">
            <v>3.5699999999999976</v>
          </cell>
          <cell r="BL99">
            <v>3.7099999999999977</v>
          </cell>
          <cell r="BM99">
            <v>3.9899999999999971</v>
          </cell>
          <cell r="BN99">
            <v>4.8999999999999968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J100">
            <v>3.4999999999999978</v>
          </cell>
          <cell r="BK100">
            <v>3.5699999999999976</v>
          </cell>
          <cell r="BL100">
            <v>3.7099999999999977</v>
          </cell>
          <cell r="BM100">
            <v>3.9899999999999971</v>
          </cell>
          <cell r="BN100">
            <v>4.8999999999999968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J101">
            <v>3.4999999999999978</v>
          </cell>
          <cell r="BK101">
            <v>3.5699999999999976</v>
          </cell>
          <cell r="BL101">
            <v>3.7099999999999977</v>
          </cell>
          <cell r="BM101">
            <v>3.9899999999999971</v>
          </cell>
          <cell r="BN101">
            <v>4.8999999999999968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J102">
            <v>3.4999999999999978</v>
          </cell>
          <cell r="BK102">
            <v>3.5699999999999976</v>
          </cell>
          <cell r="BL102">
            <v>3.7099999999999977</v>
          </cell>
          <cell r="BM102">
            <v>3.9899999999999971</v>
          </cell>
          <cell r="BN102">
            <v>4.8999999999999968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J103">
            <v>3.4999999999999978</v>
          </cell>
          <cell r="BK103">
            <v>3.5699999999999976</v>
          </cell>
          <cell r="BL103">
            <v>3.7099999999999977</v>
          </cell>
          <cell r="BM103">
            <v>3.9899999999999971</v>
          </cell>
          <cell r="BN103">
            <v>4.8999999999999968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J104">
            <v>3.4999999999999978</v>
          </cell>
          <cell r="BK104">
            <v>3.5699999999999976</v>
          </cell>
          <cell r="BL104">
            <v>3.7099999999999977</v>
          </cell>
          <cell r="BM104">
            <v>3.9899999999999971</v>
          </cell>
          <cell r="BN104">
            <v>4.8999999999999968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J105">
            <v>3.4999999999999978</v>
          </cell>
          <cell r="BK105">
            <v>3.5699999999999976</v>
          </cell>
          <cell r="BL105">
            <v>3.7099999999999977</v>
          </cell>
          <cell r="BM105">
            <v>3.9899999999999971</v>
          </cell>
          <cell r="BN105">
            <v>4.8999999999999968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J106">
            <v>3.4999999999999978</v>
          </cell>
          <cell r="BK106">
            <v>3.5699999999999976</v>
          </cell>
          <cell r="BL106">
            <v>3.7099999999999977</v>
          </cell>
          <cell r="BM106">
            <v>3.9899999999999971</v>
          </cell>
          <cell r="BN106">
            <v>4.8999999999999968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J107">
            <v>3.4999999999999978</v>
          </cell>
          <cell r="BK107">
            <v>3.5699999999999976</v>
          </cell>
          <cell r="BL107">
            <v>3.7099999999999977</v>
          </cell>
          <cell r="BM107">
            <v>3.9899999999999971</v>
          </cell>
          <cell r="BN107">
            <v>4.8999999999999968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J108">
            <v>3.4999999999999978</v>
          </cell>
          <cell r="BK108">
            <v>3.5699999999999976</v>
          </cell>
          <cell r="BL108">
            <v>3.7099999999999977</v>
          </cell>
          <cell r="BM108">
            <v>3.9899999999999971</v>
          </cell>
          <cell r="BN108">
            <v>4.8999999999999968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J109">
            <v>3.4999999999999978</v>
          </cell>
          <cell r="BK109">
            <v>3.5699999999999976</v>
          </cell>
          <cell r="BL109">
            <v>3.7099999999999977</v>
          </cell>
          <cell r="BM109">
            <v>3.9899999999999971</v>
          </cell>
          <cell r="BN109">
            <v>4.8999999999999968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J110">
            <v>3.4999999999999978</v>
          </cell>
          <cell r="BK110">
            <v>3.5699999999999976</v>
          </cell>
          <cell r="BL110">
            <v>3.7099999999999977</v>
          </cell>
          <cell r="BM110">
            <v>3.9899999999999971</v>
          </cell>
          <cell r="BN110">
            <v>4.8999999999999968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J111">
            <v>3.4999999999999978</v>
          </cell>
          <cell r="BK111">
            <v>3.5699999999999976</v>
          </cell>
          <cell r="BL111">
            <v>3.7099999999999977</v>
          </cell>
          <cell r="BM111">
            <v>3.9899999999999971</v>
          </cell>
          <cell r="BN111">
            <v>4.8999999999999968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J112">
            <v>3.4999999999999978</v>
          </cell>
          <cell r="BK112">
            <v>3.5699999999999976</v>
          </cell>
          <cell r="BL112">
            <v>3.7099999999999977</v>
          </cell>
          <cell r="BM112">
            <v>3.9899999999999971</v>
          </cell>
          <cell r="BN112">
            <v>4.8999999999999968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J113">
            <v>3.4999999999999978</v>
          </cell>
          <cell r="BK113">
            <v>3.5699999999999976</v>
          </cell>
          <cell r="BL113">
            <v>3.7099999999999977</v>
          </cell>
          <cell r="BM113">
            <v>3.9899999999999971</v>
          </cell>
          <cell r="BN113">
            <v>4.8999999999999968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J114">
            <v>3.4999999999999978</v>
          </cell>
          <cell r="BK114">
            <v>3.5699999999999976</v>
          </cell>
          <cell r="BL114">
            <v>3.7099999999999977</v>
          </cell>
          <cell r="BM114">
            <v>3.9899999999999971</v>
          </cell>
          <cell r="BN114">
            <v>4.8999999999999968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J115">
            <v>3.4999999999999978</v>
          </cell>
          <cell r="BK115">
            <v>3.5699999999999976</v>
          </cell>
          <cell r="BL115">
            <v>3.7099999999999977</v>
          </cell>
          <cell r="BM115">
            <v>3.9899999999999971</v>
          </cell>
          <cell r="BN115">
            <v>4.8999999999999968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J116">
            <v>3.4999999999999978</v>
          </cell>
          <cell r="BK116">
            <v>3.5699999999999976</v>
          </cell>
          <cell r="BL116">
            <v>3.7099999999999977</v>
          </cell>
          <cell r="BM116">
            <v>3.9899999999999971</v>
          </cell>
          <cell r="BN116">
            <v>4.8999999999999968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J117">
            <v>3.4999999999999978</v>
          </cell>
          <cell r="BK117">
            <v>3.5699999999999976</v>
          </cell>
          <cell r="BL117">
            <v>3.7099999999999977</v>
          </cell>
          <cell r="BM117">
            <v>3.9899999999999971</v>
          </cell>
          <cell r="BN117">
            <v>4.8999999999999968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J118">
            <v>3.4999999999999978</v>
          </cell>
          <cell r="BK118">
            <v>3.5699999999999976</v>
          </cell>
          <cell r="BL118">
            <v>3.7099999999999977</v>
          </cell>
          <cell r="BM118">
            <v>3.9899999999999971</v>
          </cell>
          <cell r="BN118">
            <v>4.8999999999999968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J119">
            <v>3.4999999999999978</v>
          </cell>
          <cell r="BK119">
            <v>3.5699999999999976</v>
          </cell>
          <cell r="BL119">
            <v>3.7099999999999977</v>
          </cell>
          <cell r="BM119">
            <v>3.9899999999999971</v>
          </cell>
          <cell r="BN119">
            <v>4.8999999999999968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J120">
            <v>3.4999999999999978</v>
          </cell>
          <cell r="BK120">
            <v>3.5699999999999976</v>
          </cell>
          <cell r="BL120">
            <v>3.7099999999999977</v>
          </cell>
          <cell r="BM120">
            <v>3.9899999999999971</v>
          </cell>
          <cell r="BN120">
            <v>4.8999999999999968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J121">
            <v>3.4999999999999978</v>
          </cell>
          <cell r="BK121">
            <v>3.5699999999999976</v>
          </cell>
          <cell r="BL121">
            <v>3.7099999999999977</v>
          </cell>
          <cell r="BM121">
            <v>3.9899999999999971</v>
          </cell>
          <cell r="BN121">
            <v>4.8999999999999968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J122">
            <v>3.4999999999999978</v>
          </cell>
          <cell r="BK122">
            <v>3.5699999999999976</v>
          </cell>
          <cell r="BL122">
            <v>3.7099999999999977</v>
          </cell>
          <cell r="BM122">
            <v>3.9899999999999971</v>
          </cell>
          <cell r="BN122">
            <v>4.8999999999999968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J123">
            <v>3.4999999999999978</v>
          </cell>
          <cell r="BK123">
            <v>3.5699999999999976</v>
          </cell>
          <cell r="BL123">
            <v>3.7099999999999977</v>
          </cell>
          <cell r="BM123">
            <v>3.9899999999999971</v>
          </cell>
          <cell r="BN123">
            <v>4.8999999999999968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J124">
            <v>3.4999999999999978</v>
          </cell>
          <cell r="BK124">
            <v>3.5699999999999976</v>
          </cell>
          <cell r="BL124">
            <v>3.7099999999999977</v>
          </cell>
          <cell r="BM124">
            <v>3.9899999999999971</v>
          </cell>
          <cell r="BN124">
            <v>4.8999999999999968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J125">
            <v>3.4999999999999978</v>
          </cell>
          <cell r="BK125">
            <v>3.5699999999999976</v>
          </cell>
          <cell r="BL125">
            <v>3.7099999999999977</v>
          </cell>
          <cell r="BM125">
            <v>3.9899999999999971</v>
          </cell>
          <cell r="BN125">
            <v>4.8999999999999968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J126">
            <v>3.4999999999999978</v>
          </cell>
          <cell r="BK126">
            <v>3.5699999999999976</v>
          </cell>
          <cell r="BL126">
            <v>3.7099999999999977</v>
          </cell>
          <cell r="BM126">
            <v>3.9899999999999971</v>
          </cell>
          <cell r="BN126">
            <v>4.8999999999999968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J127">
            <v>3.4999999999999978</v>
          </cell>
          <cell r="BK127">
            <v>3.5699999999999976</v>
          </cell>
          <cell r="BL127">
            <v>3.7099999999999977</v>
          </cell>
          <cell r="BM127">
            <v>3.9899999999999971</v>
          </cell>
          <cell r="BN127">
            <v>4.8999999999999968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J128">
            <v>3.4999999999999978</v>
          </cell>
          <cell r="BK128">
            <v>3.5699999999999976</v>
          </cell>
          <cell r="BL128">
            <v>3.7099999999999977</v>
          </cell>
          <cell r="BM128">
            <v>3.9899999999999971</v>
          </cell>
          <cell r="BN128">
            <v>4.8999999999999968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J129">
            <v>3.4999999999999978</v>
          </cell>
          <cell r="BK129">
            <v>3.5699999999999976</v>
          </cell>
          <cell r="BL129">
            <v>3.7099999999999977</v>
          </cell>
          <cell r="BM129">
            <v>3.9899999999999971</v>
          </cell>
          <cell r="BN129">
            <v>4.8999999999999968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J130">
            <v>3.4999999999999978</v>
          </cell>
          <cell r="BK130">
            <v>3.5699999999999976</v>
          </cell>
          <cell r="BL130">
            <v>3.7099999999999977</v>
          </cell>
          <cell r="BM130">
            <v>3.9899999999999971</v>
          </cell>
          <cell r="BN130">
            <v>4.8999999999999968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J131">
            <v>3.4999999999999978</v>
          </cell>
          <cell r="BK131">
            <v>3.5699999999999976</v>
          </cell>
          <cell r="BL131">
            <v>3.7099999999999977</v>
          </cell>
          <cell r="BM131">
            <v>3.9899999999999971</v>
          </cell>
          <cell r="BN131">
            <v>4.8999999999999968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J132">
            <v>3.4999999999999978</v>
          </cell>
          <cell r="BK132">
            <v>3.5699999999999976</v>
          </cell>
          <cell r="BL132">
            <v>3.7099999999999977</v>
          </cell>
          <cell r="BM132">
            <v>3.9899999999999971</v>
          </cell>
          <cell r="BN132">
            <v>4.8999999999999968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J133">
            <v>3.4999999999999978</v>
          </cell>
          <cell r="BK133">
            <v>3.5699999999999976</v>
          </cell>
          <cell r="BL133">
            <v>3.7099999999999977</v>
          </cell>
          <cell r="BM133">
            <v>3.9899999999999971</v>
          </cell>
          <cell r="BN133">
            <v>4.8999999999999968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J134">
            <v>3.4999999999999978</v>
          </cell>
          <cell r="BK134">
            <v>3.5699999999999976</v>
          </cell>
          <cell r="BL134">
            <v>3.7099999999999977</v>
          </cell>
          <cell r="BM134">
            <v>3.9899999999999971</v>
          </cell>
          <cell r="BN134">
            <v>4.8999999999999968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J135">
            <v>3.4999999999999978</v>
          </cell>
          <cell r="BK135">
            <v>3.5699999999999976</v>
          </cell>
          <cell r="BL135">
            <v>3.7099999999999977</v>
          </cell>
          <cell r="BM135">
            <v>3.9899999999999971</v>
          </cell>
          <cell r="BN135">
            <v>4.8999999999999968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J136">
            <v>3.4999999999999978</v>
          </cell>
          <cell r="BK136">
            <v>3.5699999999999976</v>
          </cell>
          <cell r="BL136">
            <v>3.7099999999999977</v>
          </cell>
          <cell r="BM136">
            <v>3.9899999999999971</v>
          </cell>
          <cell r="BN136">
            <v>4.8999999999999968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J137">
            <v>3.4999999999999978</v>
          </cell>
          <cell r="BK137">
            <v>3.5699999999999976</v>
          </cell>
          <cell r="BL137">
            <v>3.7099999999999977</v>
          </cell>
          <cell r="BM137">
            <v>3.9899999999999971</v>
          </cell>
          <cell r="BN137">
            <v>4.8999999999999968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J138">
            <v>3.4999999999999978</v>
          </cell>
          <cell r="BK138">
            <v>3.5699999999999976</v>
          </cell>
          <cell r="BL138">
            <v>3.7099999999999977</v>
          </cell>
          <cell r="BM138">
            <v>3.9899999999999971</v>
          </cell>
          <cell r="BN138">
            <v>4.8999999999999968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J139">
            <v>3.4999999999999978</v>
          </cell>
          <cell r="BK139">
            <v>3.5699999999999976</v>
          </cell>
          <cell r="BL139">
            <v>3.7099999999999977</v>
          </cell>
          <cell r="BM139">
            <v>3.9899999999999971</v>
          </cell>
          <cell r="BN139">
            <v>4.8999999999999968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J140">
            <v>3.4999999999999978</v>
          </cell>
          <cell r="BK140">
            <v>3.5699999999999976</v>
          </cell>
          <cell r="BL140">
            <v>3.7099999999999977</v>
          </cell>
          <cell r="BM140">
            <v>3.9899999999999971</v>
          </cell>
          <cell r="BN140">
            <v>4.8999999999999968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J141">
            <v>3.4999999999999978</v>
          </cell>
          <cell r="BK141">
            <v>3.5699999999999976</v>
          </cell>
          <cell r="BL141">
            <v>3.7099999999999977</v>
          </cell>
          <cell r="BM141">
            <v>3.9899999999999971</v>
          </cell>
          <cell r="BN141">
            <v>4.8999999999999968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J142">
            <v>3.4999999999999978</v>
          </cell>
          <cell r="BK142">
            <v>3.5699999999999976</v>
          </cell>
          <cell r="BL142">
            <v>3.7099999999999977</v>
          </cell>
          <cell r="BM142">
            <v>3.9899999999999971</v>
          </cell>
          <cell r="BN142">
            <v>4.8999999999999968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J143">
            <v>3.4999999999999978</v>
          </cell>
          <cell r="BK143">
            <v>3.5699999999999976</v>
          </cell>
          <cell r="BL143">
            <v>3.7099999999999977</v>
          </cell>
          <cell r="BM143">
            <v>3.9899999999999971</v>
          </cell>
          <cell r="BN143">
            <v>4.8999999999999968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J144">
            <v>3.4999999999999978</v>
          </cell>
          <cell r="BK144">
            <v>3.5699999999999976</v>
          </cell>
          <cell r="BL144">
            <v>3.7099999999999977</v>
          </cell>
          <cell r="BM144">
            <v>3.9899999999999971</v>
          </cell>
          <cell r="BN144">
            <v>4.8999999999999968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J145">
            <v>3.4999999999999978</v>
          </cell>
          <cell r="BK145">
            <v>3.5699999999999976</v>
          </cell>
          <cell r="BL145">
            <v>3.7099999999999977</v>
          </cell>
          <cell r="BM145">
            <v>3.9899999999999971</v>
          </cell>
          <cell r="BN145">
            <v>4.8999999999999968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J146">
            <v>3.4999999999999978</v>
          </cell>
          <cell r="BK146">
            <v>3.5699999999999976</v>
          </cell>
          <cell r="BL146">
            <v>3.7099999999999977</v>
          </cell>
          <cell r="BM146">
            <v>3.9899999999999971</v>
          </cell>
          <cell r="BN146">
            <v>4.8999999999999968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J147">
            <v>3.4999999999999978</v>
          </cell>
          <cell r="BK147">
            <v>3.5699999999999976</v>
          </cell>
          <cell r="BL147">
            <v>3.7099999999999977</v>
          </cell>
          <cell r="BM147">
            <v>3.9899999999999971</v>
          </cell>
          <cell r="BN147">
            <v>4.8999999999999968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J148">
            <v>3.4999999999999978</v>
          </cell>
          <cell r="BK148">
            <v>3.5699999999999976</v>
          </cell>
          <cell r="BL148">
            <v>3.7099999999999977</v>
          </cell>
          <cell r="BM148">
            <v>3.9899999999999971</v>
          </cell>
          <cell r="BN148">
            <v>4.8999999999999968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J149">
            <v>3.4999999999999978</v>
          </cell>
          <cell r="BK149">
            <v>3.5699999999999976</v>
          </cell>
          <cell r="BL149">
            <v>3.7099999999999977</v>
          </cell>
          <cell r="BM149">
            <v>3.9899999999999971</v>
          </cell>
          <cell r="BN149">
            <v>4.8999999999999968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J150">
            <v>3.4999999999999978</v>
          </cell>
          <cell r="BK150">
            <v>3.5699999999999976</v>
          </cell>
          <cell r="BL150">
            <v>3.7099999999999977</v>
          </cell>
          <cell r="BM150">
            <v>3.9899999999999971</v>
          </cell>
          <cell r="BN150">
            <v>4.8999999999999968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J151">
            <v>3.4999999999999978</v>
          </cell>
          <cell r="BK151">
            <v>3.5699999999999976</v>
          </cell>
          <cell r="BL151">
            <v>3.7099999999999977</v>
          </cell>
          <cell r="BM151">
            <v>3.9899999999999971</v>
          </cell>
          <cell r="BN151">
            <v>4.8999999999999968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J152">
            <v>3.4999999999999978</v>
          </cell>
          <cell r="BK152">
            <v>3.5699999999999976</v>
          </cell>
          <cell r="BL152">
            <v>3.7099999999999977</v>
          </cell>
          <cell r="BM152">
            <v>3.9899999999999971</v>
          </cell>
          <cell r="BN152">
            <v>4.8999999999999968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J153">
            <v>3.4999999999999978</v>
          </cell>
          <cell r="BK153">
            <v>3.5699999999999976</v>
          </cell>
          <cell r="BL153">
            <v>3.7099999999999977</v>
          </cell>
          <cell r="BM153">
            <v>3.9899999999999971</v>
          </cell>
          <cell r="BN153">
            <v>4.8999999999999968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J154">
            <v>3.4999999999999978</v>
          </cell>
          <cell r="BK154">
            <v>3.5699999999999976</v>
          </cell>
          <cell r="BL154">
            <v>3.7099999999999977</v>
          </cell>
          <cell r="BM154">
            <v>3.9899999999999971</v>
          </cell>
          <cell r="BN154">
            <v>4.8999999999999968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J155">
            <v>3.4999999999999978</v>
          </cell>
          <cell r="BK155">
            <v>3.5699999999999976</v>
          </cell>
          <cell r="BL155">
            <v>3.7099999999999977</v>
          </cell>
          <cell r="BM155">
            <v>3.9899999999999971</v>
          </cell>
          <cell r="BN155">
            <v>4.8999999999999968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J156">
            <v>3.4999999999999978</v>
          </cell>
          <cell r="BK156">
            <v>3.5699999999999976</v>
          </cell>
          <cell r="BL156">
            <v>3.7099999999999977</v>
          </cell>
          <cell r="BM156">
            <v>3.9899999999999971</v>
          </cell>
          <cell r="BN156">
            <v>4.8999999999999968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J157">
            <v>3.4999999999999978</v>
          </cell>
          <cell r="BK157">
            <v>3.5699999999999976</v>
          </cell>
          <cell r="BL157">
            <v>3.7099999999999977</v>
          </cell>
          <cell r="BM157">
            <v>3.9899999999999971</v>
          </cell>
          <cell r="BN157">
            <v>4.8999999999999968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J158">
            <v>3.4999999999999978</v>
          </cell>
          <cell r="BK158">
            <v>3.5699999999999976</v>
          </cell>
          <cell r="BL158">
            <v>3.7099999999999977</v>
          </cell>
          <cell r="BM158">
            <v>3.9899999999999971</v>
          </cell>
          <cell r="BN158">
            <v>4.8999999999999968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J159">
            <v>3.4999999999999978</v>
          </cell>
          <cell r="BK159">
            <v>3.5699999999999976</v>
          </cell>
          <cell r="BL159">
            <v>3.7099999999999977</v>
          </cell>
          <cell r="BM159">
            <v>3.9899999999999971</v>
          </cell>
          <cell r="BN159">
            <v>4.8999999999999968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J160">
            <v>3.4999999999999978</v>
          </cell>
          <cell r="BK160">
            <v>3.5699999999999976</v>
          </cell>
          <cell r="BL160">
            <v>3.7099999999999977</v>
          </cell>
          <cell r="BM160">
            <v>3.9899999999999971</v>
          </cell>
          <cell r="BN160">
            <v>4.8999999999999968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J161">
            <v>3.4999999999999978</v>
          </cell>
          <cell r="BK161">
            <v>3.5699999999999976</v>
          </cell>
          <cell r="BL161">
            <v>3.7099999999999977</v>
          </cell>
          <cell r="BM161">
            <v>3.9899999999999971</v>
          </cell>
          <cell r="BN161">
            <v>4.8999999999999968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J162">
            <v>3.4999999999999978</v>
          </cell>
          <cell r="BK162">
            <v>3.5699999999999976</v>
          </cell>
          <cell r="BL162">
            <v>3.7099999999999977</v>
          </cell>
          <cell r="BM162">
            <v>3.9899999999999971</v>
          </cell>
          <cell r="BN162">
            <v>4.8999999999999968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J163">
            <v>3.4999999999999978</v>
          </cell>
          <cell r="BK163">
            <v>3.5699999999999976</v>
          </cell>
          <cell r="BL163">
            <v>3.7099999999999977</v>
          </cell>
          <cell r="BM163">
            <v>3.9899999999999971</v>
          </cell>
          <cell r="BN163">
            <v>4.8999999999999968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D1">
            <v>1000</v>
          </cell>
        </row>
        <row r="4">
          <cell r="N4">
            <v>3.301579276669484</v>
          </cell>
          <cell r="O4">
            <v>4.0057487176130557</v>
          </cell>
          <cell r="P4">
            <v>4.2565036636761029</v>
          </cell>
          <cell r="Q4">
            <v>3.3562706551221395</v>
          </cell>
          <cell r="R4">
            <v>1.7550190606299467</v>
          </cell>
          <cell r="S4">
            <v>3.301579276669484</v>
          </cell>
          <cell r="T4">
            <v>4.0057487176130557</v>
          </cell>
          <cell r="U4">
            <v>4.2565036636761029</v>
          </cell>
          <cell r="V4">
            <v>3.3562706551221395</v>
          </cell>
          <cell r="W4">
            <v>1.7550190606299467</v>
          </cell>
        </row>
        <row r="5">
          <cell r="N5">
            <v>6.840124329863615</v>
          </cell>
          <cell r="O5">
            <v>8.3787062090179365</v>
          </cell>
          <cell r="P5">
            <v>8.9944214875541597</v>
          </cell>
          <cell r="Q5">
            <v>7.192360993180591</v>
          </cell>
          <cell r="R5">
            <v>3.819793082834837</v>
          </cell>
          <cell r="S5">
            <v>3.5385450531941309</v>
          </cell>
          <cell r="T5">
            <v>4.3729574914048808</v>
          </cell>
          <cell r="U5">
            <v>4.7379178238780568</v>
          </cell>
          <cell r="V5">
            <v>3.8360903380584515</v>
          </cell>
          <cell r="W5">
            <v>2.0647740222048903</v>
          </cell>
          <cell r="FZ5">
            <v>1</v>
          </cell>
          <cell r="GA5">
            <v>50</v>
          </cell>
          <cell r="GB5">
            <v>0.2</v>
          </cell>
        </row>
        <row r="6">
          <cell r="N6">
            <v>10.632643013866151</v>
          </cell>
          <cell r="O6">
            <v>13.120311648049476</v>
          </cell>
          <cell r="P6">
            <v>14.210666074680118</v>
          </cell>
          <cell r="Q6">
            <v>11.453968457804642</v>
          </cell>
          <cell r="R6">
            <v>6.1162429781958272</v>
          </cell>
          <cell r="S6">
            <v>3.7925186840025358</v>
          </cell>
          <cell r="T6">
            <v>4.7416054390315399</v>
          </cell>
          <cell r="U6">
            <v>5.2162445871259582</v>
          </cell>
          <cell r="V6">
            <v>4.2616074646240509</v>
          </cell>
          <cell r="W6">
            <v>2.2964498953609902</v>
          </cell>
          <cell r="FZ6">
            <v>2</v>
          </cell>
          <cell r="GA6">
            <v>72.5</v>
          </cell>
          <cell r="GB6">
            <v>0.2</v>
          </cell>
        </row>
        <row r="7">
          <cell r="N7">
            <v>14.697363895553133</v>
          </cell>
          <cell r="O7">
            <v>18.221663954542464</v>
          </cell>
          <cell r="P7">
            <v>19.852560134291625</v>
          </cell>
          <cell r="Q7">
            <v>16.076200284493559</v>
          </cell>
          <cell r="R7">
            <v>8.6584407264078909</v>
          </cell>
          <cell r="S7">
            <v>4.0647208816869824</v>
          </cell>
          <cell r="T7">
            <v>5.1013523064929878</v>
          </cell>
          <cell r="U7">
            <v>5.6418940596115075</v>
          </cell>
          <cell r="V7">
            <v>4.6222318266889175</v>
          </cell>
          <cell r="W7">
            <v>2.5421977482120637</v>
          </cell>
          <cell r="AC7" t="str">
            <v>剿匪1(1~14级)</v>
          </cell>
          <cell r="AD7" t="str">
            <v>装备</v>
          </cell>
          <cell r="AE7" t="str">
            <v>装备经验</v>
          </cell>
          <cell r="AF7" t="str">
            <v>武将经验</v>
          </cell>
          <cell r="AG7" t="str">
            <v>银币</v>
          </cell>
          <cell r="AH7" t="str">
            <v>城建资源</v>
          </cell>
          <cell r="AI7" t="str">
            <v>加速令</v>
          </cell>
          <cell r="AJ7">
            <v>0.6</v>
          </cell>
          <cell r="AK7">
            <v>1</v>
          </cell>
          <cell r="AL7">
            <v>24</v>
          </cell>
          <cell r="FZ7">
            <v>3</v>
          </cell>
          <cell r="GA7">
            <v>94.612499999999997</v>
          </cell>
          <cell r="GB7">
            <v>0.2</v>
          </cell>
        </row>
        <row r="8">
          <cell r="N8">
            <v>19.053823869162375</v>
          </cell>
          <cell r="O8">
            <v>23.611664224090969</v>
          </cell>
          <cell r="P8">
            <v>25.76723160268055</v>
          </cell>
          <cell r="Q8">
            <v>20.905358492970112</v>
          </cell>
          <cell r="R8">
            <v>11.280360786818976</v>
          </cell>
          <cell r="S8">
            <v>4.3564599736092422</v>
          </cell>
          <cell r="T8">
            <v>5.390000269548505</v>
          </cell>
          <cell r="U8">
            <v>5.9146714683889243</v>
          </cell>
          <cell r="V8">
            <v>4.829158208476553</v>
          </cell>
          <cell r="W8">
            <v>2.6219200604110853</v>
          </cell>
          <cell r="FZ8">
            <v>4</v>
          </cell>
          <cell r="GA8">
            <v>111.12238124999999</v>
          </cell>
          <cell r="GB8">
            <v>0.2</v>
          </cell>
        </row>
        <row r="9">
          <cell r="N9">
            <v>23.722962059478306</v>
          </cell>
          <cell r="O9">
            <v>29.439164482679558</v>
          </cell>
          <cell r="P9">
            <v>32.156578214936147</v>
          </cell>
          <cell r="Q9">
            <v>26.203507172736675</v>
          </cell>
          <cell r="R9">
            <v>14.251775743858198</v>
          </cell>
          <cell r="S9">
            <v>4.6691381903159304</v>
          </cell>
          <cell r="T9">
            <v>5.8275002585885893</v>
          </cell>
          <cell r="U9">
            <v>6.3893466122555971</v>
          </cell>
          <cell r="V9">
            <v>5.2981486797665625</v>
          </cell>
          <cell r="W9">
            <v>2.9714149570392223</v>
          </cell>
          <cell r="FZ9">
            <v>5</v>
          </cell>
          <cell r="GA9">
            <v>127.79073843749998</v>
          </cell>
          <cell r="GB9">
            <v>0.2</v>
          </cell>
        </row>
        <row r="10">
          <cell r="N10">
            <v>28.727220464773662</v>
          </cell>
          <cell r="O10">
            <v>35.787309596867416</v>
          </cell>
          <cell r="P10">
            <v>39.195606953575002</v>
          </cell>
          <cell r="Q10">
            <v>31.878971252634962</v>
          </cell>
          <cell r="R10">
            <v>17.200235901845417</v>
          </cell>
          <cell r="S10">
            <v>5.0042584052953565</v>
          </cell>
          <cell r="T10">
            <v>6.348145114187858</v>
          </cell>
          <cell r="U10">
            <v>7.039028738638855</v>
          </cell>
          <cell r="V10">
            <v>5.6754640798982869</v>
          </cell>
          <cell r="W10">
            <v>2.9484601579872187</v>
          </cell>
          <cell r="FZ10">
            <v>6</v>
          </cell>
          <cell r="GA10">
            <v>143.76458074218749</v>
          </cell>
          <cell r="GB10">
            <v>0.2</v>
          </cell>
        </row>
        <row r="11">
          <cell r="N11">
            <v>34.090651823243419</v>
          </cell>
          <cell r="O11">
            <v>42.270259067554726</v>
          </cell>
          <cell r="P11">
            <v>46.0009621388201</v>
          </cell>
          <cell r="Q11">
            <v>37.281240393448371</v>
          </cell>
          <cell r="R11">
            <v>20.167288517504215</v>
          </cell>
          <cell r="S11">
            <v>5.3634313584697573</v>
          </cell>
          <cell r="T11">
            <v>6.4829494706873092</v>
          </cell>
          <cell r="U11">
            <v>6.805355185245098</v>
          </cell>
          <cell r="V11">
            <v>5.4022691408134094</v>
          </cell>
          <cell r="W11">
            <v>2.9670526156587975</v>
          </cell>
          <cell r="FZ11">
            <v>7</v>
          </cell>
          <cell r="GA11">
            <v>158.14103881640625</v>
          </cell>
          <cell r="GB11">
            <v>0.2</v>
          </cell>
        </row>
        <row r="12">
          <cell r="N12">
            <v>39.839035221386283</v>
          </cell>
          <cell r="O12">
            <v>49.380484156908295</v>
          </cell>
          <cell r="P12">
            <v>53.946817052663931</v>
          </cell>
          <cell r="Q12">
            <v>44.049328391500353</v>
          </cell>
          <cell r="R12">
            <v>23.889044437512744</v>
          </cell>
          <cell r="S12">
            <v>5.7483833981428631</v>
          </cell>
          <cell r="T12">
            <v>7.1102250893535697</v>
          </cell>
          <cell r="U12">
            <v>7.9458549138438315</v>
          </cell>
          <cell r="V12">
            <v>6.7680879980519819</v>
          </cell>
          <cell r="W12">
            <v>3.7217559200085297</v>
          </cell>
          <cell r="FZ12">
            <v>8</v>
          </cell>
          <cell r="GA12">
            <v>170.0016167276367</v>
          </cell>
          <cell r="GB12">
            <v>0.2</v>
          </cell>
        </row>
        <row r="13">
          <cell r="N13">
            <v>46</v>
          </cell>
          <cell r="O13">
            <v>57.271599999999999</v>
          </cell>
          <cell r="P13">
            <v>62.744500000000002</v>
          </cell>
          <cell r="Q13">
            <v>51.479400000000005</v>
          </cell>
          <cell r="R13">
            <v>28.139600000000002</v>
          </cell>
          <cell r="S13">
            <v>6.1609647786137174</v>
          </cell>
          <cell r="T13">
            <v>7.8911158430917041</v>
          </cell>
          <cell r="U13">
            <v>8.7976829473360709</v>
          </cell>
          <cell r="V13">
            <v>7.4300716084996523</v>
          </cell>
          <cell r="W13">
            <v>4.2505555624872571</v>
          </cell>
          <cell r="FZ13">
            <v>9</v>
          </cell>
          <cell r="GA13">
            <v>178.50169756401854</v>
          </cell>
          <cell r="GB13">
            <v>0.2</v>
          </cell>
        </row>
        <row r="14">
          <cell r="N14">
            <v>52.603158553338972</v>
          </cell>
          <cell r="O14">
            <v>65.684306183936783</v>
          </cell>
          <cell r="P14">
            <v>72.302812722179397</v>
          </cell>
          <cell r="Q14">
            <v>59.304915307726851</v>
          </cell>
          <cell r="R14">
            <v>32.720765585871938</v>
          </cell>
          <cell r="S14">
            <v>6.6031585533389716</v>
          </cell>
          <cell r="T14">
            <v>8.412706183936784</v>
          </cell>
          <cell r="U14">
            <v>9.5583127221793944</v>
          </cell>
          <cell r="V14">
            <v>7.825515307726846</v>
          </cell>
          <cell r="W14">
            <v>4.5811655858719362</v>
          </cell>
          <cell r="FZ14">
            <v>10</v>
          </cell>
          <cell r="GA14">
            <v>187.42678244221949</v>
          </cell>
          <cell r="GB14">
            <v>0.2</v>
          </cell>
        </row>
        <row r="15">
          <cell r="N15">
            <v>59.680248659727226</v>
          </cell>
          <cell r="O15">
            <v>74.54737703889127</v>
          </cell>
          <cell r="P15">
            <v>82.431656845525254</v>
          </cell>
          <cell r="Q15">
            <v>68.205701920440248</v>
          </cell>
          <cell r="R15">
            <v>37.657458466261879</v>
          </cell>
          <cell r="S15">
            <v>7.0770901063882548</v>
          </cell>
          <cell r="T15">
            <v>8.8630708549544863</v>
          </cell>
          <cell r="U15">
            <v>10.128844123345857</v>
          </cell>
          <cell r="V15">
            <v>8.9007866127133966</v>
          </cell>
          <cell r="W15">
            <v>4.9366928803899413</v>
          </cell>
          <cell r="AD15">
            <v>0.3</v>
          </cell>
          <cell r="AE15">
            <v>0.5</v>
          </cell>
          <cell r="AF15">
            <v>1.6666666666666667</v>
          </cell>
          <cell r="FZ15">
            <v>11</v>
          </cell>
          <cell r="GA15">
            <v>196.79812156433047</v>
          </cell>
          <cell r="GB15">
            <v>0.2</v>
          </cell>
        </row>
        <row r="16">
          <cell r="N16">
            <v>67.265286027732301</v>
          </cell>
          <cell r="O16">
            <v>84.609786258865753</v>
          </cell>
          <cell r="P16">
            <v>93.680071393057432</v>
          </cell>
          <cell r="Q16">
            <v>77.82315758531557</v>
          </cell>
          <cell r="R16">
            <v>43.121288981373802</v>
          </cell>
          <cell r="S16">
            <v>7.5850373680050751</v>
          </cell>
          <cell r="T16">
            <v>10.062409219974484</v>
          </cell>
          <cell r="U16">
            <v>11.248414547532178</v>
          </cell>
          <cell r="V16">
            <v>9.6174556648753224</v>
          </cell>
          <cell r="W16">
            <v>5.4638305151119226</v>
          </cell>
          <cell r="AD16">
            <v>0.2</v>
          </cell>
          <cell r="AE16">
            <v>0.2</v>
          </cell>
          <cell r="AF16">
            <v>1</v>
          </cell>
          <cell r="FZ16">
            <v>12</v>
          </cell>
          <cell r="GA16">
            <v>206.638027642547</v>
          </cell>
          <cell r="GB16">
            <v>0.2</v>
          </cell>
        </row>
        <row r="17">
          <cell r="N17">
            <v>75.394727791106263</v>
          </cell>
          <cell r="O17">
            <v>94.714626787577259</v>
          </cell>
          <cell r="P17">
            <v>105.06156976741366</v>
          </cell>
          <cell r="Q17">
            <v>87.144176609439413</v>
          </cell>
          <cell r="R17">
            <v>48.214600619248152</v>
          </cell>
          <cell r="S17">
            <v>8.1294417633739613</v>
          </cell>
          <cell r="T17">
            <v>10.104840528711506</v>
          </cell>
          <cell r="U17">
            <v>11.381498374356227</v>
          </cell>
          <cell r="V17">
            <v>9.3210190241238422</v>
          </cell>
          <cell r="W17">
            <v>5.0933116378743506</v>
          </cell>
          <cell r="FZ17">
            <v>13</v>
          </cell>
          <cell r="GA17">
            <v>216.96992902467437</v>
          </cell>
          <cell r="GB17">
            <v>0.2</v>
          </cell>
        </row>
        <row r="18">
          <cell r="N18">
            <v>84.107647738324729</v>
          </cell>
          <cell r="O18">
            <v>105.81948847383583</v>
          </cell>
          <cell r="P18">
            <v>117.65215461163081</v>
          </cell>
          <cell r="Q18">
            <v>97.742228807557069</v>
          </cell>
          <cell r="R18">
            <v>54.294960626625631</v>
          </cell>
          <cell r="S18">
            <v>8.7129199472184666</v>
          </cell>
          <cell r="T18">
            <v>11.104861686258573</v>
          </cell>
          <cell r="U18">
            <v>12.590584844217148</v>
          </cell>
          <cell r="V18">
            <v>10.598052198117657</v>
          </cell>
          <cell r="W18">
            <v>6.0803600073774788</v>
          </cell>
          <cell r="FZ18">
            <v>14</v>
          </cell>
          <cell r="GA18">
            <v>227.8184254759081</v>
          </cell>
          <cell r="GB18">
            <v>0.2</v>
          </cell>
        </row>
        <row r="19">
          <cell r="N19">
            <v>93.445924118956611</v>
          </cell>
          <cell r="O19">
            <v>117.82698143815891</v>
          </cell>
          <cell r="P19">
            <v>131.02906222634775</v>
          </cell>
          <cell r="Q19">
            <v>109.36850015888693</v>
          </cell>
          <cell r="R19">
            <v>61.243849237624261</v>
          </cell>
          <cell r="S19">
            <v>9.338276380631882</v>
          </cell>
          <cell r="T19">
            <v>12.007492964323077</v>
          </cell>
          <cell r="U19">
            <v>13.376907614716941</v>
          </cell>
          <cell r="V19">
            <v>11.626271351329862</v>
          </cell>
          <cell r="W19">
            <v>6.9488886109986296</v>
          </cell>
          <cell r="AD19"/>
          <cell r="AE19"/>
          <cell r="AF19"/>
          <cell r="FZ19">
            <v>15</v>
          </cell>
          <cell r="GA19">
            <v>239.20934674970351</v>
          </cell>
          <cell r="GB19">
            <v>0.2</v>
          </cell>
        </row>
        <row r="20">
          <cell r="N20">
            <v>103.45444092954733</v>
          </cell>
          <cell r="O20">
            <v>130.20573524530138</v>
          </cell>
          <cell r="P20">
            <v>144.73546167193922</v>
          </cell>
          <cell r="Q20">
            <v>120.9434141686873</v>
          </cell>
          <cell r="R20">
            <v>67.270575511562512</v>
          </cell>
          <cell r="S20">
            <v>10.00851681059072</v>
          </cell>
          <cell r="T20">
            <v>12.378753807142473</v>
          </cell>
          <cell r="U20">
            <v>13.706399445591472</v>
          </cell>
          <cell r="V20">
            <v>11.574914009800366</v>
          </cell>
          <cell r="W20">
            <v>6.0267262739382517</v>
          </cell>
          <cell r="AD20">
            <v>0</v>
          </cell>
          <cell r="AE20">
            <v>0</v>
          </cell>
          <cell r="AF20" t="e">
            <v>#DIV/0!</v>
          </cell>
          <cell r="FZ20">
            <v>16</v>
          </cell>
          <cell r="GA20">
            <v>251.16981408718871</v>
          </cell>
          <cell r="GB20">
            <v>0.2</v>
          </cell>
        </row>
        <row r="21">
          <cell r="N21">
            <v>114.18130364648684</v>
          </cell>
          <cell r="O21">
            <v>144.15538517504154</v>
          </cell>
          <cell r="P21">
            <v>160.98496467185777</v>
          </cell>
          <cell r="Q21">
            <v>134.58302040586085</v>
          </cell>
          <cell r="R21">
            <v>74.731415016400319</v>
          </cell>
          <cell r="S21">
            <v>10.726862716939507</v>
          </cell>
          <cell r="T21">
            <v>13.949649929740161</v>
          </cell>
          <cell r="U21">
            <v>16.249502999918548</v>
          </cell>
          <cell r="V21">
            <v>13.639606237173552</v>
          </cell>
          <cell r="W21">
            <v>7.4608395048378071</v>
          </cell>
          <cell r="AD21">
            <v>0.1</v>
          </cell>
          <cell r="AE21">
            <v>0.1</v>
          </cell>
          <cell r="AF21">
            <v>1</v>
          </cell>
          <cell r="FZ21">
            <v>17</v>
          </cell>
          <cell r="GA21">
            <v>263.72830479154817</v>
          </cell>
          <cell r="GB21">
            <v>0.2</v>
          </cell>
        </row>
        <row r="22">
          <cell r="N22">
            <v>125.67807044277257</v>
          </cell>
          <cell r="O22">
            <v>159.01800361247061</v>
          </cell>
          <cell r="P22">
            <v>177.54240476934203</v>
          </cell>
          <cell r="Q22">
            <v>148.27471429518647</v>
          </cell>
          <cell r="R22">
            <v>82.678138280367776</v>
          </cell>
          <cell r="S22">
            <v>11.496766796285726</v>
          </cell>
          <cell r="T22">
            <v>14.862618437429063</v>
          </cell>
          <cell r="U22">
            <v>16.55744009748426</v>
          </cell>
          <cell r="V22">
            <v>13.69169388932562</v>
          </cell>
          <cell r="W22">
            <v>7.9467232639674563</v>
          </cell>
          <cell r="AD22">
            <v>0</v>
          </cell>
          <cell r="AE22">
            <v>0</v>
          </cell>
          <cell r="AF22" t="e">
            <v>#DIV/0!</v>
          </cell>
          <cell r="FZ22">
            <v>18</v>
          </cell>
          <cell r="GA22">
            <v>276.91472003112557</v>
          </cell>
          <cell r="GB22">
            <v>0.2</v>
          </cell>
        </row>
        <row r="23">
          <cell r="N23">
            <v>138</v>
          </cell>
          <cell r="O23">
            <v>174.4479</v>
          </cell>
          <cell r="P23">
            <v>194.48519999999999</v>
          </cell>
          <cell r="Q23">
            <v>162.75029999999998</v>
          </cell>
          <cell r="R23">
            <v>90.6297</v>
          </cell>
          <cell r="S23">
            <v>12.321929557227435</v>
          </cell>
          <cell r="T23">
            <v>15.429896387529396</v>
          </cell>
          <cell r="U23">
            <v>16.942795230657964</v>
          </cell>
          <cell r="V23">
            <v>14.475585704813511</v>
          </cell>
          <cell r="W23">
            <v>7.9515617196322239</v>
          </cell>
          <cell r="AD23">
            <v>0.2</v>
          </cell>
          <cell r="AE23">
            <v>0.2</v>
          </cell>
          <cell r="AF23">
            <v>1</v>
          </cell>
          <cell r="FZ23">
            <v>19</v>
          </cell>
          <cell r="GA23">
            <v>290.76045603268187</v>
          </cell>
          <cell r="GB23">
            <v>0.2</v>
          </cell>
        </row>
        <row r="24">
          <cell r="N24">
            <v>151.20631710667794</v>
          </cell>
          <cell r="O24">
            <v>191.07613583385876</v>
          </cell>
          <cell r="P24">
            <v>213.54572326529612</v>
          </cell>
          <cell r="Q24">
            <v>178.86688314626454</v>
          </cell>
          <cell r="R24">
            <v>100.08148903660003</v>
          </cell>
          <cell r="S24">
            <v>13.206317106677943</v>
          </cell>
          <cell r="T24">
            <v>16.628235833858753</v>
          </cell>
          <cell r="U24">
            <v>19.060523265296126</v>
          </cell>
          <cell r="V24">
            <v>16.11658314626456</v>
          </cell>
          <cell r="W24">
            <v>9.451789036600033</v>
          </cell>
          <cell r="AD24">
            <v>1</v>
          </cell>
          <cell r="AE24"/>
          <cell r="AF24"/>
          <cell r="FZ24">
            <v>20</v>
          </cell>
          <cell r="GA24">
            <v>305.29847883431597</v>
          </cell>
          <cell r="GB24">
            <v>0.2</v>
          </cell>
        </row>
        <row r="25">
          <cell r="N25">
            <v>165.36049731945442</v>
          </cell>
          <cell r="O25">
            <v>209.32374240788337</v>
          </cell>
          <cell r="P25">
            <v>234.3204979331129</v>
          </cell>
          <cell r="Q25">
            <v>196.49895740273368</v>
          </cell>
          <cell r="R25">
            <v>110.07940462753481</v>
          </cell>
          <cell r="S25">
            <v>14.154180212776481</v>
          </cell>
          <cell r="T25">
            <v>18.247606574024616</v>
          </cell>
          <cell r="U25">
            <v>20.774774667816786</v>
          </cell>
          <cell r="V25">
            <v>17.632074256469139</v>
          </cell>
          <cell r="W25">
            <v>9.997915590934781</v>
          </cell>
          <cell r="FZ25">
            <v>21</v>
          </cell>
          <cell r="GA25">
            <v>320.56340277603181</v>
          </cell>
          <cell r="GB25">
            <v>0.2</v>
          </cell>
        </row>
        <row r="26">
          <cell r="N26">
            <v>180.53057205546457</v>
          </cell>
          <cell r="O26">
            <v>228.34291669105832</v>
          </cell>
          <cell r="P26">
            <v>255.38835867379359</v>
          </cell>
          <cell r="Q26">
            <v>214.20227094816607</v>
          </cell>
          <cell r="R26">
            <v>119.57167719657959</v>
          </cell>
          <cell r="S26">
            <v>15.17007473601015</v>
          </cell>
          <cell r="T26">
            <v>19.019174283174948</v>
          </cell>
          <cell r="U26">
            <v>21.067860740680686</v>
          </cell>
          <cell r="V26">
            <v>17.703313545432394</v>
          </cell>
          <cell r="W26">
            <v>9.492272569044772</v>
          </cell>
          <cell r="FZ26">
            <v>22</v>
          </cell>
          <cell r="GA26">
            <v>336.59157291483342</v>
          </cell>
          <cell r="GB26">
            <v>0.2</v>
          </cell>
        </row>
        <row r="27">
          <cell r="N27">
            <v>196.78945558221253</v>
          </cell>
          <cell r="O27">
            <v>249.3378016637993</v>
          </cell>
          <cell r="P27">
            <v>279.36231114450891</v>
          </cell>
          <cell r="Q27">
            <v>234.24276701115065</v>
          </cell>
          <cell r="R27">
            <v>130.73707481604291</v>
          </cell>
          <cell r="S27">
            <v>16.258883526747951</v>
          </cell>
          <cell r="T27">
            <v>20.994884972740977</v>
          </cell>
          <cell r="U27">
            <v>23.973952470715318</v>
          </cell>
          <cell r="V27">
            <v>20.040496062984573</v>
          </cell>
          <cell r="W27">
            <v>11.16539761946332</v>
          </cell>
          <cell r="FZ27">
            <v>23</v>
          </cell>
          <cell r="GA27">
            <v>353.42115156057508</v>
          </cell>
          <cell r="GB27">
            <v>0.2</v>
          </cell>
        </row>
        <row r="28">
          <cell r="N28">
            <v>214.21529547664952</v>
          </cell>
          <cell r="O28">
            <v>271.6352397437405</v>
          </cell>
          <cell r="P28">
            <v>304.3542977006739</v>
          </cell>
          <cell r="Q28">
            <v>255.27291665272404</v>
          </cell>
          <cell r="R28">
            <v>142.17003475360278</v>
          </cell>
          <cell r="S28">
            <v>17.42583989443699</v>
          </cell>
          <cell r="T28">
            <v>22.297438079941202</v>
          </cell>
          <cell r="U28">
            <v>24.991986556164989</v>
          </cell>
          <cell r="V28">
            <v>21.030149641573388</v>
          </cell>
          <cell r="W28">
            <v>11.432959937559872</v>
          </cell>
          <cell r="FZ28">
            <v>24</v>
          </cell>
          <cell r="GA28">
            <v>371.09220913860383</v>
          </cell>
          <cell r="GB28">
            <v>0.2</v>
          </cell>
        </row>
        <row r="29">
          <cell r="N29">
            <v>232.89184823791322</v>
          </cell>
          <cell r="O29">
            <v>295.38584427942419</v>
          </cell>
          <cell r="P29">
            <v>330.98184442270946</v>
          </cell>
          <cell r="Q29">
            <v>277.21622982385412</v>
          </cell>
          <cell r="R29">
            <v>154.46096176415654</v>
          </cell>
          <cell r="S29">
            <v>18.676552761263707</v>
          </cell>
          <cell r="T29">
            <v>23.750604535683692</v>
          </cell>
          <cell r="U29">
            <v>26.627546722035561</v>
          </cell>
          <cell r="V29">
            <v>21.943313171130086</v>
          </cell>
          <cell r="W29">
            <v>12.290927010553759</v>
          </cell>
          <cell r="FZ29">
            <v>25</v>
          </cell>
          <cell r="GA29">
            <v>389.64681959553405</v>
          </cell>
          <cell r="GB29">
            <v>0.2</v>
          </cell>
        </row>
        <row r="30">
          <cell r="N30">
            <v>252.90888185909469</v>
          </cell>
          <cell r="O30">
            <v>320.81106802484203</v>
          </cell>
          <cell r="P30">
            <v>359.37967250835402</v>
          </cell>
          <cell r="Q30">
            <v>300.81642170621222</v>
          </cell>
          <cell r="R30">
            <v>167.79349727325055</v>
          </cell>
          <cell r="S30">
            <v>20.017033621181469</v>
          </cell>
          <cell r="T30">
            <v>25.425223745417838</v>
          </cell>
          <cell r="U30">
            <v>28.397828085644562</v>
          </cell>
          <cell r="V30">
            <v>23.600191882358104</v>
          </cell>
          <cell r="W30">
            <v>13.332535509094015</v>
          </cell>
          <cell r="FZ30">
            <v>26</v>
          </cell>
          <cell r="GA30">
            <v>409.12916057531078</v>
          </cell>
          <cell r="GB30">
            <v>0.2</v>
          </cell>
        </row>
        <row r="31">
          <cell r="N31">
            <v>274.36260729297362</v>
          </cell>
          <cell r="O31">
            <v>347.82498471701922</v>
          </cell>
          <cell r="P31">
            <v>389.05094866504174</v>
          </cell>
          <cell r="Q31">
            <v>326.02687556759241</v>
          </cell>
          <cell r="R31">
            <v>182.70283171999623</v>
          </cell>
          <cell r="S31">
            <v>21.45372543387893</v>
          </cell>
          <cell r="T31">
            <v>27.01391669217719</v>
          </cell>
          <cell r="U31">
            <v>29.671276156687725</v>
          </cell>
          <cell r="V31">
            <v>25.210453861380188</v>
          </cell>
          <cell r="W31">
            <v>14.909334446745675</v>
          </cell>
          <cell r="FZ31">
            <v>27</v>
          </cell>
          <cell r="GA31">
            <v>429.58561860407633</v>
          </cell>
          <cell r="GB31">
            <v>0.2</v>
          </cell>
        </row>
        <row r="32">
          <cell r="N32">
            <v>297.35614088554507</v>
          </cell>
          <cell r="O32">
            <v>377.36498200194677</v>
          </cell>
          <cell r="P32">
            <v>423.24444883501349</v>
          </cell>
          <cell r="Q32">
            <v>355.68060864106502</v>
          </cell>
          <cell r="R32">
            <v>199.4794278338882</v>
          </cell>
          <cell r="S32">
            <v>22.993533592571453</v>
          </cell>
          <cell r="T32">
            <v>29.539997284927551</v>
          </cell>
          <cell r="U32">
            <v>34.193500169971742</v>
          </cell>
          <cell r="V32">
            <v>29.653733073472608</v>
          </cell>
          <cell r="W32">
            <v>16.776596113891969</v>
          </cell>
          <cell r="FZ32">
            <v>28</v>
          </cell>
          <cell r="GA32">
            <v>451.06489953428019</v>
          </cell>
          <cell r="GB32">
            <v>0.2</v>
          </cell>
        </row>
        <row r="33">
          <cell r="N33">
            <v>322</v>
          </cell>
          <cell r="O33">
            <v>408.87419999999997</v>
          </cell>
          <cell r="P33">
            <v>458.83110000000005</v>
          </cell>
          <cell r="Q33">
            <v>385.51869999999997</v>
          </cell>
          <cell r="R33">
            <v>216.37209999999999</v>
          </cell>
          <cell r="S33">
            <v>24.643859114454926</v>
          </cell>
          <cell r="T33">
            <v>31.509217998053202</v>
          </cell>
          <cell r="U33">
            <v>35.586651164986563</v>
          </cell>
          <cell r="V33">
            <v>29.838091358934946</v>
          </cell>
          <cell r="W33">
            <v>16.892672166111794</v>
          </cell>
          <cell r="FZ33">
            <v>29</v>
          </cell>
          <cell r="GA33">
            <v>473.61814451099423</v>
          </cell>
          <cell r="GB33">
            <v>0.2</v>
          </cell>
        </row>
        <row r="34">
          <cell r="N34">
            <v>348.41263421335577</v>
          </cell>
          <cell r="O34">
            <v>442.97106572009051</v>
          </cell>
          <cell r="P34">
            <v>497.15680452796772</v>
          </cell>
          <cell r="Q34">
            <v>417.37561322449938</v>
          </cell>
          <cell r="R34">
            <v>234.66651300547557</v>
          </cell>
          <cell r="S34">
            <v>26.412634213355773</v>
          </cell>
          <cell r="T34">
            <v>34.096865720090534</v>
          </cell>
          <cell r="U34">
            <v>38.325704527967673</v>
          </cell>
          <cell r="V34">
            <v>31.856913224499408</v>
          </cell>
          <cell r="W34">
            <v>18.294413005475576</v>
          </cell>
          <cell r="FZ34">
            <v>30</v>
          </cell>
          <cell r="GA34">
            <v>497.29905173654396</v>
          </cell>
          <cell r="GB34">
            <v>0.2</v>
          </cell>
        </row>
        <row r="35">
          <cell r="N35">
            <v>376.72099463890885</v>
          </cell>
          <cell r="O35">
            <v>479.18173455253606</v>
          </cell>
          <cell r="P35">
            <v>537.4760326381712</v>
          </cell>
          <cell r="Q35">
            <v>451.70894653915161</v>
          </cell>
          <cell r="R35">
            <v>253.90176079978457</v>
          </cell>
          <cell r="S35">
            <v>28.308360425553076</v>
          </cell>
          <cell r="T35">
            <v>36.210668832445549</v>
          </cell>
          <cell r="U35">
            <v>40.319228110203483</v>
          </cell>
          <cell r="V35">
            <v>34.333333314652236</v>
          </cell>
          <cell r="W35">
            <v>19.235247794309004</v>
          </cell>
          <cell r="FZ35">
            <v>31</v>
          </cell>
          <cell r="GA35">
            <v>522.16400432337116</v>
          </cell>
          <cell r="GB35">
            <v>0.2</v>
          </cell>
        </row>
        <row r="36">
          <cell r="N36">
            <v>407.06114411092915</v>
          </cell>
          <cell r="O36">
            <v>516.70660293933065</v>
          </cell>
          <cell r="P36">
            <v>579.63560107228818</v>
          </cell>
          <cell r="Q36">
            <v>487.81499577829209</v>
          </cell>
          <cell r="R36">
            <v>274.25921567579985</v>
          </cell>
          <cell r="S36">
            <v>30.3401494720203</v>
          </cell>
          <cell r="T36">
            <v>37.524868386794594</v>
          </cell>
          <cell r="U36">
            <v>42.159568434116977</v>
          </cell>
          <cell r="V36">
            <v>36.106049239140475</v>
          </cell>
          <cell r="W36">
            <v>20.357454876015282</v>
          </cell>
          <cell r="FZ36">
            <v>32</v>
          </cell>
          <cell r="GA36">
            <v>548.27220453953976</v>
          </cell>
          <cell r="GB36">
            <v>0.2</v>
          </cell>
        </row>
        <row r="37">
          <cell r="N37">
            <v>439.57891116442499</v>
          </cell>
          <cell r="O37">
            <v>558.17539018392961</v>
          </cell>
          <cell r="P37">
            <v>627.15678862157131</v>
          </cell>
          <cell r="Q37">
            <v>528.26013406653317</v>
          </cell>
          <cell r="R37">
            <v>296.75876732077467</v>
          </cell>
          <cell r="S37">
            <v>32.517767053495845</v>
          </cell>
          <cell r="T37">
            <v>41.468787244598957</v>
          </cell>
          <cell r="U37">
            <v>47.521187549283127</v>
          </cell>
          <cell r="V37">
            <v>40.445138288241083</v>
          </cell>
          <cell r="W37">
            <v>22.499551644974815</v>
          </cell>
          <cell r="FZ37">
            <v>33</v>
          </cell>
          <cell r="GA37">
            <v>575.68581476651673</v>
          </cell>
          <cell r="GB37">
            <v>0.2</v>
          </cell>
        </row>
        <row r="38">
          <cell r="N38">
            <v>474.43059095329892</v>
          </cell>
          <cell r="O38">
            <v>603.32822566106074</v>
          </cell>
          <cell r="P38">
            <v>678.38211377902269</v>
          </cell>
          <cell r="Q38">
            <v>570.67399318242508</v>
          </cell>
          <cell r="R38">
            <v>320.39329177926174</v>
          </cell>
          <cell r="S38">
            <v>34.851679788873923</v>
          </cell>
          <cell r="T38">
            <v>45.152835477131134</v>
          </cell>
          <cell r="U38">
            <v>51.22532515745138</v>
          </cell>
          <cell r="V38">
            <v>42.41385911589191</v>
          </cell>
          <cell r="W38">
            <v>23.634524458487078</v>
          </cell>
          <cell r="FZ38">
            <v>34</v>
          </cell>
          <cell r="GA38">
            <v>604.47010550484254</v>
          </cell>
          <cell r="GB38">
            <v>0.2</v>
          </cell>
        </row>
        <row r="39">
          <cell r="N39">
            <v>511.78369647582645</v>
          </cell>
          <cell r="O39">
            <v>651.64973042965698</v>
          </cell>
          <cell r="P39">
            <v>731.69158798522301</v>
          </cell>
          <cell r="Q39">
            <v>614.91701190173114</v>
          </cell>
          <cell r="R39">
            <v>343.89973028645079</v>
          </cell>
          <cell r="S39">
            <v>37.353105522527528</v>
          </cell>
          <cell r="T39">
            <v>48.321504768596242</v>
          </cell>
          <cell r="U39">
            <v>53.309474206200321</v>
          </cell>
          <cell r="V39">
            <v>44.243018719306065</v>
          </cell>
          <cell r="W39">
            <v>23.506438507189046</v>
          </cell>
          <cell r="FZ39">
            <v>35</v>
          </cell>
          <cell r="GA39">
            <v>634.69361078008467</v>
          </cell>
          <cell r="GB39">
            <v>0.2</v>
          </cell>
        </row>
        <row r="40">
          <cell r="N40">
            <v>551.81776371818933</v>
          </cell>
          <cell r="O40">
            <v>702.3836397563656</v>
          </cell>
          <cell r="P40">
            <v>788.70953087090561</v>
          </cell>
          <cell r="Q40">
            <v>660.91813362444623</v>
          </cell>
          <cell r="R40">
            <v>370.80114395344231</v>
          </cell>
          <cell r="S40">
            <v>40.03406724236288</v>
          </cell>
          <cell r="T40">
            <v>50.733909326708613</v>
          </cell>
          <cell r="U40">
            <v>57.017942885682601</v>
          </cell>
          <cell r="V40">
            <v>46.001121722715084</v>
          </cell>
          <cell r="W40">
            <v>26.901413666991516</v>
          </cell>
          <cell r="FZ40">
            <v>36</v>
          </cell>
          <cell r="GA40">
            <v>666.42829131908888</v>
          </cell>
          <cell r="GB40">
            <v>0.2</v>
          </cell>
        </row>
        <row r="41">
          <cell r="N41">
            <v>594.72521458594724</v>
          </cell>
          <cell r="O41">
            <v>756.5654600455988</v>
          </cell>
          <cell r="P41">
            <v>848.03678381072007</v>
          </cell>
          <cell r="Q41">
            <v>710.3113529216273</v>
          </cell>
          <cell r="R41">
            <v>398.70119809661651</v>
          </cell>
          <cell r="S41">
            <v>42.907450867757916</v>
          </cell>
          <cell r="T41">
            <v>54.181820289233201</v>
          </cell>
          <cell r="U41">
            <v>59.327252939814457</v>
          </cell>
          <cell r="V41">
            <v>49.393219297181076</v>
          </cell>
          <cell r="W41">
            <v>27.900054143174202</v>
          </cell>
          <cell r="FZ41">
            <v>37</v>
          </cell>
          <cell r="GA41">
            <v>699.74970588504334</v>
          </cell>
          <cell r="GB41">
            <v>0.2</v>
          </cell>
        </row>
        <row r="42">
          <cell r="N42">
            <v>640.71228177109015</v>
          </cell>
          <cell r="O42">
            <v>813.85363309743559</v>
          </cell>
          <cell r="P42">
            <v>911.45639925575597</v>
          </cell>
          <cell r="Q42">
            <v>764.23185972705107</v>
          </cell>
          <cell r="R42">
            <v>429.53072799376594</v>
          </cell>
          <cell r="S42">
            <v>45.987067185142905</v>
          </cell>
          <cell r="T42">
            <v>57.288173051836793</v>
          </cell>
          <cell r="U42">
            <v>63.419615445035902</v>
          </cell>
          <cell r="V42">
            <v>53.92050680542377</v>
          </cell>
          <cell r="W42">
            <v>30.829529897149428</v>
          </cell>
          <cell r="FZ42">
            <v>38</v>
          </cell>
          <cell r="GA42">
            <v>734.73719117929556</v>
          </cell>
          <cell r="GB42">
            <v>0.2</v>
          </cell>
        </row>
        <row r="43">
          <cell r="N43">
            <v>690</v>
          </cell>
          <cell r="O43">
            <v>874.95300000000009</v>
          </cell>
          <cell r="P43">
            <v>981.16200000000003</v>
          </cell>
          <cell r="Q43">
            <v>824.10299999999995</v>
          </cell>
          <cell r="R43">
            <v>463.5</v>
          </cell>
          <cell r="S43">
            <v>49.287718228909853</v>
          </cell>
          <cell r="T43">
            <v>61.099366902564498</v>
          </cell>
          <cell r="U43">
            <v>69.705600744244066</v>
          </cell>
          <cell r="V43">
            <v>59.871140272948878</v>
          </cell>
          <cell r="W43">
            <v>33.969272006234064</v>
          </cell>
          <cell r="FZ43">
            <v>39</v>
          </cell>
          <cell r="GA43">
            <v>771.47405073826042</v>
          </cell>
          <cell r="GB43">
            <v>0.2</v>
          </cell>
        </row>
        <row r="44">
          <cell r="N44">
            <v>742.82526842671143</v>
          </cell>
          <cell r="O44">
            <v>942.37074325168692</v>
          </cell>
          <cell r="P44">
            <v>1057.6007055976104</v>
          </cell>
          <cell r="Q44">
            <v>888.85825684924259</v>
          </cell>
          <cell r="R44">
            <v>500.64808254420291</v>
          </cell>
          <cell r="S44">
            <v>52.825268426711432</v>
          </cell>
          <cell r="T44">
            <v>67.417743251686829</v>
          </cell>
          <cell r="U44">
            <v>76.438705597610351</v>
          </cell>
          <cell r="V44">
            <v>64.755256849242642</v>
          </cell>
          <cell r="W44">
            <v>37.148082544202907</v>
          </cell>
          <cell r="FZ44">
            <v>40</v>
          </cell>
          <cell r="GA44">
            <v>810.04775327517348</v>
          </cell>
          <cell r="GB44">
            <v>0.2</v>
          </cell>
        </row>
        <row r="45">
          <cell r="N45">
            <v>799.4419892778177</v>
          </cell>
          <cell r="O45">
            <v>1017.2238904960392</v>
          </cell>
          <cell r="P45">
            <v>1141.846469120243</v>
          </cell>
          <cell r="Q45">
            <v>960.18544247843488</v>
          </cell>
          <cell r="R45">
            <v>540.59657648860423</v>
          </cell>
          <cell r="S45">
            <v>56.616720851106265</v>
          </cell>
          <cell r="T45">
            <v>74.853147244352272</v>
          </cell>
          <cell r="U45">
            <v>84.245763522632615</v>
          </cell>
          <cell r="V45">
            <v>71.327185629192286</v>
          </cell>
          <cell r="W45">
            <v>39.948493944401321</v>
          </cell>
          <cell r="FZ45">
            <v>41</v>
          </cell>
          <cell r="GA45">
            <v>842.44966340618043</v>
          </cell>
          <cell r="GB45">
            <v>0.2</v>
          </cell>
        </row>
        <row r="46">
          <cell r="N46">
            <v>860.12228822185841</v>
          </cell>
          <cell r="O46">
            <v>1094.6851155442046</v>
          </cell>
          <cell r="P46">
            <v>1229.3671770623182</v>
          </cell>
          <cell r="Q46">
            <v>1032.1037397518191</v>
          </cell>
          <cell r="R46">
            <v>580.8592795468345</v>
          </cell>
          <cell r="S46">
            <v>60.680298944040715</v>
          </cell>
          <cell r="T46">
            <v>77.461225048165375</v>
          </cell>
          <cell r="U46">
            <v>87.520707942075205</v>
          </cell>
          <cell r="V46">
            <v>71.918297273384269</v>
          </cell>
          <cell r="W46">
            <v>40.262703058230272</v>
          </cell>
          <cell r="FZ46">
            <v>42</v>
          </cell>
          <cell r="GA46">
            <v>867.72315330836591</v>
          </cell>
          <cell r="GB46">
            <v>0.2</v>
          </cell>
        </row>
        <row r="47">
          <cell r="N47">
            <v>925.1578223288501</v>
          </cell>
          <cell r="O47">
            <v>1177.4564053285565</v>
          </cell>
          <cell r="P47">
            <v>1321.4069400576111</v>
          </cell>
          <cell r="Q47">
            <v>1109.1073543850268</v>
          </cell>
          <cell r="R47">
            <v>623.53626012307257</v>
          </cell>
          <cell r="S47">
            <v>65.03553410699169</v>
          </cell>
          <cell r="T47">
            <v>82.771289784351893</v>
          </cell>
          <cell r="U47">
            <v>92.039762995292904</v>
          </cell>
          <cell r="V47">
            <v>77.00361463320769</v>
          </cell>
          <cell r="W47">
            <v>42.676980576238066</v>
          </cell>
          <cell r="FZ47">
            <v>43</v>
          </cell>
          <cell r="GA47">
            <v>885.07761637453325</v>
          </cell>
          <cell r="GB47">
            <v>0.2</v>
          </cell>
        </row>
        <row r="48">
          <cell r="N48">
            <v>994.86118190659784</v>
          </cell>
          <cell r="O48">
            <v>1266.3133808732127</v>
          </cell>
          <cell r="P48">
            <v>1419.9805041271859</v>
          </cell>
          <cell r="Q48">
            <v>1192.0015760681895</v>
          </cell>
          <cell r="R48">
            <v>669.40099721265346</v>
          </cell>
          <cell r="S48">
            <v>69.703359577747733</v>
          </cell>
          <cell r="T48">
            <v>88.856975544656279</v>
          </cell>
          <cell r="U48">
            <v>98.573564069574786</v>
          </cell>
          <cell r="V48">
            <v>82.894221683162641</v>
          </cell>
          <cell r="W48">
            <v>45.864737089580899</v>
          </cell>
          <cell r="FZ48">
            <v>44</v>
          </cell>
          <cell r="GA48">
            <v>902.77916870202398</v>
          </cell>
          <cell r="GB48">
            <v>0.2</v>
          </cell>
        </row>
        <row r="49">
          <cell r="N49">
            <v>1069.5673929516524</v>
          </cell>
          <cell r="O49">
            <v>1360.7803671478041</v>
          </cell>
          <cell r="P49">
            <v>1524.9171093287671</v>
          </cell>
          <cell r="Q49">
            <v>1279.8350418199216</v>
          </cell>
          <cell r="R49">
            <v>716.31485967129208</v>
          </cell>
          <cell r="S49">
            <v>74.706211045054602</v>
          </cell>
          <cell r="T49">
            <v>94.466986274591363</v>
          </cell>
          <cell r="U49">
            <v>104.93660520158119</v>
          </cell>
          <cell r="V49">
            <v>87.833465751732092</v>
          </cell>
          <cell r="W49">
            <v>46.913862458638619</v>
          </cell>
          <cell r="FZ49">
            <v>45</v>
          </cell>
          <cell r="GA49">
            <v>920.83475207606443</v>
          </cell>
          <cell r="GB49">
            <v>0.2</v>
          </cell>
        </row>
        <row r="50">
          <cell r="N50">
            <v>1149.6355274363787</v>
          </cell>
          <cell r="O50">
            <v>1462.1464511162799</v>
          </cell>
          <cell r="P50">
            <v>1637.7082921941562</v>
          </cell>
          <cell r="Q50">
            <v>1373.584528180985</v>
          </cell>
          <cell r="R50">
            <v>766.59196494058733</v>
          </cell>
          <cell r="S50">
            <v>80.068134484726215</v>
          </cell>
          <cell r="T50">
            <v>101.36608396847578</v>
          </cell>
          <cell r="U50">
            <v>112.79118286538915</v>
          </cell>
          <cell r="V50">
            <v>93.749486361063418</v>
          </cell>
          <cell r="W50">
            <v>50.277105269295248</v>
          </cell>
          <cell r="FZ50">
            <v>46</v>
          </cell>
          <cell r="GA50">
            <v>939.25144711758571</v>
          </cell>
          <cell r="GB50">
            <v>0.2</v>
          </cell>
        </row>
        <row r="51">
          <cell r="N51">
            <v>1235.4504291718947</v>
          </cell>
          <cell r="O51">
            <v>1569.4893676019494</v>
          </cell>
          <cell r="P51">
            <v>1758.9779200570902</v>
          </cell>
          <cell r="Q51">
            <v>1469.7536030643444</v>
          </cell>
          <cell r="R51">
            <v>819.941592223361</v>
          </cell>
          <cell r="S51">
            <v>85.814901735516059</v>
          </cell>
          <cell r="T51">
            <v>107.34291648566955</v>
          </cell>
          <cell r="U51">
            <v>121.26962786293393</v>
          </cell>
          <cell r="V51">
            <v>96.169074883359372</v>
          </cell>
          <cell r="W51">
            <v>53.349627282773668</v>
          </cell>
          <cell r="FZ51">
            <v>47</v>
          </cell>
          <cell r="GA51">
            <v>958.0364760599374</v>
          </cell>
          <cell r="GB51">
            <v>0.2</v>
          </cell>
        </row>
        <row r="52">
          <cell r="N52">
            <v>1327.4245635421805</v>
          </cell>
          <cell r="O52">
            <v>1686.1379661948713</v>
          </cell>
          <cell r="P52">
            <v>1885.4623072330214</v>
          </cell>
          <cell r="Q52">
            <v>1572.6316231897233</v>
          </cell>
          <cell r="R52">
            <v>880.3883704191951</v>
          </cell>
          <cell r="S52">
            <v>91.97413437028581</v>
          </cell>
          <cell r="T52">
            <v>116.64859859292187</v>
          </cell>
          <cell r="U52">
            <v>126.48438717593126</v>
          </cell>
          <cell r="V52">
            <v>102.87802012537895</v>
          </cell>
          <cell r="W52">
            <v>60.446778195834099</v>
          </cell>
          <cell r="FZ52">
            <v>48</v>
          </cell>
          <cell r="GA52">
            <v>977.19720558113613</v>
          </cell>
          <cell r="GB52">
            <v>0.2</v>
          </cell>
        </row>
        <row r="53">
          <cell r="N53">
            <v>1426</v>
          </cell>
          <cell r="O53">
            <v>1811.3516999999999</v>
          </cell>
          <cell r="P53">
            <v>2020.6823000000002</v>
          </cell>
          <cell r="Q53">
            <v>1687.8197999999998</v>
          </cell>
          <cell r="R53">
            <v>946.40519999999992</v>
          </cell>
          <cell r="S53">
            <v>98.575436457819478</v>
          </cell>
          <cell r="T53">
            <v>125.21373380512864</v>
          </cell>
          <cell r="U53">
            <v>135.21999276697875</v>
          </cell>
          <cell r="V53">
            <v>115.18817681027645</v>
          </cell>
          <cell r="W53">
            <v>66.016829580804824</v>
          </cell>
          <cell r="FZ53">
            <v>49</v>
          </cell>
          <cell r="GA53">
            <v>996.74114969275888</v>
          </cell>
          <cell r="GB53">
            <v>0.2</v>
          </cell>
        </row>
        <row r="54">
          <cell r="N54">
            <v>1531.6505368534229</v>
          </cell>
          <cell r="O54">
            <v>1938.1905454352827</v>
          </cell>
          <cell r="P54">
            <v>2164.3320878515306</v>
          </cell>
          <cell r="Q54">
            <v>1811.4964086368636</v>
          </cell>
          <cell r="R54">
            <v>1014.1224688260519</v>
          </cell>
          <cell r="S54">
            <v>105.65053685342286</v>
          </cell>
          <cell r="T54">
            <v>126.83884543528279</v>
          </cell>
          <cell r="U54">
            <v>143.64978785153039</v>
          </cell>
          <cell r="V54">
            <v>123.67660863686388</v>
          </cell>
          <cell r="W54">
            <v>67.717268826051964</v>
          </cell>
          <cell r="FZ54">
            <v>50</v>
          </cell>
          <cell r="GA54">
            <v>1016.675972686614</v>
          </cell>
          <cell r="GB54">
            <v>0.2</v>
          </cell>
        </row>
        <row r="55">
          <cell r="N55">
            <v>1644.8839785556356</v>
          </cell>
          <cell r="O55">
            <v>2082.4374201903788</v>
          </cell>
          <cell r="P55">
            <v>2330.1962815429533</v>
          </cell>
          <cell r="Q55">
            <v>1949.8383165103787</v>
          </cell>
          <cell r="R55">
            <v>1088.7272503975591</v>
          </cell>
          <cell r="S55">
            <v>113.23344170221276</v>
          </cell>
          <cell r="T55">
            <v>144.24687475509609</v>
          </cell>
          <cell r="U55">
            <v>165.86419369142277</v>
          </cell>
          <cell r="V55">
            <v>138.34190787351508</v>
          </cell>
          <cell r="W55">
            <v>74.60478157150726</v>
          </cell>
          <cell r="FZ55">
            <v>51</v>
          </cell>
          <cell r="GA55">
            <v>1037.0094921403463</v>
          </cell>
          <cell r="GB55">
            <v>0.2</v>
          </cell>
        </row>
        <row r="56">
          <cell r="N56">
            <v>1766.2445764437161</v>
          </cell>
          <cell r="O56">
            <v>2239.6825954973315</v>
          </cell>
          <cell r="P56">
            <v>2509.806665491662</v>
          </cell>
          <cell r="Q56">
            <v>2092.9076711948587</v>
          </cell>
          <cell r="R56">
            <v>1167.8677915794442</v>
          </cell>
          <cell r="S56">
            <v>121.36059788808052</v>
          </cell>
          <cell r="T56">
            <v>157.24517530695266</v>
          </cell>
          <cell r="U56">
            <v>179.61038394870866</v>
          </cell>
          <cell r="V56">
            <v>143.06935468448</v>
          </cell>
          <cell r="W56">
            <v>79.140541181885055</v>
          </cell>
          <cell r="FZ56">
            <v>52</v>
          </cell>
          <cell r="GA56">
            <v>1057.7496819831533</v>
          </cell>
          <cell r="GB56">
            <v>0.2</v>
          </cell>
        </row>
        <row r="57">
          <cell r="N57">
            <v>1896.3156446577002</v>
          </cell>
          <cell r="O57">
            <v>2408.4857657278585</v>
          </cell>
          <cell r="P57">
            <v>2689.3837042307518</v>
          </cell>
          <cell r="Q57">
            <v>2241.5151732157478</v>
          </cell>
          <cell r="R57">
            <v>1247.5036141140115</v>
          </cell>
          <cell r="S57">
            <v>130.07106821398406</v>
          </cell>
          <cell r="T57">
            <v>168.80317023052703</v>
          </cell>
          <cell r="U57">
            <v>179.57703873908986</v>
          </cell>
          <cell r="V57">
            <v>148.60750202088911</v>
          </cell>
          <cell r="W57">
            <v>79.635822534567296</v>
          </cell>
          <cell r="FZ57">
            <v>53</v>
          </cell>
          <cell r="GA57">
            <v>1078.9046756228165</v>
          </cell>
          <cell r="GB57">
            <v>0.2</v>
          </cell>
        </row>
        <row r="58">
          <cell r="N58">
            <v>2035.7223638131961</v>
          </cell>
          <cell r="O58">
            <v>2581.6898253376967</v>
          </cell>
          <cell r="P58">
            <v>2879.4407739457738</v>
          </cell>
          <cell r="Q58">
            <v>2398.0942210221438</v>
          </cell>
          <cell r="R58">
            <v>1333.2875112126535</v>
          </cell>
          <cell r="S58">
            <v>139.40671915549592</v>
          </cell>
          <cell r="T58">
            <v>173.20405960983817</v>
          </cell>
          <cell r="U58">
            <v>190.05706971502195</v>
          </cell>
          <cell r="V58">
            <v>156.57904780639592</v>
          </cell>
          <cell r="W58">
            <v>85.783897098642001</v>
          </cell>
          <cell r="FZ58">
            <v>54</v>
          </cell>
          <cell r="GA58">
            <v>1100.482769135273</v>
          </cell>
          <cell r="GB58">
            <v>0.2</v>
          </cell>
        </row>
        <row r="59">
          <cell r="N59">
            <v>2185.1347859033053</v>
          </cell>
          <cell r="O59">
            <v>2765.4448312300565</v>
          </cell>
          <cell r="P59">
            <v>3083.8617221732834</v>
          </cell>
          <cell r="Q59">
            <v>2565.7852656076611</v>
          </cell>
          <cell r="R59">
            <v>1425.2731652774821</v>
          </cell>
          <cell r="S59">
            <v>149.4124220901092</v>
          </cell>
          <cell r="T59">
            <v>183.7550058923598</v>
          </cell>
          <cell r="U59">
            <v>204.4209482275096</v>
          </cell>
          <cell r="V59">
            <v>167.69104458551737</v>
          </cell>
          <cell r="W59">
            <v>91.985654064828623</v>
          </cell>
          <cell r="FZ59">
            <v>55</v>
          </cell>
          <cell r="GA59">
            <v>1122.4924245179784</v>
          </cell>
          <cell r="GB59">
            <v>0.2</v>
          </cell>
        </row>
        <row r="60">
          <cell r="N60">
            <v>2345.2710548727578</v>
          </cell>
          <cell r="O60">
            <v>2968.7919553027004</v>
          </cell>
          <cell r="P60">
            <v>3304.7571323285597</v>
          </cell>
          <cell r="Q60">
            <v>2746.4653577160998</v>
          </cell>
          <cell r="R60">
            <v>1526.0474817443567</v>
          </cell>
          <cell r="S60">
            <v>160.13626896945243</v>
          </cell>
          <cell r="T60">
            <v>203.34712407264396</v>
          </cell>
          <cell r="U60">
            <v>220.89541015527629</v>
          </cell>
          <cell r="V60">
            <v>180.68009210843866</v>
          </cell>
          <cell r="W60">
            <v>100.77431646687455</v>
          </cell>
          <cell r="FZ60">
            <v>56</v>
          </cell>
          <cell r="GA60">
            <v>1144.9422730083379</v>
          </cell>
          <cell r="GB60">
            <v>0.2</v>
          </cell>
        </row>
        <row r="61">
          <cell r="N61">
            <v>2516.9008583437885</v>
          </cell>
          <cell r="O61">
            <v>3179.8197152899115</v>
          </cell>
          <cell r="P61">
            <v>3541.126305028768</v>
          </cell>
          <cell r="Q61">
            <v>2942.9465153781307</v>
          </cell>
          <cell r="R61">
            <v>1633.2169669792843</v>
          </cell>
          <cell r="S61">
            <v>171.62980347103075</v>
          </cell>
          <cell r="T61">
            <v>211.02775998721108</v>
          </cell>
          <cell r="U61">
            <v>236.36917270020831</v>
          </cell>
          <cell r="V61">
            <v>196.48115766203091</v>
          </cell>
          <cell r="W61">
            <v>107.16948523492761</v>
          </cell>
          <cell r="FZ61">
            <v>57</v>
          </cell>
          <cell r="GA61">
            <v>1167.8411184685046</v>
          </cell>
          <cell r="GB61">
            <v>0.2</v>
          </cell>
        </row>
        <row r="62">
          <cell r="N62">
            <v>2700.8491270843624</v>
          </cell>
          <cell r="O62">
            <v>3413.0043277850505</v>
          </cell>
          <cell r="P62">
            <v>3797.2588302242589</v>
          </cell>
          <cell r="Q62">
            <v>3152.5896292338052</v>
          </cell>
          <cell r="R62">
            <v>1751.3714878690009</v>
          </cell>
          <cell r="S62">
            <v>183.94826874057389</v>
          </cell>
          <cell r="T62">
            <v>233.18461249513894</v>
          </cell>
          <cell r="U62">
            <v>256.13252519549087</v>
          </cell>
          <cell r="V62">
            <v>209.64311385567453</v>
          </cell>
          <cell r="W62">
            <v>118.15452088971665</v>
          </cell>
          <cell r="FZ62">
            <v>58</v>
          </cell>
          <cell r="GA62">
            <v>1191.1979408378747</v>
          </cell>
          <cell r="GB62">
            <v>0.2</v>
          </cell>
        </row>
        <row r="63">
          <cell r="N63">
            <v>2898</v>
          </cell>
          <cell r="O63">
            <v>3657.4965000000002</v>
          </cell>
          <cell r="P63">
            <v>4069.2833999999998</v>
          </cell>
          <cell r="Q63">
            <v>3379.4712</v>
          </cell>
          <cell r="R63">
            <v>1882.4589000000003</v>
          </cell>
          <cell r="S63">
            <v>197.15087291563759</v>
          </cell>
          <cell r="T63">
            <v>244.49217221494973</v>
          </cell>
          <cell r="U63">
            <v>272.02456977574093</v>
          </cell>
          <cell r="V63">
            <v>226.88157076619473</v>
          </cell>
          <cell r="W63">
            <v>131.08741213099938</v>
          </cell>
          <cell r="FZ63">
            <v>59</v>
          </cell>
          <cell r="GA63">
            <v>1215.0218996546323</v>
          </cell>
          <cell r="GB63">
            <v>0.2</v>
          </cell>
        </row>
        <row r="64">
          <cell r="N64">
            <v>3109.3010737068457</v>
          </cell>
          <cell r="O64">
            <v>3925.9860381165895</v>
          </cell>
          <cell r="P64">
            <v>4365.9859367969093</v>
          </cell>
          <cell r="Q64">
            <v>3628.6625026184524</v>
          </cell>
          <cell r="R64">
            <v>2019.01789286138</v>
          </cell>
          <cell r="S64">
            <v>211.30107370684573</v>
          </cell>
          <cell r="T64">
            <v>268.4895381165893</v>
          </cell>
          <cell r="U64">
            <v>296.7025367969095</v>
          </cell>
          <cell r="V64">
            <v>249.19130261845248</v>
          </cell>
          <cell r="W64">
            <v>136.55899286137969</v>
          </cell>
          <cell r="FZ64">
            <v>60</v>
          </cell>
          <cell r="GA64">
            <v>1239.3223376477249</v>
          </cell>
          <cell r="GB64">
            <v>0.2</v>
          </cell>
        </row>
        <row r="65">
          <cell r="N65">
            <v>3335.7679571112699</v>
          </cell>
          <cell r="O65">
            <v>4210.4788321605647</v>
          </cell>
          <cell r="P65">
            <v>4687.2833516127894</v>
          </cell>
          <cell r="Q65">
            <v>3898.1856863497019</v>
          </cell>
          <cell r="R65">
            <v>2175.7836567037139</v>
          </cell>
          <cell r="S65">
            <v>226.46688340442415</v>
          </cell>
          <cell r="T65">
            <v>284.49279404397521</v>
          </cell>
          <cell r="U65">
            <v>321.29741481588007</v>
          </cell>
          <cell r="V65">
            <v>269.52318373124945</v>
          </cell>
          <cell r="W65">
            <v>156.76576384233385</v>
          </cell>
          <cell r="FZ65">
            <v>61</v>
          </cell>
          <cell r="GA65">
            <v>1264.1087844006795</v>
          </cell>
          <cell r="GB65">
            <v>0.2</v>
          </cell>
        </row>
        <row r="66">
          <cell r="N66">
            <v>3578.4891528874323</v>
          </cell>
          <cell r="O66">
            <v>4520.4953050880667</v>
          </cell>
          <cell r="P66">
            <v>5030.4689059957536</v>
          </cell>
          <cell r="Q66">
            <v>4189.8429073612688</v>
          </cell>
          <cell r="R66">
            <v>2338.1070192541943</v>
          </cell>
          <cell r="S66">
            <v>242.7211957761624</v>
          </cell>
          <cell r="T66">
            <v>310.01647292750204</v>
          </cell>
          <cell r="U66">
            <v>343.18555438296426</v>
          </cell>
          <cell r="V66">
            <v>291.65722101156689</v>
          </cell>
          <cell r="W66">
            <v>162.3233625504804</v>
          </cell>
          <cell r="FZ66">
            <v>62</v>
          </cell>
          <cell r="GA66">
            <v>1289.3909600886932</v>
          </cell>
          <cell r="GB66">
            <v>0.2</v>
          </cell>
        </row>
        <row r="67">
          <cell r="N67">
            <v>3838.631289315399</v>
          </cell>
          <cell r="O67">
            <v>4850.7949118015804</v>
          </cell>
          <cell r="P67">
            <v>5402.2393310636253</v>
          </cell>
          <cell r="Q67">
            <v>4503.0232618402342</v>
          </cell>
          <cell r="R67">
            <v>2507.2187163176109</v>
          </cell>
          <cell r="S67">
            <v>260.14213642796676</v>
          </cell>
          <cell r="T67">
            <v>330.29960671351364</v>
          </cell>
          <cell r="U67">
            <v>371.77042506787166</v>
          </cell>
          <cell r="V67">
            <v>313.18035447896546</v>
          </cell>
          <cell r="W67">
            <v>169.11169706341661</v>
          </cell>
          <cell r="FZ67">
            <v>63</v>
          </cell>
          <cell r="GA67">
            <v>1315.178779290467</v>
          </cell>
          <cell r="GB67">
            <v>0.2</v>
          </cell>
        </row>
        <row r="68">
          <cell r="N68">
            <v>4117.4447276263909</v>
          </cell>
          <cell r="O68">
            <v>5202.5256778579324</v>
          </cell>
          <cell r="P68">
            <v>5806.0267123595722</v>
          </cell>
          <cell r="Q68">
            <v>4833.7816495985917</v>
          </cell>
          <cell r="R68">
            <v>2677.3415812386629</v>
          </cell>
          <cell r="S68">
            <v>278.81343831099184</v>
          </cell>
          <cell r="T68">
            <v>351.73076605635197</v>
          </cell>
          <cell r="U68">
            <v>403.78738129594694</v>
          </cell>
          <cell r="V68">
            <v>330.75838775835746</v>
          </cell>
          <cell r="W68">
            <v>170.12286492105204</v>
          </cell>
          <cell r="FZ68">
            <v>64</v>
          </cell>
          <cell r="GA68">
            <v>1341.4823548762763</v>
          </cell>
          <cell r="GB68">
            <v>0.2</v>
          </cell>
        </row>
        <row r="69">
          <cell r="N69">
            <v>4416.2695718066107</v>
          </cell>
          <cell r="O69">
            <v>5584.6032876140744</v>
          </cell>
          <cell r="P69">
            <v>6232.6428443465666</v>
          </cell>
          <cell r="Q69">
            <v>5166.7953843630921</v>
          </cell>
          <cell r="R69">
            <v>2868.6839062272406</v>
          </cell>
          <cell r="S69">
            <v>298.82484418021977</v>
          </cell>
          <cell r="T69">
            <v>382.07760975614201</v>
          </cell>
          <cell r="U69">
            <v>426.61613198699433</v>
          </cell>
          <cell r="V69">
            <v>333.01373476450044</v>
          </cell>
          <cell r="W69">
            <v>191.34232498857773</v>
          </cell>
          <cell r="FZ69">
            <v>65</v>
          </cell>
          <cell r="GA69">
            <v>1368.3120019738019</v>
          </cell>
          <cell r="GB69">
            <v>0.2</v>
          </cell>
        </row>
        <row r="70">
          <cell r="N70">
            <v>4736.5421097455128</v>
          </cell>
          <cell r="O70">
            <v>5994.4338352951672</v>
          </cell>
          <cell r="P70">
            <v>6669.648506700737</v>
          </cell>
          <cell r="Q70">
            <v>5523.467097126364</v>
          </cell>
          <cell r="R70">
            <v>3069.2998807764393</v>
          </cell>
          <cell r="S70">
            <v>320.27253793890213</v>
          </cell>
          <cell r="T70">
            <v>409.83054768109287</v>
          </cell>
          <cell r="U70">
            <v>437.00566235417045</v>
          </cell>
          <cell r="V70">
            <v>356.6717127632719</v>
          </cell>
          <cell r="W70">
            <v>200.61597454919865</v>
          </cell>
          <cell r="FZ70">
            <v>66</v>
          </cell>
          <cell r="GA70">
            <v>1395.6782420132779</v>
          </cell>
          <cell r="GB70">
            <v>0.2</v>
          </cell>
        </row>
        <row r="71">
          <cell r="N71">
            <v>5079.8017166875779</v>
          </cell>
          <cell r="O71">
            <v>6420.7147672321553</v>
          </cell>
          <cell r="P71">
            <v>7120.8439603582265</v>
          </cell>
          <cell r="Q71">
            <v>5913.5186519153212</v>
          </cell>
          <cell r="R71">
            <v>3281.4966937441241</v>
          </cell>
          <cell r="S71">
            <v>343.25960694206515</v>
          </cell>
          <cell r="T71">
            <v>426.28093193698805</v>
          </cell>
          <cell r="U71">
            <v>451.19545365748945</v>
          </cell>
          <cell r="V71">
            <v>390.05155478895722</v>
          </cell>
          <cell r="W71">
            <v>212.19681296768476</v>
          </cell>
          <cell r="FZ71">
            <v>67</v>
          </cell>
          <cell r="GA71">
            <v>1423.5918068535434</v>
          </cell>
          <cell r="GB71">
            <v>0.2</v>
          </cell>
        </row>
        <row r="72">
          <cell r="N72">
            <v>5447.6982541687212</v>
          </cell>
          <cell r="O72">
            <v>6868.2684736992569</v>
          </cell>
          <cell r="P72">
            <v>7634.4043333920454</v>
          </cell>
          <cell r="Q72">
            <v>6338.1363766348895</v>
          </cell>
          <cell r="R72">
            <v>3508.175561817156</v>
          </cell>
          <cell r="S72">
            <v>367.89653748114324</v>
          </cell>
          <cell r="T72">
            <v>447.55370646710162</v>
          </cell>
          <cell r="U72">
            <v>513.56037303381891</v>
          </cell>
          <cell r="V72">
            <v>424.61772471956829</v>
          </cell>
          <cell r="W72">
            <v>226.67886807303194</v>
          </cell>
          <cell r="FZ72">
            <v>68</v>
          </cell>
          <cell r="GA72">
            <v>1452.0636429906142</v>
          </cell>
          <cell r="GB72">
            <v>0.2</v>
          </cell>
        </row>
        <row r="73">
          <cell r="N73">
            <v>5842</v>
          </cell>
          <cell r="O73">
            <v>7367.9431000000004</v>
          </cell>
          <cell r="P73">
            <v>8199.691499999999</v>
          </cell>
          <cell r="Q73">
            <v>6790.3471000000009</v>
          </cell>
          <cell r="R73">
            <v>3759.4794000000002</v>
          </cell>
          <cell r="S73">
            <v>394.30174583127882</v>
          </cell>
          <cell r="T73">
            <v>499.67462630074351</v>
          </cell>
          <cell r="U73">
            <v>565.28716660795362</v>
          </cell>
          <cell r="V73">
            <v>452.21072336511133</v>
          </cell>
          <cell r="W73">
            <v>251.30383818284417</v>
          </cell>
          <cell r="FZ73">
            <v>69</v>
          </cell>
          <cell r="GA73">
            <v>1481.1049158504266</v>
          </cell>
          <cell r="GB73">
            <v>0.2</v>
          </cell>
        </row>
        <row r="74">
          <cell r="N74">
            <v>6264.6021474136924</v>
          </cell>
          <cell r="O74">
            <v>7908.2294703902389</v>
          </cell>
          <cell r="P74">
            <v>8789.1278632188478</v>
          </cell>
          <cell r="Q74">
            <v>7273.1349996456938</v>
          </cell>
          <cell r="R74">
            <v>4030.0321801315486</v>
          </cell>
          <cell r="S74">
            <v>422.60214741369236</v>
          </cell>
          <cell r="T74">
            <v>540.28637039023852</v>
          </cell>
          <cell r="U74">
            <v>589.43636321884878</v>
          </cell>
          <cell r="V74">
            <v>482.78789964569296</v>
          </cell>
          <cell r="W74">
            <v>270.55278013154839</v>
          </cell>
          <cell r="FZ74">
            <v>70</v>
          </cell>
          <cell r="GA74">
            <v>1510.7270141674351</v>
          </cell>
          <cell r="GB74">
            <v>0.2</v>
          </cell>
        </row>
        <row r="75">
          <cell r="N75">
            <v>6717.5359142225398</v>
          </cell>
          <cell r="O75">
            <v>8480.9767117396204</v>
          </cell>
          <cell r="P75">
            <v>9401.9946955963624</v>
          </cell>
          <cell r="Q75">
            <v>7785.4488845165961</v>
          </cell>
          <cell r="R75">
            <v>4315.3888813133908</v>
          </cell>
          <cell r="S75">
            <v>452.93376680884739</v>
          </cell>
          <cell r="T75">
            <v>572.74724134938151</v>
          </cell>
          <cell r="U75">
            <v>612.86683237751458</v>
          </cell>
          <cell r="V75">
            <v>512.31388487090226</v>
          </cell>
          <cell r="W75">
            <v>285.35670118184225</v>
          </cell>
          <cell r="FZ75">
            <v>71</v>
          </cell>
          <cell r="GA75">
            <v>1540.9415544507838</v>
          </cell>
          <cell r="GB75">
            <v>0.2</v>
          </cell>
        </row>
        <row r="76">
          <cell r="N76">
            <v>7202.9783057748664</v>
          </cell>
          <cell r="O76">
            <v>9072.871473954021</v>
          </cell>
          <cell r="P76">
            <v>10062.905183434286</v>
          </cell>
          <cell r="Q76">
            <v>8338.3869078438565</v>
          </cell>
          <cell r="R76">
            <v>4622.4017171915848</v>
          </cell>
          <cell r="S76">
            <v>485.44239155232663</v>
          </cell>
          <cell r="T76">
            <v>591.89476221440054</v>
          </cell>
          <cell r="U76">
            <v>660.91048783792394</v>
          </cell>
          <cell r="V76">
            <v>552.93802332726045</v>
          </cell>
          <cell r="W76">
            <v>307.01283587819398</v>
          </cell>
          <cell r="FZ76">
            <v>72</v>
          </cell>
          <cell r="GA76">
            <v>1571.7603855397995</v>
          </cell>
          <cell r="GB76">
            <v>0.2</v>
          </cell>
        </row>
        <row r="77">
          <cell r="N77">
            <v>7723.2625786307999</v>
          </cell>
          <cell r="O77">
            <v>9725.9717240747977</v>
          </cell>
          <cell r="P77">
            <v>10801.990098290646</v>
          </cell>
          <cell r="Q77">
            <v>8947.6011737588742</v>
          </cell>
          <cell r="R77">
            <v>4961.4742496161989</v>
          </cell>
          <cell r="S77">
            <v>520.28427285593352</v>
          </cell>
          <cell r="T77">
            <v>653.10025012077676</v>
          </cell>
          <cell r="U77">
            <v>739.08491485635932</v>
          </cell>
          <cell r="V77">
            <v>609.21426591501768</v>
          </cell>
          <cell r="W77">
            <v>339.07253242461411</v>
          </cell>
          <cell r="FZ77">
            <v>73</v>
          </cell>
          <cell r="GA77">
            <v>1603.1955932505955</v>
          </cell>
          <cell r="GB77">
            <v>0.2</v>
          </cell>
        </row>
        <row r="78">
          <cell r="N78">
            <v>8280.8894552527818</v>
          </cell>
          <cell r="O78">
            <v>10435.432876040768</v>
          </cell>
          <cell r="P78">
            <v>11591.73307493163</v>
          </cell>
          <cell r="Q78">
            <v>9601.0432537560609</v>
          </cell>
          <cell r="R78">
            <v>5330.8225868189775</v>
          </cell>
          <cell r="S78">
            <v>557.62687662198186</v>
          </cell>
          <cell r="T78">
            <v>709.4611519659702</v>
          </cell>
          <cell r="U78">
            <v>789.74297664098412</v>
          </cell>
          <cell r="V78">
            <v>653.44207999718674</v>
          </cell>
          <cell r="W78">
            <v>369.34833720277857</v>
          </cell>
          <cell r="FZ78">
            <v>74</v>
          </cell>
          <cell r="GA78">
            <v>1635.2595051156075</v>
          </cell>
          <cell r="GB78">
            <v>0.2</v>
          </cell>
        </row>
        <row r="79">
          <cell r="N79">
            <v>8878.5391436132213</v>
          </cell>
          <cell r="O79">
            <v>11187.287440877531</v>
          </cell>
          <cell r="P79">
            <v>12423.064282636185</v>
          </cell>
          <cell r="Q79">
            <v>10303.911398432119</v>
          </cell>
          <cell r="R79">
            <v>5733.4517601925972</v>
          </cell>
          <cell r="S79">
            <v>597.64968836043954</v>
          </cell>
          <cell r="T79">
            <v>751.85456483676353</v>
          </cell>
          <cell r="U79">
            <v>831.33120770455571</v>
          </cell>
          <cell r="V79">
            <v>702.86814467605836</v>
          </cell>
          <cell r="W79">
            <v>402.62917337361978</v>
          </cell>
          <cell r="FZ79">
            <v>75</v>
          </cell>
          <cell r="GA79">
            <v>1667.9646952179196</v>
          </cell>
          <cell r="GB79">
            <v>0.2</v>
          </cell>
        </row>
        <row r="80">
          <cell r="N80">
            <v>9519.0842194910274</v>
          </cell>
          <cell r="O80">
            <v>12001.33028535274</v>
          </cell>
          <cell r="P80">
            <v>13334.39525564707</v>
          </cell>
          <cell r="Q80">
            <v>11064.341993234622</v>
          </cell>
          <cell r="R80">
            <v>6132.1733605347736</v>
          </cell>
          <cell r="S80">
            <v>640.54507587780608</v>
          </cell>
          <cell r="T80">
            <v>814.04284447520877</v>
          </cell>
          <cell r="U80">
            <v>911.33097301088492</v>
          </cell>
          <cell r="V80">
            <v>760.43059480250304</v>
          </cell>
          <cell r="W80">
            <v>398.72160034217632</v>
          </cell>
          <cell r="FZ80">
            <v>76</v>
          </cell>
          <cell r="GA80">
            <v>1701.3239891222779</v>
          </cell>
          <cell r="GB80">
            <v>0.2</v>
          </cell>
        </row>
        <row r="81">
          <cell r="N81">
            <v>10205.603433375156</v>
          </cell>
          <cell r="O81">
            <v>12866.869831288672</v>
          </cell>
          <cell r="P81">
            <v>14308.189455308708</v>
          </cell>
          <cell r="Q81">
            <v>11862.30566202825</v>
          </cell>
          <cell r="R81">
            <v>6556.1462038834607</v>
          </cell>
          <cell r="S81">
            <v>686.51921388412848</v>
          </cell>
          <cell r="T81">
            <v>865.53954593593153</v>
          </cell>
          <cell r="U81">
            <v>973.79419966163732</v>
          </cell>
          <cell r="V81">
            <v>797.96366879362722</v>
          </cell>
          <cell r="W81">
            <v>423.97284334868709</v>
          </cell>
          <cell r="FZ81">
            <v>77</v>
          </cell>
          <cell r="GA81">
            <v>1735.3504689047236</v>
          </cell>
          <cell r="GB81">
            <v>0.2</v>
          </cell>
        </row>
        <row r="82">
          <cell r="N82">
            <v>10941.396508337442</v>
          </cell>
          <cell r="O82">
            <v>13807.281252895182</v>
          </cell>
          <cell r="P82">
            <v>15354.918003354933</v>
          </cell>
          <cell r="Q82">
            <v>12680.793125428094</v>
          </cell>
          <cell r="R82">
            <v>7016.5748669292998</v>
          </cell>
          <cell r="S82">
            <v>735.79307496228648</v>
          </cell>
          <cell r="T82">
            <v>940.41142160650998</v>
          </cell>
          <cell r="U82">
            <v>1046.7285480462251</v>
          </cell>
          <cell r="V82">
            <v>818.48746339984427</v>
          </cell>
          <cell r="W82">
            <v>460.42866304583913</v>
          </cell>
          <cell r="FZ82">
            <v>78</v>
          </cell>
          <cell r="GA82">
            <v>1770.057478282818</v>
          </cell>
          <cell r="GB82">
            <v>0.2</v>
          </cell>
        </row>
        <row r="83">
          <cell r="N83">
            <v>11730</v>
          </cell>
          <cell r="O83">
            <v>14812.695</v>
          </cell>
          <cell r="P83">
            <v>16410.576000000001</v>
          </cell>
          <cell r="Q83">
            <v>13552.740000000002</v>
          </cell>
          <cell r="R83">
            <v>7496.0309999999999</v>
          </cell>
          <cell r="S83">
            <v>788.60349166255764</v>
          </cell>
          <cell r="T83">
            <v>1005.413747104818</v>
          </cell>
          <cell r="U83">
            <v>1055.6579966450681</v>
          </cell>
          <cell r="V83">
            <v>871.94687457190776</v>
          </cell>
          <cell r="W83">
            <v>479.45613307070016</v>
          </cell>
          <cell r="FZ83">
            <v>79</v>
          </cell>
          <cell r="GA83">
            <v>1805.4586278484744</v>
          </cell>
          <cell r="GB83">
            <v>0.2</v>
          </cell>
        </row>
        <row r="84">
          <cell r="N84">
            <v>12575.204294827385</v>
          </cell>
          <cell r="O84">
            <v>15836.064118078692</v>
          </cell>
          <cell r="P84">
            <v>17533.333974271412</v>
          </cell>
          <cell r="Q84">
            <v>14498.308417714825</v>
          </cell>
          <cell r="R84">
            <v>8019.2624536127059</v>
          </cell>
          <cell r="S84">
            <v>845.20429482738473</v>
          </cell>
          <cell r="T84">
            <v>1023.3691180786918</v>
          </cell>
          <cell r="U84">
            <v>1122.7579742714115</v>
          </cell>
          <cell r="V84">
            <v>945.56841771482323</v>
          </cell>
          <cell r="W84">
            <v>523.23145361270599</v>
          </cell>
          <cell r="FZ84">
            <v>80</v>
          </cell>
          <cell r="GA84">
            <v>1841.5678004054439</v>
          </cell>
          <cell r="GB84">
            <v>0.2</v>
          </cell>
        </row>
        <row r="85">
          <cell r="N85">
            <v>13481.07182844507</v>
          </cell>
          <cell r="O85">
            <v>16961.1226009245</v>
          </cell>
          <cell r="P85">
            <v>18780.363937495276</v>
          </cell>
          <cell r="Q85">
            <v>15533.652934359494</v>
          </cell>
          <cell r="R85">
            <v>8572.7894157755472</v>
          </cell>
          <cell r="S85">
            <v>905.86753361768569</v>
          </cell>
          <cell r="T85">
            <v>1125.0584828458086</v>
          </cell>
          <cell r="U85">
            <v>1247.0299632238639</v>
          </cell>
          <cell r="V85">
            <v>1035.3445166446691</v>
          </cell>
          <cell r="W85">
            <v>553.5269621628413</v>
          </cell>
          <cell r="FZ85">
            <v>81</v>
          </cell>
          <cell r="GA85">
            <v>1878.3991564135529</v>
          </cell>
          <cell r="GB85">
            <v>0.2</v>
          </cell>
        </row>
        <row r="86">
          <cell r="N86">
            <v>14451.956611549746</v>
          </cell>
          <cell r="O86">
            <v>18193.159753419211</v>
          </cell>
          <cell r="P86">
            <v>20161.484826615306</v>
          </cell>
          <cell r="Q86">
            <v>16642.653312781815</v>
          </cell>
          <cell r="R86">
            <v>9186.9517314772656</v>
          </cell>
          <cell r="S86">
            <v>970.88478310467508</v>
          </cell>
          <cell r="T86">
            <v>1232.0371524947113</v>
          </cell>
          <cell r="U86">
            <v>1381.1208891200295</v>
          </cell>
          <cell r="V86">
            <v>1109.0003784223209</v>
          </cell>
          <cell r="W86">
            <v>614.1623157017184</v>
          </cell>
          <cell r="FZ86">
            <v>82</v>
          </cell>
          <cell r="GA86">
            <v>1915.9671395418241</v>
          </cell>
          <cell r="GB86">
            <v>0.2</v>
          </cell>
        </row>
        <row r="87">
          <cell r="N87">
            <v>15492.5251572616</v>
          </cell>
          <cell r="O87">
            <v>19514.384688086713</v>
          </cell>
          <cell r="P87">
            <v>21591.696555857881</v>
          </cell>
          <cell r="Q87">
            <v>17816.673366070961</v>
          </cell>
          <cell r="R87">
            <v>9851.8988239177452</v>
          </cell>
          <cell r="S87">
            <v>1040.5685457118543</v>
          </cell>
          <cell r="T87">
            <v>1321.2249346675017</v>
          </cell>
          <cell r="U87">
            <v>1430.2117292425755</v>
          </cell>
          <cell r="V87">
            <v>1174.0200532891467</v>
          </cell>
          <cell r="W87">
            <v>664.94709244047954</v>
          </cell>
          <cell r="FZ87">
            <v>83</v>
          </cell>
          <cell r="GA87">
            <v>1954.2864823326606</v>
          </cell>
          <cell r="GB87">
            <v>0.2</v>
          </cell>
        </row>
        <row r="88">
          <cell r="N88">
            <v>16607.778910505567</v>
          </cell>
          <cell r="O88">
            <v>20885.292888242257</v>
          </cell>
          <cell r="P88">
            <v>23106.583317522378</v>
          </cell>
          <cell r="Q88">
            <v>19114.109371304035</v>
          </cell>
          <cell r="R88">
            <v>10561.103232393669</v>
          </cell>
          <cell r="S88">
            <v>1115.2537532439674</v>
          </cell>
          <cell r="T88">
            <v>1370.9082001555435</v>
          </cell>
          <cell r="U88">
            <v>1514.8867616644966</v>
          </cell>
          <cell r="V88">
            <v>1297.436005233074</v>
          </cell>
          <cell r="W88">
            <v>709.20440847592363</v>
          </cell>
          <cell r="FZ88">
            <v>84</v>
          </cell>
          <cell r="GA88">
            <v>1993.3722119793138</v>
          </cell>
          <cell r="GB88">
            <v>0.2</v>
          </cell>
        </row>
        <row r="89">
          <cell r="N89">
            <v>17803.078287226446</v>
          </cell>
          <cell r="O89">
            <v>22378.082383602617</v>
          </cell>
          <cell r="P89">
            <v>24773.138246052011</v>
          </cell>
          <cell r="Q89">
            <v>20537.631112144427</v>
          </cell>
          <cell r="R89">
            <v>11221.551160847546</v>
          </cell>
          <cell r="S89">
            <v>1195.2993767208791</v>
          </cell>
          <cell r="T89">
            <v>1492.7894953603609</v>
          </cell>
          <cell r="U89">
            <v>1666.5549285296329</v>
          </cell>
          <cell r="V89">
            <v>1423.5217408403914</v>
          </cell>
          <cell r="W89">
            <v>660.44792845387747</v>
          </cell>
          <cell r="FZ89">
            <v>85</v>
          </cell>
          <cell r="GA89">
            <v>2033.2396562189001</v>
          </cell>
          <cell r="GB89">
            <v>0.2</v>
          </cell>
        </row>
        <row r="90">
          <cell r="N90">
            <v>19084.16843898204</v>
          </cell>
          <cell r="O90">
            <v>24005.062758296252</v>
          </cell>
          <cell r="P90">
            <v>26608.641181245723</v>
          </cell>
          <cell r="Q90">
            <v>21895.847272561801</v>
          </cell>
          <cell r="R90">
            <v>11922.21192241363</v>
          </cell>
          <cell r="S90">
            <v>1281.090151755594</v>
          </cell>
          <cell r="T90">
            <v>1626.9803746936341</v>
          </cell>
          <cell r="U90">
            <v>1835.5029351937119</v>
          </cell>
          <cell r="V90">
            <v>1358.2161604173743</v>
          </cell>
          <cell r="W90">
            <v>700.66076156608324</v>
          </cell>
          <cell r="FZ90">
            <v>86</v>
          </cell>
          <cell r="GA90">
            <v>2073.904449343278</v>
          </cell>
          <cell r="GB90">
            <v>0.2</v>
          </cell>
        </row>
        <row r="91">
          <cell r="N91">
            <v>20457.206866750312</v>
          </cell>
          <cell r="O91">
            <v>25779.816315968015</v>
          </cell>
          <cell r="P91">
            <v>28474.475182207443</v>
          </cell>
          <cell r="Q91">
            <v>23278.789359941271</v>
          </cell>
          <cell r="R91">
            <v>12688.360198157678</v>
          </cell>
          <cell r="S91">
            <v>1373.0384277682715</v>
          </cell>
          <cell r="T91">
            <v>1774.7535576717637</v>
          </cell>
          <cell r="U91">
            <v>1865.8340009617204</v>
          </cell>
          <cell r="V91">
            <v>1382.9420873794697</v>
          </cell>
          <cell r="W91">
            <v>766.14827574404808</v>
          </cell>
          <cell r="FZ91">
            <v>87</v>
          </cell>
          <cell r="GA91">
            <v>2115.3825383301437</v>
          </cell>
          <cell r="GB91">
            <v>0.2</v>
          </cell>
        </row>
        <row r="92">
          <cell r="N92">
            <v>21928.793016674885</v>
          </cell>
          <cell r="O92">
            <v>27589.567920062011</v>
          </cell>
          <cell r="P92">
            <v>30266.835190952177</v>
          </cell>
          <cell r="Q92">
            <v>24752.029774993443</v>
          </cell>
          <cell r="R92">
            <v>13453.791228621709</v>
          </cell>
          <cell r="S92">
            <v>1471.586149924573</v>
          </cell>
          <cell r="T92">
            <v>1809.7516040939954</v>
          </cell>
          <cell r="U92">
            <v>1792.3600087447339</v>
          </cell>
          <cell r="V92">
            <v>1473.2404150521725</v>
          </cell>
          <cell r="W92">
            <v>765.43103046403121</v>
          </cell>
          <cell r="FZ92">
            <v>88</v>
          </cell>
          <cell r="GA92">
            <v>2157.6901890967465</v>
          </cell>
          <cell r="GB92">
            <v>0.2</v>
          </cell>
        </row>
        <row r="93">
          <cell r="N93">
            <v>23506</v>
          </cell>
          <cell r="O93">
            <v>29354.803800000002</v>
          </cell>
          <cell r="P93">
            <v>32225.192999999999</v>
          </cell>
          <cell r="Q93">
            <v>26253.340400000001</v>
          </cell>
          <cell r="R93">
            <v>14263.543000000001</v>
          </cell>
          <cell r="S93">
            <v>1577.2069833251153</v>
          </cell>
          <cell r="T93">
            <v>1765.2358799379908</v>
          </cell>
          <cell r="U93">
            <v>1958.3578090478222</v>
          </cell>
          <cell r="V93">
            <v>1501.3106250065575</v>
          </cell>
          <cell r="W93">
            <v>809.75177137829269</v>
          </cell>
          <cell r="FZ93">
            <v>89</v>
          </cell>
          <cell r="GA93">
            <v>2200.8439928786815</v>
          </cell>
          <cell r="GB93">
            <v>0.2</v>
          </cell>
        </row>
        <row r="94">
          <cell r="N94">
            <v>25196.408589654777</v>
          </cell>
          <cell r="O94">
            <v>31465.822794773703</v>
          </cell>
          <cell r="P94">
            <v>34437.958287128611</v>
          </cell>
          <cell r="Q94">
            <v>28079.261155920252</v>
          </cell>
          <cell r="R94">
            <v>15232.872236484771</v>
          </cell>
          <cell r="S94">
            <v>1690.4085896547767</v>
          </cell>
          <cell r="T94">
            <v>2111.0189947737017</v>
          </cell>
          <cell r="U94">
            <v>2212.7652871286118</v>
          </cell>
          <cell r="V94">
            <v>1825.9207559202514</v>
          </cell>
          <cell r="W94">
            <v>969.32923648476935</v>
          </cell>
          <cell r="FZ94">
            <v>90</v>
          </cell>
          <cell r="GA94">
            <v>2244.8608727362553</v>
          </cell>
          <cell r="GB94">
            <v>0.2</v>
          </cell>
        </row>
        <row r="95">
          <cell r="N95">
            <v>27008.143656890144</v>
          </cell>
          <cell r="O95">
            <v>33653.614830379513</v>
          </cell>
          <cell r="P95">
            <v>36866.116091655043</v>
          </cell>
          <cell r="Q95">
            <v>30031.764052634771</v>
          </cell>
          <cell r="R95">
            <v>16237.472106589683</v>
          </cell>
          <cell r="S95">
            <v>1811.7350672353678</v>
          </cell>
          <cell r="T95">
            <v>2187.7920356058094</v>
          </cell>
          <cell r="U95">
            <v>2428.1578045264323</v>
          </cell>
          <cell r="V95">
            <v>1952.502896714519</v>
          </cell>
          <cell r="W95">
            <v>1004.599870104912</v>
          </cell>
          <cell r="FZ95">
            <v>91</v>
          </cell>
          <cell r="GA95">
            <v>2289.7580901909805</v>
          </cell>
          <cell r="GB95">
            <v>0.2</v>
          </cell>
        </row>
        <row r="96">
          <cell r="N96">
            <v>28949.913223099466</v>
          </cell>
          <cell r="O96">
            <v>36068.948623035481</v>
          </cell>
          <cell r="P96">
            <v>39465.088117074862</v>
          </cell>
          <cell r="Q96">
            <v>32087.20273216796</v>
          </cell>
          <cell r="R96">
            <v>17340.054001727131</v>
          </cell>
          <cell r="S96">
            <v>1941.7695662093211</v>
          </cell>
          <cell r="T96">
            <v>2415.3337926559689</v>
          </cell>
          <cell r="U96">
            <v>2598.9720254198182</v>
          </cell>
          <cell r="V96">
            <v>2055.4386795331884</v>
          </cell>
          <cell r="W96">
            <v>1102.5818951374476</v>
          </cell>
          <cell r="FZ96">
            <v>92</v>
          </cell>
          <cell r="GA96">
            <v>2335.5532519948001</v>
          </cell>
          <cell r="GB96">
            <v>0.2</v>
          </cell>
        </row>
        <row r="97">
          <cell r="N97">
            <v>31031.050314523203</v>
          </cell>
          <cell r="O97">
            <v>38612.138282776315</v>
          </cell>
          <cell r="P97">
            <v>42228.469902908837</v>
          </cell>
          <cell r="Q97">
            <v>34268.803120818542</v>
          </cell>
          <cell r="R97">
            <v>18503.208173304902</v>
          </cell>
          <cell r="S97">
            <v>2081.1370914237377</v>
          </cell>
          <cell r="T97">
            <v>2543.189659740834</v>
          </cell>
          <cell r="U97">
            <v>2763.3817858339753</v>
          </cell>
          <cell r="V97">
            <v>2181.6003886505823</v>
          </cell>
          <cell r="W97">
            <v>1163.1541715777712</v>
          </cell>
          <cell r="FZ97">
            <v>93</v>
          </cell>
          <cell r="GA97">
            <v>2382.264317034696</v>
          </cell>
          <cell r="GB97">
            <v>0.2</v>
          </cell>
        </row>
        <row r="98">
          <cell r="N98">
            <v>33261.557821011134</v>
          </cell>
          <cell r="O98">
            <v>41416.641029113518</v>
          </cell>
          <cell r="P98">
            <v>45132.246268658033</v>
          </cell>
          <cell r="Q98">
            <v>36605.428998038653</v>
          </cell>
          <cell r="R98">
            <v>19863.00694562952</v>
          </cell>
          <cell r="S98">
            <v>2230.5075064879311</v>
          </cell>
          <cell r="T98">
            <v>2804.5027463372026</v>
          </cell>
          <cell r="U98">
            <v>2903.776365749196</v>
          </cell>
          <cell r="V98">
            <v>2336.6258772201109</v>
          </cell>
          <cell r="W98">
            <v>1359.7987723246188</v>
          </cell>
          <cell r="FZ98">
            <v>94</v>
          </cell>
          <cell r="GA98">
            <v>2429.9096033753899</v>
          </cell>
          <cell r="GB98">
            <v>0.2</v>
          </cell>
        </row>
        <row r="99">
          <cell r="N99">
            <v>35652.156574452893</v>
          </cell>
          <cell r="O99">
            <v>44289.511542119748</v>
          </cell>
          <cell r="P99">
            <v>48227.912273273716</v>
          </cell>
          <cell r="Q99">
            <v>39212.411931853043</v>
          </cell>
          <cell r="R99">
            <v>21306.581320463309</v>
          </cell>
          <cell r="S99">
            <v>2390.5987534417582</v>
          </cell>
          <cell r="T99">
            <v>2872.8705130062299</v>
          </cell>
          <cell r="U99">
            <v>3095.6660046156831</v>
          </cell>
          <cell r="V99">
            <v>2606.98293381439</v>
          </cell>
          <cell r="W99">
            <v>1443.5743748337882</v>
          </cell>
          <cell r="FZ99">
            <v>95</v>
          </cell>
          <cell r="GA99">
            <v>2478.5077954428975</v>
          </cell>
          <cell r="GB99">
            <v>0.2</v>
          </cell>
        </row>
        <row r="100">
          <cell r="N100">
            <v>38214.336877964088</v>
          </cell>
          <cell r="O100">
            <v>47416.764571404769</v>
          </cell>
          <cell r="P100">
            <v>51807.259580101301</v>
          </cell>
          <cell r="Q100">
            <v>42210.144246427553</v>
          </cell>
          <cell r="R100">
            <v>23000.378620392712</v>
          </cell>
          <cell r="S100">
            <v>2562.1803035111952</v>
          </cell>
          <cell r="T100">
            <v>3127.2530292850206</v>
          </cell>
          <cell r="U100">
            <v>3579.3473068275853</v>
          </cell>
          <cell r="V100">
            <v>2997.7323145745104</v>
          </cell>
          <cell r="W100">
            <v>1693.7972999294034</v>
          </cell>
          <cell r="FZ100">
            <v>96</v>
          </cell>
          <cell r="GA100">
            <v>2528.0779513517555</v>
          </cell>
          <cell r="GB100">
            <v>0.2</v>
          </cell>
        </row>
        <row r="101">
          <cell r="N101">
            <v>40960.413733500631</v>
          </cell>
          <cell r="O101">
            <v>50943.446048509235</v>
          </cell>
          <cell r="P101">
            <v>55781.316132324064</v>
          </cell>
          <cell r="Q101">
            <v>45518.506382640116</v>
          </cell>
          <cell r="R101">
            <v>24799.927716836362</v>
          </cell>
          <cell r="S101">
            <v>2746.076855536543</v>
          </cell>
          <cell r="T101">
            <v>3526.6814771044665</v>
          </cell>
          <cell r="U101">
            <v>3974.0565522227625</v>
          </cell>
          <cell r="V101">
            <v>3308.3621362125632</v>
          </cell>
          <cell r="W101">
            <v>1799.5490964436503</v>
          </cell>
          <cell r="FZ101">
            <v>97</v>
          </cell>
          <cell r="GA101">
            <v>2578.6395103787904</v>
          </cell>
          <cell r="GB101">
            <v>0.2</v>
          </cell>
        </row>
        <row r="102">
          <cell r="N102">
            <v>43903.586033349777</v>
          </cell>
          <cell r="O102">
            <v>54706.25426201216</v>
          </cell>
          <cell r="P102">
            <v>59937.080210150787</v>
          </cell>
          <cell r="Q102">
            <v>48966.146715886673</v>
          </cell>
          <cell r="R102">
            <v>26532.750448941599</v>
          </cell>
          <cell r="S102">
            <v>2943.1722998491459</v>
          </cell>
          <cell r="T102">
            <v>3762.8082135029254</v>
          </cell>
          <cell r="U102">
            <v>4155.7640778267232</v>
          </cell>
          <cell r="V102">
            <v>3447.6403332465561</v>
          </cell>
          <cell r="W102">
            <v>1732.8227321052364</v>
          </cell>
          <cell r="FZ102">
            <v>98</v>
          </cell>
          <cell r="GA102">
            <v>2630.2123005863664</v>
          </cell>
          <cell r="GB102">
            <v>0.2</v>
          </cell>
        </row>
        <row r="103">
          <cell r="N103">
            <v>47058</v>
          </cell>
          <cell r="O103">
            <v>58650.533700000007</v>
          </cell>
          <cell r="P103">
            <v>64308.644399999997</v>
          </cell>
          <cell r="Q103">
            <v>52347.319199999998</v>
          </cell>
          <cell r="R103">
            <v>28302.113400000002</v>
          </cell>
          <cell r="S103">
            <v>3154.4139666502233</v>
          </cell>
          <cell r="T103">
            <v>3944.2794379878469</v>
          </cell>
          <cell r="U103">
            <v>4371.5641898492104</v>
          </cell>
          <cell r="V103">
            <v>3381.1724841133255</v>
          </cell>
          <cell r="W103">
            <v>1769.3629510584033</v>
          </cell>
          <cell r="FZ103">
            <v>99</v>
          </cell>
          <cell r="GA103">
            <v>2682.8165465980937</v>
          </cell>
          <cell r="GB103">
            <v>0.2</v>
          </cell>
        </row>
        <row r="104">
          <cell r="N104">
            <v>50438.81717930951</v>
          </cell>
          <cell r="O104">
            <v>62922.972679201433</v>
          </cell>
          <cell r="P104">
            <v>68819.051108257583</v>
          </cell>
          <cell r="Q104">
            <v>55825.792503662335</v>
          </cell>
          <cell r="R104">
            <v>30222.500655432003</v>
          </cell>
          <cell r="S104">
            <v>3380.8171793095098</v>
          </cell>
          <cell r="T104">
            <v>4272.4389792014263</v>
          </cell>
          <cell r="U104">
            <v>4510.4067082575857</v>
          </cell>
          <cell r="V104">
            <v>3478.4733036623365</v>
          </cell>
          <cell r="W104">
            <v>1920.3872554320005</v>
          </cell>
          <cell r="FZ104">
            <v>100</v>
          </cell>
          <cell r="GA104">
            <v>2736.4728775300555</v>
          </cell>
          <cell r="GB104">
            <v>0.2</v>
          </cell>
        </row>
        <row r="105">
          <cell r="N105">
            <v>54062.287313780289</v>
          </cell>
          <cell r="O105">
            <v>67285.805264019393</v>
          </cell>
          <cell r="P105">
            <v>73367.224953261932</v>
          </cell>
          <cell r="Q105">
            <v>59533.625843357957</v>
          </cell>
          <cell r="R105">
            <v>32296.810441252339</v>
          </cell>
          <cell r="S105">
            <v>3623.4701344707792</v>
          </cell>
          <cell r="T105">
            <v>4362.8325848179593</v>
          </cell>
          <cell r="U105">
            <v>4548.1738450043485</v>
          </cell>
          <cell r="V105">
            <v>3707.8333396956223</v>
          </cell>
          <cell r="W105">
            <v>2074.3097858203364</v>
          </cell>
          <cell r="FZ105">
            <v>101</v>
          </cell>
          <cell r="GA105">
            <v>2791.2023350806567</v>
          </cell>
          <cell r="GB105">
            <v>0.2</v>
          </cell>
        </row>
        <row r="106">
          <cell r="N106">
            <v>57945.826446198938</v>
          </cell>
          <cell r="O106">
            <v>71916.691171565428</v>
          </cell>
          <cell r="P106">
            <v>78396.798136881436</v>
          </cell>
          <cell r="Q106">
            <v>63758.296715504403</v>
          </cell>
          <cell r="R106">
            <v>34590.887066246381</v>
          </cell>
          <cell r="S106">
            <v>3883.5391324186494</v>
          </cell>
          <cell r="T106">
            <v>4630.885907546035</v>
          </cell>
          <cell r="U106">
            <v>5029.5731836195046</v>
          </cell>
          <cell r="V106">
            <v>4224.6708721464456</v>
          </cell>
          <cell r="W106">
            <v>2294.0766249940425</v>
          </cell>
          <cell r="FZ106">
            <v>102</v>
          </cell>
          <cell r="GA106">
            <v>2847.0263817822697</v>
          </cell>
          <cell r="GB106">
            <v>0.2</v>
          </cell>
        </row>
        <row r="107">
          <cell r="N107">
            <v>62108.100629046407</v>
          </cell>
          <cell r="O107">
            <v>77100.591068068024</v>
          </cell>
          <cell r="P107">
            <v>84212.373642924023</v>
          </cell>
          <cell r="Q107">
            <v>68504.96495861806</v>
          </cell>
          <cell r="R107">
            <v>37131.192943465336</v>
          </cell>
          <cell r="S107">
            <v>4162.2741828474682</v>
          </cell>
          <cell r="T107">
            <v>5183.8998965025967</v>
          </cell>
          <cell r="U107">
            <v>5815.5755060425872</v>
          </cell>
          <cell r="V107">
            <v>4746.6682431136578</v>
          </cell>
          <cell r="W107">
            <v>2540.3058772189543</v>
          </cell>
          <cell r="FZ107">
            <v>103</v>
          </cell>
          <cell r="GA107">
            <v>2903.9669094179153</v>
          </cell>
          <cell r="GB107">
            <v>0.2</v>
          </cell>
        </row>
        <row r="108">
          <cell r="N108">
            <v>66569.115642022269</v>
          </cell>
          <cell r="O108">
            <v>82735.42537568738</v>
          </cell>
          <cell r="P108">
            <v>90379.585867954564</v>
          </cell>
          <cell r="Q108">
            <v>73499.973588638299</v>
          </cell>
          <cell r="R108">
            <v>39798.201071114236</v>
          </cell>
          <cell r="S108">
            <v>4461.0150129758622</v>
          </cell>
          <cell r="T108">
            <v>5634.834307619356</v>
          </cell>
          <cell r="U108">
            <v>6167.2122250305401</v>
          </cell>
          <cell r="V108">
            <v>4995.0086300202383</v>
          </cell>
          <cell r="W108">
            <v>2667.0081276489</v>
          </cell>
          <cell r="FZ108">
            <v>104</v>
          </cell>
          <cell r="GA108">
            <v>2962.0462476062735</v>
          </cell>
          <cell r="GB108">
            <v>0.2</v>
          </cell>
        </row>
        <row r="109">
          <cell r="N109">
            <v>71350.313148905741</v>
          </cell>
          <cell r="O109">
            <v>88740.090666434582</v>
          </cell>
          <cell r="P109">
            <v>96885.039131134996</v>
          </cell>
          <cell r="Q109">
            <v>78731.037716030813</v>
          </cell>
          <cell r="R109">
            <v>42496.866948993898</v>
          </cell>
          <cell r="S109">
            <v>4781.1975068834727</v>
          </cell>
          <cell r="T109">
            <v>6004.6652907472017</v>
          </cell>
          <cell r="U109">
            <v>6505.4532631804323</v>
          </cell>
          <cell r="V109">
            <v>5231.0641273925139</v>
          </cell>
          <cell r="W109">
            <v>2698.6658778796627</v>
          </cell>
          <cell r="FZ109">
            <v>105</v>
          </cell>
          <cell r="GA109">
            <v>3021.2871725583991</v>
          </cell>
          <cell r="GB109">
            <v>0.2</v>
          </cell>
        </row>
        <row r="110">
          <cell r="N110">
            <v>76474.673755928176</v>
          </cell>
          <cell r="O110">
            <v>95068.825682519018</v>
          </cell>
          <cell r="P110">
            <v>103888.68305664834</v>
          </cell>
          <cell r="Q110">
            <v>84060.13014606238</v>
          </cell>
          <cell r="R110">
            <v>45343.496562797547</v>
          </cell>
          <cell r="S110">
            <v>5124.3606070224341</v>
          </cell>
          <cell r="T110">
            <v>6328.7350160844362</v>
          </cell>
          <cell r="U110">
            <v>7003.6439255133446</v>
          </cell>
          <cell r="V110">
            <v>5329.0924300315673</v>
          </cell>
          <cell r="W110">
            <v>2846.6296138036487</v>
          </cell>
          <cell r="FZ110">
            <v>106</v>
          </cell>
          <cell r="GA110">
            <v>3081.7129160095669</v>
          </cell>
          <cell r="GB110">
            <v>0.2</v>
          </cell>
        </row>
        <row r="111">
          <cell r="N111">
            <v>81966.827467001276</v>
          </cell>
          <cell r="O111">
            <v>101896.34881058118</v>
          </cell>
          <cell r="P111">
            <v>110846.94818122237</v>
          </cell>
          <cell r="Q111">
            <v>89785.037297310293</v>
          </cell>
          <cell r="R111">
            <v>48526.500125529114</v>
          </cell>
          <cell r="S111">
            <v>5492.1537110731006</v>
          </cell>
          <cell r="T111">
            <v>6827.5231280621665</v>
          </cell>
          <cell r="U111">
            <v>6958.2651245740271</v>
          </cell>
          <cell r="V111">
            <v>5724.9071512479131</v>
          </cell>
          <cell r="W111">
            <v>3183.0035627315665</v>
          </cell>
          <cell r="FZ111">
            <v>107</v>
          </cell>
          <cell r="GA111">
            <v>3143.3471743297582</v>
          </cell>
          <cell r="GB111">
            <v>0.2</v>
          </cell>
        </row>
        <row r="112">
          <cell r="N112">
            <v>87853.172066699568</v>
          </cell>
          <cell r="O112">
            <v>108855.61876018409</v>
          </cell>
          <cell r="P112">
            <v>118442.30968422769</v>
          </cell>
          <cell r="Q112">
            <v>95977.107675832609</v>
          </cell>
          <cell r="R112">
            <v>51972.026743092792</v>
          </cell>
          <cell r="S112">
            <v>5886.3445996982919</v>
          </cell>
          <cell r="T112">
            <v>6959.269949602909</v>
          </cell>
          <cell r="U112">
            <v>7595.3615030053188</v>
          </cell>
          <cell r="V112">
            <v>6192.0703785223159</v>
          </cell>
          <cell r="W112">
            <v>3445.5266175636789</v>
          </cell>
          <cell r="FZ112">
            <v>108</v>
          </cell>
          <cell r="GA112">
            <v>3206.2141178163533</v>
          </cell>
          <cell r="GB112">
            <v>0.2</v>
          </cell>
        </row>
        <row r="113">
          <cell r="N113">
            <v>94162</v>
          </cell>
          <cell r="O113">
            <v>116672.65430000001</v>
          </cell>
          <cell r="P113">
            <v>127152.68019999999</v>
          </cell>
          <cell r="Q113">
            <v>103143.41720000001</v>
          </cell>
          <cell r="R113">
            <v>55830.696799999991</v>
          </cell>
          <cell r="S113">
            <v>6308.8279333004321</v>
          </cell>
          <cell r="T113">
            <v>7817.0355398159154</v>
          </cell>
          <cell r="U113">
            <v>8710.3705157723016</v>
          </cell>
          <cell r="V113">
            <v>7166.3095241674018</v>
          </cell>
          <cell r="W113">
            <v>3858.6700569071982</v>
          </cell>
          <cell r="FZ113">
            <v>109</v>
          </cell>
          <cell r="GA113">
            <v>3270.3384001726804</v>
          </cell>
          <cell r="GB113">
            <v>0.2</v>
          </cell>
        </row>
        <row r="114">
          <cell r="N114">
            <v>100923.63435861902</v>
          </cell>
          <cell r="O114">
            <v>125227.14250820011</v>
          </cell>
          <cell r="P114">
            <v>136542.87591185258</v>
          </cell>
          <cell r="Q114">
            <v>110888.96565471216</v>
          </cell>
          <cell r="R114">
            <v>60065.79798455775</v>
          </cell>
          <cell r="S114">
            <v>6761.6343586190196</v>
          </cell>
          <cell r="T114">
            <v>8554.4882082000986</v>
          </cell>
          <cell r="U114">
            <v>9390.1957118525897</v>
          </cell>
          <cell r="V114">
            <v>7745.548454712145</v>
          </cell>
          <cell r="W114">
            <v>4235.1011845577596</v>
          </cell>
          <cell r="FZ114">
            <v>110</v>
          </cell>
          <cell r="GA114">
            <v>3335.745168176134</v>
          </cell>
          <cell r="GB114">
            <v>0.2</v>
          </cell>
        </row>
        <row r="115">
          <cell r="N115">
            <v>108170.57462756058</v>
          </cell>
          <cell r="O115">
            <v>134313.75644108024</v>
          </cell>
          <cell r="P115">
            <v>146454.49252248529</v>
          </cell>
          <cell r="Q115">
            <v>118996.80307381767</v>
          </cell>
          <cell r="R115">
            <v>64185.126836071002</v>
          </cell>
          <cell r="S115">
            <v>7246.9402689415583</v>
          </cell>
          <cell r="T115">
            <v>9086.6139328801364</v>
          </cell>
          <cell r="U115">
            <v>9911.6166106327146</v>
          </cell>
          <cell r="V115">
            <v>8107.8374191055191</v>
          </cell>
          <cell r="W115">
            <v>4119.3288515132517</v>
          </cell>
          <cell r="FZ115">
            <v>111</v>
          </cell>
          <cell r="GA115">
            <v>3402.4600715396568</v>
          </cell>
          <cell r="GB115">
            <v>0.2</v>
          </cell>
        </row>
        <row r="116">
          <cell r="N116">
            <v>115937.65289239788</v>
          </cell>
          <cell r="O116">
            <v>144025.56561258808</v>
          </cell>
          <cell r="P116">
            <v>157131.05708019441</v>
          </cell>
          <cell r="Q116">
            <v>127281.6481511673</v>
          </cell>
          <cell r="R116">
            <v>68560.235114671188</v>
          </cell>
          <cell r="S116">
            <v>7767.0782648372988</v>
          </cell>
          <cell r="T116">
            <v>9711.8091715078335</v>
          </cell>
          <cell r="U116">
            <v>10676.56455770912</v>
          </cell>
          <cell r="V116">
            <v>8284.8450773496297</v>
          </cell>
          <cell r="W116">
            <v>4375.1082786001862</v>
          </cell>
          <cell r="FZ116">
            <v>112</v>
          </cell>
          <cell r="GA116">
            <v>3470.5092729704502</v>
          </cell>
          <cell r="GB116">
            <v>0.2</v>
          </cell>
        </row>
        <row r="117">
          <cell r="N117">
            <v>124262.20125809284</v>
          </cell>
          <cell r="O117">
            <v>154403.07871412375</v>
          </cell>
          <cell r="P117">
            <v>168020.05489024971</v>
          </cell>
          <cell r="Q117">
            <v>135892.06275496984</v>
          </cell>
          <cell r="R117">
            <v>73232.577635356385</v>
          </cell>
          <cell r="S117">
            <v>8324.5483656949655</v>
          </cell>
          <cell r="T117">
            <v>10377.513101535675</v>
          </cell>
          <cell r="U117">
            <v>10888.997810055298</v>
          </cell>
          <cell r="V117">
            <v>8610.4146038025356</v>
          </cell>
          <cell r="W117">
            <v>4672.3425206851971</v>
          </cell>
          <cell r="FZ117">
            <v>113</v>
          </cell>
          <cell r="GA117">
            <v>3539.9194584298593</v>
          </cell>
          <cell r="GB117">
            <v>0.2</v>
          </cell>
        </row>
        <row r="118">
          <cell r="N118">
            <v>133184.23128404454</v>
          </cell>
          <cell r="O118">
            <v>165023.65895812085</v>
          </cell>
          <cell r="P118">
            <v>179267.13343207428</v>
          </cell>
          <cell r="Q118">
            <v>144933.39673079786</v>
          </cell>
          <cell r="R118">
            <v>78162.640500292429</v>
          </cell>
          <cell r="S118">
            <v>8922.0300259516953</v>
          </cell>
          <cell r="T118">
            <v>10620.580243997101</v>
          </cell>
          <cell r="U118">
            <v>11247.078541824565</v>
          </cell>
          <cell r="V118">
            <v>9041.3339758280199</v>
          </cell>
          <cell r="W118">
            <v>4930.0628649360442</v>
          </cell>
          <cell r="FZ118">
            <v>114</v>
          </cell>
          <cell r="GA118">
            <v>3610.7178475984565</v>
          </cell>
          <cell r="GB118">
            <v>0.2</v>
          </cell>
        </row>
        <row r="119">
          <cell r="N119">
            <v>142746.62629781148</v>
          </cell>
          <cell r="O119">
            <v>176664.15566242993</v>
          </cell>
          <cell r="P119">
            <v>191912.2882198116</v>
          </cell>
          <cell r="Q119">
            <v>155435.24978192279</v>
          </cell>
          <cell r="R119">
            <v>83774.581467904514</v>
          </cell>
          <cell r="S119">
            <v>9562.3950137669453</v>
          </cell>
          <cell r="T119">
            <v>11640.496704309073</v>
          </cell>
          <cell r="U119">
            <v>12645.154787737323</v>
          </cell>
          <cell r="V119">
            <v>10501.853051124926</v>
          </cell>
          <cell r="W119">
            <v>5611.9409676120849</v>
          </cell>
          <cell r="FZ119">
            <v>115</v>
          </cell>
          <cell r="GA119">
            <v>3682.9322045504259</v>
          </cell>
          <cell r="GB119">
            <v>0.2</v>
          </cell>
        </row>
        <row r="120">
          <cell r="N120">
            <v>152995.34751185621</v>
          </cell>
          <cell r="O120">
            <v>189392.60808634528</v>
          </cell>
          <cell r="P120">
            <v>205902.80167436381</v>
          </cell>
          <cell r="Q120">
            <v>166663.48622055128</v>
          </cell>
          <cell r="R120">
            <v>89926.341485908968</v>
          </cell>
          <cell r="S120">
            <v>10248.721214044723</v>
          </cell>
          <cell r="T120">
            <v>12728.452423915354</v>
          </cell>
          <cell r="U120">
            <v>13990.513454552216</v>
          </cell>
          <cell r="V120">
            <v>11228.23643862849</v>
          </cell>
          <cell r="W120">
            <v>6151.7600180044537</v>
          </cell>
          <cell r="FZ120">
            <v>116</v>
          </cell>
          <cell r="GA120">
            <v>3756.5908486414346</v>
          </cell>
          <cell r="GB120">
            <v>0.2</v>
          </cell>
        </row>
        <row r="121">
          <cell r="N121">
            <v>163979.6549340027</v>
          </cell>
          <cell r="O121">
            <v>203037.82635172849</v>
          </cell>
          <cell r="P121">
            <v>220782.92035816269</v>
          </cell>
          <cell r="Q121">
            <v>178959.55288973456</v>
          </cell>
          <cell r="R121">
            <v>96419.324146172134</v>
          </cell>
          <cell r="S121">
            <v>10984.307422146492</v>
          </cell>
          <cell r="T121">
            <v>13645.218265383213</v>
          </cell>
          <cell r="U121">
            <v>14880.118683798879</v>
          </cell>
          <cell r="V121">
            <v>12296.066669183288</v>
          </cell>
          <cell r="W121">
            <v>6492.9826602631656</v>
          </cell>
          <cell r="FZ121">
            <v>117</v>
          </cell>
          <cell r="GA121">
            <v>3831.7226656142634</v>
          </cell>
          <cell r="GB121">
            <v>0.2</v>
          </cell>
        </row>
        <row r="122">
          <cell r="N122">
            <v>175752.34413339914</v>
          </cell>
          <cell r="O122">
            <v>217768.23442036819</v>
          </cell>
          <cell r="P122">
            <v>237016.17266548204</v>
          </cell>
          <cell r="Q122">
            <v>191925.76256711851</v>
          </cell>
          <cell r="R122">
            <v>103026.78827162522</v>
          </cell>
          <cell r="S122">
            <v>11772.689199396438</v>
          </cell>
          <cell r="T122">
            <v>14730.408068639692</v>
          </cell>
          <cell r="U122">
            <v>16233.252307319344</v>
          </cell>
          <cell r="V122">
            <v>12966.209677383944</v>
          </cell>
          <cell r="W122">
            <v>6607.464125453087</v>
          </cell>
          <cell r="FZ122">
            <v>118</v>
          </cell>
          <cell r="GA122">
            <v>3908.3571189265485</v>
          </cell>
          <cell r="GB122">
            <v>0.2</v>
          </cell>
        </row>
        <row r="123">
          <cell r="N123">
            <v>188370</v>
          </cell>
          <cell r="O123">
            <v>233566.92449999999</v>
          </cell>
          <cell r="P123">
            <v>254069.361</v>
          </cell>
          <cell r="Q123">
            <v>204818.796</v>
          </cell>
          <cell r="R123">
            <v>110001.52799999999</v>
          </cell>
          <cell r="S123">
            <v>12617.655866600864</v>
          </cell>
          <cell r="T123">
            <v>15798.690079631808</v>
          </cell>
          <cell r="U123">
            <v>17053.188334517967</v>
          </cell>
          <cell r="V123">
            <v>12893.033432881493</v>
          </cell>
          <cell r="W123">
            <v>6974.7397283747705</v>
          </cell>
          <cell r="FZ123">
            <v>119</v>
          </cell>
          <cell r="GA123">
            <v>3986.5242613050796</v>
          </cell>
          <cell r="GB123">
            <v>0.2</v>
          </cell>
        </row>
        <row r="124">
          <cell r="N124">
            <v>201893.26871723824</v>
          </cell>
          <cell r="O124">
            <v>250011.4570271202</v>
          </cell>
          <cell r="P124">
            <v>271071.11944637942</v>
          </cell>
          <cell r="Q124">
            <v>218573.6027989744</v>
          </cell>
          <cell r="R124">
            <v>117763.02694753431</v>
          </cell>
          <cell r="S124">
            <v>13523.268717238243</v>
          </cell>
          <cell r="T124">
            <v>16444.532527120202</v>
          </cell>
          <cell r="U124">
            <v>17001.758446379419</v>
          </cell>
          <cell r="V124">
            <v>13754.806798974401</v>
          </cell>
          <cell r="W124">
            <v>7761.4989475343173</v>
          </cell>
          <cell r="FZ124">
            <v>120</v>
          </cell>
          <cell r="GA124">
            <v>4066.2547465311814</v>
          </cell>
          <cell r="GB124">
            <v>0.2</v>
          </cell>
        </row>
        <row r="125">
          <cell r="N125">
            <v>216387.14925512118</v>
          </cell>
          <cell r="O125">
            <v>267297.87099954294</v>
          </cell>
          <cell r="P125">
            <v>289717.93169660447</v>
          </cell>
          <cell r="Q125">
            <v>233925.79810909499</v>
          </cell>
          <cell r="R125">
            <v>126071.85722449567</v>
          </cell>
          <cell r="S125">
            <v>14493.880537882942</v>
          </cell>
          <cell r="T125">
            <v>17286.413972422743</v>
          </cell>
          <cell r="U125">
            <v>18646.812250225048</v>
          </cell>
          <cell r="V125">
            <v>15352.195310120587</v>
          </cell>
          <cell r="W125">
            <v>8308.8302769613656</v>
          </cell>
          <cell r="FZ125">
            <v>121</v>
          </cell>
          <cell r="GA125">
            <v>4147.5798414618048</v>
          </cell>
          <cell r="GB125">
            <v>0.2</v>
          </cell>
        </row>
        <row r="126">
          <cell r="N126">
            <v>231921.30578479578</v>
          </cell>
          <cell r="O126">
            <v>286486.84309168946</v>
          </cell>
          <cell r="P126">
            <v>311204.61252083164</v>
          </cell>
          <cell r="Q126">
            <v>251601.8452876425</v>
          </cell>
          <cell r="R126">
            <v>135589.76636657064</v>
          </cell>
          <cell r="S126">
            <v>15534.156529674598</v>
          </cell>
          <cell r="T126">
            <v>19188.97209214652</v>
          </cell>
          <cell r="U126">
            <v>21486.680824227165</v>
          </cell>
          <cell r="V126">
            <v>17676.047178547509</v>
          </cell>
          <cell r="W126">
            <v>9517.909142074961</v>
          </cell>
          <cell r="FZ126">
            <v>122</v>
          </cell>
          <cell r="GA126">
            <v>4230.531438291041</v>
          </cell>
          <cell r="GB126">
            <v>0.2</v>
          </cell>
        </row>
        <row r="127">
          <cell r="N127">
            <v>248570.40251618548</v>
          </cell>
          <cell r="O127">
            <v>307632.35126535187</v>
          </cell>
          <cell r="P127">
            <v>334086.18616791681</v>
          </cell>
          <cell r="Q127">
            <v>270276.00236025098</v>
          </cell>
          <cell r="R127">
            <v>145824.36700656047</v>
          </cell>
          <cell r="S127">
            <v>16649.096731389698</v>
          </cell>
          <cell r="T127">
            <v>21145.508173662412</v>
          </cell>
          <cell r="U127">
            <v>22881.57364708517</v>
          </cell>
          <cell r="V127">
            <v>18674.157072608476</v>
          </cell>
          <cell r="W127">
            <v>10234.600639989832</v>
          </cell>
          <cell r="FZ127">
            <v>123</v>
          </cell>
          <cell r="GA127">
            <v>4315.1420670568623</v>
          </cell>
          <cell r="GB127">
            <v>0.2</v>
          </cell>
        </row>
        <row r="128">
          <cell r="N128">
            <v>266414.46256808913</v>
          </cell>
          <cell r="O128">
            <v>329561.0609773529</v>
          </cell>
          <cell r="P128">
            <v>358543.47953351011</v>
          </cell>
          <cell r="Q128">
            <v>290095.8124810165</v>
          </cell>
          <cell r="R128">
            <v>155517.12587662143</v>
          </cell>
          <cell r="S128">
            <v>17844.060051903652</v>
          </cell>
          <cell r="T128">
            <v>21928.709712001029</v>
          </cell>
          <cell r="U128">
            <v>24457.293365593301</v>
          </cell>
          <cell r="V128">
            <v>19819.810120765527</v>
          </cell>
          <cell r="W128">
            <v>9692.7588700609631</v>
          </cell>
          <cell r="FZ128">
            <v>124</v>
          </cell>
          <cell r="GA128">
            <v>4401.4449083979998</v>
          </cell>
          <cell r="GB128">
            <v>0.2</v>
          </cell>
        </row>
        <row r="129">
          <cell r="N129">
            <v>285539.25259562297</v>
          </cell>
          <cell r="O129">
            <v>353717.95652788441</v>
          </cell>
          <cell r="P129">
            <v>384564.26539578498</v>
          </cell>
          <cell r="Q129">
            <v>309705.805165303</v>
          </cell>
          <cell r="R129">
            <v>165849.88823261682</v>
          </cell>
          <cell r="S129">
            <v>19124.790027533832</v>
          </cell>
          <cell r="T129">
            <v>24156.89555053151</v>
          </cell>
          <cell r="U129">
            <v>26020.785862274875</v>
          </cell>
          <cell r="V129">
            <v>19609.992684286495</v>
          </cell>
          <cell r="W129">
            <v>10332.762355995394</v>
          </cell>
          <cell r="FZ129">
            <v>125</v>
          </cell>
          <cell r="GA129">
            <v>4489.4738065659603</v>
          </cell>
          <cell r="GB129">
            <v>0.2</v>
          </cell>
        </row>
        <row r="130">
          <cell r="N130">
            <v>306036.69502371247</v>
          </cell>
          <cell r="O130">
            <v>379109.60893225478</v>
          </cell>
          <cell r="P130">
            <v>410293.41756084486</v>
          </cell>
          <cell r="Q130">
            <v>329950.8015511632</v>
          </cell>
          <cell r="R130">
            <v>177138.69615986643</v>
          </cell>
          <cell r="S130">
            <v>20497.442428089504</v>
          </cell>
          <cell r="T130">
            <v>25391.652404370368</v>
          </cell>
          <cell r="U130">
            <v>25729.152165059873</v>
          </cell>
          <cell r="V130">
            <v>20244.996385860199</v>
          </cell>
          <cell r="W130">
            <v>11288.807927249611</v>
          </cell>
          <cell r="FZ130">
            <v>126</v>
          </cell>
          <cell r="GA130">
            <v>4579.2632826972795</v>
          </cell>
          <cell r="GB130">
            <v>0.2</v>
          </cell>
        </row>
        <row r="131">
          <cell r="N131">
            <v>328005.30986800481</v>
          </cell>
          <cell r="O131">
            <v>404412.72069171362</v>
          </cell>
          <cell r="P131">
            <v>437345.16685748287</v>
          </cell>
          <cell r="Q131">
            <v>352167.17926991213</v>
          </cell>
          <cell r="R131">
            <v>189413.79673349392</v>
          </cell>
          <cell r="S131">
            <v>21968.614844292344</v>
          </cell>
          <cell r="T131">
            <v>25303.111759458843</v>
          </cell>
          <cell r="U131">
            <v>27051.749296638009</v>
          </cell>
          <cell r="V131">
            <v>22216.377718748932</v>
          </cell>
          <cell r="W131">
            <v>12275.100573627482</v>
          </cell>
          <cell r="FZ131">
            <v>127</v>
          </cell>
          <cell r="GA131">
            <v>4670.848548351225</v>
          </cell>
          <cell r="GB131">
            <v>0.2</v>
          </cell>
        </row>
        <row r="132">
          <cell r="N132">
            <v>351550.68826679827</v>
          </cell>
          <cell r="O132">
            <v>433442.89261729561</v>
          </cell>
          <cell r="P132">
            <v>469504.35082720249</v>
          </cell>
          <cell r="Q132">
            <v>378706.45045415516</v>
          </cell>
          <cell r="R132">
            <v>203482.88805320952</v>
          </cell>
          <cell r="S132">
            <v>23545.378398793458</v>
          </cell>
          <cell r="T132">
            <v>29030.171925581992</v>
          </cell>
          <cell r="U132">
            <v>32159.183969719626</v>
          </cell>
          <cell r="V132">
            <v>26539.271184243029</v>
          </cell>
          <cell r="W132">
            <v>14069.091319715604</v>
          </cell>
          <cell r="FZ132">
            <v>128</v>
          </cell>
          <cell r="GA132">
            <v>4764.26551931825</v>
          </cell>
          <cell r="GB132">
            <v>0.2</v>
          </cell>
        </row>
        <row r="133">
          <cell r="N133">
            <v>376786</v>
          </cell>
          <cell r="O133">
            <v>465105.45750000002</v>
          </cell>
          <cell r="P133">
            <v>504324.78460000001</v>
          </cell>
          <cell r="Q133">
            <v>406987.85519999999</v>
          </cell>
          <cell r="R133">
            <v>218848.77620000002</v>
          </cell>
          <cell r="S133">
            <v>25235.311733201728</v>
          </cell>
          <cell r="T133">
            <v>31662.564882704406</v>
          </cell>
          <cell r="U133">
            <v>34820.433772797522</v>
          </cell>
          <cell r="V133">
            <v>28281.404745844833</v>
          </cell>
          <cell r="W133">
            <v>15365.888146790501</v>
          </cell>
          <cell r="FZ133">
            <v>129</v>
          </cell>
          <cell r="GA133">
            <v>4859.5508297046154</v>
          </cell>
          <cell r="GB133">
            <v>0.2</v>
          </cell>
        </row>
        <row r="134">
          <cell r="N134">
            <v>403832.53743447649</v>
          </cell>
          <cell r="O134">
            <v>498727.03845383495</v>
          </cell>
          <cell r="P134">
            <v>541005.67143276311</v>
          </cell>
          <cell r="Q134">
            <v>437197.00609794882</v>
          </cell>
          <cell r="R134">
            <v>234377.38155240606</v>
          </cell>
          <cell r="S134">
            <v>27046.537434476486</v>
          </cell>
          <cell r="T134">
            <v>33621.580953834928</v>
          </cell>
          <cell r="U134">
            <v>36680.886832763092</v>
          </cell>
          <cell r="V134">
            <v>30209.150897948828</v>
          </cell>
          <cell r="W134">
            <v>15528.605352406041</v>
          </cell>
          <cell r="FZ134">
            <v>130</v>
          </cell>
          <cell r="GA134">
            <v>4956.741846298708</v>
          </cell>
          <cell r="GB134">
            <v>0.2</v>
          </cell>
        </row>
        <row r="135">
          <cell r="N135">
            <v>432820.29851024237</v>
          </cell>
          <cell r="O135">
            <v>534904.72956865281</v>
          </cell>
          <cell r="P135">
            <v>581124.29196739208</v>
          </cell>
          <cell r="Q135">
            <v>468095.15283882717</v>
          </cell>
          <cell r="R135">
            <v>250426.06106325664</v>
          </cell>
          <cell r="S135">
            <v>28987.761075765884</v>
          </cell>
          <cell r="T135">
            <v>36177.691114817862</v>
          </cell>
          <cell r="U135">
            <v>40118.620534628979</v>
          </cell>
          <cell r="V135">
            <v>30898.14674087835</v>
          </cell>
          <cell r="W135">
            <v>16048.679510850576</v>
          </cell>
          <cell r="FZ135">
            <v>131</v>
          </cell>
          <cell r="GA135">
            <v>5055.876683224682</v>
          </cell>
          <cell r="GB135">
            <v>0.2</v>
          </cell>
        </row>
        <row r="136">
          <cell r="N136">
            <v>463888.61156959157</v>
          </cell>
          <cell r="O136">
            <v>573706.17273066507</v>
          </cell>
          <cell r="P136">
            <v>621277.94984712673</v>
          </cell>
          <cell r="Q136">
            <v>499306.50706292992</v>
          </cell>
          <cell r="R136">
            <v>267363.20973163756</v>
          </cell>
          <cell r="S136">
            <v>31068.313059349195</v>
          </cell>
          <cell r="T136">
            <v>38801.443162012263</v>
          </cell>
          <cell r="U136">
            <v>40153.657879734645</v>
          </cell>
          <cell r="V136">
            <v>31211.354224102746</v>
          </cell>
          <cell r="W136">
            <v>16937.14866838092</v>
          </cell>
          <cell r="FZ136">
            <v>132</v>
          </cell>
          <cell r="GA136">
            <v>5156.9942168891757</v>
          </cell>
          <cell r="GB136">
            <v>0.2</v>
          </cell>
        </row>
        <row r="137">
          <cell r="N137">
            <v>497186.80503237102</v>
          </cell>
          <cell r="O137">
            <v>613149.14226088859</v>
          </cell>
          <cell r="P137">
            <v>662824.58912890544</v>
          </cell>
          <cell r="Q137">
            <v>533031.81199344399</v>
          </cell>
          <cell r="R137">
            <v>285886.73625713534</v>
          </cell>
          <cell r="S137">
            <v>33298.193462779454</v>
          </cell>
          <cell r="T137">
            <v>39442.96953022352</v>
          </cell>
          <cell r="U137">
            <v>41546.639281778713</v>
          </cell>
          <cell r="V137">
            <v>33725.304930514074</v>
          </cell>
          <cell r="W137">
            <v>18523.526525497786</v>
          </cell>
          <cell r="FZ137">
            <v>133</v>
          </cell>
          <cell r="GA137">
            <v>5260.1341012269595</v>
          </cell>
          <cell r="GB137">
            <v>0.2</v>
          </cell>
        </row>
        <row r="138">
          <cell r="N138">
            <v>532874.92513617827</v>
          </cell>
          <cell r="O138">
            <v>656384.90696899174</v>
          </cell>
          <cell r="P138">
            <v>709453.45739380363</v>
          </cell>
          <cell r="Q138">
            <v>571531.52568355715</v>
          </cell>
          <cell r="R138">
            <v>306884.98623342562</v>
          </cell>
          <cell r="S138">
            <v>35688.120103807247</v>
          </cell>
          <cell r="T138">
            <v>43235.764708103146</v>
          </cell>
          <cell r="U138">
            <v>46628.868264898192</v>
          </cell>
          <cell r="V138">
            <v>38499.71369011316</v>
          </cell>
          <cell r="W138">
            <v>20998.249976290273</v>
          </cell>
          <cell r="FZ138">
            <v>134</v>
          </cell>
          <cell r="GA138">
            <v>5365.3367832514987</v>
          </cell>
          <cell r="GB138">
            <v>0.2</v>
          </cell>
        </row>
        <row r="139">
          <cell r="N139">
            <v>571124.50519124593</v>
          </cell>
          <cell r="O139">
            <v>703999.10447401193</v>
          </cell>
          <cell r="P139">
            <v>762976.40066008712</v>
          </cell>
          <cell r="Q139">
            <v>614601.97893643519</v>
          </cell>
          <cell r="R139">
            <v>330064.0257251226</v>
          </cell>
          <cell r="S139">
            <v>38249.580055067665</v>
          </cell>
          <cell r="T139">
            <v>47614.197505020187</v>
          </cell>
          <cell r="U139">
            <v>53522.943266283488</v>
          </cell>
          <cell r="V139">
            <v>43070.45325287804</v>
          </cell>
          <cell r="W139">
            <v>23179.039491696982</v>
          </cell>
          <cell r="FZ139">
            <v>135</v>
          </cell>
          <cell r="GA139">
            <v>5472.6435189165286</v>
          </cell>
          <cell r="GB139">
            <v>0.2</v>
          </cell>
        </row>
        <row r="140">
          <cell r="N140">
            <v>612119.39004742505</v>
          </cell>
          <cell r="O140">
            <v>755423.19272915821</v>
          </cell>
          <cell r="P140">
            <v>818589.92169907386</v>
          </cell>
          <cell r="Q140">
            <v>659951.19760232652</v>
          </cell>
          <cell r="R140">
            <v>354166.95630413538</v>
          </cell>
          <cell r="S140">
            <v>40994.884856179124</v>
          </cell>
          <cell r="T140">
            <v>51424.088255146286</v>
          </cell>
          <cell r="U140">
            <v>55613.521038986742</v>
          </cell>
          <cell r="V140">
            <v>45349.218665891327</v>
          </cell>
          <cell r="W140">
            <v>24102.930579012784</v>
          </cell>
          <cell r="FZ140">
            <v>136</v>
          </cell>
          <cell r="GA140">
            <v>5582.0963892948594</v>
          </cell>
          <cell r="GB140">
            <v>0.2</v>
          </cell>
        </row>
        <row r="141">
          <cell r="N141">
            <v>656056.61973600974</v>
          </cell>
          <cell r="O141">
            <v>809646.60546642425</v>
          </cell>
          <cell r="P141">
            <v>877996.29556257313</v>
          </cell>
          <cell r="Q141">
            <v>707762.43863146473</v>
          </cell>
          <cell r="R141">
            <v>378119.65899489215</v>
          </cell>
          <cell r="S141">
            <v>43937.229688584688</v>
          </cell>
          <cell r="T141">
            <v>54223.412737266044</v>
          </cell>
          <cell r="U141">
            <v>59406.373863499262</v>
          </cell>
          <cell r="V141">
            <v>47811.241029138211</v>
          </cell>
          <cell r="W141">
            <v>23952.702690756763</v>
          </cell>
          <cell r="FZ141">
            <v>137</v>
          </cell>
          <cell r="GA141">
            <v>5693.738317080757</v>
          </cell>
          <cell r="GB141">
            <v>0.2</v>
          </cell>
        </row>
        <row r="142">
          <cell r="N142">
            <v>703147.37653359666</v>
          </cell>
          <cell r="O142">
            <v>868171.48006227182</v>
          </cell>
          <cell r="P142">
            <v>941156.64916520589</v>
          </cell>
          <cell r="Q142">
            <v>755573.12777918961</v>
          </cell>
          <cell r="R142">
            <v>403843.52422455128</v>
          </cell>
          <cell r="S142">
            <v>47090.756797586917</v>
          </cell>
          <cell r="T142">
            <v>58524.874595847563</v>
          </cell>
          <cell r="U142">
            <v>63160.353602632764</v>
          </cell>
          <cell r="V142">
            <v>47810.689147724886</v>
          </cell>
          <cell r="W142">
            <v>25723.865229659132</v>
          </cell>
          <cell r="FZ142">
            <v>138</v>
          </cell>
          <cell r="GA142">
            <v>5807.6130834223723</v>
          </cell>
          <cell r="GB142">
            <v>0.2</v>
          </cell>
        </row>
        <row r="143">
          <cell r="N143">
            <v>753618</v>
          </cell>
          <cell r="O143">
            <v>930048.16530000011</v>
          </cell>
          <cell r="P143">
            <v>1004387.6661</v>
          </cell>
          <cell r="Q143">
            <v>806263.13219999999</v>
          </cell>
          <cell r="R143">
            <v>431818.19910000003</v>
          </cell>
          <cell r="S143">
            <v>50470.62346640334</v>
          </cell>
          <cell r="T143">
            <v>61876.685237728292</v>
          </cell>
          <cell r="U143">
            <v>63231.016934794141</v>
          </cell>
          <cell r="V143">
            <v>50690.004420810379</v>
          </cell>
          <cell r="W143">
            <v>27974.674875448749</v>
          </cell>
          <cell r="FZ143">
            <v>139</v>
          </cell>
          <cell r="GA143">
            <v>5923.7653450908201</v>
          </cell>
          <cell r="GB143">
            <v>0.2</v>
          </cell>
        </row>
        <row r="144">
          <cell r="N144">
            <v>807711.07486895169</v>
          </cell>
          <cell r="O144">
            <v>994216.82973711565</v>
          </cell>
          <cell r="P144">
            <v>1072805.3614282238</v>
          </cell>
          <cell r="Q144">
            <v>863230.67590434593</v>
          </cell>
          <cell r="R144">
            <v>462451.46412893618</v>
          </cell>
          <cell r="S144">
            <v>54093.074868951691</v>
          </cell>
          <cell r="T144">
            <v>64168.664437115542</v>
          </cell>
          <cell r="U144">
            <v>68417.695328223752</v>
          </cell>
          <cell r="V144">
            <v>56967.543704345939</v>
          </cell>
          <cell r="W144">
            <v>30633.265028936148</v>
          </cell>
          <cell r="FZ144">
            <v>140</v>
          </cell>
          <cell r="GA144">
            <v>6042.2406519926362</v>
          </cell>
          <cell r="GB144">
            <v>0.2</v>
          </cell>
        </row>
        <row r="145">
          <cell r="N145">
            <v>865686.59702048497</v>
          </cell>
          <cell r="O145">
            <v>1065579.2780546695</v>
          </cell>
          <cell r="P145">
            <v>1152720.0436817054</v>
          </cell>
          <cell r="Q145">
            <v>927323.48272834357</v>
          </cell>
          <cell r="R145">
            <v>496808.12839313212</v>
          </cell>
          <cell r="S145">
            <v>57975.522151533281</v>
          </cell>
          <cell r="T145">
            <v>71362.448317553848</v>
          </cell>
          <cell r="U145">
            <v>79914.682253481587</v>
          </cell>
          <cell r="V145">
            <v>64092.806823997642</v>
          </cell>
          <cell r="W145">
            <v>34356.664264195948</v>
          </cell>
          <cell r="FZ145">
            <v>141</v>
          </cell>
          <cell r="GA145">
            <v>6163.0854650324891</v>
          </cell>
          <cell r="GB145">
            <v>0.2</v>
          </cell>
        </row>
        <row r="146">
          <cell r="N146">
            <v>927823.22313918336</v>
          </cell>
          <cell r="O146">
            <v>1143415.0510776134</v>
          </cell>
          <cell r="P146">
            <v>1237111.0775656232</v>
          </cell>
          <cell r="Q146">
            <v>995961.75384372217</v>
          </cell>
          <cell r="R146">
            <v>534129.6764981664</v>
          </cell>
          <cell r="S146">
            <v>62136.62611869839</v>
          </cell>
          <cell r="T146">
            <v>77835.773022943875</v>
          </cell>
          <cell r="U146">
            <v>84391.033883917844</v>
          </cell>
          <cell r="V146">
            <v>68638.271115378593</v>
          </cell>
          <cell r="W146">
            <v>37321.548105034279</v>
          </cell>
          <cell r="FZ146">
            <v>142</v>
          </cell>
          <cell r="GA146">
            <v>6286.3471743331393</v>
          </cell>
          <cell r="GB146">
            <v>0.2</v>
          </cell>
        </row>
        <row r="147">
          <cell r="N147">
            <v>994419.61006474204</v>
          </cell>
          <cell r="O147">
            <v>1225485.977153851</v>
          </cell>
          <cell r="P147">
            <v>1327284.2802798264</v>
          </cell>
          <cell r="Q147">
            <v>1069230.2296862649</v>
          </cell>
          <cell r="R147">
            <v>571354.59587150253</v>
          </cell>
          <cell r="S147">
            <v>66596.386925558676</v>
          </cell>
          <cell r="T147">
            <v>82070.926076237578</v>
          </cell>
          <cell r="U147">
            <v>90173.202714203158</v>
          </cell>
          <cell r="V147">
            <v>73268.475842542714</v>
          </cell>
          <cell r="W147">
            <v>37224.919373336132</v>
          </cell>
          <cell r="FZ147">
            <v>143</v>
          </cell>
          <cell r="GA147">
            <v>6412.0741178198023</v>
          </cell>
          <cell r="GB147">
            <v>0.2</v>
          </cell>
        </row>
        <row r="148">
          <cell r="N148">
            <v>1065795.8502723568</v>
          </cell>
          <cell r="O148">
            <v>1315310.2435586185</v>
          </cell>
          <cell r="P148">
            <v>1424239.2133514546</v>
          </cell>
          <cell r="Q148">
            <v>1143828.3251447973</v>
          </cell>
          <cell r="R148">
            <v>610455.42577099777</v>
          </cell>
          <cell r="S148">
            <v>71376.240207614726</v>
          </cell>
          <cell r="T148">
            <v>89824.266404767521</v>
          </cell>
          <cell r="U148">
            <v>96954.933071628213</v>
          </cell>
          <cell r="V148">
            <v>74598.095458532451</v>
          </cell>
          <cell r="W148">
            <v>39100.829899495235</v>
          </cell>
          <cell r="FZ148">
            <v>144</v>
          </cell>
          <cell r="GA148">
            <v>6540.3156001761981</v>
          </cell>
          <cell r="GB148">
            <v>0.2</v>
          </cell>
        </row>
        <row r="149">
          <cell r="N149">
            <v>1142295.0103824921</v>
          </cell>
          <cell r="O149">
            <v>1409385.933060122</v>
          </cell>
          <cell r="P149">
            <v>1521494.7385790958</v>
          </cell>
          <cell r="Q149">
            <v>1220301.3433415035</v>
          </cell>
          <cell r="R149">
            <v>651458.29417120293</v>
          </cell>
          <cell r="S149">
            <v>76499.16011013533</v>
          </cell>
          <cell r="T149">
            <v>94075.689501503482</v>
          </cell>
          <cell r="U149">
            <v>97255.525227641221</v>
          </cell>
          <cell r="V149">
            <v>76473.018196706194</v>
          </cell>
          <cell r="W149">
            <v>41002.86840020516</v>
          </cell>
          <cell r="FZ149">
            <v>145</v>
          </cell>
          <cell r="GA149">
            <v>6671.1219121797221</v>
          </cell>
          <cell r="GB149">
            <v>0.2</v>
          </cell>
        </row>
        <row r="150">
          <cell r="N150">
            <v>1224284.7800948501</v>
          </cell>
          <cell r="O150">
            <v>1505553.5623670323</v>
          </cell>
          <cell r="P150">
            <v>1623194.0222908854</v>
          </cell>
          <cell r="Q150">
            <v>1301036.7898521877</v>
          </cell>
          <cell r="R150">
            <v>695750.39457329374</v>
          </cell>
          <cell r="S150">
            <v>81989.769712358015</v>
          </cell>
          <cell r="T150">
            <v>96167.629306910327</v>
          </cell>
          <cell r="U150">
            <v>101699.28371178964</v>
          </cell>
          <cell r="V150">
            <v>80735.446510684211</v>
          </cell>
          <cell r="W150">
            <v>44292.100402090815</v>
          </cell>
          <cell r="FZ150">
            <v>146</v>
          </cell>
          <cell r="GA150">
            <v>6804.5443504233162</v>
          </cell>
          <cell r="GB150">
            <v>0.2</v>
          </cell>
        </row>
        <row r="151">
          <cell r="N151">
            <v>1312159.2394720195</v>
          </cell>
          <cell r="O151">
            <v>1613616.414660373</v>
          </cell>
          <cell r="P151">
            <v>1740738.9722844393</v>
          </cell>
          <cell r="Q151">
            <v>1397358.3093949549</v>
          </cell>
          <cell r="R151">
            <v>745982.49528044381</v>
          </cell>
          <cell r="S151">
            <v>87874.459377169376</v>
          </cell>
          <cell r="T151">
            <v>108062.85229334072</v>
          </cell>
          <cell r="U151">
            <v>117544.9499935538</v>
          </cell>
          <cell r="V151">
            <v>96321.519542767201</v>
          </cell>
          <cell r="W151">
            <v>50232.100707150064</v>
          </cell>
          <cell r="FZ151">
            <v>147</v>
          </cell>
          <cell r="GA151">
            <v>6940.635237431783</v>
          </cell>
          <cell r="GB151">
            <v>0.2</v>
          </cell>
        </row>
        <row r="152">
          <cell r="N152">
            <v>1406340.7530671936</v>
          </cell>
          <cell r="O152">
            <v>1729844.985210248</v>
          </cell>
          <cell r="P152">
            <v>1867351.4809726463</v>
          </cell>
          <cell r="Q152">
            <v>1498599.763730908</v>
          </cell>
          <cell r="R152">
            <v>800155.91503261973</v>
          </cell>
          <cell r="S152">
            <v>94181.513595174067</v>
          </cell>
          <cell r="T152">
            <v>116228.57054987503</v>
          </cell>
          <cell r="U152">
            <v>126612.50868820702</v>
          </cell>
          <cell r="V152">
            <v>101241.45433595311</v>
          </cell>
          <cell r="W152">
            <v>54173.41975217592</v>
          </cell>
          <cell r="FZ152">
            <v>148</v>
          </cell>
          <cell r="GA152">
            <v>7079.447942180419</v>
          </cell>
          <cell r="GB152">
            <v>0.2</v>
          </cell>
        </row>
        <row r="153">
          <cell r="N153">
            <v>1507282</v>
          </cell>
          <cell r="O153">
            <v>1854006.0105000001</v>
          </cell>
          <cell r="P153">
            <v>2001680.3260999999</v>
          </cell>
          <cell r="Q153">
            <v>1607175.4762000002</v>
          </cell>
          <cell r="R153">
            <v>860625.25500000012</v>
          </cell>
          <cell r="S153">
            <v>100941.24693280645</v>
          </cell>
          <cell r="T153">
            <v>124161.02528975205</v>
          </cell>
          <cell r="U153">
            <v>134328.84512735368</v>
          </cell>
          <cell r="V153">
            <v>108575.7124690921</v>
          </cell>
          <cell r="W153">
            <v>60469.339967380394</v>
          </cell>
          <cell r="FZ153">
            <v>149</v>
          </cell>
          <cell r="GA153">
            <v>7221.0369010240274</v>
          </cell>
          <cell r="GB153">
            <v>0.2</v>
          </cell>
        </row>
        <row r="154">
          <cell r="N154">
            <v>1615468.1497379036</v>
          </cell>
          <cell r="O154">
            <v>1988019.6882784385</v>
          </cell>
          <cell r="P154">
            <v>2146950.1472271094</v>
          </cell>
          <cell r="Q154">
            <v>1730851.2063892924</v>
          </cell>
          <cell r="R154">
            <v>936866.17022952298</v>
          </cell>
          <cell r="S154">
            <v>108186.14973790362</v>
          </cell>
          <cell r="T154">
            <v>134013.67777843843</v>
          </cell>
          <cell r="U154">
            <v>145269.82112710946</v>
          </cell>
          <cell r="V154">
            <v>123675.73018929223</v>
          </cell>
          <cell r="W154">
            <v>76240.915229522856</v>
          </cell>
          <cell r="FZ154">
            <v>150</v>
          </cell>
          <cell r="GA154">
            <v>7365.4576390445081</v>
          </cell>
          <cell r="GB154">
            <v>0.2</v>
          </cell>
        </row>
        <row r="155">
          <cell r="N155">
            <v>1731419.1940409699</v>
          </cell>
          <cell r="O155">
            <v>2130206.4379310715</v>
          </cell>
          <cell r="P155">
            <v>2313721.8166803354</v>
          </cell>
          <cell r="Q155">
            <v>1880283.6051807969</v>
          </cell>
          <cell r="R155">
            <v>1453827.5297789667</v>
          </cell>
          <cell r="S155">
            <v>115951.04430306633</v>
          </cell>
          <cell r="T155">
            <v>142186.74965263298</v>
          </cell>
          <cell r="U155">
            <v>166771.66945322603</v>
          </cell>
          <cell r="V155">
            <v>149432.39879150456</v>
          </cell>
          <cell r="W155">
            <v>516961.3595494437</v>
          </cell>
          <cell r="FZ155">
            <v>151</v>
          </cell>
          <cell r="GA155">
            <v>7512.7667918253983</v>
          </cell>
          <cell r="GB155">
            <v>0.2</v>
          </cell>
        </row>
        <row r="156">
          <cell r="N156">
            <v>1855692.4462783667</v>
          </cell>
          <cell r="O156">
            <v>2300130.7871620352</v>
          </cell>
          <cell r="P156">
            <v>2507322.8829030287</v>
          </cell>
          <cell r="Q156">
            <v>2493082.4604348489</v>
          </cell>
          <cell r="R156">
            <v>2493082.4604348489</v>
          </cell>
          <cell r="S156">
            <v>124273.25223739678</v>
          </cell>
          <cell r="T156">
            <v>169924.34923096374</v>
          </cell>
          <cell r="U156">
            <v>193601.06622269331</v>
          </cell>
          <cell r="V156">
            <v>612798.85525405197</v>
          </cell>
          <cell r="W156">
            <v>1039254.9306558822</v>
          </cell>
          <cell r="FZ156">
            <v>152</v>
          </cell>
          <cell r="GA156">
            <v>7663.0221276619068</v>
          </cell>
          <cell r="GB156">
            <v>0.2</v>
          </cell>
        </row>
        <row r="157">
          <cell r="N157">
            <v>1988885.2201294843</v>
          </cell>
          <cell r="O157">
            <v>2476810.6485895114</v>
          </cell>
          <cell r="P157">
            <v>3088609.0369554288</v>
          </cell>
          <cell r="Q157">
            <v>3518165.0078681773</v>
          </cell>
          <cell r="R157">
            <v>3518165.0078681773</v>
          </cell>
          <cell r="S157">
            <v>133192.77385111758</v>
          </cell>
          <cell r="T157">
            <v>176679.86142747616</v>
          </cell>
          <cell r="U157">
            <v>581286.15405240003</v>
          </cell>
          <cell r="V157">
            <v>1025082.5474333283</v>
          </cell>
          <cell r="W157">
            <v>1025082.5474333283</v>
          </cell>
          <cell r="FZ157">
            <v>153</v>
          </cell>
          <cell r="GA157">
            <v>7816.2825702151449</v>
          </cell>
          <cell r="GB157">
            <v>0.2</v>
          </cell>
        </row>
        <row r="158">
          <cell r="N158">
            <v>2131637.700544714</v>
          </cell>
          <cell r="O158">
            <v>2953263.5502346703</v>
          </cell>
          <cell r="P158">
            <v>4040667.5492225429</v>
          </cell>
          <cell r="Q158">
            <v>4573502.8304387024</v>
          </cell>
          <cell r="R158">
            <v>4587821.8749923613</v>
          </cell>
          <cell r="S158">
            <v>142752.48041522969</v>
          </cell>
          <cell r="T158">
            <v>476452.90164515888</v>
          </cell>
          <cell r="U158">
            <v>952058.51226711413</v>
          </cell>
          <cell r="V158">
            <v>1055337.8225705251</v>
          </cell>
          <cell r="W158">
            <v>1069656.867124184</v>
          </cell>
          <cell r="FZ158">
            <v>154</v>
          </cell>
          <cell r="GA158">
            <v>7972.6082216194482</v>
          </cell>
          <cell r="GB158">
            <v>0.2</v>
          </cell>
        </row>
        <row r="159">
          <cell r="N159">
            <v>2284636.0207649847</v>
          </cell>
          <cell r="O159">
            <v>3327622.0302446513</v>
          </cell>
          <cell r="P159">
            <v>4564802.1014893418</v>
          </cell>
          <cell r="Q159">
            <v>5166754.0269604633</v>
          </cell>
          <cell r="R159">
            <v>5182100.82109995</v>
          </cell>
          <cell r="S159">
            <v>152998.32022027066</v>
          </cell>
          <cell r="T159">
            <v>374358.48000998097</v>
          </cell>
          <cell r="U159">
            <v>524134.55226679891</v>
          </cell>
          <cell r="V159">
            <v>593251.1965217609</v>
          </cell>
          <cell r="W159">
            <v>594278.94610758871</v>
          </cell>
          <cell r="FZ159">
            <v>155</v>
          </cell>
          <cell r="GA159">
            <v>8132.0603860518377</v>
          </cell>
          <cell r="GB159">
            <v>0.2</v>
          </cell>
        </row>
        <row r="160">
          <cell r="N160">
            <v>2448615.5601897002</v>
          </cell>
          <cell r="O160">
            <v>3566461.794189346</v>
          </cell>
          <cell r="P160">
            <v>4892440.3508051168</v>
          </cell>
          <cell r="Q160">
            <v>5537597.3201420549</v>
          </cell>
          <cell r="R160">
            <v>5537597.3201420549</v>
          </cell>
          <cell r="S160">
            <v>163979.53942471556</v>
          </cell>
          <cell r="T160">
            <v>238839.76394469477</v>
          </cell>
          <cell r="U160">
            <v>327638.249315775</v>
          </cell>
          <cell r="V160">
            <v>370843.29318159167</v>
          </cell>
          <cell r="W160">
            <v>355496.49904210493</v>
          </cell>
          <cell r="FZ160">
            <v>156</v>
          </cell>
          <cell r="GA160">
            <v>8294.7015937728738</v>
          </cell>
          <cell r="GB160">
            <v>0.2</v>
          </cell>
        </row>
        <row r="161">
          <cell r="N161">
            <v>2624364.4789440394</v>
          </cell>
          <cell r="O161">
            <v>3822443.9149837093</v>
          </cell>
          <cell r="P161">
            <v>5243594.3317336226</v>
          </cell>
          <cell r="Q161">
            <v>5935057.3205336612</v>
          </cell>
          <cell r="R161">
            <v>5935057.3205336612</v>
          </cell>
          <cell r="S161">
            <v>175748.91875433922</v>
          </cell>
          <cell r="T161">
            <v>255982.12079436332</v>
          </cell>
          <cell r="U161">
            <v>351153.98092850577</v>
          </cell>
          <cell r="V161">
            <v>397460.00039160624</v>
          </cell>
          <cell r="W161">
            <v>397460.00039160624</v>
          </cell>
          <cell r="FZ161">
            <v>157</v>
          </cell>
          <cell r="GA161">
            <v>8460.5956256483314</v>
          </cell>
          <cell r="GB161">
            <v>0.2</v>
          </cell>
        </row>
        <row r="162">
          <cell r="N162">
            <v>2812727.5061343871</v>
          </cell>
          <cell r="O162">
            <v>4096798.758934868</v>
          </cell>
          <cell r="P162">
            <v>5619951.8497567717</v>
          </cell>
          <cell r="Q162">
            <v>6361044.4013730492</v>
          </cell>
          <cell r="R162">
            <v>6361044.4013730492</v>
          </cell>
          <cell r="S162">
            <v>188363.02719034767</v>
          </cell>
          <cell r="T162">
            <v>274354.84395115869</v>
          </cell>
          <cell r="U162">
            <v>376357.51802314911</v>
          </cell>
          <cell r="V162">
            <v>425987.08083938807</v>
          </cell>
          <cell r="W162">
            <v>425987.08083938807</v>
          </cell>
          <cell r="FZ162">
            <v>158</v>
          </cell>
          <cell r="GA162">
            <v>8629.807538161298</v>
          </cell>
          <cell r="GB162">
            <v>0.2</v>
          </cell>
        </row>
        <row r="163">
          <cell r="N163">
            <v>3014610</v>
          </cell>
          <cell r="O163">
            <v>4390845</v>
          </cell>
          <cell r="P163">
            <v>6023321.8500000006</v>
          </cell>
          <cell r="Q163">
            <v>6817606.0500000007</v>
          </cell>
          <cell r="R163">
            <v>6817606.0500000007</v>
          </cell>
          <cell r="S163">
            <v>201882.49386561289</v>
          </cell>
          <cell r="T163">
            <v>294046.24106513197</v>
          </cell>
          <cell r="U163">
            <v>403370.00024322886</v>
          </cell>
          <cell r="V163">
            <v>456561.6486269515</v>
          </cell>
          <cell r="W163">
            <v>456561.6486269515</v>
          </cell>
          <cell r="FZ163">
            <v>159</v>
          </cell>
          <cell r="GA163">
            <v>8802.4036889245235</v>
          </cell>
          <cell r="GB163">
            <v>0.2</v>
          </cell>
        </row>
        <row r="164">
          <cell r="FZ164">
            <v>160</v>
          </cell>
          <cell r="GA164">
            <v>8978.4517627030145</v>
          </cell>
          <cell r="GB164">
            <v>0.2</v>
          </cell>
        </row>
      </sheetData>
      <sheetData sheetId="11">
        <row r="6">
          <cell r="U6">
            <v>9.6563133424753585E-3</v>
          </cell>
        </row>
      </sheetData>
      <sheetData sheetId="12"/>
      <sheetData sheetId="13"/>
      <sheetData sheetId="14">
        <row r="5">
          <cell r="BF5">
            <v>22716</v>
          </cell>
          <cell r="BG5">
            <v>22782</v>
          </cell>
          <cell r="BH5">
            <v>22866</v>
          </cell>
          <cell r="BI5">
            <v>22956</v>
          </cell>
          <cell r="BJ5">
            <v>23034</v>
          </cell>
        </row>
        <row r="6">
          <cell r="BF6">
            <v>27276</v>
          </cell>
          <cell r="BG6">
            <v>27450</v>
          </cell>
          <cell r="BH6">
            <v>27714</v>
          </cell>
          <cell r="BI6">
            <v>28086</v>
          </cell>
          <cell r="BJ6">
            <v>28314</v>
          </cell>
        </row>
        <row r="7">
          <cell r="BF7">
            <v>31857</v>
          </cell>
          <cell r="BG7">
            <v>32166</v>
          </cell>
          <cell r="BH7">
            <v>32676</v>
          </cell>
          <cell r="BI7">
            <v>33426</v>
          </cell>
          <cell r="BJ7">
            <v>33876</v>
          </cell>
        </row>
        <row r="8">
          <cell r="BF8">
            <v>42955.5</v>
          </cell>
          <cell r="BG8">
            <v>43515.5</v>
          </cell>
          <cell r="BH8">
            <v>44464</v>
          </cell>
          <cell r="BI8">
            <v>45860.5</v>
          </cell>
          <cell r="BJ8">
            <v>46704</v>
          </cell>
        </row>
        <row r="9">
          <cell r="BF9">
            <v>56256</v>
          </cell>
          <cell r="BG9">
            <v>57168</v>
          </cell>
          <cell r="BH9">
            <v>58724</v>
          </cell>
          <cell r="BI9">
            <v>61028</v>
          </cell>
          <cell r="BJ9">
            <v>62428</v>
          </cell>
        </row>
        <row r="10">
          <cell r="BF10">
            <v>63984</v>
          </cell>
          <cell r="BG10">
            <v>65212</v>
          </cell>
          <cell r="BH10">
            <v>67324</v>
          </cell>
          <cell r="BI10">
            <v>70456</v>
          </cell>
          <cell r="BJ10">
            <v>72368</v>
          </cell>
        </row>
        <row r="11">
          <cell r="BF11">
            <v>72304</v>
          </cell>
          <cell r="BG11">
            <v>73888</v>
          </cell>
          <cell r="BH11">
            <v>76652</v>
          </cell>
          <cell r="BI11">
            <v>80644</v>
          </cell>
          <cell r="BJ11">
            <v>82920</v>
          </cell>
        </row>
        <row r="12">
          <cell r="BF12">
            <v>81240</v>
          </cell>
          <cell r="BG12">
            <v>83092</v>
          </cell>
          <cell r="BH12">
            <v>86368</v>
          </cell>
          <cell r="BI12">
            <v>91236</v>
          </cell>
          <cell r="BJ12">
            <v>94124</v>
          </cell>
        </row>
        <row r="13">
          <cell r="BF13">
            <v>99413.6</v>
          </cell>
          <cell r="BG13">
            <v>101864.40000000001</v>
          </cell>
          <cell r="BH13">
            <v>106304</v>
          </cell>
          <cell r="BI13">
            <v>112882.00000000001</v>
          </cell>
          <cell r="BJ13">
            <v>116820</v>
          </cell>
        </row>
        <row r="14">
          <cell r="BF14">
            <v>120374.39999999999</v>
          </cell>
          <cell r="BG14">
            <v>123321.59999999999</v>
          </cell>
          <cell r="BH14">
            <v>129148.79999999999</v>
          </cell>
          <cell r="BI14">
            <v>137803.20000000001</v>
          </cell>
          <cell r="BJ14">
            <v>143035.20000000001</v>
          </cell>
        </row>
        <row r="15">
          <cell r="BF15">
            <v>139575</v>
          </cell>
          <cell r="BG15">
            <v>143025</v>
          </cell>
          <cell r="BH15">
            <v>149780</v>
          </cell>
          <cell r="BI15">
            <v>160330</v>
          </cell>
          <cell r="BJ15">
            <v>166520</v>
          </cell>
        </row>
        <row r="16">
          <cell r="BF16">
            <v>151330</v>
          </cell>
          <cell r="BG16">
            <v>155545</v>
          </cell>
          <cell r="BH16">
            <v>162445</v>
          </cell>
          <cell r="BI16">
            <v>174130</v>
          </cell>
          <cell r="BJ16">
            <v>181420</v>
          </cell>
        </row>
        <row r="17">
          <cell r="BF17">
            <v>163705</v>
          </cell>
          <cell r="BG17">
            <v>168275</v>
          </cell>
          <cell r="BH17">
            <v>176240</v>
          </cell>
          <cell r="BI17">
            <v>188405</v>
          </cell>
          <cell r="BJ17">
            <v>196955</v>
          </cell>
        </row>
        <row r="18">
          <cell r="BF18">
            <v>176565</v>
          </cell>
          <cell r="BG18">
            <v>181520</v>
          </cell>
          <cell r="BH18">
            <v>189810</v>
          </cell>
          <cell r="BI18">
            <v>203045</v>
          </cell>
          <cell r="BJ18">
            <v>212530</v>
          </cell>
        </row>
        <row r="19">
          <cell r="BF19">
            <v>189950</v>
          </cell>
          <cell r="BG19">
            <v>195240</v>
          </cell>
          <cell r="BH19">
            <v>204085</v>
          </cell>
          <cell r="BI19">
            <v>218170</v>
          </cell>
          <cell r="BJ19">
            <v>231020</v>
          </cell>
        </row>
        <row r="20">
          <cell r="BF20">
            <v>216102.2</v>
          </cell>
          <cell r="BG20">
            <v>222075.3</v>
          </cell>
          <cell r="BH20">
            <v>231890.9</v>
          </cell>
          <cell r="BI20">
            <v>250811.9</v>
          </cell>
          <cell r="BJ20">
            <v>263913.5</v>
          </cell>
        </row>
        <row r="21">
          <cell r="BF21">
            <v>244456.8</v>
          </cell>
          <cell r="BG21">
            <v>251115.19999999998</v>
          </cell>
          <cell r="BH21">
            <v>263855.19999999995</v>
          </cell>
          <cell r="BI21">
            <v>283981.59999999998</v>
          </cell>
          <cell r="BJ21">
            <v>299112.8</v>
          </cell>
        </row>
        <row r="22">
          <cell r="BF22">
            <v>275282.2</v>
          </cell>
          <cell r="BG22">
            <v>284138.09999999998</v>
          </cell>
          <cell r="BH22">
            <v>297596</v>
          </cell>
          <cell r="BI22">
            <v>320216.59999999998</v>
          </cell>
          <cell r="BJ22">
            <v>337627.5</v>
          </cell>
        </row>
        <row r="23">
          <cell r="BF23">
            <v>300102</v>
          </cell>
          <cell r="BG23">
            <v>308550</v>
          </cell>
          <cell r="BH23">
            <v>323226</v>
          </cell>
          <cell r="BI23">
            <v>347550</v>
          </cell>
          <cell r="BJ23">
            <v>366954</v>
          </cell>
        </row>
        <row r="24">
          <cell r="BF24">
            <v>320136</v>
          </cell>
          <cell r="BG24">
            <v>328038</v>
          </cell>
          <cell r="BH24">
            <v>343860</v>
          </cell>
          <cell r="BI24">
            <v>368832</v>
          </cell>
          <cell r="BJ24">
            <v>389466</v>
          </cell>
        </row>
        <row r="25">
          <cell r="BF25">
            <v>340218</v>
          </cell>
          <cell r="BG25">
            <v>348960</v>
          </cell>
          <cell r="BH25">
            <v>366348</v>
          </cell>
          <cell r="BI25">
            <v>393216</v>
          </cell>
          <cell r="BJ25">
            <v>415788</v>
          </cell>
        </row>
        <row r="26">
          <cell r="BF26">
            <v>360942</v>
          </cell>
          <cell r="BG26">
            <v>370518</v>
          </cell>
          <cell r="BH26">
            <v>389370</v>
          </cell>
          <cell r="BI26">
            <v>418140</v>
          </cell>
          <cell r="BJ26">
            <v>444690</v>
          </cell>
        </row>
        <row r="27">
          <cell r="BF27">
            <v>382134</v>
          </cell>
          <cell r="BG27">
            <v>392688</v>
          </cell>
          <cell r="BH27">
            <v>412656</v>
          </cell>
          <cell r="BI27">
            <v>443994</v>
          </cell>
          <cell r="BJ27">
            <v>473790</v>
          </cell>
        </row>
        <row r="28">
          <cell r="BF28">
            <v>403752</v>
          </cell>
          <cell r="BG28">
            <v>415230</v>
          </cell>
          <cell r="BH28">
            <v>436914</v>
          </cell>
          <cell r="BI28">
            <v>471630</v>
          </cell>
          <cell r="BJ28">
            <v>504396</v>
          </cell>
        </row>
        <row r="29">
          <cell r="BF29">
            <v>425748</v>
          </cell>
          <cell r="BG29">
            <v>438384</v>
          </cell>
          <cell r="BH29">
            <v>462456</v>
          </cell>
          <cell r="BI29">
            <v>500430</v>
          </cell>
          <cell r="BJ29">
            <v>535614</v>
          </cell>
        </row>
        <row r="30">
          <cell r="BF30">
            <v>448344</v>
          </cell>
          <cell r="BG30">
            <v>462828</v>
          </cell>
          <cell r="BH30">
            <v>489168</v>
          </cell>
          <cell r="BI30">
            <v>529776</v>
          </cell>
          <cell r="BJ30">
            <v>568140</v>
          </cell>
        </row>
        <row r="31">
          <cell r="BF31">
            <v>472098</v>
          </cell>
          <cell r="BG31">
            <v>488496</v>
          </cell>
          <cell r="BH31">
            <v>516582</v>
          </cell>
          <cell r="BI31">
            <v>560268</v>
          </cell>
          <cell r="BJ31">
            <v>601572</v>
          </cell>
        </row>
        <row r="32">
          <cell r="BF32">
            <v>497016</v>
          </cell>
          <cell r="BG32">
            <v>516204</v>
          </cell>
          <cell r="BH32">
            <v>547308</v>
          </cell>
          <cell r="BI32">
            <v>602190</v>
          </cell>
          <cell r="BJ32">
            <v>651012</v>
          </cell>
        </row>
        <row r="33">
          <cell r="BF33">
            <v>526374</v>
          </cell>
          <cell r="BG33">
            <v>549714</v>
          </cell>
          <cell r="BH33">
            <v>588126</v>
          </cell>
          <cell r="BI33">
            <v>651858</v>
          </cell>
          <cell r="BJ33">
            <v>705498</v>
          </cell>
        </row>
        <row r="34">
          <cell r="BF34">
            <v>556782</v>
          </cell>
          <cell r="BG34">
            <v>584490</v>
          </cell>
          <cell r="BH34">
            <v>630630</v>
          </cell>
          <cell r="BI34">
            <v>703770</v>
          </cell>
          <cell r="BJ34">
            <v>763236</v>
          </cell>
        </row>
        <row r="35">
          <cell r="BF35">
            <v>593082</v>
          </cell>
          <cell r="BG35">
            <v>625512</v>
          </cell>
          <cell r="BH35">
            <v>680424</v>
          </cell>
          <cell r="BI35">
            <v>764400</v>
          </cell>
          <cell r="BJ35">
            <v>829824</v>
          </cell>
        </row>
        <row r="36">
          <cell r="BF36">
            <v>630618</v>
          </cell>
          <cell r="BG36">
            <v>668484</v>
          </cell>
          <cell r="BH36">
            <v>732672</v>
          </cell>
          <cell r="BI36">
            <v>828552</v>
          </cell>
          <cell r="BJ36">
            <v>900492</v>
          </cell>
        </row>
        <row r="37">
          <cell r="BF37">
            <v>669864</v>
          </cell>
          <cell r="BG37">
            <v>712956</v>
          </cell>
          <cell r="BH37">
            <v>787848</v>
          </cell>
          <cell r="BI37">
            <v>896214</v>
          </cell>
          <cell r="BJ37">
            <v>974514</v>
          </cell>
        </row>
        <row r="38">
          <cell r="BF38">
            <v>710406</v>
          </cell>
          <cell r="BG38">
            <v>760146</v>
          </cell>
          <cell r="BH38">
            <v>845724</v>
          </cell>
          <cell r="BI38">
            <v>963042</v>
          </cell>
          <cell r="BJ38">
            <v>1043610</v>
          </cell>
        </row>
        <row r="39">
          <cell r="BF39">
            <v>756708</v>
          </cell>
          <cell r="BG39">
            <v>810648</v>
          </cell>
          <cell r="BH39">
            <v>898578</v>
          </cell>
          <cell r="BI39">
            <v>1023120</v>
          </cell>
          <cell r="BJ39">
            <v>1108788</v>
          </cell>
        </row>
        <row r="40">
          <cell r="BF40">
            <v>810294</v>
          </cell>
          <cell r="BG40">
            <v>864180</v>
          </cell>
          <cell r="BH40">
            <v>950784</v>
          </cell>
          <cell r="BI40">
            <v>1085424</v>
          </cell>
          <cell r="BJ40">
            <v>1175982</v>
          </cell>
        </row>
        <row r="41">
          <cell r="BF41">
            <v>866298</v>
          </cell>
          <cell r="BG41">
            <v>919602</v>
          </cell>
          <cell r="BH41">
            <v>1004988</v>
          </cell>
          <cell r="BI41">
            <v>1149348</v>
          </cell>
          <cell r="BJ41">
            <v>1245846</v>
          </cell>
        </row>
        <row r="42">
          <cell r="BF42">
            <v>924600</v>
          </cell>
          <cell r="BG42">
            <v>977262</v>
          </cell>
          <cell r="BH42">
            <v>1060746</v>
          </cell>
          <cell r="BI42">
            <v>1215882</v>
          </cell>
          <cell r="BJ42">
            <v>1318008</v>
          </cell>
        </row>
        <row r="43">
          <cell r="BF43">
            <v>985470</v>
          </cell>
          <cell r="BG43">
            <v>1036968</v>
          </cell>
          <cell r="BH43">
            <v>1118580</v>
          </cell>
          <cell r="BI43">
            <v>1284486</v>
          </cell>
          <cell r="BJ43">
            <v>1393284</v>
          </cell>
        </row>
        <row r="44">
          <cell r="BF44">
            <v>1049100</v>
          </cell>
          <cell r="BG44">
            <v>1095396</v>
          </cell>
          <cell r="BH44">
            <v>1177734</v>
          </cell>
          <cell r="BI44">
            <v>1357020</v>
          </cell>
          <cell r="BJ44">
            <v>1472544</v>
          </cell>
        </row>
        <row r="45">
          <cell r="BF45">
            <v>1094052</v>
          </cell>
          <cell r="BG45">
            <v>1140186</v>
          </cell>
          <cell r="BH45">
            <v>1228284</v>
          </cell>
          <cell r="BI45">
            <v>1421778</v>
          </cell>
          <cell r="BJ45">
            <v>1544616</v>
          </cell>
        </row>
        <row r="46">
          <cell r="BF46">
            <v>1140696</v>
          </cell>
          <cell r="BG46">
            <v>1186374</v>
          </cell>
          <cell r="BH46">
            <v>1280298</v>
          </cell>
          <cell r="BI46">
            <v>1489464</v>
          </cell>
          <cell r="BJ46">
            <v>1618332</v>
          </cell>
        </row>
        <row r="47">
          <cell r="BF47">
            <v>1188312</v>
          </cell>
          <cell r="BG47">
            <v>1236078</v>
          </cell>
          <cell r="BH47">
            <v>1333440</v>
          </cell>
          <cell r="BI47">
            <v>1559238</v>
          </cell>
          <cell r="BJ47">
            <v>1695978</v>
          </cell>
        </row>
        <row r="48">
          <cell r="BF48">
            <v>1238298</v>
          </cell>
          <cell r="BG48">
            <v>1287846</v>
          </cell>
          <cell r="BH48">
            <v>1390134</v>
          </cell>
          <cell r="BI48">
            <v>1633878</v>
          </cell>
          <cell r="BJ48">
            <v>1774320</v>
          </cell>
        </row>
        <row r="49">
          <cell r="BF49">
            <v>1289202</v>
          </cell>
          <cell r="BG49">
            <v>1342668</v>
          </cell>
          <cell r="BH49">
            <v>1451298</v>
          </cell>
          <cell r="BI49">
            <v>1709832</v>
          </cell>
          <cell r="BJ49">
            <v>1854648</v>
          </cell>
        </row>
        <row r="50">
          <cell r="BF50">
            <v>1342164</v>
          </cell>
          <cell r="BG50">
            <v>1399230</v>
          </cell>
          <cell r="BH50">
            <v>1516614</v>
          </cell>
          <cell r="BI50">
            <v>1784754</v>
          </cell>
          <cell r="BJ50">
            <v>1936656</v>
          </cell>
        </row>
        <row r="51">
          <cell r="BF51">
            <v>1396848</v>
          </cell>
          <cell r="BG51">
            <v>1457616</v>
          </cell>
          <cell r="BH51">
            <v>1581354</v>
          </cell>
          <cell r="BI51">
            <v>1862010</v>
          </cell>
          <cell r="BJ51">
            <v>2021106</v>
          </cell>
        </row>
        <row r="52">
          <cell r="BF52">
            <v>1453716</v>
          </cell>
          <cell r="BG52">
            <v>1516644</v>
          </cell>
          <cell r="BH52">
            <v>1647492</v>
          </cell>
          <cell r="BI52">
            <v>1940562</v>
          </cell>
          <cell r="BJ52">
            <v>2108280</v>
          </cell>
        </row>
        <row r="53">
          <cell r="BF53">
            <v>1512072</v>
          </cell>
          <cell r="BG53">
            <v>1575648</v>
          </cell>
          <cell r="BH53">
            <v>1714980</v>
          </cell>
          <cell r="BI53">
            <v>2047788</v>
          </cell>
          <cell r="BJ53">
            <v>2197350</v>
          </cell>
        </row>
        <row r="54">
          <cell r="BF54">
            <v>1572492</v>
          </cell>
          <cell r="BG54">
            <v>1642182</v>
          </cell>
          <cell r="BH54">
            <v>1827534</v>
          </cell>
          <cell r="BI54">
            <v>2132826</v>
          </cell>
          <cell r="BJ54">
            <v>2289162</v>
          </cell>
        </row>
        <row r="55">
          <cell r="BF55">
            <v>1657446</v>
          </cell>
          <cell r="BG55">
            <v>1730064</v>
          </cell>
          <cell r="BH55">
            <v>1975692</v>
          </cell>
          <cell r="BI55">
            <v>2253024</v>
          </cell>
          <cell r="BJ55">
            <v>2425980</v>
          </cell>
        </row>
        <row r="56">
          <cell r="BF56">
            <v>1744656</v>
          </cell>
          <cell r="BG56">
            <v>1823052</v>
          </cell>
          <cell r="BH56">
            <v>2129112</v>
          </cell>
          <cell r="BI56">
            <v>2377938</v>
          </cell>
          <cell r="BJ56">
            <v>2568096</v>
          </cell>
        </row>
        <row r="57">
          <cell r="BF57">
            <v>1835064</v>
          </cell>
          <cell r="BG57">
            <v>1919556</v>
          </cell>
          <cell r="BH57">
            <v>2288376</v>
          </cell>
          <cell r="BI57">
            <v>2509338</v>
          </cell>
          <cell r="BJ57">
            <v>2714076</v>
          </cell>
        </row>
        <row r="58">
          <cell r="BF58">
            <v>1930578</v>
          </cell>
          <cell r="BG58">
            <v>2023896</v>
          </cell>
          <cell r="BH58">
            <v>2387496</v>
          </cell>
          <cell r="BI58">
            <v>2655384</v>
          </cell>
          <cell r="BJ58">
            <v>2863866</v>
          </cell>
        </row>
        <row r="59">
          <cell r="BF59">
            <v>2032668</v>
          </cell>
          <cell r="BG59">
            <v>2132664</v>
          </cell>
          <cell r="BH59">
            <v>2474268</v>
          </cell>
          <cell r="BI59">
            <v>2806188</v>
          </cell>
          <cell r="BJ59">
            <v>3019692</v>
          </cell>
        </row>
        <row r="60">
          <cell r="BF60">
            <v>2140152</v>
          </cell>
          <cell r="BG60">
            <v>2244600</v>
          </cell>
          <cell r="BH60">
            <v>2563104</v>
          </cell>
          <cell r="BI60">
            <v>2962128</v>
          </cell>
          <cell r="BJ60">
            <v>3180276</v>
          </cell>
        </row>
        <row r="61">
          <cell r="BF61">
            <v>2251128</v>
          </cell>
          <cell r="BG61">
            <v>2360580</v>
          </cell>
          <cell r="BH61">
            <v>2654628</v>
          </cell>
          <cell r="BI61">
            <v>3123636</v>
          </cell>
          <cell r="BJ61">
            <v>3677058</v>
          </cell>
        </row>
        <row r="62">
          <cell r="BF62">
            <v>2366166</v>
          </cell>
          <cell r="BG62">
            <v>2479410</v>
          </cell>
          <cell r="BH62">
            <v>2749380</v>
          </cell>
          <cell r="BI62">
            <v>3292596</v>
          </cell>
          <cell r="BJ62">
            <v>4019490</v>
          </cell>
        </row>
        <row r="63">
          <cell r="BF63">
            <v>2484480</v>
          </cell>
          <cell r="BG63">
            <v>2602194</v>
          </cell>
          <cell r="BH63">
            <v>2847624</v>
          </cell>
          <cell r="BI63">
            <v>3833340</v>
          </cell>
          <cell r="BJ63">
            <v>4279656</v>
          </cell>
        </row>
        <row r="64">
          <cell r="BF64">
            <v>2627670</v>
          </cell>
          <cell r="BG64">
            <v>2783250</v>
          </cell>
          <cell r="BH64">
            <v>3381930</v>
          </cell>
          <cell r="BI64">
            <v>4215522</v>
          </cell>
          <cell r="BJ64">
            <v>4740816</v>
          </cell>
        </row>
        <row r="65">
          <cell r="BF65">
            <v>2805408</v>
          </cell>
          <cell r="BG65">
            <v>3006762</v>
          </cell>
          <cell r="BH65">
            <v>3701694</v>
          </cell>
          <cell r="BI65">
            <v>4602228</v>
          </cell>
          <cell r="BJ65">
            <v>5147544</v>
          </cell>
        </row>
        <row r="66">
          <cell r="BF66">
            <v>2993460</v>
          </cell>
          <cell r="BG66">
            <v>3467118</v>
          </cell>
          <cell r="BH66">
            <v>4042200</v>
          </cell>
          <cell r="BI66">
            <v>5012946</v>
          </cell>
          <cell r="BJ66">
            <v>5579226</v>
          </cell>
        </row>
        <row r="67">
          <cell r="BF67">
            <v>3534324</v>
          </cell>
          <cell r="BG67">
            <v>3894132</v>
          </cell>
          <cell r="BH67">
            <v>4403154</v>
          </cell>
          <cell r="BI67">
            <v>5449938</v>
          </cell>
          <cell r="BJ67">
            <v>6034878</v>
          </cell>
        </row>
        <row r="68">
          <cell r="BF68">
            <v>3805836</v>
          </cell>
          <cell r="BG68">
            <v>4225758</v>
          </cell>
          <cell r="BH68">
            <v>4788342</v>
          </cell>
          <cell r="BI68">
            <v>5913024</v>
          </cell>
          <cell r="BJ68">
            <v>6512496</v>
          </cell>
        </row>
        <row r="69">
          <cell r="BF69">
            <v>4092432</v>
          </cell>
          <cell r="BG69">
            <v>4580088</v>
          </cell>
          <cell r="BH69">
            <v>5201664</v>
          </cell>
          <cell r="BI69">
            <v>6396246</v>
          </cell>
          <cell r="BJ69">
            <v>7004832</v>
          </cell>
        </row>
        <row r="70">
          <cell r="BF70">
            <v>4369608</v>
          </cell>
          <cell r="BG70">
            <v>4935402</v>
          </cell>
          <cell r="BH70">
            <v>5628414</v>
          </cell>
          <cell r="BI70">
            <v>6888342</v>
          </cell>
          <cell r="BJ70">
            <v>7527522</v>
          </cell>
        </row>
        <row r="71">
          <cell r="BF71">
            <v>4657770</v>
          </cell>
          <cell r="BG71">
            <v>5309232</v>
          </cell>
          <cell r="BH71">
            <v>6071502</v>
          </cell>
          <cell r="BI71">
            <v>7413366</v>
          </cell>
          <cell r="BJ71">
            <v>8088714</v>
          </cell>
        </row>
        <row r="72">
          <cell r="BF72">
            <v>4956642</v>
          </cell>
          <cell r="BG72">
            <v>5701410</v>
          </cell>
          <cell r="BH72">
            <v>6536208</v>
          </cell>
          <cell r="BI72">
            <v>7987770</v>
          </cell>
          <cell r="BJ72">
            <v>8693394</v>
          </cell>
        </row>
        <row r="73">
          <cell r="BF73">
            <v>5268684</v>
          </cell>
          <cell r="BG73">
            <v>6112692</v>
          </cell>
          <cell r="BH73">
            <v>7040916</v>
          </cell>
          <cell r="BI73">
            <v>8587782</v>
          </cell>
          <cell r="BJ73">
            <v>9333948</v>
          </cell>
        </row>
        <row r="74">
          <cell r="BF74">
            <v>5602770</v>
          </cell>
          <cell r="BG74">
            <v>6559248</v>
          </cell>
          <cell r="BH74">
            <v>7552314</v>
          </cell>
          <cell r="BI74">
            <v>9199062</v>
          </cell>
          <cell r="BJ74">
            <v>10017786</v>
          </cell>
        </row>
        <row r="75">
          <cell r="BF75">
            <v>5970864</v>
          </cell>
          <cell r="BG75">
            <v>6985362</v>
          </cell>
          <cell r="BH75">
            <v>8007984</v>
          </cell>
          <cell r="BI75">
            <v>9790638</v>
          </cell>
          <cell r="BJ75">
            <v>10695138</v>
          </cell>
        </row>
        <row r="76">
          <cell r="BF76">
            <v>6368574</v>
          </cell>
          <cell r="BG76">
            <v>7434516</v>
          </cell>
          <cell r="BH76">
            <v>8483466</v>
          </cell>
          <cell r="BI76">
            <v>10421238</v>
          </cell>
          <cell r="BJ76">
            <v>11428950</v>
          </cell>
        </row>
        <row r="77">
          <cell r="BF77">
            <v>6796284</v>
          </cell>
          <cell r="BG77">
            <v>7899996</v>
          </cell>
          <cell r="BH77">
            <v>8998134</v>
          </cell>
          <cell r="BI77">
            <v>11178198</v>
          </cell>
          <cell r="BJ77">
            <v>12259176</v>
          </cell>
        </row>
        <row r="78">
          <cell r="BF78">
            <v>7250856</v>
          </cell>
          <cell r="BG78">
            <v>8391630</v>
          </cell>
          <cell r="BH78">
            <v>9549504</v>
          </cell>
          <cell r="BI78">
            <v>11985168</v>
          </cell>
          <cell r="BJ78">
            <v>13188354</v>
          </cell>
        </row>
        <row r="79">
          <cell r="BF79">
            <v>7733088</v>
          </cell>
          <cell r="BG79">
            <v>8935428</v>
          </cell>
          <cell r="BH79">
            <v>10147566</v>
          </cell>
          <cell r="BI79">
            <v>12838602</v>
          </cell>
          <cell r="BJ79">
            <v>14169498</v>
          </cell>
        </row>
        <row r="80">
          <cell r="BF80">
            <v>8255886</v>
          </cell>
          <cell r="BG80">
            <v>9518898</v>
          </cell>
          <cell r="BH80">
            <v>10826880</v>
          </cell>
          <cell r="BI80">
            <v>13757484</v>
          </cell>
          <cell r="BJ80">
            <v>15275772</v>
          </cell>
        </row>
        <row r="81">
          <cell r="BF81">
            <v>8810046</v>
          </cell>
          <cell r="BG81">
            <v>10132434</v>
          </cell>
          <cell r="BH81">
            <v>11553960</v>
          </cell>
          <cell r="BI81">
            <v>14710278</v>
          </cell>
          <cell r="BJ81">
            <v>16425684</v>
          </cell>
        </row>
        <row r="82">
          <cell r="BF82">
            <v>9319722</v>
          </cell>
          <cell r="BG82">
            <v>10719852</v>
          </cell>
          <cell r="BH82">
            <v>12291678</v>
          </cell>
          <cell r="BI82">
            <v>15722964</v>
          </cell>
          <cell r="BJ82">
            <v>17581740</v>
          </cell>
        </row>
        <row r="83">
          <cell r="BF83">
            <v>9837834</v>
          </cell>
          <cell r="BG83">
            <v>11369448</v>
          </cell>
          <cell r="BH83">
            <v>13054872</v>
          </cell>
          <cell r="BI83">
            <v>16761750</v>
          </cell>
          <cell r="BJ83">
            <v>18803538</v>
          </cell>
        </row>
        <row r="84">
          <cell r="BF84">
            <v>10377846</v>
          </cell>
          <cell r="BG84">
            <v>12075708</v>
          </cell>
          <cell r="BH84">
            <v>13840038</v>
          </cell>
          <cell r="BI84">
            <v>17822838</v>
          </cell>
          <cell r="BJ84">
            <v>20116668</v>
          </cell>
        </row>
        <row r="85">
          <cell r="BF85">
            <v>10921032</v>
          </cell>
          <cell r="BG85">
            <v>12914160</v>
          </cell>
          <cell r="BH85">
            <v>14675118</v>
          </cell>
          <cell r="BI85">
            <v>19204578</v>
          </cell>
          <cell r="BJ85">
            <v>21716766</v>
          </cell>
        </row>
        <row r="86">
          <cell r="BF86">
            <v>11539548</v>
          </cell>
          <cell r="BG86">
            <v>13732176</v>
          </cell>
          <cell r="BH86">
            <v>15548166</v>
          </cell>
          <cell r="BI86">
            <v>20661156</v>
          </cell>
          <cell r="BJ86">
            <v>23367870</v>
          </cell>
        </row>
        <row r="87">
          <cell r="BF87">
            <v>12166800</v>
          </cell>
          <cell r="BG87">
            <v>14536902</v>
          </cell>
          <cell r="BH87">
            <v>16499406</v>
          </cell>
          <cell r="BI87">
            <v>22101444</v>
          </cell>
          <cell r="BJ87">
            <v>24853368</v>
          </cell>
        </row>
        <row r="88">
          <cell r="BF88">
            <v>12808284</v>
          </cell>
          <cell r="BG88">
            <v>15375210</v>
          </cell>
          <cell r="BH88">
            <v>17502642</v>
          </cell>
          <cell r="BI88">
            <v>23575740</v>
          </cell>
          <cell r="BJ88">
            <v>26399580</v>
          </cell>
        </row>
        <row r="89">
          <cell r="BF89">
            <v>13486830</v>
          </cell>
          <cell r="BG89">
            <v>16266216</v>
          </cell>
          <cell r="BH89">
            <v>18574098</v>
          </cell>
          <cell r="BI89">
            <v>24980514</v>
          </cell>
          <cell r="BJ89">
            <v>27979920</v>
          </cell>
        </row>
        <row r="90">
          <cell r="BF90">
            <v>14263044</v>
          </cell>
          <cell r="BG90">
            <v>17245998</v>
          </cell>
          <cell r="BH90">
            <v>19704816</v>
          </cell>
          <cell r="BI90">
            <v>26446188</v>
          </cell>
          <cell r="BJ90">
            <v>29414394</v>
          </cell>
        </row>
        <row r="91">
          <cell r="BF91">
            <v>15095742</v>
          </cell>
          <cell r="BG91">
            <v>18222336</v>
          </cell>
          <cell r="BH91">
            <v>20950584</v>
          </cell>
          <cell r="BI91">
            <v>27938652</v>
          </cell>
          <cell r="BJ91">
            <v>30931314</v>
          </cell>
        </row>
        <row r="92">
          <cell r="BF92">
            <v>15817002</v>
          </cell>
          <cell r="BG92">
            <v>19186452</v>
          </cell>
          <cell r="BH92">
            <v>22276332</v>
          </cell>
          <cell r="BI92">
            <v>29472528</v>
          </cell>
          <cell r="BJ92">
            <v>32437440</v>
          </cell>
        </row>
        <row r="93">
          <cell r="BF93">
            <v>16538184</v>
          </cell>
          <cell r="BG93">
            <v>20189460</v>
          </cell>
          <cell r="BH93">
            <v>23650704</v>
          </cell>
          <cell r="BI93">
            <v>31061574</v>
          </cell>
          <cell r="BJ93">
            <v>33944052</v>
          </cell>
        </row>
        <row r="94">
          <cell r="BF94">
            <v>17291256</v>
          </cell>
          <cell r="BG94">
            <v>21228654</v>
          </cell>
          <cell r="BH94">
            <v>25183194</v>
          </cell>
          <cell r="BI94">
            <v>32642424</v>
          </cell>
          <cell r="BJ94">
            <v>35527968</v>
          </cell>
        </row>
        <row r="95">
          <cell r="BF95">
            <v>18098580</v>
          </cell>
          <cell r="BG95">
            <v>22438716</v>
          </cell>
          <cell r="BH95">
            <v>26665692</v>
          </cell>
          <cell r="BI95">
            <v>34201908</v>
          </cell>
          <cell r="BJ95">
            <v>37126566</v>
          </cell>
        </row>
        <row r="96">
          <cell r="BF96">
            <v>19006596</v>
          </cell>
          <cell r="BG96">
            <v>23634072</v>
          </cell>
          <cell r="BH96">
            <v>28180896</v>
          </cell>
          <cell r="BI96">
            <v>35877588</v>
          </cell>
          <cell r="BJ96">
            <v>38795148</v>
          </cell>
        </row>
        <row r="97">
          <cell r="BF97">
            <v>19904082</v>
          </cell>
          <cell r="BG97">
            <v>24859284</v>
          </cell>
          <cell r="BH97">
            <v>29798394</v>
          </cell>
          <cell r="BI97">
            <v>37686966</v>
          </cell>
          <cell r="BJ97">
            <v>40509822</v>
          </cell>
        </row>
        <row r="98">
          <cell r="BF98">
            <v>20815824</v>
          </cell>
          <cell r="BG98">
            <v>26229192</v>
          </cell>
          <cell r="BH98">
            <v>31489416</v>
          </cell>
          <cell r="BI98">
            <v>39570000</v>
          </cell>
          <cell r="BJ98">
            <v>42273102</v>
          </cell>
        </row>
        <row r="99">
          <cell r="BF99">
            <v>21781194</v>
          </cell>
          <cell r="BG99">
            <v>27716802</v>
          </cell>
          <cell r="BH99">
            <v>33124146</v>
          </cell>
          <cell r="BI99">
            <v>41333814</v>
          </cell>
          <cell r="BJ99">
            <v>43861572</v>
          </cell>
        </row>
        <row r="100">
          <cell r="BF100">
            <v>22829142</v>
          </cell>
          <cell r="BG100">
            <v>29476164</v>
          </cell>
          <cell r="BH100">
            <v>34755150</v>
          </cell>
          <cell r="BI100">
            <v>43071978</v>
          </cell>
          <cell r="BJ100">
            <v>45475242</v>
          </cell>
        </row>
        <row r="101">
          <cell r="BF101">
            <v>24095190</v>
          </cell>
          <cell r="BG101">
            <v>31042554</v>
          </cell>
          <cell r="BH101">
            <v>36402156</v>
          </cell>
          <cell r="BI101">
            <v>44869992</v>
          </cell>
          <cell r="BJ101">
            <v>47178978</v>
          </cell>
        </row>
        <row r="102">
          <cell r="BF102">
            <v>25382688</v>
          </cell>
          <cell r="BG102">
            <v>32405550</v>
          </cell>
          <cell r="BH102">
            <v>38074512</v>
          </cell>
          <cell r="BI102">
            <v>46679910</v>
          </cell>
          <cell r="BJ102">
            <v>48939996</v>
          </cell>
        </row>
        <row r="103">
          <cell r="BF103">
            <v>26683890</v>
          </cell>
          <cell r="BG103">
            <v>33707160</v>
          </cell>
          <cell r="BH103">
            <v>39800592</v>
          </cell>
          <cell r="BI103">
            <v>48540606</v>
          </cell>
          <cell r="BJ103">
            <v>50718744</v>
          </cell>
        </row>
        <row r="104">
          <cell r="BF104">
            <v>28032600</v>
          </cell>
          <cell r="BG104">
            <v>35026062</v>
          </cell>
          <cell r="BH104">
            <v>41578920</v>
          </cell>
          <cell r="BI104">
            <v>50433888</v>
          </cell>
          <cell r="BJ104">
            <v>52547082</v>
          </cell>
        </row>
        <row r="105">
          <cell r="BF105">
            <v>29383224</v>
          </cell>
          <cell r="BG105">
            <v>36499212</v>
          </cell>
          <cell r="BH105">
            <v>42905862</v>
          </cell>
          <cell r="BI105">
            <v>51779076</v>
          </cell>
          <cell r="BJ105">
            <v>53863188</v>
          </cell>
        </row>
        <row r="106">
          <cell r="BF106">
            <v>30593802</v>
          </cell>
          <cell r="BG106">
            <v>38009940</v>
          </cell>
          <cell r="BH106">
            <v>44243268</v>
          </cell>
          <cell r="BI106">
            <v>53160024</v>
          </cell>
          <cell r="BJ106">
            <v>55209306</v>
          </cell>
        </row>
        <row r="107">
          <cell r="BF107">
            <v>31843374</v>
          </cell>
          <cell r="BG107">
            <v>39568560</v>
          </cell>
          <cell r="BH107">
            <v>45640866</v>
          </cell>
          <cell r="BI107">
            <v>54594072</v>
          </cell>
          <cell r="BJ107">
            <v>56636340</v>
          </cell>
        </row>
        <row r="108">
          <cell r="BF108">
            <v>33129204</v>
          </cell>
          <cell r="BG108">
            <v>41090652</v>
          </cell>
          <cell r="BH108">
            <v>47102370</v>
          </cell>
          <cell r="BI108">
            <v>56104620</v>
          </cell>
          <cell r="BJ108">
            <v>58171056</v>
          </cell>
        </row>
        <row r="109">
          <cell r="BF109">
            <v>34317504</v>
          </cell>
          <cell r="BG109">
            <v>42634938</v>
          </cell>
          <cell r="BH109">
            <v>48616944</v>
          </cell>
          <cell r="BI109">
            <v>57633126</v>
          </cell>
          <cell r="BJ109">
            <v>59767812</v>
          </cell>
        </row>
        <row r="110">
          <cell r="BF110">
            <v>35566662</v>
          </cell>
          <cell r="BG110">
            <v>44054688</v>
          </cell>
          <cell r="BH110">
            <v>50141880</v>
          </cell>
          <cell r="BI110">
            <v>59210448</v>
          </cell>
          <cell r="BJ110">
            <v>61224870</v>
          </cell>
        </row>
        <row r="111">
          <cell r="BF111">
            <v>36864570</v>
          </cell>
          <cell r="BG111">
            <v>45500322</v>
          </cell>
          <cell r="BH111">
            <v>51598524</v>
          </cell>
          <cell r="BI111">
            <v>60739788</v>
          </cell>
          <cell r="BJ111">
            <v>62672808</v>
          </cell>
        </row>
        <row r="112">
          <cell r="BF112">
            <v>38184822</v>
          </cell>
          <cell r="BG112">
            <v>46986714</v>
          </cell>
          <cell r="BH112">
            <v>53021196</v>
          </cell>
          <cell r="BI112">
            <v>62188602</v>
          </cell>
          <cell r="BJ112">
            <v>64131576</v>
          </cell>
        </row>
        <row r="113">
          <cell r="BF113">
            <v>39549222</v>
          </cell>
          <cell r="BG113">
            <v>48483138</v>
          </cell>
          <cell r="BH113">
            <v>54495672</v>
          </cell>
          <cell r="BI113">
            <v>63660042</v>
          </cell>
          <cell r="BJ113">
            <v>65634492</v>
          </cell>
        </row>
        <row r="114">
          <cell r="BF114">
            <v>40933854</v>
          </cell>
          <cell r="BG114">
            <v>50029830</v>
          </cell>
          <cell r="BH114">
            <v>56013246</v>
          </cell>
          <cell r="BI114">
            <v>65189592</v>
          </cell>
          <cell r="BJ114">
            <v>67275450</v>
          </cell>
        </row>
        <row r="115">
          <cell r="BF115">
            <v>42433902</v>
          </cell>
          <cell r="BG115">
            <v>51414678</v>
          </cell>
          <cell r="BH115">
            <v>57675132</v>
          </cell>
          <cell r="BI115">
            <v>66742326</v>
          </cell>
          <cell r="BJ115">
            <v>69008196</v>
          </cell>
        </row>
        <row r="116">
          <cell r="BF116">
            <v>43968048</v>
          </cell>
          <cell r="BG116">
            <v>52831218</v>
          </cell>
          <cell r="BH116">
            <v>59444214</v>
          </cell>
          <cell r="BI116">
            <v>68359926</v>
          </cell>
          <cell r="BJ116">
            <v>70740000</v>
          </cell>
        </row>
        <row r="117">
          <cell r="BF117">
            <v>45552240</v>
          </cell>
          <cell r="BG117">
            <v>54349854</v>
          </cell>
          <cell r="BH117">
            <v>61300356</v>
          </cell>
          <cell r="BI117">
            <v>69989712</v>
          </cell>
          <cell r="BJ117">
            <v>72512370</v>
          </cell>
        </row>
        <row r="118">
          <cell r="BF118">
            <v>47248842</v>
          </cell>
          <cell r="BG118">
            <v>55940922</v>
          </cell>
          <cell r="BH118">
            <v>63179628</v>
          </cell>
          <cell r="BI118">
            <v>71645928</v>
          </cell>
          <cell r="BJ118">
            <v>74326314</v>
          </cell>
        </row>
        <row r="119">
          <cell r="BF119">
            <v>48995598</v>
          </cell>
          <cell r="BG119">
            <v>57538848</v>
          </cell>
          <cell r="BH119">
            <v>65092602</v>
          </cell>
          <cell r="BI119">
            <v>73356756</v>
          </cell>
          <cell r="BJ119">
            <v>76191246</v>
          </cell>
        </row>
        <row r="120">
          <cell r="BF120">
            <v>50674194</v>
          </cell>
          <cell r="BG120">
            <v>59188842</v>
          </cell>
          <cell r="BH120">
            <v>67113756</v>
          </cell>
          <cell r="BI120">
            <v>75182988</v>
          </cell>
          <cell r="BJ120">
            <v>78129366</v>
          </cell>
        </row>
        <row r="121">
          <cell r="BF121">
            <v>52369938</v>
          </cell>
          <cell r="BG121">
            <v>60858264</v>
          </cell>
          <cell r="BH121">
            <v>69091866</v>
          </cell>
          <cell r="BI121">
            <v>76969926</v>
          </cell>
          <cell r="BJ121">
            <v>80050692</v>
          </cell>
        </row>
        <row r="122">
          <cell r="BF122">
            <v>54105114</v>
          </cell>
          <cell r="BG122">
            <v>62540472</v>
          </cell>
          <cell r="BH122">
            <v>71126316</v>
          </cell>
          <cell r="BI122">
            <v>78785904</v>
          </cell>
          <cell r="BJ122">
            <v>81985734</v>
          </cell>
        </row>
        <row r="123">
          <cell r="BF123">
            <v>55883148</v>
          </cell>
          <cell r="BG123">
            <v>64267350</v>
          </cell>
          <cell r="BH123">
            <v>73199424</v>
          </cell>
          <cell r="BI123">
            <v>80642184</v>
          </cell>
          <cell r="BJ123">
            <v>83929488</v>
          </cell>
        </row>
        <row r="124">
          <cell r="BF124">
            <v>57708882</v>
          </cell>
          <cell r="BG124">
            <v>66026406</v>
          </cell>
          <cell r="BH124">
            <v>75322968</v>
          </cell>
          <cell r="BI124">
            <v>82496298</v>
          </cell>
          <cell r="BJ124">
            <v>85922364</v>
          </cell>
        </row>
        <row r="125">
          <cell r="BF125">
            <v>59317812</v>
          </cell>
          <cell r="BG125">
            <v>67802112</v>
          </cell>
          <cell r="BH125">
            <v>77339316</v>
          </cell>
          <cell r="BI125">
            <v>84399756</v>
          </cell>
          <cell r="BJ125">
            <v>87944130</v>
          </cell>
        </row>
        <row r="126">
          <cell r="BF126">
            <v>60961596</v>
          </cell>
          <cell r="BG126">
            <v>69599814</v>
          </cell>
          <cell r="BH126">
            <v>79424652</v>
          </cell>
          <cell r="BI126">
            <v>86332248</v>
          </cell>
          <cell r="BJ126">
            <v>89997378</v>
          </cell>
        </row>
        <row r="127">
          <cell r="BF127">
            <v>62589396</v>
          </cell>
          <cell r="BG127">
            <v>71465646</v>
          </cell>
          <cell r="BH127">
            <v>81554952</v>
          </cell>
          <cell r="BI127">
            <v>88327206</v>
          </cell>
          <cell r="BJ127">
            <v>92138070</v>
          </cell>
        </row>
        <row r="128">
          <cell r="BF128">
            <v>64244052</v>
          </cell>
          <cell r="BG128">
            <v>73367694</v>
          </cell>
          <cell r="BH128">
            <v>83732370</v>
          </cell>
          <cell r="BI128">
            <v>90353760</v>
          </cell>
          <cell r="BJ128">
            <v>94315230</v>
          </cell>
        </row>
        <row r="129">
          <cell r="BF129">
            <v>65924928</v>
          </cell>
          <cell r="BG129">
            <v>75289248</v>
          </cell>
          <cell r="BH129">
            <v>85959024</v>
          </cell>
          <cell r="BI129">
            <v>92422560</v>
          </cell>
          <cell r="BJ129">
            <v>96601926</v>
          </cell>
        </row>
        <row r="130">
          <cell r="BF130">
            <v>67646706</v>
          </cell>
          <cell r="BG130">
            <v>77216958</v>
          </cell>
          <cell r="BH130">
            <v>88225662</v>
          </cell>
          <cell r="BI130">
            <v>94591998</v>
          </cell>
          <cell r="BJ130">
            <v>98957538</v>
          </cell>
        </row>
        <row r="131">
          <cell r="BF131">
            <v>69451152</v>
          </cell>
          <cell r="BG131">
            <v>79236594</v>
          </cell>
          <cell r="BH131">
            <v>90620022</v>
          </cell>
          <cell r="BI131">
            <v>96828396</v>
          </cell>
          <cell r="BJ131">
            <v>101355666</v>
          </cell>
        </row>
        <row r="132">
          <cell r="BF132">
            <v>71310624</v>
          </cell>
          <cell r="BG132">
            <v>81249540</v>
          </cell>
          <cell r="BH132">
            <v>93101382</v>
          </cell>
          <cell r="BI132">
            <v>99109356</v>
          </cell>
          <cell r="BJ132">
            <v>103893618</v>
          </cell>
        </row>
        <row r="133">
          <cell r="BF133">
            <v>73198032</v>
          </cell>
          <cell r="BG133">
            <v>83330970</v>
          </cell>
          <cell r="BH133">
            <v>95665662</v>
          </cell>
          <cell r="BI133">
            <v>101546814</v>
          </cell>
          <cell r="BJ133">
            <v>106578024</v>
          </cell>
        </row>
        <row r="134">
          <cell r="BF134">
            <v>75141834</v>
          </cell>
          <cell r="BG134">
            <v>85450524</v>
          </cell>
          <cell r="BH134">
            <v>98372712</v>
          </cell>
          <cell r="BI134">
            <v>104108616</v>
          </cell>
          <cell r="BJ134">
            <v>109316220</v>
          </cell>
        </row>
        <row r="135">
          <cell r="BF135">
            <v>77059878</v>
          </cell>
          <cell r="BG135">
            <v>87775836</v>
          </cell>
          <cell r="BH135">
            <v>100879110</v>
          </cell>
          <cell r="BI135">
            <v>106712472</v>
          </cell>
          <cell r="BJ135">
            <v>112003542</v>
          </cell>
        </row>
        <row r="136">
          <cell r="BF136">
            <v>79120008</v>
          </cell>
          <cell r="BG136">
            <v>90223890</v>
          </cell>
          <cell r="BH136">
            <v>103439688</v>
          </cell>
          <cell r="BI136">
            <v>109272654</v>
          </cell>
          <cell r="BJ136">
            <v>114599448</v>
          </cell>
        </row>
        <row r="137">
          <cell r="BF137">
            <v>81230610</v>
          </cell>
          <cell r="BG137">
            <v>92741574</v>
          </cell>
          <cell r="BH137">
            <v>105946002</v>
          </cell>
          <cell r="BI137">
            <v>111730386</v>
          </cell>
          <cell r="BJ137">
            <v>117240318</v>
          </cell>
        </row>
        <row r="138">
          <cell r="BF138">
            <v>83394600</v>
          </cell>
          <cell r="BG138">
            <v>95210142</v>
          </cell>
          <cell r="BH138">
            <v>108373848</v>
          </cell>
          <cell r="BI138">
            <v>114245094</v>
          </cell>
          <cell r="BJ138">
            <v>119914644</v>
          </cell>
        </row>
        <row r="139">
          <cell r="BF139">
            <v>85494264</v>
          </cell>
          <cell r="BG139">
            <v>97652370</v>
          </cell>
          <cell r="BH139">
            <v>110876592</v>
          </cell>
          <cell r="BI139">
            <v>116803524</v>
          </cell>
          <cell r="BJ139">
            <v>122651460</v>
          </cell>
        </row>
        <row r="140">
          <cell r="BF140">
            <v>87590436</v>
          </cell>
          <cell r="BG140">
            <v>100156956</v>
          </cell>
          <cell r="BH140">
            <v>113430534</v>
          </cell>
          <cell r="BI140">
            <v>119435652</v>
          </cell>
          <cell r="BJ140">
            <v>125149140</v>
          </cell>
        </row>
        <row r="141">
          <cell r="BF141">
            <v>89723004</v>
          </cell>
          <cell r="BG141">
            <v>102705768</v>
          </cell>
          <cell r="BH141">
            <v>116037036</v>
          </cell>
          <cell r="BI141">
            <v>122029644</v>
          </cell>
          <cell r="BJ141">
            <v>127682880</v>
          </cell>
        </row>
        <row r="142">
          <cell r="BF142">
            <v>91896750</v>
          </cell>
          <cell r="BG142">
            <v>105362190</v>
          </cell>
          <cell r="BH142">
            <v>118683552</v>
          </cell>
          <cell r="BI142">
            <v>124662738</v>
          </cell>
          <cell r="BJ142">
            <v>130193580</v>
          </cell>
        </row>
        <row r="143">
          <cell r="BF143">
            <v>94109028</v>
          </cell>
          <cell r="BG143">
            <v>108193590</v>
          </cell>
          <cell r="BH143">
            <v>121375062</v>
          </cell>
          <cell r="BI143">
            <v>127281102</v>
          </cell>
          <cell r="BJ143">
            <v>132771234</v>
          </cell>
        </row>
        <row r="144">
          <cell r="BF144">
            <v>96355410</v>
          </cell>
          <cell r="BG144">
            <v>111085638</v>
          </cell>
          <cell r="BH144">
            <v>124061742</v>
          </cell>
          <cell r="BI144">
            <v>129964164</v>
          </cell>
          <cell r="BJ144">
            <v>135462516</v>
          </cell>
        </row>
        <row r="145">
          <cell r="BF145">
            <v>98641236</v>
          </cell>
          <cell r="BG145">
            <v>113921532</v>
          </cell>
          <cell r="BH145">
            <v>126800760</v>
          </cell>
          <cell r="BI145">
            <v>132775992</v>
          </cell>
          <cell r="BJ145">
            <v>138240600</v>
          </cell>
        </row>
        <row r="146">
          <cell r="BF146">
            <v>100960920</v>
          </cell>
          <cell r="BG146">
            <v>116852196</v>
          </cell>
          <cell r="BH146">
            <v>129673944</v>
          </cell>
          <cell r="BI146">
            <v>135687930</v>
          </cell>
          <cell r="BJ146">
            <v>141086520</v>
          </cell>
        </row>
        <row r="147">
          <cell r="BF147">
            <v>103352844</v>
          </cell>
          <cell r="BG147">
            <v>119846658</v>
          </cell>
          <cell r="BH147">
            <v>132624810</v>
          </cell>
          <cell r="BI147">
            <v>138648078</v>
          </cell>
          <cell r="BJ147">
            <v>143997360</v>
          </cell>
        </row>
        <row r="148">
          <cell r="BF148">
            <v>105811308</v>
          </cell>
          <cell r="BG148">
            <v>122948148</v>
          </cell>
          <cell r="BH148">
            <v>135616482</v>
          </cell>
          <cell r="BI148">
            <v>141670770</v>
          </cell>
          <cell r="BJ148">
            <v>146906682</v>
          </cell>
        </row>
        <row r="149">
          <cell r="BF149">
            <v>108331206</v>
          </cell>
          <cell r="BG149">
            <v>126103044</v>
          </cell>
          <cell r="BH149">
            <v>138680508</v>
          </cell>
          <cell r="BI149">
            <v>144706404</v>
          </cell>
          <cell r="BJ149">
            <v>149839638</v>
          </cell>
        </row>
        <row r="150">
          <cell r="BF150">
            <v>110879826</v>
          </cell>
          <cell r="BG150">
            <v>129337548</v>
          </cell>
          <cell r="BH150">
            <v>141751986</v>
          </cell>
          <cell r="BI150">
            <v>147772968</v>
          </cell>
          <cell r="BJ150">
            <v>152845512</v>
          </cell>
        </row>
        <row r="151">
          <cell r="BF151">
            <v>113496066</v>
          </cell>
          <cell r="BG151">
            <v>132597576</v>
          </cell>
          <cell r="BH151">
            <v>144874680</v>
          </cell>
          <cell r="BI151">
            <v>151024818</v>
          </cell>
          <cell r="BJ151">
            <v>155955066</v>
          </cell>
        </row>
        <row r="152">
          <cell r="BF152">
            <v>116136426</v>
          </cell>
          <cell r="BG152">
            <v>135960870</v>
          </cell>
          <cell r="BH152">
            <v>148244508</v>
          </cell>
          <cell r="BI152">
            <v>154546440</v>
          </cell>
          <cell r="BJ152">
            <v>159119640</v>
          </cell>
        </row>
        <row r="153">
          <cell r="BF153">
            <v>118850778</v>
          </cell>
          <cell r="BG153">
            <v>139578180</v>
          </cell>
          <cell r="BH153">
            <v>151817922</v>
          </cell>
          <cell r="BI153">
            <v>158127654</v>
          </cell>
          <cell r="BJ153">
            <v>162577584</v>
          </cell>
        </row>
        <row r="154">
          <cell r="BF154">
            <v>121855020</v>
          </cell>
          <cell r="BG154">
            <v>143279748</v>
          </cell>
          <cell r="BH154">
            <v>155452284</v>
          </cell>
          <cell r="BI154">
            <v>162049002</v>
          </cell>
          <cell r="BJ154">
            <v>166945284</v>
          </cell>
        </row>
        <row r="155">
          <cell r="BF155">
            <v>124912644</v>
          </cell>
          <cell r="BG155">
            <v>146662800</v>
          </cell>
          <cell r="BH155">
            <v>159138936</v>
          </cell>
          <cell r="BI155">
            <v>166548528</v>
          </cell>
          <cell r="BJ155">
            <v>171347400</v>
          </cell>
        </row>
        <row r="156">
          <cell r="BF156">
            <v>128011944</v>
          </cell>
          <cell r="BG156">
            <v>150217434</v>
          </cell>
          <cell r="BH156">
            <v>163356186</v>
          </cell>
          <cell r="BI156">
            <v>171136092</v>
          </cell>
          <cell r="BJ156">
            <v>172845240</v>
          </cell>
        </row>
        <row r="157">
          <cell r="BF157">
            <v>131460714</v>
          </cell>
          <cell r="BG157">
            <v>154184406</v>
          </cell>
          <cell r="BH157">
            <v>167687346</v>
          </cell>
          <cell r="BI157">
            <v>172769778</v>
          </cell>
          <cell r="BJ157">
            <v>173783244</v>
          </cell>
        </row>
        <row r="158">
          <cell r="BF158">
            <v>135016020</v>
          </cell>
          <cell r="BG158">
            <v>158256786</v>
          </cell>
          <cell r="BH158">
            <v>169277160</v>
          </cell>
          <cell r="BI158">
            <v>173704008</v>
          </cell>
          <cell r="BJ158">
            <v>174070206</v>
          </cell>
        </row>
        <row r="159">
          <cell r="BF159">
            <v>138657468</v>
          </cell>
          <cell r="BG159">
            <v>161000088</v>
          </cell>
          <cell r="BH159">
            <v>170176302</v>
          </cell>
          <cell r="BI159">
            <v>174020988</v>
          </cell>
          <cell r="BJ159">
            <v>174299520</v>
          </cell>
        </row>
        <row r="160">
          <cell r="BF160">
            <v>140785044</v>
          </cell>
          <cell r="BG160">
            <v>162609276</v>
          </cell>
          <cell r="BH160">
            <v>170489976</v>
          </cell>
          <cell r="BI160">
            <v>174248634</v>
          </cell>
          <cell r="BJ160">
            <v>174528726</v>
          </cell>
        </row>
        <row r="161">
          <cell r="BF161">
            <v>142055244</v>
          </cell>
          <cell r="BG161">
            <v>163694622</v>
          </cell>
          <cell r="BH161">
            <v>170700456</v>
          </cell>
          <cell r="BI161">
            <v>174476172</v>
          </cell>
          <cell r="BJ161">
            <v>174757806</v>
          </cell>
        </row>
        <row r="162">
          <cell r="BF162">
            <v>142966560</v>
          </cell>
          <cell r="BG162">
            <v>164429502</v>
          </cell>
          <cell r="BH162">
            <v>170910852</v>
          </cell>
          <cell r="BI162">
            <v>174703596</v>
          </cell>
          <cell r="BJ162">
            <v>174986784</v>
          </cell>
        </row>
        <row r="163">
          <cell r="BF163">
            <v>143680632</v>
          </cell>
          <cell r="BG163">
            <v>164982678</v>
          </cell>
          <cell r="BH163">
            <v>171121152</v>
          </cell>
          <cell r="BI163">
            <v>174930900</v>
          </cell>
          <cell r="BJ163">
            <v>175215636</v>
          </cell>
        </row>
        <row r="164">
          <cell r="BF164">
            <v>144395508</v>
          </cell>
          <cell r="BG164">
            <v>165536418</v>
          </cell>
          <cell r="BH164">
            <v>171331320</v>
          </cell>
          <cell r="BI164">
            <v>175158060</v>
          </cell>
          <cell r="BJ164">
            <v>175444344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4">
          <cell r="L4">
            <v>1040.8352879799568</v>
          </cell>
          <cell r="M4">
            <v>1168.9516338298708</v>
          </cell>
          <cell r="N4">
            <v>1452.2172869047899</v>
          </cell>
          <cell r="O4">
            <v>2510.7422303165949</v>
          </cell>
          <cell r="P4">
            <v>3045.4164117374748</v>
          </cell>
          <cell r="T4">
            <v>14501.673058529761</v>
          </cell>
          <cell r="U4">
            <v>19413.896977599055</v>
          </cell>
          <cell r="V4">
            <v>30743.578088908678</v>
          </cell>
          <cell r="W4">
            <v>76075.906172330011</v>
          </cell>
          <cell r="X4">
            <v>177081.7886017682</v>
          </cell>
        </row>
        <row r="5">
          <cell r="L5">
            <v>2156.3749285081976</v>
          </cell>
          <cell r="M5">
            <v>2445.0615859519603</v>
          </cell>
          <cell r="N5">
            <v>3068.6815757732184</v>
          </cell>
          <cell r="O5">
            <v>5380.4255785215355</v>
          </cell>
          <cell r="P5">
            <v>6628.3385775485367</v>
          </cell>
          <cell r="T5">
            <v>23031.394540905989</v>
          </cell>
          <cell r="U5">
            <v>30854.533994996593</v>
          </cell>
          <cell r="V5">
            <v>48567.987394496246</v>
          </cell>
          <cell r="W5">
            <v>119204.78613394586</v>
          </cell>
          <cell r="X5">
            <v>275220.26474734046</v>
          </cell>
        </row>
        <row r="6">
          <cell r="L6">
            <v>3351.9807116336397</v>
          </cell>
          <cell r="M6">
            <v>3828.7498339345493</v>
          </cell>
          <cell r="N6">
            <v>4848.3395205770648</v>
          </cell>
          <cell r="O6">
            <v>8568.4276587872155</v>
          </cell>
          <cell r="P6">
            <v>10613.278887857712</v>
          </cell>
          <cell r="T6">
            <v>31561.116023282215</v>
          </cell>
          <cell r="U6">
            <v>42157.227625610445</v>
          </cell>
          <cell r="V6">
            <v>66088.950388171492</v>
          </cell>
          <cell r="W6">
            <v>161357.84542698861</v>
          </cell>
          <cell r="X6">
            <v>371708.62996968755</v>
          </cell>
        </row>
        <row r="7">
          <cell r="L7">
            <v>4633.3992616424111</v>
          </cell>
          <cell r="M7">
            <v>5317.4188778006173</v>
          </cell>
          <cell r="N7">
            <v>6773.2188891002043</v>
          </cell>
          <cell r="O7">
            <v>12026.203815149966</v>
          </cell>
          <cell r="P7">
            <v>15024.655902480066</v>
          </cell>
          <cell r="T7">
            <v>40090.837505658441</v>
          </cell>
          <cell r="U7">
            <v>53459.921256224297</v>
          </cell>
          <cell r="V7">
            <v>83609.913381846723</v>
          </cell>
          <cell r="W7">
            <v>203510.90472003139</v>
          </cell>
          <cell r="X7">
            <v>468196.99519203458</v>
          </cell>
        </row>
        <row r="8">
          <cell r="L8">
            <v>6006.789657943551</v>
          </cell>
          <cell r="M8">
            <v>6890.3207409975184</v>
          </cell>
          <cell r="N8">
            <v>8791.163388022298</v>
          </cell>
          <cell r="O8">
            <v>15638.776428266865</v>
          </cell>
          <cell r="P8">
            <v>19574.3719490816</v>
          </cell>
          <cell r="T8">
            <v>48620.558988034674</v>
          </cell>
          <cell r="U8">
            <v>64762.61488683815</v>
          </cell>
          <cell r="V8">
            <v>101130.87637552196</v>
          </cell>
          <cell r="W8">
            <v>245663.96401307415</v>
          </cell>
          <cell r="X8">
            <v>564685.3604143816</v>
          </cell>
        </row>
        <row r="9">
          <cell r="L9">
            <v>7478.7530384013098</v>
          </cell>
          <cell r="M9">
            <v>8590.893200390401</v>
          </cell>
          <cell r="N9">
            <v>10971.055697648706</v>
          </cell>
          <cell r="O9">
            <v>19602.189096576229</v>
          </cell>
          <cell r="P9">
            <v>24730.552915572829</v>
          </cell>
          <cell r="T9">
            <v>57150.2804704109</v>
          </cell>
          <cell r="U9">
            <v>76065.308517452009</v>
          </cell>
          <cell r="V9">
            <v>118651.8393691972</v>
          </cell>
          <cell r="W9">
            <v>287817.02330611687</v>
          </cell>
          <cell r="X9">
            <v>661173.72563672857</v>
          </cell>
        </row>
        <row r="10">
          <cell r="L10">
            <v>9056.364327401152</v>
          </cell>
          <cell r="M10">
            <v>10443.399467293943</v>
          </cell>
          <cell r="N10">
            <v>13372.604016402558</v>
          </cell>
          <cell r="O10">
            <v>23847.861989582831</v>
          </cell>
          <cell r="P10">
            <v>29846.901310823479</v>
          </cell>
          <cell r="T10">
            <v>65680.001952787134</v>
          </cell>
          <cell r="U10">
            <v>87013.612097199526</v>
          </cell>
          <cell r="V10">
            <v>135833.17555775886</v>
          </cell>
          <cell r="W10">
            <v>329495.38453408948</v>
          </cell>
          <cell r="X10">
            <v>757274.01349916705</v>
          </cell>
        </row>
        <row r="11">
          <cell r="L11">
            <v>10747.20624114886</v>
          </cell>
          <cell r="M11">
            <v>12335.24414104376</v>
          </cell>
          <cell r="N11">
            <v>15694.428505331771</v>
          </cell>
          <cell r="O11">
            <v>27889.164573650749</v>
          </cell>
          <cell r="P11">
            <v>34995.512475748721</v>
          </cell>
          <cell r="T11">
            <v>71369.493447807283</v>
          </cell>
          <cell r="U11">
            <v>95426.442792588015</v>
          </cell>
          <cell r="V11">
            <v>149807.08707184682</v>
          </cell>
          <cell r="W11">
            <v>366417.79577903147</v>
          </cell>
          <cell r="X11">
            <v>844742.07535693469</v>
          </cell>
        </row>
        <row r="12">
          <cell r="L12">
            <v>12559.405733647733</v>
          </cell>
          <cell r="M12">
            <v>14410.139453011971</v>
          </cell>
          <cell r="N12">
            <v>18405.364234952573</v>
          </cell>
          <cell r="O12">
            <v>32952.202123758485</v>
          </cell>
          <cell r="P12">
            <v>41453.73097236536</v>
          </cell>
          <cell r="T12">
            <v>77058.984942827432</v>
          </cell>
          <cell r="U12">
            <v>103484.8834371102</v>
          </cell>
          <cell r="V12">
            <v>163441.37178082121</v>
          </cell>
          <cell r="W12">
            <v>402865.50895890332</v>
          </cell>
          <cell r="X12">
            <v>931822.0598547936</v>
          </cell>
        </row>
        <row r="13">
          <cell r="L13">
            <v>14501.673058529761</v>
          </cell>
          <cell r="M13">
            <v>16712.913143474369</v>
          </cell>
          <cell r="N13">
            <v>21406.923324366089</v>
          </cell>
          <cell r="O13">
            <v>38510.453075083373</v>
          </cell>
          <cell r="P13">
            <v>48829.554950228208</v>
          </cell>
          <cell r="T13">
            <v>82748.476437847581</v>
          </cell>
          <cell r="U13">
            <v>111543.32408163235</v>
          </cell>
          <cell r="V13">
            <v>177075.6564897956</v>
          </cell>
          <cell r="W13">
            <v>439313.22213877511</v>
          </cell>
          <cell r="X13">
            <v>1018902.0443526527</v>
          </cell>
        </row>
        <row r="14">
          <cell r="L14">
            <v>15726.088349050451</v>
          </cell>
          <cell r="M14">
            <v>19167.896551545822</v>
          </cell>
          <cell r="N14">
            <v>24667.991108060392</v>
          </cell>
          <cell r="O14">
            <v>44364.525578775363</v>
          </cell>
          <cell r="P14">
            <v>56779.073660921611</v>
          </cell>
          <cell r="T14">
            <v>88437.96793286773</v>
          </cell>
          <cell r="U14">
            <v>119601.76472615452</v>
          </cell>
          <cell r="V14">
            <v>190709.94119876999</v>
          </cell>
          <cell r="W14">
            <v>475760.93531864701</v>
          </cell>
          <cell r="X14">
            <v>1105982.0288505116</v>
          </cell>
        </row>
        <row r="15">
          <cell r="L15">
            <v>17038.384164554194</v>
          </cell>
          <cell r="M15">
            <v>20825.059623865094</v>
          </cell>
          <cell r="N15">
            <v>28123.71056574865</v>
          </cell>
          <cell r="O15">
            <v>51022.981683163329</v>
          </cell>
          <cell r="P15">
            <v>65345.525077267288</v>
          </cell>
          <cell r="T15">
            <v>94127.459427887894</v>
          </cell>
          <cell r="U15">
            <v>127660.20537067669</v>
          </cell>
          <cell r="V15">
            <v>204344.22590774437</v>
          </cell>
          <cell r="W15">
            <v>512208.6484985188</v>
          </cell>
          <cell r="X15">
            <v>1193062.0133483706</v>
          </cell>
        </row>
        <row r="16">
          <cell r="L16">
            <v>18444.867994608529</v>
          </cell>
          <cell r="M16">
            <v>22522.557065644731</v>
          </cell>
          <cell r="N16">
            <v>31563.040133767903</v>
          </cell>
          <cell r="O16">
            <v>58217.56000155623</v>
          </cell>
          <cell r="P16">
            <v>74826.697957350567</v>
          </cell>
          <cell r="T16">
            <v>99816.950922908043</v>
          </cell>
          <cell r="U16">
            <v>135718.64601519887</v>
          </cell>
          <cell r="V16">
            <v>217978.51061671876</v>
          </cell>
          <cell r="W16">
            <v>548656.36167839065</v>
          </cell>
          <cell r="X16">
            <v>1280141.9978462297</v>
          </cell>
        </row>
        <row r="17">
          <cell r="L17">
            <v>19952.300039147165</v>
          </cell>
          <cell r="M17">
            <v>24227.212538513926</v>
          </cell>
          <cell r="N17">
            <v>33754.411692335707</v>
          </cell>
          <cell r="O17">
            <v>65190.381474620808</v>
          </cell>
          <cell r="P17">
            <v>83664.923820554817</v>
          </cell>
          <cell r="T17">
            <v>105506.43551656598</v>
          </cell>
          <cell r="U17">
            <v>143763.35342501907</v>
          </cell>
          <cell r="V17">
            <v>231399.60984942626</v>
          </cell>
          <cell r="W17">
            <v>584412.16485232592</v>
          </cell>
          <cell r="X17">
            <v>1365888.7106964437</v>
          </cell>
        </row>
        <row r="18">
          <cell r="L18">
            <v>21567.925701060507</v>
          </cell>
          <cell r="M18">
            <v>26100.568500456058</v>
          </cell>
          <cell r="N18">
            <v>36178.578407986883</v>
          </cell>
          <cell r="O18">
            <v>73118.519562145026</v>
          </cell>
          <cell r="P18">
            <v>94215.936382830361</v>
          </cell>
          <cell r="T18">
            <v>111195.83045140664</v>
          </cell>
          <cell r="U18">
            <v>151610.41349654732</v>
          </cell>
          <cell r="V18">
            <v>244403.20484620208</v>
          </cell>
          <cell r="W18">
            <v>617942.27533082222</v>
          </cell>
          <cell r="X18">
            <v>1444458.0653639045</v>
          </cell>
        </row>
        <row r="19">
          <cell r="L19">
            <v>23299.51041089186</v>
          </cell>
          <cell r="M19">
            <v>28126.195578776875</v>
          </cell>
          <cell r="N19">
            <v>38754.142180374445</v>
          </cell>
          <cell r="O19">
            <v>79658.054654546926</v>
          </cell>
          <cell r="P19">
            <v>106274.07289769812</v>
          </cell>
          <cell r="T19">
            <v>116885.21848488509</v>
          </cell>
          <cell r="U19">
            <v>159443.74033337363</v>
          </cell>
          <cell r="V19">
            <v>257193.614366711</v>
          </cell>
          <cell r="W19">
            <v>650780.475803382</v>
          </cell>
          <cell r="X19">
            <v>1521694.1483837203</v>
          </cell>
        </row>
        <row r="20">
          <cell r="L20">
            <v>25155.376951022714</v>
          </cell>
          <cell r="M20">
            <v>30214.453217745926</v>
          </cell>
          <cell r="N20">
            <v>41393.145668975973</v>
          </cell>
          <cell r="O20">
            <v>84395.12297073126</v>
          </cell>
          <cell r="P20">
            <v>116732.01692544734</v>
          </cell>
          <cell r="T20">
            <v>122574.60651836354</v>
          </cell>
          <cell r="U20">
            <v>167277.06717019991</v>
          </cell>
          <cell r="V20">
            <v>269984.0238872199</v>
          </cell>
          <cell r="W20">
            <v>683618.67627594189</v>
          </cell>
          <cell r="X20">
            <v>1598930.2314035362</v>
          </cell>
        </row>
        <row r="21">
          <cell r="L21">
            <v>27144.445458744009</v>
          </cell>
          <cell r="M21">
            <v>32567.716194017077</v>
          </cell>
          <cell r="N21">
            <v>44521.793369274732</v>
          </cell>
          <cell r="O21">
            <v>89977.172780918947</v>
          </cell>
          <cell r="P21">
            <v>129678.52194244512</v>
          </cell>
          <cell r="T21">
            <v>128263.99455184198</v>
          </cell>
          <cell r="U21">
            <v>175110.39400702619</v>
          </cell>
          <cell r="V21">
            <v>282774.43340772885</v>
          </cell>
          <cell r="W21">
            <v>716456.87674850167</v>
          </cell>
          <cell r="X21">
            <v>1676166.314423352</v>
          </cell>
        </row>
        <row r="22">
          <cell r="L22">
            <v>29276.276300486359</v>
          </cell>
          <cell r="M22">
            <v>35074.994145464443</v>
          </cell>
          <cell r="N22">
            <v>47709.730679362823</v>
          </cell>
          <cell r="O22">
            <v>95580.53961916102</v>
          </cell>
          <cell r="P22">
            <v>143468.16217514762</v>
          </cell>
          <cell r="T22">
            <v>133953.38258532042</v>
          </cell>
          <cell r="U22">
            <v>182943.7208438525</v>
          </cell>
          <cell r="V22">
            <v>295564.84292823775</v>
          </cell>
          <cell r="W22">
            <v>749295.07722106157</v>
          </cell>
          <cell r="X22">
            <v>1753402.3974431679</v>
          </cell>
        </row>
        <row r="23">
          <cell r="L23">
            <v>31561.116023282215</v>
          </cell>
          <cell r="M23">
            <v>37677.97013979817</v>
          </cell>
          <cell r="N23">
            <v>50971.863517228492</v>
          </cell>
          <cell r="O23">
            <v>101504.7165367972</v>
          </cell>
          <cell r="P23">
            <v>157266.19839204173</v>
          </cell>
          <cell r="T23">
            <v>139642.77061879888</v>
          </cell>
          <cell r="U23">
            <v>190777.04768067878</v>
          </cell>
          <cell r="V23">
            <v>308355.25244874664</v>
          </cell>
          <cell r="W23">
            <v>782133.27769362135</v>
          </cell>
          <cell r="X23">
            <v>1830638.4804629835</v>
          </cell>
        </row>
        <row r="24">
          <cell r="L24">
            <v>34009.946604323595</v>
          </cell>
          <cell r="M24">
            <v>40483.1023076743</v>
          </cell>
          <cell r="N24">
            <v>54641.739591638812</v>
          </cell>
          <cell r="O24">
            <v>108100.47658500832</v>
          </cell>
          <cell r="P24">
            <v>173667.52080389639</v>
          </cell>
          <cell r="T24">
            <v>145332.15865227731</v>
          </cell>
          <cell r="U24">
            <v>198610.37451750509</v>
          </cell>
          <cell r="V24">
            <v>321145.6619692556</v>
          </cell>
          <cell r="W24">
            <v>814971.47816618124</v>
          </cell>
          <cell r="X24">
            <v>1907874.5634827993</v>
          </cell>
        </row>
        <row r="25">
          <cell r="L25">
            <v>36634.538235331078</v>
          </cell>
          <cell r="M25">
            <v>43561.417331527664</v>
          </cell>
          <cell r="N25">
            <v>58641.674296658151</v>
          </cell>
          <cell r="O25">
            <v>115316.45592085565</v>
          </cell>
          <cell r="P25">
            <v>185363.74592555995</v>
          </cell>
          <cell r="T25">
            <v>151021.54668575578</v>
          </cell>
          <cell r="U25">
            <v>206443.70135433137</v>
          </cell>
          <cell r="V25">
            <v>333936.07148976449</v>
          </cell>
          <cell r="W25">
            <v>847809.67863874102</v>
          </cell>
          <cell r="X25">
            <v>1985110.6465026152</v>
          </cell>
        </row>
        <row r="26">
          <cell r="L26">
            <v>39447.505895439739</v>
          </cell>
          <cell r="M26">
            <v>46769.893451378055</v>
          </cell>
          <cell r="N26">
            <v>62698.039224057815</v>
          </cell>
          <cell r="O26">
            <v>122561.59014963175</v>
          </cell>
          <cell r="P26">
            <v>194255.91934723043</v>
          </cell>
          <cell r="T26">
            <v>156710.93471923424</v>
          </cell>
          <cell r="U26">
            <v>214277.02819115765</v>
          </cell>
          <cell r="V26">
            <v>346726.48101027345</v>
          </cell>
          <cell r="W26">
            <v>880647.87911130092</v>
          </cell>
          <cell r="X26">
            <v>2062346.729522431</v>
          </cell>
        </row>
        <row r="27">
          <cell r="L27">
            <v>42462.369984517027</v>
          </cell>
          <cell r="M27">
            <v>50311.665879092536</v>
          </cell>
          <cell r="N27">
            <v>67313.937400448282</v>
          </cell>
          <cell r="O27">
            <v>130763.22334191311</v>
          </cell>
          <cell r="P27">
            <v>204715.44326334211</v>
          </cell>
          <cell r="T27">
            <v>162400.32275271267</v>
          </cell>
          <cell r="U27">
            <v>222110.35502798393</v>
          </cell>
          <cell r="V27">
            <v>359516.8905307824</v>
          </cell>
          <cell r="W27">
            <v>913486.0795838607</v>
          </cell>
          <cell r="X27">
            <v>2139582.8125422467</v>
          </cell>
        </row>
        <row r="28">
          <cell r="L28">
            <v>45693.621308343718</v>
          </cell>
          <cell r="M28">
            <v>54073.175003945638</v>
          </cell>
          <cell r="N28">
            <v>72125.845879448229</v>
          </cell>
          <cell r="O28">
            <v>139369.87523300829</v>
          </cell>
          <cell r="P28">
            <v>215425.61427332016</v>
          </cell>
          <cell r="T28">
            <v>168089.71078619111</v>
          </cell>
          <cell r="U28">
            <v>229943.68186481023</v>
          </cell>
          <cell r="V28">
            <v>372307.3000512913</v>
          </cell>
          <cell r="W28">
            <v>946324.28005642048</v>
          </cell>
          <cell r="X28">
            <v>2216818.8955620625</v>
          </cell>
        </row>
        <row r="29">
          <cell r="L29">
            <v>49156.790728006417</v>
          </cell>
          <cell r="M29">
            <v>58079.828833926251</v>
          </cell>
          <cell r="N29">
            <v>77252.661931416835</v>
          </cell>
          <cell r="O29">
            <v>148350.2420406632</v>
          </cell>
          <cell r="P29">
            <v>226939.51188803394</v>
          </cell>
          <cell r="T29">
            <v>173779.09881966957</v>
          </cell>
          <cell r="U29">
            <v>237777.00870163651</v>
          </cell>
          <cell r="V29">
            <v>385097.70957180019</v>
          </cell>
          <cell r="W29">
            <v>979162.48052898038</v>
          </cell>
          <cell r="X29">
            <v>2294054.9785818784</v>
          </cell>
        </row>
        <row r="30">
          <cell r="L30">
            <v>52868.523808268132</v>
          </cell>
          <cell r="M30">
            <v>62368.985766527236</v>
          </cell>
          <cell r="N30">
            <v>82720.324513717162</v>
          </cell>
          <cell r="O30">
            <v>158008.69143623821</v>
          </cell>
          <cell r="P30">
            <v>239429.1677670764</v>
          </cell>
          <cell r="T30">
            <v>179468.486853148</v>
          </cell>
          <cell r="U30">
            <v>245610.33553846279</v>
          </cell>
          <cell r="V30">
            <v>397888.11909230915</v>
          </cell>
          <cell r="W30">
            <v>1012000.6810015402</v>
          </cell>
          <cell r="X30">
            <v>2371291.0616016942</v>
          </cell>
        </row>
        <row r="31">
          <cell r="L31">
            <v>56846.660823710707</v>
          </cell>
          <cell r="M31">
            <v>66926.150305849689</v>
          </cell>
          <cell r="N31">
            <v>88433.174310601171</v>
          </cell>
          <cell r="O31">
            <v>168326.14538209527</v>
          </cell>
          <cell r="P31">
            <v>253395.93774105425</v>
          </cell>
          <cell r="T31">
            <v>185157.87488662647</v>
          </cell>
          <cell r="U31">
            <v>253443.6623752891</v>
          </cell>
          <cell r="V31">
            <v>410678.5286128181</v>
          </cell>
          <cell r="W31">
            <v>1044838.8814741001</v>
          </cell>
          <cell r="X31">
            <v>2448527.1446215101</v>
          </cell>
        </row>
        <row r="32">
          <cell r="L32">
            <v>61110.3225071954</v>
          </cell>
          <cell r="M32">
            <v>71909.456860487029</v>
          </cell>
          <cell r="N32">
            <v>95016.724322714377</v>
          </cell>
          <cell r="O32">
            <v>180462.02468798024</v>
          </cell>
          <cell r="P32">
            <v>269111.9215568311</v>
          </cell>
          <cell r="T32">
            <v>190863.14162790234</v>
          </cell>
          <cell r="U32">
            <v>261290.21329832528</v>
          </cell>
          <cell r="V32">
            <v>423468.938133327</v>
          </cell>
          <cell r="W32">
            <v>1077932.6215086782</v>
          </cell>
          <cell r="X32">
            <v>2525763.2276413259</v>
          </cell>
        </row>
        <row r="33">
          <cell r="L33">
            <v>65680.001952787134</v>
          </cell>
          <cell r="M33">
            <v>77224.964883952984</v>
          </cell>
          <cell r="N33">
            <v>101868.50891755569</v>
          </cell>
          <cell r="O33">
            <v>192673.35317579008</v>
          </cell>
          <cell r="P33">
            <v>284936.6431252308</v>
          </cell>
          <cell r="T33">
            <v>196663.61286678724</v>
          </cell>
          <cell r="U33">
            <v>269307.76347360696</v>
          </cell>
          <cell r="V33">
            <v>436498.61926985084</v>
          </cell>
          <cell r="W33">
            <v>1111368.2906063378</v>
          </cell>
          <cell r="X33">
            <v>2603895.6752189337</v>
          </cell>
        </row>
        <row r="34">
          <cell r="L34">
            <v>68946.837990134227</v>
          </cell>
          <cell r="M34">
            <v>82977.001107809148</v>
          </cell>
          <cell r="N34">
            <v>109247.66551910572</v>
          </cell>
          <cell r="O34">
            <v>205710.89057429146</v>
          </cell>
          <cell r="P34">
            <v>302074.48782038403</v>
          </cell>
          <cell r="T34">
            <v>202464.08410567214</v>
          </cell>
          <cell r="U34">
            <v>277325.31364888867</v>
          </cell>
          <cell r="V34">
            <v>449825.11207035818</v>
          </cell>
          <cell r="W34">
            <v>1145354.6959446499</v>
          </cell>
          <cell r="X34">
            <v>2685591.9040212682</v>
          </cell>
        </row>
        <row r="35">
          <cell r="L35">
            <v>72448.146161420067</v>
          </cell>
          <cell r="M35">
            <v>88592.612648810507</v>
          </cell>
          <cell r="N35">
            <v>117010.65127352798</v>
          </cell>
          <cell r="O35">
            <v>219761.91033099376</v>
          </cell>
          <cell r="P35">
            <v>320093.68795940961</v>
          </cell>
          <cell r="T35">
            <v>208391.51725776092</v>
          </cell>
          <cell r="U35">
            <v>285510.66898353701</v>
          </cell>
          <cell r="V35">
            <v>463203.73588189075</v>
          </cell>
          <cell r="W35">
            <v>1180194.1094700799</v>
          </cell>
          <cell r="X35">
            <v>2767356.0204170877</v>
          </cell>
        </row>
        <row r="36">
          <cell r="L36">
            <v>76200.755343565717</v>
          </cell>
          <cell r="M36">
            <v>93105.924956101415</v>
          </cell>
          <cell r="N36">
            <v>125127.9725742256</v>
          </cell>
          <cell r="O36">
            <v>234538.41940298415</v>
          </cell>
          <cell r="P36">
            <v>339164.14952323883</v>
          </cell>
          <cell r="T36">
            <v>214318.9504098497</v>
          </cell>
          <cell r="U36">
            <v>293710.84545083466</v>
          </cell>
          <cell r="V36">
            <v>476675.92999591812</v>
          </cell>
          <cell r="W36">
            <v>1215033.5229955099</v>
          </cell>
          <cell r="X36">
            <v>2849534.3752950612</v>
          </cell>
        </row>
        <row r="37">
          <cell r="L37">
            <v>80222.702280259429</v>
          </cell>
          <cell r="M37">
            <v>98093.593024921094</v>
          </cell>
          <cell r="N37">
            <v>134277.60959034087</v>
          </cell>
          <cell r="O37">
            <v>251090.71369793112</v>
          </cell>
          <cell r="P37">
            <v>360241.28502284456</v>
          </cell>
          <cell r="T37">
            <v>220246.38356193848</v>
          </cell>
          <cell r="U37">
            <v>301911.02191813232</v>
          </cell>
          <cell r="V37">
            <v>490148.12410994555</v>
          </cell>
          <cell r="W37">
            <v>1249872.9365209402</v>
          </cell>
          <cell r="X37">
            <v>2931712.7301730346</v>
          </cell>
        </row>
        <row r="38">
          <cell r="L38">
            <v>84533.318274736914</v>
          </cell>
          <cell r="M38">
            <v>103524.36085513508</v>
          </cell>
          <cell r="N38">
            <v>142372.9729246567</v>
          </cell>
          <cell r="O38">
            <v>268448.71290335787</v>
          </cell>
          <cell r="P38">
            <v>382381.64063262125</v>
          </cell>
          <cell r="T38">
            <v>226173.81671402726</v>
          </cell>
          <cell r="U38">
            <v>310111.19838542998</v>
          </cell>
          <cell r="V38">
            <v>503620.31822397298</v>
          </cell>
          <cell r="W38">
            <v>1284712.3500463704</v>
          </cell>
          <cell r="X38">
            <v>3013891.0850510076</v>
          </cell>
        </row>
        <row r="39">
          <cell r="L39">
            <v>89153.322104802355</v>
          </cell>
          <cell r="M39">
            <v>109336.24112426533</v>
          </cell>
          <cell r="N39">
            <v>150360.18774897605</v>
          </cell>
          <cell r="O39">
            <v>286555.30116916471</v>
          </cell>
          <cell r="P39">
            <v>404402.00785357563</v>
          </cell>
          <cell r="T39">
            <v>232101.24986611604</v>
          </cell>
          <cell r="U39">
            <v>318311.37485272769</v>
          </cell>
          <cell r="V39">
            <v>517092.51233800041</v>
          </cell>
          <cell r="W39">
            <v>1319551.7635718007</v>
          </cell>
          <cell r="X39">
            <v>3096069.439928981</v>
          </cell>
        </row>
        <row r="40">
          <cell r="L40">
            <v>94104.919606682539</v>
          </cell>
          <cell r="M40">
            <v>115438.27391491983</v>
          </cell>
          <cell r="N40">
            <v>158903.03243934349</v>
          </cell>
          <cell r="O40">
            <v>305381.39836842776</v>
          </cell>
          <cell r="P40">
            <v>429602.7207360816</v>
          </cell>
          <cell r="T40">
            <v>238028.68301820479</v>
          </cell>
          <cell r="U40">
            <v>326511.55132002529</v>
          </cell>
          <cell r="V40">
            <v>530564.70645202789</v>
          </cell>
          <cell r="W40">
            <v>1354391.1770972307</v>
          </cell>
          <cell r="X40">
            <v>3178247.794806954</v>
          </cell>
        </row>
        <row r="41">
          <cell r="L41">
            <v>99411.910406358715</v>
          </cell>
          <cell r="M41">
            <v>121955.00500168031</v>
          </cell>
          <cell r="N41">
            <v>167791.87483036291</v>
          </cell>
          <cell r="O41">
            <v>325595.7216859844</v>
          </cell>
          <cell r="P41">
            <v>455738.94028841017</v>
          </cell>
          <cell r="T41">
            <v>243956.11617029356</v>
          </cell>
          <cell r="U41">
            <v>334711.72778732295</v>
          </cell>
          <cell r="V41">
            <v>544036.90056605532</v>
          </cell>
          <cell r="W41">
            <v>1389230.5906226609</v>
          </cell>
          <cell r="X41">
            <v>3260426.149684927</v>
          </cell>
        </row>
        <row r="42">
          <cell r="L42">
            <v>105099.80231137591</v>
          </cell>
          <cell r="M42">
            <v>128845.35339229734</v>
          </cell>
          <cell r="N42">
            <v>177293.86486455292</v>
          </cell>
          <cell r="O42">
            <v>345268.16438133456</v>
          </cell>
          <cell r="P42">
            <v>484619.43485490943</v>
          </cell>
          <cell r="T42">
            <v>249883.54932238234</v>
          </cell>
          <cell r="U42">
            <v>342911.9042546206</v>
          </cell>
          <cell r="V42">
            <v>557509.09468008275</v>
          </cell>
          <cell r="W42">
            <v>1424070.004148091</v>
          </cell>
          <cell r="X42">
            <v>3342604.5045629004</v>
          </cell>
        </row>
        <row r="43">
          <cell r="L43">
            <v>111195.83045140664</v>
          </cell>
          <cell r="M43">
            <v>136194.09401322569</v>
          </cell>
          <cell r="N43">
            <v>187737.66713221357</v>
          </cell>
          <cell r="O43">
            <v>366454.24349221133</v>
          </cell>
          <cell r="P43">
            <v>516441.17780320806</v>
          </cell>
          <cell r="T43">
            <v>255810.98247447115</v>
          </cell>
          <cell r="U43">
            <v>351112.08072191826</v>
          </cell>
          <cell r="V43">
            <v>570981.28879411006</v>
          </cell>
          <cell r="W43">
            <v>1458909.4176735212</v>
          </cell>
          <cell r="X43">
            <v>3424782.8594408734</v>
          </cell>
        </row>
        <row r="44">
          <cell r="L44">
            <v>117729.3837134114</v>
          </cell>
          <cell r="M44">
            <v>144288.09353151682</v>
          </cell>
          <cell r="N44">
            <v>199190.2723509311</v>
          </cell>
          <cell r="O44">
            <v>389368.62240997958</v>
          </cell>
          <cell r="P44">
            <v>551240.76766568329</v>
          </cell>
          <cell r="T44">
            <v>261738.41562655996</v>
          </cell>
          <cell r="U44">
            <v>359312.25718921592</v>
          </cell>
          <cell r="V44">
            <v>584453.48290813749</v>
          </cell>
          <cell r="W44">
            <v>1493748.8311989512</v>
          </cell>
          <cell r="X44">
            <v>3506961.2143188468</v>
          </cell>
        </row>
        <row r="45">
          <cell r="L45">
            <v>124731.87271569562</v>
          </cell>
          <cell r="M45">
            <v>153039.57363793612</v>
          </cell>
          <cell r="N45">
            <v>211812.58801458497</v>
          </cell>
          <cell r="O45">
            <v>414608.5525433803</v>
          </cell>
          <cell r="P45">
            <v>588663.72760539316</v>
          </cell>
          <cell r="T45">
            <v>267665.84877864871</v>
          </cell>
          <cell r="U45">
            <v>367512.43365651357</v>
          </cell>
          <cell r="V45">
            <v>597925.67702216492</v>
          </cell>
          <cell r="W45">
            <v>1528588.2447243815</v>
          </cell>
          <cell r="X45">
            <v>3589139.5691968198</v>
          </cell>
        </row>
        <row r="46">
          <cell r="L46">
            <v>132236.95460004604</v>
          </cell>
          <cell r="M46">
            <v>162095.97801082022</v>
          </cell>
          <cell r="N46">
            <v>224925.57977297233</v>
          </cell>
          <cell r="O46">
            <v>440057.65420750715</v>
          </cell>
          <cell r="P46">
            <v>626381.0324356982</v>
          </cell>
          <cell r="T46">
            <v>273593.28193073749</v>
          </cell>
          <cell r="U46">
            <v>375712.61012381123</v>
          </cell>
          <cell r="V46">
            <v>611397.87113619235</v>
          </cell>
          <cell r="W46">
            <v>1563427.6582498117</v>
          </cell>
          <cell r="X46">
            <v>3671317.9240747932</v>
          </cell>
        </row>
        <row r="47">
          <cell r="L47">
            <v>140280.7021978547</v>
          </cell>
          <cell r="M47">
            <v>171773.21033300663</v>
          </cell>
          <cell r="N47">
            <v>238276.02804493564</v>
          </cell>
          <cell r="O47">
            <v>467306.25284793961</v>
          </cell>
          <cell r="P47">
            <v>666359.98475052416</v>
          </cell>
          <cell r="T47">
            <v>279520.71508282627</v>
          </cell>
          <cell r="U47">
            <v>383912.78659110889</v>
          </cell>
          <cell r="V47">
            <v>624870.06525021978</v>
          </cell>
          <cell r="W47">
            <v>1598267.071775242</v>
          </cell>
          <cell r="X47">
            <v>3753496.2789527662</v>
          </cell>
        </row>
        <row r="48">
          <cell r="L48">
            <v>148901.77741252608</v>
          </cell>
          <cell r="M48">
            <v>182161.95258932267</v>
          </cell>
          <cell r="N48">
            <v>252130.93191686951</v>
          </cell>
          <cell r="O48">
            <v>496639.30931567377</v>
          </cell>
          <cell r="P48">
            <v>709325.16439252812</v>
          </cell>
          <cell r="T48">
            <v>285448.14823491505</v>
          </cell>
          <cell r="U48">
            <v>392112.96305840655</v>
          </cell>
          <cell r="V48">
            <v>638342.25936424721</v>
          </cell>
          <cell r="W48">
            <v>1633106.485300672</v>
          </cell>
          <cell r="X48">
            <v>3835674.6338307397</v>
          </cell>
        </row>
        <row r="49">
          <cell r="L49">
            <v>158141.61704614019</v>
          </cell>
          <cell r="M49">
            <v>193206.59107855934</v>
          </cell>
          <cell r="N49">
            <v>266880.18635884963</v>
          </cell>
          <cell r="O49">
            <v>527720.17307599634</v>
          </cell>
          <cell r="P49">
            <v>753273.14395466493</v>
          </cell>
          <cell r="T49">
            <v>291375.58138700383</v>
          </cell>
          <cell r="U49">
            <v>400313.1395257042</v>
          </cell>
          <cell r="V49">
            <v>651814.45347827463</v>
          </cell>
          <cell r="W49">
            <v>1667945.8988261023</v>
          </cell>
          <cell r="X49">
            <v>3917852.9887087126</v>
          </cell>
        </row>
        <row r="50">
          <cell r="L50">
            <v>168044.63196353897</v>
          </cell>
          <cell r="M50">
            <v>205057.83982324961</v>
          </cell>
          <cell r="N50">
            <v>282733.43272314564</v>
          </cell>
          <cell r="O50">
            <v>560894.48753860174</v>
          </cell>
          <cell r="P50">
            <v>796207.21319163172</v>
          </cell>
          <cell r="T50">
            <v>297303.0145390926</v>
          </cell>
          <cell r="U50">
            <v>408513.3159930018</v>
          </cell>
          <cell r="V50">
            <v>665286.64759230218</v>
          </cell>
          <cell r="W50">
            <v>1702785.3123515323</v>
          </cell>
          <cell r="X50">
            <v>4000031.3435866856</v>
          </cell>
        </row>
        <row r="51">
          <cell r="L51">
            <v>178658.42055110796</v>
          </cell>
          <cell r="M51">
            <v>217607.87188967346</v>
          </cell>
          <cell r="N51">
            <v>299778.35802827356</v>
          </cell>
          <cell r="O51">
            <v>593952.40865693032</v>
          </cell>
          <cell r="P51">
            <v>841310.94830571418</v>
          </cell>
          <cell r="T51">
            <v>303230.44769118138</v>
          </cell>
          <cell r="U51">
            <v>416713.49246029946</v>
          </cell>
          <cell r="V51">
            <v>678758.84170632961</v>
          </cell>
          <cell r="W51">
            <v>1737624.7258769625</v>
          </cell>
          <cell r="X51">
            <v>4082209.6984646586</v>
          </cell>
        </row>
        <row r="52">
          <cell r="L52">
            <v>190033.99749623501</v>
          </cell>
          <cell r="M52">
            <v>231245.88081260055</v>
          </cell>
          <cell r="N52">
            <v>317556.23835718312</v>
          </cell>
          <cell r="O52">
            <v>626751.71981321415</v>
          </cell>
          <cell r="P52">
            <v>892414.87557016802</v>
          </cell>
          <cell r="T52">
            <v>309157.88084327016</v>
          </cell>
          <cell r="U52">
            <v>424913.66892759711</v>
          </cell>
          <cell r="V52">
            <v>692231.03582035704</v>
          </cell>
          <cell r="W52">
            <v>1772464.1394023926</v>
          </cell>
          <cell r="X52">
            <v>4164388.053342632</v>
          </cell>
        </row>
        <row r="53">
          <cell r="L53">
            <v>202464.08410567214</v>
          </cell>
          <cell r="M53">
            <v>245885.2853104354</v>
          </cell>
          <cell r="N53">
            <v>336561.942564325</v>
          </cell>
          <cell r="O53">
            <v>663475.72410607361</v>
          </cell>
          <cell r="P53">
            <v>948227.92893419019</v>
          </cell>
          <cell r="T53">
            <v>315085.31399535894</v>
          </cell>
          <cell r="U53">
            <v>433113.84539489483</v>
          </cell>
          <cell r="V53">
            <v>705703.22993438446</v>
          </cell>
          <cell r="W53">
            <v>1807303.5529278228</v>
          </cell>
          <cell r="X53">
            <v>4246566.408220605</v>
          </cell>
        </row>
        <row r="54">
          <cell r="L54">
            <v>216077.92094656249</v>
          </cell>
          <cell r="M54">
            <v>260714.6902641707</v>
          </cell>
          <cell r="N54">
            <v>356752.48777482286</v>
          </cell>
          <cell r="O54">
            <v>702905.98884572077</v>
          </cell>
          <cell r="P54">
            <v>1005478.5961148695</v>
          </cell>
          <cell r="T54">
            <v>321012.74714744772</v>
          </cell>
          <cell r="U54">
            <v>441314.02186219243</v>
          </cell>
          <cell r="V54">
            <v>719175.42404841189</v>
          </cell>
          <cell r="W54">
            <v>1842142.9664532528</v>
          </cell>
          <cell r="X54">
            <v>4328744.763098578</v>
          </cell>
        </row>
        <row r="55">
          <cell r="L55">
            <v>230668.86999592787</v>
          </cell>
          <cell r="M55">
            <v>277975.98214441777</v>
          </cell>
          <cell r="N55">
            <v>380065.35549023282</v>
          </cell>
          <cell r="O55">
            <v>747011.80733607896</v>
          </cell>
          <cell r="P55">
            <v>1068552.2196363551</v>
          </cell>
          <cell r="T55">
            <v>326940.1802995365</v>
          </cell>
          <cell r="U55">
            <v>449514.19832949014</v>
          </cell>
          <cell r="V55">
            <v>732647.61816243932</v>
          </cell>
          <cell r="W55">
            <v>1876982.3799786831</v>
          </cell>
          <cell r="X55">
            <v>4410923.1179765519</v>
          </cell>
        </row>
        <row r="56">
          <cell r="L56">
            <v>246307.06198025664</v>
          </cell>
          <cell r="M56">
            <v>297221.32820633071</v>
          </cell>
          <cell r="N56">
            <v>405310.30455440679</v>
          </cell>
          <cell r="O56">
            <v>792624.81850703747</v>
          </cell>
          <cell r="P56">
            <v>1135460.5409884979</v>
          </cell>
          <cell r="T56">
            <v>332867.61345162528</v>
          </cell>
          <cell r="U56">
            <v>457714.3747967878</v>
          </cell>
          <cell r="V56">
            <v>746119.81227646663</v>
          </cell>
          <cell r="W56">
            <v>1911821.7935041133</v>
          </cell>
          <cell r="X56">
            <v>4493101.4728545249</v>
          </cell>
        </row>
        <row r="57">
          <cell r="L57">
            <v>263067.66115110822</v>
          </cell>
          <cell r="M57">
            <v>317881.26528289204</v>
          </cell>
          <cell r="N57">
            <v>430550.56681762933</v>
          </cell>
          <cell r="O57">
            <v>840003.48785740929</v>
          </cell>
          <cell r="P57">
            <v>1202787.5913941714</v>
          </cell>
          <cell r="T57">
            <v>338795.04660371406</v>
          </cell>
          <cell r="U57">
            <v>465914.55126408546</v>
          </cell>
          <cell r="V57">
            <v>759592.00639049406</v>
          </cell>
          <cell r="W57">
            <v>1946661.2070295434</v>
          </cell>
          <cell r="X57">
            <v>4575279.8277324978</v>
          </cell>
        </row>
        <row r="58">
          <cell r="L58">
            <v>281031.2265586346</v>
          </cell>
          <cell r="M58">
            <v>339079.83026278776</v>
          </cell>
          <cell r="N58">
            <v>458383.46979831893</v>
          </cell>
          <cell r="O58">
            <v>889923.62534934084</v>
          </cell>
          <cell r="P58">
            <v>1275312.4499331585</v>
          </cell>
          <cell r="T58">
            <v>344722.47975580284</v>
          </cell>
          <cell r="U58">
            <v>474114.72773138311</v>
          </cell>
          <cell r="V58">
            <v>773064.20050452149</v>
          </cell>
          <cell r="W58">
            <v>1981500.6205549736</v>
          </cell>
          <cell r="X58">
            <v>4657458.1826104717</v>
          </cell>
        </row>
        <row r="59">
          <cell r="L59">
            <v>300284.09925495624</v>
          </cell>
          <cell r="M59">
            <v>361569.73287572316</v>
          </cell>
          <cell r="N59">
            <v>488647.19172683056</v>
          </cell>
          <cell r="O59">
            <v>943386.46165567264</v>
          </cell>
          <cell r="P59">
            <v>1353080.501680641</v>
          </cell>
          <cell r="T59">
            <v>350649.91290789162</v>
          </cell>
          <cell r="U59">
            <v>482314.90419868077</v>
          </cell>
          <cell r="V59">
            <v>786536.39461854892</v>
          </cell>
          <cell r="W59">
            <v>2016340.0340804036</v>
          </cell>
          <cell r="X59">
            <v>4739636.5374884447</v>
          </cell>
        </row>
        <row r="60">
          <cell r="L60">
            <v>320918.81728846359</v>
          </cell>
          <cell r="M60">
            <v>386457.52842069557</v>
          </cell>
          <cell r="N60">
            <v>521349.89331484796</v>
          </cell>
          <cell r="O60">
            <v>1000990.4333649687</v>
          </cell>
          <cell r="P60">
            <v>1430246.2374665507</v>
          </cell>
          <cell r="T60">
            <v>356577.34605998034</v>
          </cell>
          <cell r="U60">
            <v>490515.08066597843</v>
          </cell>
          <cell r="V60">
            <v>800008.58873257635</v>
          </cell>
          <cell r="W60">
            <v>2051179.4476058339</v>
          </cell>
          <cell r="X60">
            <v>4821814.8923664177</v>
          </cell>
        </row>
        <row r="61">
          <cell r="L61">
            <v>343034.56048369553</v>
          </cell>
          <cell r="M61">
            <v>412285.36232209357</v>
          </cell>
          <cell r="N61">
            <v>556343.42493231257</v>
          </cell>
          <cell r="O61">
            <v>1063632.0609803707</v>
          </cell>
          <cell r="P61">
            <v>1510608.8710470924</v>
          </cell>
          <cell r="T61">
            <v>362504.77921206912</v>
          </cell>
          <cell r="U61">
            <v>498715.25713327609</v>
          </cell>
          <cell r="V61">
            <v>813480.78284660366</v>
          </cell>
          <cell r="W61">
            <v>2086018.8611312639</v>
          </cell>
          <cell r="X61">
            <v>4903993.2472443907</v>
          </cell>
        </row>
        <row r="62">
          <cell r="L62">
            <v>366737.62714461319</v>
          </cell>
          <cell r="M62">
            <v>440824.98876863928</v>
          </cell>
          <cell r="N62">
            <v>594262.8435954958</v>
          </cell>
          <cell r="O62">
            <v>1131686.0200432963</v>
          </cell>
          <cell r="P62">
            <v>1599208.7971112158</v>
          </cell>
          <cell r="T62">
            <v>368432.21236415789</v>
          </cell>
          <cell r="U62">
            <v>506915.43360057374</v>
          </cell>
          <cell r="V62">
            <v>826952.97696063109</v>
          </cell>
          <cell r="W62">
            <v>2120858.2746566939</v>
          </cell>
          <cell r="X62">
            <v>4986171.6021223646</v>
          </cell>
        </row>
        <row r="63">
          <cell r="L63">
            <v>392141.94497251301</v>
          </cell>
          <cell r="M63">
            <v>470748.55529155745</v>
          </cell>
          <cell r="N63">
            <v>634535.01730762306</v>
          </cell>
          <cell r="O63">
            <v>1208427.9701910885</v>
          </cell>
          <cell r="P63">
            <v>1697506.6441617273</v>
          </cell>
          <cell r="T63">
            <v>374359.64551624667</v>
          </cell>
          <cell r="U63">
            <v>515115.61006787134</v>
          </cell>
          <cell r="V63">
            <v>840425.17107465852</v>
          </cell>
          <cell r="W63">
            <v>2155697.6881821244</v>
          </cell>
          <cell r="X63">
            <v>5068349.9570003375</v>
          </cell>
        </row>
        <row r="64">
          <cell r="L64">
            <v>419369.61865429371</v>
          </cell>
          <cell r="M64">
            <v>503609.17607035255</v>
          </cell>
          <cell r="N64">
            <v>678460.66752578062</v>
          </cell>
          <cell r="O64">
            <v>1292716.1142577378</v>
          </cell>
          <cell r="P64">
            <v>1799907.4374602123</v>
          </cell>
          <cell r="T64">
            <v>380287.07866833545</v>
          </cell>
          <cell r="U64">
            <v>523315.786535169</v>
          </cell>
          <cell r="V64">
            <v>853897.36518868594</v>
          </cell>
          <cell r="W64">
            <v>2190537.1017075544</v>
          </cell>
          <cell r="X64">
            <v>5150528.3118783105</v>
          </cell>
        </row>
        <row r="65">
          <cell r="L65">
            <v>448551.51675302436</v>
          </cell>
          <cell r="M65">
            <v>538428.44644102664</v>
          </cell>
          <cell r="N65">
            <v>726027.49324814021</v>
          </cell>
          <cell r="O65">
            <v>1383881.4506917524</v>
          </cell>
          <cell r="P65">
            <v>1917460.5787300309</v>
          </cell>
          <cell r="T65">
            <v>386214.51182042423</v>
          </cell>
          <cell r="U65">
            <v>531515.9630024666</v>
          </cell>
          <cell r="V65">
            <v>867369.55930271337</v>
          </cell>
          <cell r="W65">
            <v>2225376.5152329844</v>
          </cell>
          <cell r="X65">
            <v>5232706.6667562826</v>
          </cell>
        </row>
        <row r="66">
          <cell r="L66">
            <v>479827.90072168206</v>
          </cell>
          <cell r="M66">
            <v>576371.57757199276</v>
          </cell>
          <cell r="N66">
            <v>776834.77243250725</v>
          </cell>
          <cell r="O66">
            <v>1482533.5529296137</v>
          </cell>
          <cell r="P66">
            <v>2039181.1681087164</v>
          </cell>
          <cell r="T66">
            <v>392141.94497251301</v>
          </cell>
          <cell r="U66">
            <v>539716.13946976431</v>
          </cell>
          <cell r="V66">
            <v>880841.7534167408</v>
          </cell>
          <cell r="W66">
            <v>2260215.9287584145</v>
          </cell>
          <cell r="X66">
            <v>5314885.0216342555</v>
          </cell>
        </row>
        <row r="67">
          <cell r="L67">
            <v>513349.09906338493</v>
          </cell>
          <cell r="M67">
            <v>616797.17551422887</v>
          </cell>
          <cell r="N67">
            <v>831873.929931066</v>
          </cell>
          <cell r="O67">
            <v>1588465.7847522693</v>
          </cell>
          <cell r="P67">
            <v>2165992.0911573763</v>
          </cell>
          <cell r="T67">
            <v>398069.37812460179</v>
          </cell>
          <cell r="U67">
            <v>547916.31593706203</v>
          </cell>
          <cell r="V67">
            <v>894313.94753076823</v>
          </cell>
          <cell r="W67">
            <v>2295055.3422838449</v>
          </cell>
          <cell r="X67">
            <v>5397063.3765122285</v>
          </cell>
        </row>
        <row r="68">
          <cell r="L68">
            <v>549276.22987843782</v>
          </cell>
          <cell r="M68">
            <v>659845.74791183905</v>
          </cell>
          <cell r="N68">
            <v>891653.07258616271</v>
          </cell>
          <cell r="O68">
            <v>1700343.7289087544</v>
          </cell>
          <cell r="P68">
            <v>2293561.2534739906</v>
          </cell>
          <cell r="T68">
            <v>403996.81127669057</v>
          </cell>
          <cell r="U68">
            <v>556116.49240435963</v>
          </cell>
          <cell r="V68">
            <v>907786.14164479566</v>
          </cell>
          <cell r="W68">
            <v>2329894.755809275</v>
          </cell>
          <cell r="X68">
            <v>5479241.7313902024</v>
          </cell>
        </row>
        <row r="69">
          <cell r="L69">
            <v>578208.18137042806</v>
          </cell>
          <cell r="M69">
            <v>706608.49155666959</v>
          </cell>
          <cell r="N69">
            <v>954811.92250159499</v>
          </cell>
          <cell r="O69">
            <v>1812984.5368224278</v>
          </cell>
          <cell r="P69">
            <v>2437042.1437460529</v>
          </cell>
          <cell r="T69">
            <v>409924.24442877935</v>
          </cell>
          <cell r="U69">
            <v>564316.66887165734</v>
          </cell>
          <cell r="V69">
            <v>921258.33575882309</v>
          </cell>
          <cell r="W69">
            <v>2364734.169334705</v>
          </cell>
          <cell r="X69">
            <v>5561420.0862681754</v>
          </cell>
        </row>
        <row r="70">
          <cell r="L70">
            <v>608378.95300539816</v>
          </cell>
          <cell r="M70">
            <v>756767.93652195623</v>
          </cell>
          <cell r="N70">
            <v>1019508.9017561502</v>
          </cell>
          <cell r="O70">
            <v>1933627.578509642</v>
          </cell>
          <cell r="P70">
            <v>2587477.018167248</v>
          </cell>
          <cell r="T70">
            <v>415851.67758086813</v>
          </cell>
          <cell r="U70">
            <v>572516.84533895506</v>
          </cell>
          <cell r="V70">
            <v>934730.52987285051</v>
          </cell>
          <cell r="W70">
            <v>2399573.582860135</v>
          </cell>
          <cell r="X70">
            <v>5643598.4411461493</v>
          </cell>
        </row>
        <row r="71">
          <cell r="L71">
            <v>640715.18538800185</v>
          </cell>
          <cell r="M71">
            <v>798715.20818464796</v>
          </cell>
          <cell r="N71">
            <v>1086306.624119231</v>
          </cell>
          <cell r="O71">
            <v>2065561.2427186659</v>
          </cell>
          <cell r="P71">
            <v>2755784.5849957354</v>
          </cell>
          <cell r="T71">
            <v>421779.11073295691</v>
          </cell>
          <cell r="U71">
            <v>580717.02180625277</v>
          </cell>
          <cell r="V71">
            <v>948202.72398687794</v>
          </cell>
          <cell r="W71">
            <v>2434412.9963855655</v>
          </cell>
          <cell r="X71">
            <v>5725776.7960241223</v>
          </cell>
        </row>
        <row r="72">
          <cell r="L72">
            <v>675372.30113408319</v>
          </cell>
          <cell r="M72">
            <v>841778.51562049228</v>
          </cell>
          <cell r="N72">
            <v>1162337.2288970766</v>
          </cell>
          <cell r="O72">
            <v>2209186.8009879114</v>
          </cell>
          <cell r="P72">
            <v>2936639.8904699385</v>
          </cell>
          <cell r="T72">
            <v>427706.54388504568</v>
          </cell>
          <cell r="U72">
            <v>588917.19827355037</v>
          </cell>
          <cell r="V72">
            <v>961674.91810090537</v>
          </cell>
          <cell r="W72">
            <v>2469252.4099109955</v>
          </cell>
          <cell r="X72">
            <v>5807955.1509020953</v>
          </cell>
        </row>
        <row r="73">
          <cell r="L73">
            <v>712516.87807878188</v>
          </cell>
          <cell r="M73">
            <v>889856.8618376099</v>
          </cell>
          <cell r="N73">
            <v>1245820.362646288</v>
          </cell>
          <cell r="O73">
            <v>2362145.6009097658</v>
          </cell>
          <cell r="P73">
            <v>3137142.1816969919</v>
          </cell>
          <cell r="T73">
            <v>433633.97703713446</v>
          </cell>
          <cell r="U73">
            <v>597117.37474084797</v>
          </cell>
          <cell r="V73">
            <v>975147.1122149328</v>
          </cell>
          <cell r="W73">
            <v>2504091.8234364255</v>
          </cell>
          <cell r="X73">
            <v>5890133.5057800682</v>
          </cell>
        </row>
        <row r="74">
          <cell r="L74">
            <v>752327.44992524723</v>
          </cell>
          <cell r="M74">
            <v>941842.84192293312</v>
          </cell>
          <cell r="N74">
            <v>1320590.4489970768</v>
          </cell>
          <cell r="O74">
            <v>2525447.0308207385</v>
          </cell>
          <cell r="P74">
            <v>3353002.2047928427</v>
          </cell>
          <cell r="T74">
            <v>439561.41018922324</v>
          </cell>
          <cell r="U74">
            <v>605317.55120814568</v>
          </cell>
          <cell r="V74">
            <v>988619.30632896023</v>
          </cell>
          <cell r="W74">
            <v>2538931.236961856</v>
          </cell>
          <cell r="X74">
            <v>5972311.8606580412</v>
          </cell>
        </row>
        <row r="75">
          <cell r="L75">
            <v>794995.36435868323</v>
          </cell>
          <cell r="M75">
            <v>996952.18451324687</v>
          </cell>
          <cell r="N75">
            <v>1398332.6936868359</v>
          </cell>
          <cell r="O75">
            <v>2698735.5287803207</v>
          </cell>
          <cell r="P75">
            <v>3580673.5082542915</v>
          </cell>
          <cell r="T75">
            <v>445488.84334131208</v>
          </cell>
          <cell r="U75">
            <v>613517.72767544328</v>
          </cell>
          <cell r="V75">
            <v>1002091.5004429877</v>
          </cell>
          <cell r="W75">
            <v>2573770.650487286</v>
          </cell>
          <cell r="X75">
            <v>6054490.2155360151</v>
          </cell>
        </row>
        <row r="76">
          <cell r="L76">
            <v>840725.70275020949</v>
          </cell>
          <cell r="M76">
            <v>1053903.8882900055</v>
          </cell>
          <cell r="N76">
            <v>1482169.2828920323</v>
          </cell>
          <cell r="O76">
            <v>2885765.0088641308</v>
          </cell>
          <cell r="P76">
            <v>3825623.1177580887</v>
          </cell>
          <cell r="T76">
            <v>451416.27649340086</v>
          </cell>
          <cell r="U76">
            <v>621717.90414274088</v>
          </cell>
          <cell r="V76">
            <v>1015563.6945570151</v>
          </cell>
          <cell r="W76">
            <v>2608610.0640127161</v>
          </cell>
          <cell r="X76">
            <v>6136668.5704139881</v>
          </cell>
        </row>
        <row r="77">
          <cell r="L77">
            <v>889738.2658710517</v>
          </cell>
          <cell r="M77">
            <v>1116744.7416914625</v>
          </cell>
          <cell r="N77">
            <v>1575922.3092621714</v>
          </cell>
          <cell r="O77">
            <v>3091829.7441632054</v>
          </cell>
          <cell r="P77">
            <v>4096151.4954179237</v>
          </cell>
          <cell r="T77">
            <v>457343.70964548958</v>
          </cell>
          <cell r="U77">
            <v>629918.0806100386</v>
          </cell>
          <cell r="V77">
            <v>1029035.8886710425</v>
          </cell>
          <cell r="W77">
            <v>2643449.4775381461</v>
          </cell>
          <cell r="X77">
            <v>6218846.9252919611</v>
          </cell>
        </row>
        <row r="78">
          <cell r="L78">
            <v>942260.01727511862</v>
          </cell>
          <cell r="M78">
            <v>1185008.6020046037</v>
          </cell>
          <cell r="N78">
            <v>1676101.3179611163</v>
          </cell>
          <cell r="O78">
            <v>3306035.1774592092</v>
          </cell>
          <cell r="P78">
            <v>4390835.3665658776</v>
          </cell>
          <cell r="T78">
            <v>463271.14279757836</v>
          </cell>
          <cell r="U78">
            <v>638118.25707733631</v>
          </cell>
          <cell r="V78">
            <v>1042508.0827850699</v>
          </cell>
          <cell r="W78">
            <v>2678288.8910635766</v>
          </cell>
          <cell r="X78">
            <v>6301025.280169934</v>
          </cell>
        </row>
        <row r="79">
          <cell r="L79">
            <v>992773.3004085588</v>
          </cell>
          <cell r="M79">
            <v>1257351.5271212088</v>
          </cell>
          <cell r="N79">
            <v>1781555.799674347</v>
          </cell>
          <cell r="O79">
            <v>3529299.5322354301</v>
          </cell>
          <cell r="P79">
            <v>4712072.2898059003</v>
          </cell>
          <cell r="T79">
            <v>469198.57594966714</v>
          </cell>
          <cell r="U79">
            <v>646318.43354463391</v>
          </cell>
          <cell r="V79">
            <v>1055980.2768990973</v>
          </cell>
          <cell r="W79">
            <v>2713128.3045890066</v>
          </cell>
          <cell r="X79">
            <v>6383203.635047907</v>
          </cell>
        </row>
        <row r="80">
          <cell r="L80">
            <v>1046912.096776562</v>
          </cell>
          <cell r="M80">
            <v>1335678.1654017968</v>
          </cell>
          <cell r="N80">
            <v>1897158.2629734648</v>
          </cell>
          <cell r="O80">
            <v>3770848.4591382518</v>
          </cell>
          <cell r="P80">
            <v>5030191.5633052476</v>
          </cell>
          <cell r="T80">
            <v>475126.00910175592</v>
          </cell>
          <cell r="U80">
            <v>654518.61001193163</v>
          </cell>
          <cell r="V80">
            <v>1069452.4710131248</v>
          </cell>
          <cell r="W80">
            <v>2747967.7181144371</v>
          </cell>
          <cell r="X80">
            <v>6465381.9899258809</v>
          </cell>
        </row>
        <row r="81">
          <cell r="L81">
            <v>1104936.6220174441</v>
          </cell>
          <cell r="M81">
            <v>1413058.9444595983</v>
          </cell>
          <cell r="N81">
            <v>2020684.1954405201</v>
          </cell>
          <cell r="O81">
            <v>4024319.6756068617</v>
          </cell>
          <cell r="P81">
            <v>5368457.4932016712</v>
          </cell>
          <cell r="T81">
            <v>481053.4422538447</v>
          </cell>
          <cell r="U81">
            <v>662718.78647922922</v>
          </cell>
          <cell r="V81">
            <v>1082924.6651271521</v>
          </cell>
          <cell r="W81">
            <v>2782807.1316398671</v>
          </cell>
          <cell r="X81">
            <v>6547560.3448038539</v>
          </cell>
        </row>
        <row r="82">
          <cell r="L82">
            <v>1167125.7683468889</v>
          </cell>
          <cell r="M82">
            <v>1496667.2212345796</v>
          </cell>
          <cell r="N82">
            <v>2153461.8603539318</v>
          </cell>
          <cell r="O82">
            <v>4284310.2254597275</v>
          </cell>
          <cell r="P82">
            <v>5735809.6297819801</v>
          </cell>
          <cell r="T82">
            <v>486980.87540593348</v>
          </cell>
          <cell r="U82">
            <v>670918.96294652694</v>
          </cell>
          <cell r="V82">
            <v>1096396.8592411797</v>
          </cell>
          <cell r="W82">
            <v>2817646.5451652976</v>
          </cell>
          <cell r="X82">
            <v>6629738.6996818269</v>
          </cell>
        </row>
        <row r="83">
          <cell r="L83">
            <v>1233778.4450405743</v>
          </cell>
          <cell r="M83">
            <v>1586054.5988333216</v>
          </cell>
          <cell r="N83">
            <v>2287191.1277600061</v>
          </cell>
          <cell r="O83">
            <v>4561282.0271056285</v>
          </cell>
          <cell r="P83">
            <v>6118342.7972761998</v>
          </cell>
          <cell r="T83">
            <v>492908.30855802225</v>
          </cell>
          <cell r="U83">
            <v>679119.13941382454</v>
          </cell>
          <cell r="V83">
            <v>1109869.053355207</v>
          </cell>
          <cell r="W83">
            <v>2852485.9586907276</v>
          </cell>
          <cell r="X83">
            <v>6711917.0545597998</v>
          </cell>
        </row>
        <row r="84">
          <cell r="L84">
            <v>1305215.0151278772</v>
          </cell>
          <cell r="M84">
            <v>1677038.3177689395</v>
          </cell>
          <cell r="N84">
            <v>2422963.1258291933</v>
          </cell>
          <cell r="O84">
            <v>4861639.5326732919</v>
          </cell>
          <cell r="P84">
            <v>6535802.0213373909</v>
          </cell>
          <cell r="T84">
            <v>498835.74171011103</v>
          </cell>
          <cell r="U84">
            <v>687319.31588112214</v>
          </cell>
          <cell r="V84">
            <v>1123341.2474692345</v>
          </cell>
          <cell r="W84">
            <v>2887325.3722161576</v>
          </cell>
          <cell r="X84">
            <v>6794095.4094377728</v>
          </cell>
        </row>
        <row r="85">
          <cell r="L85">
            <v>1381778.8352020616</v>
          </cell>
          <cell r="M85">
            <v>1777062.8377403398</v>
          </cell>
          <cell r="N85">
            <v>2573762.9897704134</v>
          </cell>
          <cell r="O85">
            <v>5190514.1974744778</v>
          </cell>
          <cell r="P85">
            <v>6977432.4595038407</v>
          </cell>
          <cell r="T85">
            <v>504763.17486219981</v>
          </cell>
          <cell r="U85">
            <v>695519.49234841985</v>
          </cell>
          <cell r="V85">
            <v>1136813.4415832618</v>
          </cell>
          <cell r="W85">
            <v>2922164.7857415881</v>
          </cell>
          <cell r="X85">
            <v>6876273.7643157458</v>
          </cell>
        </row>
        <row r="86">
          <cell r="L86">
            <v>1463837.9057479792</v>
          </cell>
          <cell r="M86">
            <v>1886598.4100187661</v>
          </cell>
          <cell r="N86">
            <v>2740778.0963098295</v>
          </cell>
          <cell r="O86">
            <v>5542785.4674281906</v>
          </cell>
          <cell r="P86">
            <v>7467440.6996243615</v>
          </cell>
          <cell r="T86">
            <v>510690.60801428859</v>
          </cell>
          <cell r="U86">
            <v>703719.66881571745</v>
          </cell>
          <cell r="V86">
            <v>1150285.6356972894</v>
          </cell>
          <cell r="W86">
            <v>2957004.1992670181</v>
          </cell>
          <cell r="X86">
            <v>6958452.1191937188</v>
          </cell>
        </row>
        <row r="87">
          <cell r="L87">
            <v>1551786.6399194838</v>
          </cell>
          <cell r="M87">
            <v>2004063.3168475013</v>
          </cell>
          <cell r="N87">
            <v>2913729.6215637578</v>
          </cell>
          <cell r="O87">
            <v>5915710.0787900444</v>
          </cell>
          <cell r="P87">
            <v>7984782.1827939106</v>
          </cell>
          <cell r="T87">
            <v>516618.04116637737</v>
          </cell>
          <cell r="U87">
            <v>711919.84528301517</v>
          </cell>
          <cell r="V87">
            <v>1163754.342828128</v>
          </cell>
          <cell r="W87">
            <v>2991843.6127924481</v>
          </cell>
          <cell r="X87">
            <v>7040630.4740716927</v>
          </cell>
        </row>
        <row r="88">
          <cell r="L88">
            <v>1645681.2115073304</v>
          </cell>
          <cell r="M88">
            <v>2125945.3671908407</v>
          </cell>
          <cell r="N88">
            <v>3096920.662903918</v>
          </cell>
          <cell r="O88">
            <v>6324532.800104253</v>
          </cell>
          <cell r="P88">
            <v>8534549.653670514</v>
          </cell>
          <cell r="T88">
            <v>522545.47431846615</v>
          </cell>
          <cell r="U88">
            <v>720120.02175031276</v>
          </cell>
          <cell r="V88">
            <v>1177193.4683203346</v>
          </cell>
          <cell r="W88">
            <v>3026683.0263178786</v>
          </cell>
          <cell r="X88">
            <v>7122808.8289496657</v>
          </cell>
        </row>
        <row r="89">
          <cell r="L89">
            <v>1737537.7421784848</v>
          </cell>
          <cell r="M89">
            <v>2258663.4036026709</v>
          </cell>
          <cell r="N89">
            <v>3298452.5136889042</v>
          </cell>
          <cell r="O89">
            <v>6768516.992928803</v>
          </cell>
          <cell r="P89">
            <v>9046521.636546459</v>
          </cell>
          <cell r="T89">
            <v>528472.90747055493</v>
          </cell>
          <cell r="U89">
            <v>728320.19821761036</v>
          </cell>
          <cell r="V89">
            <v>1190632.5938125413</v>
          </cell>
          <cell r="W89">
            <v>3061522.4398433086</v>
          </cell>
          <cell r="X89">
            <v>7204987.1838276386</v>
          </cell>
        </row>
        <row r="90">
          <cell r="L90">
            <v>1835987.1341124773</v>
          </cell>
          <cell r="M90">
            <v>2403311.8227408277</v>
          </cell>
          <cell r="N90">
            <v>3520414.7768692896</v>
          </cell>
          <cell r="O90">
            <v>7192132.9366573216</v>
          </cell>
          <cell r="P90">
            <v>9589666.1661418863</v>
          </cell>
          <cell r="T90">
            <v>534400.34062264371</v>
          </cell>
          <cell r="U90">
            <v>736520.37468490808</v>
          </cell>
          <cell r="V90">
            <v>1204071.7193047479</v>
          </cell>
          <cell r="W90">
            <v>3096222.0253897994</v>
          </cell>
          <cell r="X90">
            <v>7287165.5387056116</v>
          </cell>
        </row>
        <row r="91">
          <cell r="L91">
            <v>1941502.5797901682</v>
          </cell>
          <cell r="M91">
            <v>2551481.3850856088</v>
          </cell>
          <cell r="N91">
            <v>3746044.8914453089</v>
          </cell>
          <cell r="O91">
            <v>7623460.6844343161</v>
          </cell>
          <cell r="P91">
            <v>10183575.897720458</v>
          </cell>
          <cell r="T91">
            <v>540327.77377473249</v>
          </cell>
          <cell r="U91">
            <v>744720.55115220568</v>
          </cell>
          <cell r="V91">
            <v>1217510.8447969547</v>
          </cell>
          <cell r="W91">
            <v>3129986.5476097078</v>
          </cell>
          <cell r="X91">
            <v>7369343.8935835855</v>
          </cell>
        </row>
        <row r="92">
          <cell r="L92">
            <v>2054591.2343552057</v>
          </cell>
          <cell r="M92">
            <v>2701893.7777782041</v>
          </cell>
          <cell r="N92">
            <v>3962790.0005633235</v>
          </cell>
          <cell r="O92">
            <v>8082951.7043096367</v>
          </cell>
          <cell r="P92">
            <v>10776929.628632817</v>
          </cell>
          <cell r="T92">
            <v>546255.20692682127</v>
          </cell>
          <cell r="U92">
            <v>752920.72761950339</v>
          </cell>
          <cell r="V92">
            <v>1230949.9702891614</v>
          </cell>
          <cell r="W92">
            <v>3163751.0698296167</v>
          </cell>
          <cell r="X92">
            <v>7451522.2484615585</v>
          </cell>
        </row>
        <row r="93">
          <cell r="L93">
            <v>2175796.6532319468</v>
          </cell>
          <cell r="M93">
            <v>2848606.3717980972</v>
          </cell>
          <cell r="N93">
            <v>4199608.7618296258</v>
          </cell>
          <cell r="O93">
            <v>8551197.5813476294</v>
          </cell>
          <cell r="P93">
            <v>11404640.311290829</v>
          </cell>
          <cell r="T93">
            <v>551460.0109759972</v>
          </cell>
          <cell r="U93">
            <v>760267.74958207726</v>
          </cell>
          <cell r="V93">
            <v>1244389.095781368</v>
          </cell>
          <cell r="W93">
            <v>3197515.5920495256</v>
          </cell>
          <cell r="X93">
            <v>7532053.8318579765</v>
          </cell>
        </row>
        <row r="94">
          <cell r="L94">
            <v>2305701.4046996329</v>
          </cell>
          <cell r="M94">
            <v>3024057.7526976266</v>
          </cell>
          <cell r="N94">
            <v>4459318.6399757573</v>
          </cell>
          <cell r="O94">
            <v>9120686.5675153062</v>
          </cell>
          <cell r="P94">
            <v>12156053.692849174</v>
          </cell>
          <cell r="T94">
            <v>555913.689425266</v>
          </cell>
          <cell r="U94">
            <v>766860.74258467252</v>
          </cell>
          <cell r="V94">
            <v>1256134.3574138554</v>
          </cell>
          <cell r="W94">
            <v>3231280.1142694345</v>
          </cell>
          <cell r="X94">
            <v>7612189.7906015413</v>
          </cell>
        </row>
        <row r="95">
          <cell r="L95">
            <v>2444929.8699800698</v>
          </cell>
          <cell r="M95">
            <v>3205889.9080303553</v>
          </cell>
          <cell r="N95">
            <v>4741555.090752501</v>
          </cell>
          <cell r="O95">
            <v>9729655.4351587482</v>
          </cell>
          <cell r="P95">
            <v>12934808.48234269</v>
          </cell>
          <cell r="T95">
            <v>560367.3678745348</v>
          </cell>
          <cell r="U95">
            <v>773453.73558726779</v>
          </cell>
          <cell r="V95">
            <v>1267677.7203322295</v>
          </cell>
          <cell r="W95">
            <v>3265044.6364893434</v>
          </cell>
          <cell r="X95">
            <v>7692325.7493451061</v>
          </cell>
        </row>
        <row r="96">
          <cell r="L96">
            <v>2594151.2442973014</v>
          </cell>
          <cell r="M96">
            <v>3406633.5537786563</v>
          </cell>
          <cell r="N96">
            <v>5043646.0993167479</v>
          </cell>
          <cell r="O96">
            <v>10370729.088515211</v>
          </cell>
          <cell r="P96">
            <v>13789517.861866554</v>
          </cell>
          <cell r="T96">
            <v>564821.0463238036</v>
          </cell>
          <cell r="U96">
            <v>780046.72858986305</v>
          </cell>
          <cell r="V96">
            <v>1279221.0832506036</v>
          </cell>
          <cell r="W96">
            <v>3298809.1587092523</v>
          </cell>
          <cell r="X96">
            <v>7772461.7080886709</v>
          </cell>
        </row>
        <row r="97">
          <cell r="L97">
            <v>2754082.7533337036</v>
          </cell>
          <cell r="M97">
            <v>3618003.5787739865</v>
          </cell>
          <cell r="N97">
            <v>5364847.2444486609</v>
          </cell>
          <cell r="O97">
            <v>11051151.494321905</v>
          </cell>
          <cell r="P97">
            <v>14691182.205045251</v>
          </cell>
          <cell r="T97">
            <v>569274.7247730724</v>
          </cell>
          <cell r="U97">
            <v>786639.72159245831</v>
          </cell>
          <cell r="V97">
            <v>1290764.446168978</v>
          </cell>
          <cell r="W97">
            <v>3331750.8907858757</v>
          </cell>
          <cell r="X97">
            <v>7852597.6668322347</v>
          </cell>
        </row>
        <row r="98">
          <cell r="L98">
            <v>2924661.7427972769</v>
          </cell>
          <cell r="M98">
            <v>3851091.9028485566</v>
          </cell>
          <cell r="N98">
            <v>5702367.1263075275</v>
          </cell>
          <cell r="O98">
            <v>11779925.01724546</v>
          </cell>
          <cell r="P98">
            <v>15736906.296819471</v>
          </cell>
          <cell r="T98">
            <v>573728.40322234121</v>
          </cell>
          <cell r="U98">
            <v>793232.71459505358</v>
          </cell>
          <cell r="V98">
            <v>1302307.8090873521</v>
          </cell>
          <cell r="W98">
            <v>3364468.5899960874</v>
          </cell>
          <cell r="X98">
            <v>7932733.6255757995</v>
          </cell>
        </row>
        <row r="99">
          <cell r="L99">
            <v>3094335.0091305487</v>
          </cell>
          <cell r="M99">
            <v>4089862.4207360642</v>
          </cell>
          <cell r="N99">
            <v>6062191.2630684217</v>
          </cell>
          <cell r="O99">
            <v>12583296.153171927</v>
          </cell>
          <cell r="P99">
            <v>16846808.909609322</v>
          </cell>
          <cell r="T99">
            <v>578182.08167161001</v>
          </cell>
          <cell r="U99">
            <v>799801.06545975129</v>
          </cell>
          <cell r="V99">
            <v>1313851.1720057263</v>
          </cell>
          <cell r="W99">
            <v>3397186.289206299</v>
          </cell>
          <cell r="X99">
            <v>8012767.4181269277</v>
          </cell>
        </row>
        <row r="100">
          <cell r="L100">
            <v>3276186.3132883999</v>
          </cell>
          <cell r="M100">
            <v>4349775.2229271745</v>
          </cell>
          <cell r="N100">
            <v>6478236.0020442484</v>
          </cell>
          <cell r="O100">
            <v>13504592.544950774</v>
          </cell>
          <cell r="P100">
            <v>18149097.230531126</v>
          </cell>
          <cell r="T100">
            <v>582516.14456537226</v>
          </cell>
          <cell r="U100">
            <v>806247.75902190967</v>
          </cell>
          <cell r="V100">
            <v>1325394.5349241006</v>
          </cell>
          <cell r="W100">
            <v>3429903.9884165106</v>
          </cell>
          <cell r="X100">
            <v>8092611.8872581609</v>
          </cell>
        </row>
        <row r="101">
          <cell r="L101">
            <v>3471089.7152124052</v>
          </cell>
          <cell r="M101">
            <v>4630894.6105433023</v>
          </cell>
          <cell r="N101">
            <v>6940159.6934923707</v>
          </cell>
          <cell r="O101">
            <v>14521355.143789764</v>
          </cell>
          <cell r="P101">
            <v>19532693.586081833</v>
          </cell>
          <cell r="T101">
            <v>586849.50234915258</v>
          </cell>
          <cell r="U101">
            <v>812694.45258406794</v>
          </cell>
          <cell r="V101">
            <v>1336937.8978424747</v>
          </cell>
          <cell r="W101">
            <v>3462621.6876267218</v>
          </cell>
          <cell r="X101">
            <v>8172456.356389394</v>
          </cell>
        </row>
        <row r="102">
          <cell r="L102">
            <v>3679982.0091525968</v>
          </cell>
          <cell r="M102">
            <v>4926940.3423935231</v>
          </cell>
          <cell r="N102">
            <v>7423204.1238851706</v>
          </cell>
          <cell r="O102">
            <v>15580922.265153006</v>
          </cell>
          <cell r="P102">
            <v>20864986.893163215</v>
          </cell>
          <cell r="T102">
            <v>591182.8601329329</v>
          </cell>
          <cell r="U102">
            <v>819141.14614622633</v>
          </cell>
          <cell r="V102">
            <v>1348481.2607608489</v>
          </cell>
          <cell r="W102">
            <v>3495339.3868369334</v>
          </cell>
          <cell r="X102">
            <v>8252300.8255206263</v>
          </cell>
        </row>
        <row r="103">
          <cell r="L103">
            <v>3903867.2263260251</v>
          </cell>
          <cell r="M103">
            <v>5237263.6505681509</v>
          </cell>
          <cell r="N103">
            <v>7931332.0383830452</v>
          </cell>
          <cell r="O103">
            <v>16620061.748838918</v>
          </cell>
          <cell r="P103">
            <v>22225374.412219442</v>
          </cell>
          <cell r="T103">
            <v>595516.21791671321</v>
          </cell>
          <cell r="U103">
            <v>825587.83970838471</v>
          </cell>
          <cell r="V103">
            <v>1360024.6236792232</v>
          </cell>
          <cell r="W103">
            <v>3528057.0860471451</v>
          </cell>
          <cell r="X103">
            <v>8332145.2946518594</v>
          </cell>
        </row>
        <row r="104">
          <cell r="L104">
            <v>4143821.4607466767</v>
          </cell>
          <cell r="M104">
            <v>5573405.5033057407</v>
          </cell>
          <cell r="N104">
            <v>8443747.5607369058</v>
          </cell>
          <cell r="O104">
            <v>17689104.801142946</v>
          </cell>
          <cell r="P104">
            <v>23701878.06144619</v>
          </cell>
          <cell r="T104">
            <v>599849.57570049353</v>
          </cell>
          <cell r="U104">
            <v>832034.53327054298</v>
          </cell>
          <cell r="V104">
            <v>1371567.9865975974</v>
          </cell>
          <cell r="W104">
            <v>3560774.7852573567</v>
          </cell>
          <cell r="X104">
            <v>8411989.7637830917</v>
          </cell>
        </row>
        <row r="105">
          <cell r="L105">
            <v>4400998.041421948</v>
          </cell>
          <cell r="M105">
            <v>5916659.2362165749</v>
          </cell>
          <cell r="N105">
            <v>8956065.887940675</v>
          </cell>
          <cell r="O105">
            <v>18828637.327303059</v>
          </cell>
          <cell r="P105">
            <v>25296726.162904508</v>
          </cell>
          <cell r="T105">
            <v>604182.93348427385</v>
          </cell>
          <cell r="U105">
            <v>838481.22683270136</v>
          </cell>
          <cell r="V105">
            <v>1383111.3495159715</v>
          </cell>
          <cell r="W105">
            <v>3593492.4844675683</v>
          </cell>
          <cell r="X105">
            <v>8491834.2329143248</v>
          </cell>
        </row>
        <row r="106">
          <cell r="L106">
            <v>4676633.0757755302</v>
          </cell>
          <cell r="M106">
            <v>6281002.5483988523</v>
          </cell>
          <cell r="N106">
            <v>9522610.3094585855</v>
          </cell>
          <cell r="O106">
            <v>20127010.104631633</v>
          </cell>
          <cell r="P106">
            <v>27060543.590263713</v>
          </cell>
          <cell r="T106">
            <v>608516.29126805416</v>
          </cell>
          <cell r="U106">
            <v>844927.92039485974</v>
          </cell>
          <cell r="V106">
            <v>1394654.7124343459</v>
          </cell>
          <cell r="W106">
            <v>3626210.18367778</v>
          </cell>
          <cell r="X106">
            <v>8571678.702045558</v>
          </cell>
        </row>
        <row r="107">
          <cell r="L107">
            <v>4972051.3909409763</v>
          </cell>
          <cell r="M107">
            <v>6688855.2349086739</v>
          </cell>
          <cell r="N107">
            <v>10177692.110752419</v>
          </cell>
          <cell r="O107">
            <v>21585808.912013665</v>
          </cell>
          <cell r="P107">
            <v>29013419.360997062</v>
          </cell>
          <cell r="T107">
            <v>612849.64905183448</v>
          </cell>
          <cell r="U107">
            <v>851374.61395701801</v>
          </cell>
          <cell r="V107">
            <v>1406198.07535272</v>
          </cell>
          <cell r="W107">
            <v>3658927.8828879916</v>
          </cell>
          <cell r="X107">
            <v>8651523.1711767912</v>
          </cell>
        </row>
        <row r="108">
          <cell r="L108">
            <v>5287316.0016192785</v>
          </cell>
          <cell r="M108">
            <v>7132186.0006032009</v>
          </cell>
          <cell r="N108">
            <v>10872383.201795192</v>
          </cell>
          <cell r="O108">
            <v>23120930.445503563</v>
          </cell>
          <cell r="P108">
            <v>31050589.295172971</v>
          </cell>
          <cell r="T108">
            <v>617183.0068356148</v>
          </cell>
          <cell r="U108">
            <v>857821.30751917639</v>
          </cell>
          <cell r="V108">
            <v>1417741.4382710941</v>
          </cell>
          <cell r="W108">
            <v>3691645.5820982032</v>
          </cell>
          <cell r="X108">
            <v>8731367.6403080244</v>
          </cell>
        </row>
        <row r="109">
          <cell r="L109">
            <v>5606950.2951373328</v>
          </cell>
          <cell r="M109">
            <v>7604613.8868121523</v>
          </cell>
          <cell r="N109">
            <v>11605174.657679331</v>
          </cell>
          <cell r="O109">
            <v>24712641.577476706</v>
          </cell>
          <cell r="P109">
            <v>33111940.714318942</v>
          </cell>
          <cell r="T109">
            <v>621516.36461939523</v>
          </cell>
          <cell r="U109">
            <v>864268.00108133478</v>
          </cell>
          <cell r="V109">
            <v>1429284.8011894682</v>
          </cell>
          <cell r="W109">
            <v>3724363.2813084149</v>
          </cell>
          <cell r="X109">
            <v>8811212.1094392557</v>
          </cell>
        </row>
        <row r="110">
          <cell r="L110">
            <v>5949525.8486465234</v>
          </cell>
          <cell r="M110">
            <v>8102538.543933766</v>
          </cell>
          <cell r="N110">
            <v>12394083.626977185</v>
          </cell>
          <cell r="O110">
            <v>26331833.469624061</v>
          </cell>
          <cell r="P110">
            <v>35286312.889212817</v>
          </cell>
          <cell r="T110">
            <v>625849.72240317555</v>
          </cell>
          <cell r="U110">
            <v>870714.69464349304</v>
          </cell>
          <cell r="V110">
            <v>1440828.1641078424</v>
          </cell>
          <cell r="W110">
            <v>3757080.9805186265</v>
          </cell>
          <cell r="X110">
            <v>8891056.5785704888</v>
          </cell>
        </row>
        <row r="111">
          <cell r="L111">
            <v>6316689.235811362</v>
          </cell>
          <cell r="M111">
            <v>8622841.4403145257</v>
          </cell>
          <cell r="N111">
            <v>13177881.008156372</v>
          </cell>
          <cell r="O111">
            <v>28071289.739956029</v>
          </cell>
          <cell r="P111">
            <v>37717621.249749318</v>
          </cell>
          <cell r="T111">
            <v>630183.08018695586</v>
          </cell>
          <cell r="U111">
            <v>877161.38820565143</v>
          </cell>
          <cell r="V111">
            <v>1452371.5270262167</v>
          </cell>
          <cell r="W111">
            <v>3789798.6797288381</v>
          </cell>
          <cell r="X111">
            <v>8970901.047701722</v>
          </cell>
        </row>
        <row r="112">
          <cell r="L112">
            <v>6710205.2105895681</v>
          </cell>
          <cell r="M112">
            <v>9148705.5819281265</v>
          </cell>
          <cell r="N112">
            <v>14033442.609875198</v>
          </cell>
          <cell r="O112">
            <v>29952688.924554098</v>
          </cell>
          <cell r="P112">
            <v>40349455.46125254</v>
          </cell>
          <cell r="T112">
            <v>634516.43797073618</v>
          </cell>
          <cell r="U112">
            <v>883608.08176780981</v>
          </cell>
          <cell r="V112">
            <v>1463914.8899445909</v>
          </cell>
          <cell r="W112">
            <v>3822516.3789390498</v>
          </cell>
          <cell r="X112">
            <v>9050745.5168329552</v>
          </cell>
        </row>
        <row r="113">
          <cell r="L113">
            <v>7131965.1894409508</v>
          </cell>
          <cell r="M113">
            <v>9739385.1666944623</v>
          </cell>
          <cell r="N113">
            <v>15014601.77485897</v>
          </cell>
          <cell r="O113">
            <v>32130101.013103947</v>
          </cell>
          <cell r="P113">
            <v>43296865.536363885</v>
          </cell>
          <cell r="T113">
            <v>638849.7957545165</v>
          </cell>
          <cell r="U113">
            <v>890054.77532996819</v>
          </cell>
          <cell r="V113">
            <v>1475458.252862965</v>
          </cell>
          <cell r="W113">
            <v>3855234.0781492614</v>
          </cell>
          <cell r="X113">
            <v>9130589.9859641884</v>
          </cell>
        </row>
        <row r="114">
          <cell r="L114">
            <v>7583996.3423337257</v>
          </cell>
          <cell r="M114">
            <v>10385788.975014254</v>
          </cell>
          <cell r="N114">
            <v>16058461.400235761</v>
          </cell>
          <cell r="O114">
            <v>34483509.107027754</v>
          </cell>
          <cell r="P114">
            <v>46531809.109250382</v>
          </cell>
          <cell r="T114">
            <v>643183.15353829681</v>
          </cell>
          <cell r="U114">
            <v>896501.46889212646</v>
          </cell>
          <cell r="V114">
            <v>1487001.6157813391</v>
          </cell>
          <cell r="W114">
            <v>3887951.7773594731</v>
          </cell>
          <cell r="X114">
            <v>9210434.4550954197</v>
          </cell>
        </row>
        <row r="115">
          <cell r="L115">
            <v>8068471.336243894</v>
          </cell>
          <cell r="M115">
            <v>11072401.862657852</v>
          </cell>
          <cell r="N115">
            <v>17149937.536610078</v>
          </cell>
          <cell r="O115">
            <v>36946995.110363379</v>
          </cell>
          <cell r="P115">
            <v>49678321.037087649</v>
          </cell>
          <cell r="T115">
            <v>647516.51132207713</v>
          </cell>
          <cell r="U115">
            <v>902948.16245428484</v>
          </cell>
          <cell r="V115">
            <v>1498544.9786997135</v>
          </cell>
          <cell r="W115">
            <v>3920669.4765696847</v>
          </cell>
          <cell r="X115">
            <v>9290278.9242266528</v>
          </cell>
        </row>
        <row r="116">
          <cell r="L116">
            <v>8587718.777979251</v>
          </cell>
          <cell r="M116">
            <v>11806256.452359673</v>
          </cell>
          <cell r="N116">
            <v>18325650.428964917</v>
          </cell>
          <cell r="O116">
            <v>39464263.135467231</v>
          </cell>
          <cell r="P116">
            <v>53020207.757090084</v>
          </cell>
          <cell r="T116">
            <v>651849.86910585745</v>
          </cell>
          <cell r="U116">
            <v>909394.85601644323</v>
          </cell>
          <cell r="V116">
            <v>1510088.3416180876</v>
          </cell>
          <cell r="W116">
            <v>3953387.1757798963</v>
          </cell>
          <cell r="X116">
            <v>9370123.393357886</v>
          </cell>
        </row>
        <row r="117">
          <cell r="L117">
            <v>9144234.4065210596</v>
          </cell>
          <cell r="M117">
            <v>12590413.70717838</v>
          </cell>
          <cell r="N117">
            <v>19524756.662145667</v>
          </cell>
          <cell r="O117">
            <v>42080452.23287075</v>
          </cell>
          <cell r="P117">
            <v>56589134.153164648</v>
          </cell>
          <cell r="T117">
            <v>656183.22688963776</v>
          </cell>
          <cell r="U117">
            <v>915841.54957860161</v>
          </cell>
          <cell r="V117">
            <v>1521631.7045364617</v>
          </cell>
          <cell r="W117">
            <v>3986104.874990108</v>
          </cell>
          <cell r="X117">
            <v>9449967.8624891192</v>
          </cell>
        </row>
        <row r="118">
          <cell r="L118">
            <v>9738538.8935887981</v>
          </cell>
          <cell r="M118">
            <v>13392937.873347066</v>
          </cell>
          <cell r="N118">
            <v>20763295.067592066</v>
          </cell>
          <cell r="O118">
            <v>44827571.908513241</v>
          </cell>
          <cell r="P118">
            <v>60339547.251220301</v>
          </cell>
          <cell r="T118">
            <v>660516.58467341808</v>
          </cell>
          <cell r="U118">
            <v>922288.24314075988</v>
          </cell>
          <cell r="V118">
            <v>1533175.0674548359</v>
          </cell>
          <cell r="W118">
            <v>4018822.5742003196</v>
          </cell>
          <cell r="X118">
            <v>9529812.3316203505</v>
          </cell>
        </row>
        <row r="119">
          <cell r="L119">
            <v>10348556.771582669</v>
          </cell>
          <cell r="M119">
            <v>14272530.10812116</v>
          </cell>
          <cell r="N119">
            <v>22155790.886767384</v>
          </cell>
          <cell r="O119">
            <v>48001018.167546235</v>
          </cell>
          <cell r="P119">
            <v>64604626.828710958</v>
          </cell>
          <cell r="T119">
            <v>664849.9424571984</v>
          </cell>
          <cell r="U119">
            <v>928734.93670291826</v>
          </cell>
          <cell r="V119">
            <v>1544718.4303732102</v>
          </cell>
          <cell r="W119">
            <v>4051540.2734105312</v>
          </cell>
          <cell r="X119">
            <v>9609656.8007515837</v>
          </cell>
        </row>
        <row r="120">
          <cell r="L120">
            <v>11002357.744889198</v>
          </cell>
          <cell r="M120">
            <v>15234331.670130363</v>
          </cell>
          <cell r="N120">
            <v>23696438.812443428</v>
          </cell>
          <cell r="O120">
            <v>51385088.939006463</v>
          </cell>
          <cell r="P120">
            <v>69279969.311791047</v>
          </cell>
          <cell r="T120">
            <v>669183.30024097872</v>
          </cell>
          <cell r="U120">
            <v>935181.63026507664</v>
          </cell>
          <cell r="V120">
            <v>1556261.7932915844</v>
          </cell>
          <cell r="W120">
            <v>4084257.9726207429</v>
          </cell>
          <cell r="X120">
            <v>9689501.2698828168</v>
          </cell>
        </row>
        <row r="121">
          <cell r="L121">
            <v>11703084.277859572</v>
          </cell>
          <cell r="M121">
            <v>16242125.346185649</v>
          </cell>
          <cell r="N121">
            <v>25335050.866138194</v>
          </cell>
          <cell r="O121">
            <v>55090992.359062366</v>
          </cell>
          <cell r="P121">
            <v>74214641.27308093</v>
          </cell>
          <cell r="T121">
            <v>673516.65802475903</v>
          </cell>
          <cell r="U121">
            <v>941628.32382723503</v>
          </cell>
          <cell r="V121">
            <v>1567805.1562099585</v>
          </cell>
          <cell r="W121">
            <v>4116975.6718309545</v>
          </cell>
          <cell r="X121">
            <v>9769345.73901405</v>
          </cell>
        </row>
        <row r="122">
          <cell r="L122">
            <v>12454104.380392246</v>
          </cell>
          <cell r="M122">
            <v>17321171.056574348</v>
          </cell>
          <cell r="N122">
            <v>27122671.211559452</v>
          </cell>
          <cell r="O122">
            <v>58998869.738176376</v>
          </cell>
          <cell r="P122">
            <v>79236319.238532424</v>
          </cell>
          <cell r="T122">
            <v>677850.01580853935</v>
          </cell>
          <cell r="U122">
            <v>948075.0173893933</v>
          </cell>
          <cell r="V122">
            <v>1579348.5191283328</v>
          </cell>
          <cell r="W122">
            <v>4149693.3710411661</v>
          </cell>
          <cell r="X122">
            <v>9849190.2081452813</v>
          </cell>
        </row>
        <row r="123">
          <cell r="L123">
            <v>13259027.79611806</v>
          </cell>
          <cell r="M123">
            <v>18478471.56588478</v>
          </cell>
          <cell r="N123">
            <v>29000583.64980448</v>
          </cell>
          <cell r="O123">
            <v>62884692.577243991</v>
          </cell>
          <cell r="P123">
            <v>84537126.952919662</v>
          </cell>
          <cell r="T123">
            <v>682183.37359231967</v>
          </cell>
          <cell r="U123">
            <v>954521.71095155168</v>
          </cell>
          <cell r="V123">
            <v>1590891.882046707</v>
          </cell>
          <cell r="W123">
            <v>4182411.0702513778</v>
          </cell>
          <cell r="X123">
            <v>9929034.6772765145</v>
          </cell>
        </row>
        <row r="124">
          <cell r="L124">
            <v>14121723.352467058</v>
          </cell>
          <cell r="M124">
            <v>19683081.933774956</v>
          </cell>
          <cell r="N124">
            <v>30856010.285562344</v>
          </cell>
          <cell r="O124">
            <v>67030244.722490549</v>
          </cell>
          <cell r="P124">
            <v>90435872.296623737</v>
          </cell>
          <cell r="T124">
            <v>686516.73137609998</v>
          </cell>
          <cell r="U124">
            <v>960968.40451371006</v>
          </cell>
          <cell r="V124">
            <v>1602435.2449650811</v>
          </cell>
          <cell r="W124">
            <v>4215128.7694615889</v>
          </cell>
          <cell r="X124">
            <v>10008879.146407748</v>
          </cell>
        </row>
        <row r="125">
          <cell r="L125">
            <v>15046337.556009885</v>
          </cell>
          <cell r="M125">
            <v>20949362.593348604</v>
          </cell>
          <cell r="N125">
            <v>32874526.018650733</v>
          </cell>
          <cell r="O125">
            <v>71657232.737099364</v>
          </cell>
          <cell r="P125">
            <v>96750589.883929878</v>
          </cell>
          <cell r="T125">
            <v>690850.0891598803</v>
          </cell>
          <cell r="U125">
            <v>967415.09807586845</v>
          </cell>
          <cell r="V125">
            <v>1613978.6078834552</v>
          </cell>
          <cell r="W125">
            <v>4247846.4686718006</v>
          </cell>
          <cell r="X125">
            <v>10088723.615538979</v>
          </cell>
        </row>
        <row r="126">
          <cell r="L126">
            <v>16037314.522451241</v>
          </cell>
          <cell r="M126">
            <v>22355011.230257772</v>
          </cell>
          <cell r="N126">
            <v>35200457.267034888</v>
          </cell>
          <cell r="O126">
            <v>76984604.932975695</v>
          </cell>
          <cell r="P126">
            <v>103984208.36576307</v>
          </cell>
          <cell r="T126">
            <v>695183.44694366062</v>
          </cell>
          <cell r="U126">
            <v>973861.79163802683</v>
          </cell>
          <cell r="V126">
            <v>1625521.9708018296</v>
          </cell>
          <cell r="W126">
            <v>4280564.1678820122</v>
          </cell>
          <cell r="X126">
            <v>10168568.084670212</v>
          </cell>
        </row>
        <row r="127">
          <cell r="L127">
            <v>17099417.337067779</v>
          </cell>
          <cell r="M127">
            <v>23903981.888942767</v>
          </cell>
          <cell r="N127">
            <v>37677385.53684704</v>
          </cell>
          <cell r="O127">
            <v>82612796.811235681</v>
          </cell>
          <cell r="P127">
            <v>111762512.95330533</v>
          </cell>
          <cell r="T127">
            <v>699516.80472744093</v>
          </cell>
          <cell r="U127">
            <v>980308.4852001851</v>
          </cell>
          <cell r="V127">
            <v>1637065.3337202037</v>
          </cell>
          <cell r="W127">
            <v>4313281.8670922238</v>
          </cell>
          <cell r="X127">
            <v>10248412.553801445</v>
          </cell>
        </row>
        <row r="128">
          <cell r="L128">
            <v>18234405.740156852</v>
          </cell>
          <cell r="M128">
            <v>25510324.363559552</v>
          </cell>
          <cell r="N128">
            <v>40324885.3231235</v>
          </cell>
          <cell r="O128">
            <v>88586276.3057383</v>
          </cell>
          <cell r="P128">
            <v>119109615.22291803</v>
          </cell>
          <cell r="T128">
            <v>703850.16251122125</v>
          </cell>
          <cell r="U128">
            <v>986755.17876234348</v>
          </cell>
          <cell r="V128">
            <v>1648608.6966385779</v>
          </cell>
          <cell r="W128">
            <v>4345999.5663024355</v>
          </cell>
          <cell r="X128">
            <v>10328257.022932678</v>
          </cell>
        </row>
        <row r="129">
          <cell r="L129">
            <v>19410455.212857489</v>
          </cell>
          <cell r="M129">
            <v>27279888.003524348</v>
          </cell>
          <cell r="N129">
            <v>43141633.030211702</v>
          </cell>
          <cell r="O129">
            <v>94472761.352526248</v>
          </cell>
          <cell r="P129">
            <v>126934667.54212233</v>
          </cell>
          <cell r="T129">
            <v>708183.52029500157</v>
          </cell>
          <cell r="U129">
            <v>993201.87232450186</v>
          </cell>
          <cell r="V129">
            <v>1660152.059556952</v>
          </cell>
          <cell r="W129">
            <v>4378717.2655126471</v>
          </cell>
          <cell r="X129">
            <v>10408101.49206391</v>
          </cell>
        </row>
        <row r="130">
          <cell r="L130">
            <v>20670913.828327835</v>
          </cell>
          <cell r="M130">
            <v>29139901.214220621</v>
          </cell>
          <cell r="N130">
            <v>45926811.416054659</v>
          </cell>
          <cell r="O130">
            <v>100537575.73712525</v>
          </cell>
          <cell r="P130">
            <v>135483737.92705396</v>
          </cell>
          <cell r="T130">
            <v>712516.87807878188</v>
          </cell>
          <cell r="U130">
            <v>999648.56588666025</v>
          </cell>
          <cell r="V130">
            <v>1671695.4224753263</v>
          </cell>
          <cell r="W130">
            <v>4411434.9647228587</v>
          </cell>
          <cell r="X130">
            <v>10487945.961195143</v>
          </cell>
        </row>
        <row r="131">
          <cell r="L131">
            <v>22021839.923014224</v>
          </cell>
          <cell r="M131">
            <v>30961306.966293775</v>
          </cell>
          <cell r="N131">
            <v>48855160.821308494</v>
          </cell>
          <cell r="O131">
            <v>107192958.85472654</v>
          </cell>
          <cell r="P131">
            <v>144779732.63812914</v>
          </cell>
          <cell r="T131">
            <v>716850.2358625622</v>
          </cell>
          <cell r="U131">
            <v>1006095.2594488186</v>
          </cell>
          <cell r="V131">
            <v>1683238.7853937005</v>
          </cell>
          <cell r="W131">
            <v>4444152.6639330704</v>
          </cell>
          <cell r="X131">
            <v>10567790.430326376</v>
          </cell>
        </row>
        <row r="132">
          <cell r="L132">
            <v>23469726.661146887</v>
          </cell>
          <cell r="M132">
            <v>33037427.43138627</v>
          </cell>
          <cell r="N132">
            <v>52336389.566204518</v>
          </cell>
          <cell r="O132">
            <v>115143355.61287996</v>
          </cell>
          <cell r="P132">
            <v>155434325.46311164</v>
          </cell>
          <cell r="T132">
            <v>721183.59364634252</v>
          </cell>
          <cell r="U132">
            <v>1012541.9530109769</v>
          </cell>
          <cell r="V132">
            <v>1694782.1483120746</v>
          </cell>
          <cell r="W132">
            <v>4476870.363143282</v>
          </cell>
          <cell r="X132">
            <v>10647634.899457609</v>
          </cell>
        </row>
        <row r="133">
          <cell r="L133">
            <v>25021533.243835688</v>
          </cell>
          <cell r="M133">
            <v>35301805.992381781</v>
          </cell>
          <cell r="N133">
            <v>56105698.360661089</v>
          </cell>
          <cell r="O133">
            <v>123615645.11346307</v>
          </cell>
          <cell r="P133">
            <v>167070988.97448242</v>
          </cell>
          <cell r="T133">
            <v>725516.95143012283</v>
          </cell>
          <cell r="U133">
            <v>1018988.6465731353</v>
          </cell>
          <cell r="V133">
            <v>1706325.5112304487</v>
          </cell>
          <cell r="W133">
            <v>4509588.0623534936</v>
          </cell>
          <cell r="X133">
            <v>10727479.368588842</v>
          </cell>
        </row>
        <row r="134">
          <cell r="L134">
            <v>26684718.358150683</v>
          </cell>
          <cell r="M134">
            <v>37706285.458295979</v>
          </cell>
          <cell r="N134">
            <v>60052703.082792744</v>
          </cell>
          <cell r="O134">
            <v>132665431.5110721</v>
          </cell>
          <cell r="P134">
            <v>178830879.03489286</v>
          </cell>
          <cell r="T134">
            <v>729850.30921390315</v>
          </cell>
          <cell r="U134">
            <v>1025435.3401352937</v>
          </cell>
          <cell r="V134">
            <v>1717868.8741488231</v>
          </cell>
          <cell r="W134">
            <v>4542305.7615637053</v>
          </cell>
          <cell r="X134">
            <v>10807323.837720074</v>
          </cell>
        </row>
        <row r="135">
          <cell r="L135">
            <v>28467276.026958864</v>
          </cell>
          <cell r="M135">
            <v>40293567.583107665</v>
          </cell>
          <cell r="N135">
            <v>64339102.531990744</v>
          </cell>
          <cell r="O135">
            <v>141921621.10182008</v>
          </cell>
          <cell r="P135">
            <v>190984623.84193194</v>
          </cell>
          <cell r="T135">
            <v>734183.66699768347</v>
          </cell>
          <cell r="U135">
            <v>1031882.033697452</v>
          </cell>
          <cell r="V135">
            <v>1729412.2370671972</v>
          </cell>
          <cell r="W135">
            <v>4575023.4607739169</v>
          </cell>
          <cell r="X135">
            <v>10887168.306851307</v>
          </cell>
        </row>
        <row r="136">
          <cell r="L136">
            <v>30377774.031828076</v>
          </cell>
          <cell r="M136">
            <v>43068489.840897977</v>
          </cell>
          <cell r="N136">
            <v>68629245.481208459</v>
          </cell>
          <cell r="O136">
            <v>151271638.58037889</v>
          </cell>
          <cell r="P136">
            <v>203811210.76051348</v>
          </cell>
          <cell r="T136">
            <v>738517.0247814639</v>
          </cell>
          <cell r="U136">
            <v>1038328.7272596103</v>
          </cell>
          <cell r="V136">
            <v>1740955.5999855713</v>
          </cell>
          <cell r="W136">
            <v>4607741.1599841285</v>
          </cell>
          <cell r="X136">
            <v>10967012.77598254</v>
          </cell>
        </row>
        <row r="137">
          <cell r="L137">
            <v>32425395.093675382</v>
          </cell>
          <cell r="M137">
            <v>45889291.469480656</v>
          </cell>
          <cell r="N137">
            <v>73068218.939424127</v>
          </cell>
          <cell r="O137">
            <v>161374762.85707304</v>
          </cell>
          <cell r="P137">
            <v>217839169.51968169</v>
          </cell>
          <cell r="T137">
            <v>742850.38256524422</v>
          </cell>
          <cell r="U137">
            <v>1044775.4208217687</v>
          </cell>
          <cell r="V137">
            <v>1752498.9629039457</v>
          </cell>
          <cell r="W137">
            <v>4640458.8591943402</v>
          </cell>
          <cell r="X137">
            <v>11046857.245113773</v>
          </cell>
        </row>
        <row r="138">
          <cell r="L138">
            <v>34614884.26629331</v>
          </cell>
          <cell r="M138">
            <v>48981338.466808848</v>
          </cell>
          <cell r="N138">
            <v>78050193.707845315</v>
          </cell>
          <cell r="O138">
            <v>172908161.67525318</v>
          </cell>
          <cell r="P138">
            <v>233720757.21706653</v>
          </cell>
          <cell r="T138">
            <v>747183.74034902453</v>
          </cell>
          <cell r="U138">
            <v>1051222.1143839271</v>
          </cell>
          <cell r="V138">
            <v>1764042.3258223198</v>
          </cell>
          <cell r="W138">
            <v>4673176.5584045518</v>
          </cell>
          <cell r="X138">
            <v>11126701.714245005</v>
          </cell>
        </row>
        <row r="139">
          <cell r="L139">
            <v>36901009.197876357</v>
          </cell>
          <cell r="M139">
            <v>52386513.266411647</v>
          </cell>
          <cell r="N139">
            <v>83768753.10691601</v>
          </cell>
          <cell r="O139">
            <v>185781671.09349987</v>
          </cell>
          <cell r="P139">
            <v>251227997.70278466</v>
          </cell>
          <cell r="T139">
            <v>751517.09813280485</v>
          </cell>
          <cell r="U139">
            <v>1057668.8079460855</v>
          </cell>
          <cell r="V139">
            <v>1775585.688740694</v>
          </cell>
          <cell r="W139">
            <v>4705894.2576147635</v>
          </cell>
          <cell r="X139">
            <v>11206546.183376238</v>
          </cell>
        </row>
        <row r="140">
          <cell r="L140">
            <v>39351217.23158966</v>
          </cell>
          <cell r="M140">
            <v>56064156.040933087</v>
          </cell>
          <cell r="N140">
            <v>89710676.40270111</v>
          </cell>
          <cell r="O140">
            <v>199304983.53542653</v>
          </cell>
          <cell r="P140">
            <v>269433057.58926111</v>
          </cell>
          <cell r="T140">
            <v>755850.45591658517</v>
          </cell>
          <cell r="U140">
            <v>1064115.5015082438</v>
          </cell>
          <cell r="V140">
            <v>1787129.0516590683</v>
          </cell>
          <cell r="W140">
            <v>4738611.9568249751</v>
          </cell>
          <cell r="X140">
            <v>11286390.652507471</v>
          </cell>
        </row>
        <row r="141">
          <cell r="L141">
            <v>41977285.179816887</v>
          </cell>
          <cell r="M141">
            <v>59892747.061179705</v>
          </cell>
          <cell r="N141">
            <v>96057840.009374917</v>
          </cell>
          <cell r="O141">
            <v>213562480.57053208</v>
          </cell>
          <cell r="P141">
            <v>287524649.62611848</v>
          </cell>
          <cell r="T141">
            <v>760183.81370036548</v>
          </cell>
          <cell r="U141">
            <v>1070562.1950704022</v>
          </cell>
          <cell r="V141">
            <v>1798672.4145774425</v>
          </cell>
          <cell r="W141">
            <v>4771329.6560351867</v>
          </cell>
          <cell r="X141">
            <v>11366235.121638704</v>
          </cell>
        </row>
        <row r="142">
          <cell r="L142">
            <v>44791835.117543951</v>
          </cell>
          <cell r="M142">
            <v>64001972.940322354</v>
          </cell>
          <cell r="N142">
            <v>102806090.60437706</v>
          </cell>
          <cell r="O142">
            <v>227819813.03246519</v>
          </cell>
          <cell r="P142">
            <v>306954009.28354383</v>
          </cell>
          <cell r="T142">
            <v>764517.1714841458</v>
          </cell>
          <cell r="U142">
            <v>1077008.8886325604</v>
          </cell>
          <cell r="V142">
            <v>1810215.7774958166</v>
          </cell>
          <cell r="W142">
            <v>4804047.3552453984</v>
          </cell>
          <cell r="X142">
            <v>11446079.590769937</v>
          </cell>
        </row>
        <row r="143">
          <cell r="L143">
            <v>47808395.049782947</v>
          </cell>
          <cell r="M143">
            <v>68346540.580155924</v>
          </cell>
          <cell r="N143">
            <v>109561891.09177381</v>
          </cell>
          <cell r="O143">
            <v>242935768.4476099</v>
          </cell>
          <cell r="P143">
            <v>328083416.33812416</v>
          </cell>
          <cell r="T143">
            <v>768850.52926792612</v>
          </cell>
          <cell r="U143">
            <v>1083455.5821947188</v>
          </cell>
          <cell r="V143">
            <v>1821759.1404141907</v>
          </cell>
          <cell r="W143">
            <v>4836765.05445561</v>
          </cell>
          <cell r="X143">
            <v>11525924.059901169</v>
          </cell>
        </row>
        <row r="144">
          <cell r="L144">
            <v>51041463.933306925</v>
          </cell>
          <cell r="M144">
            <v>72852035.694086939</v>
          </cell>
          <cell r="N144">
            <v>116846020.79875034</v>
          </cell>
          <cell r="O144">
            <v>259923710.36208475</v>
          </cell>
          <cell r="P144">
            <v>351220869.37695414</v>
          </cell>
          <cell r="T144">
            <v>773183.88705170644</v>
          </cell>
          <cell r="U144">
            <v>1089902.2757568771</v>
          </cell>
          <cell r="V144">
            <v>1833302.5033325651</v>
          </cell>
          <cell r="W144">
            <v>4869482.7536658216</v>
          </cell>
          <cell r="X144">
            <v>11605768.529032402</v>
          </cell>
        </row>
        <row r="145">
          <cell r="L145">
            <v>54506581.365219891</v>
          </cell>
          <cell r="M145">
            <v>77862630.273750991</v>
          </cell>
          <cell r="N145">
            <v>125300047.36711799</v>
          </cell>
          <cell r="O145">
            <v>279036433.30328238</v>
          </cell>
          <cell r="P145">
            <v>377170623.84265661</v>
          </cell>
          <cell r="T145">
            <v>777517.24483548675</v>
          </cell>
          <cell r="U145">
            <v>1096348.9693190355</v>
          </cell>
          <cell r="V145">
            <v>1844845.8662509392</v>
          </cell>
          <cell r="W145">
            <v>4902200.4528760333</v>
          </cell>
          <cell r="X145">
            <v>11685612.998163635</v>
          </cell>
        </row>
        <row r="146">
          <cell r="L146">
            <v>58220402.273316115</v>
          </cell>
          <cell r="M146">
            <v>83327738.486928567</v>
          </cell>
          <cell r="N146">
            <v>134227618.90301773</v>
          </cell>
          <cell r="O146">
            <v>299504631.2805295</v>
          </cell>
          <cell r="P146">
            <v>405359769.3941015</v>
          </cell>
          <cell r="T146">
            <v>781850.60261926707</v>
          </cell>
          <cell r="U146">
            <v>1102795.6628811939</v>
          </cell>
          <cell r="V146">
            <v>1856389.2291693133</v>
          </cell>
          <cell r="W146">
            <v>4934918.1520862449</v>
          </cell>
          <cell r="X146">
            <v>11765457.467294868</v>
          </cell>
        </row>
        <row r="147">
          <cell r="L147">
            <v>62200776.967225976</v>
          </cell>
          <cell r="M147">
            <v>89090210.866179213</v>
          </cell>
          <cell r="N147">
            <v>143766875.39511824</v>
          </cell>
          <cell r="O147">
            <v>321353574.21959931</v>
          </cell>
          <cell r="P147">
            <v>433475930.79776585</v>
          </cell>
          <cell r="T147">
            <v>786183.96040304727</v>
          </cell>
          <cell r="U147">
            <v>1109242.3564433521</v>
          </cell>
          <cell r="V147">
            <v>1867932.5920876875</v>
          </cell>
          <cell r="W147">
            <v>4967635.8512964556</v>
          </cell>
          <cell r="X147">
            <v>11845301.936426101</v>
          </cell>
        </row>
        <row r="148">
          <cell r="L148">
            <v>66459132.484107137</v>
          </cell>
          <cell r="M148">
            <v>95397071.028365076</v>
          </cell>
          <cell r="N148">
            <v>154023558.61037484</v>
          </cell>
          <cell r="O148">
            <v>343599014.87185836</v>
          </cell>
          <cell r="P148">
            <v>462983146.77745134</v>
          </cell>
          <cell r="T148">
            <v>790517.3181868277</v>
          </cell>
          <cell r="U148">
            <v>1115689.0500055104</v>
          </cell>
          <cell r="V148">
            <v>1879475.9550060616</v>
          </cell>
          <cell r="W148">
            <v>5000353.5505066672</v>
          </cell>
          <cell r="X148">
            <v>11925146.405557334</v>
          </cell>
        </row>
        <row r="149">
          <cell r="L149">
            <v>70932423.507837355</v>
          </cell>
          <cell r="M149">
            <v>102002437.73042709</v>
          </cell>
          <cell r="N149">
            <v>164312040.91437861</v>
          </cell>
          <cell r="O149">
            <v>366368970.22120637</v>
          </cell>
          <cell r="P149">
            <v>493891148.11210066</v>
          </cell>
          <cell r="T149">
            <v>794850.6759706079</v>
          </cell>
          <cell r="U149">
            <v>1122135.7435676688</v>
          </cell>
          <cell r="V149">
            <v>1891019.3179244359</v>
          </cell>
          <cell r="W149">
            <v>5033071.2497168789</v>
          </cell>
          <cell r="X149">
            <v>12004990.874688568</v>
          </cell>
        </row>
        <row r="150">
          <cell r="L150">
            <v>75726778.117273211</v>
          </cell>
          <cell r="M150">
            <v>108754686.476156</v>
          </cell>
          <cell r="N150">
            <v>175070620.21719462</v>
          </cell>
          <cell r="O150">
            <v>390361815.80146009</v>
          </cell>
          <cell r="P150">
            <v>527278575.66912967</v>
          </cell>
          <cell r="T150">
            <v>799184.03375438834</v>
          </cell>
          <cell r="U150">
            <v>1128582.4371298272</v>
          </cell>
          <cell r="V150">
            <v>1902562.6808428101</v>
          </cell>
          <cell r="W150">
            <v>5065788.9489270905</v>
          </cell>
          <cell r="X150">
            <v>12084835.343819801</v>
          </cell>
        </row>
        <row r="151">
          <cell r="L151">
            <v>80865240.157655239</v>
          </cell>
          <cell r="M151">
            <v>116273813.76123451</v>
          </cell>
          <cell r="N151">
            <v>187505483.27616221</v>
          </cell>
          <cell r="O151">
            <v>418986508.47767115</v>
          </cell>
          <cell r="P151">
            <v>565143581.12545681</v>
          </cell>
          <cell r="T151">
            <v>803517.39153816865</v>
          </cell>
          <cell r="U151">
            <v>1135029.1306919856</v>
          </cell>
          <cell r="V151">
            <v>1914106.0437611842</v>
          </cell>
          <cell r="W151">
            <v>5098506.6481373021</v>
          </cell>
          <cell r="X151">
            <v>12164679.812951032</v>
          </cell>
        </row>
        <row r="152">
          <cell r="L152">
            <v>86372507.410786808</v>
          </cell>
          <cell r="M152">
            <v>124321057.99618401</v>
          </cell>
          <cell r="N152">
            <v>200899586.61430249</v>
          </cell>
          <cell r="O152">
            <v>449073300.40346277</v>
          </cell>
          <cell r="P152">
            <v>605979556.6396575</v>
          </cell>
          <cell r="T152">
            <v>807850.74932194897</v>
          </cell>
          <cell r="U152">
            <v>1141475.824254144</v>
          </cell>
          <cell r="V152">
            <v>1925649.4066795586</v>
          </cell>
          <cell r="W152">
            <v>5131224.3473475138</v>
          </cell>
          <cell r="X152">
            <v>12244524.282082265</v>
          </cell>
        </row>
        <row r="153">
          <cell r="L153">
            <v>92275050.303788245</v>
          </cell>
          <cell r="M153">
            <v>132917516.59703743</v>
          </cell>
          <cell r="N153">
            <v>215109986.92600882</v>
          </cell>
          <cell r="O153">
            <v>481339676.76755732</v>
          </cell>
          <cell r="P153">
            <v>651561402.82112622</v>
          </cell>
          <cell r="T153">
            <v>812184.10710572929</v>
          </cell>
          <cell r="U153">
            <v>1147922.5178163024</v>
          </cell>
          <cell r="V153">
            <v>1937192.7695979327</v>
          </cell>
          <cell r="W153">
            <v>5163942.0465577254</v>
          </cell>
          <cell r="X153">
            <v>12324368.751213498</v>
          </cell>
        </row>
        <row r="154">
          <cell r="L154">
            <v>98601239.137989312</v>
          </cell>
          <cell r="M154">
            <v>142196137.08427939</v>
          </cell>
          <cell r="N154">
            <v>230438006.2499252</v>
          </cell>
          <cell r="O154">
            <v>518093454.99883437</v>
          </cell>
          <cell r="P154">
            <v>709031877.48814201</v>
          </cell>
          <cell r="T154">
            <v>816517.4648895096</v>
          </cell>
          <cell r="U154">
            <v>1154369.2113784607</v>
          </cell>
          <cell r="V154">
            <v>1948736.1325163068</v>
          </cell>
          <cell r="W154">
            <v>5196659.745767937</v>
          </cell>
          <cell r="X154">
            <v>12404213.220344732</v>
          </cell>
        </row>
        <row r="155">
          <cell r="L155">
            <v>105381480.44947961</v>
          </cell>
          <cell r="M155">
            <v>152040631.39419919</v>
          </cell>
          <cell r="N155">
            <v>247948519.16521761</v>
          </cell>
          <cell r="O155">
            <v>562501563.50439644</v>
          </cell>
          <cell r="P155">
            <v>1098416415.5899403</v>
          </cell>
          <cell r="T155">
            <v>820850.82267328992</v>
          </cell>
          <cell r="U155">
            <v>1160815.9049406191</v>
          </cell>
          <cell r="V155">
            <v>1960279.4954346812</v>
          </cell>
          <cell r="W155">
            <v>5229377.4449781487</v>
          </cell>
          <cell r="X155">
            <v>12484057.689475963</v>
          </cell>
        </row>
        <row r="156">
          <cell r="L156">
            <v>112648363.15672721</v>
          </cell>
          <cell r="M156">
            <v>163805576.3922936</v>
          </cell>
          <cell r="N156">
            <v>268276036.31259289</v>
          </cell>
          <cell r="O156">
            <v>744520014.07159317</v>
          </cell>
          <cell r="P156">
            <v>1880534218.3901145</v>
          </cell>
          <cell r="T156">
            <v>825184.18045707024</v>
          </cell>
          <cell r="U156">
            <v>1167262.5985027773</v>
          </cell>
          <cell r="V156">
            <v>1971822.8583530553</v>
          </cell>
          <cell r="W156">
            <v>5262095.1441883603</v>
          </cell>
          <cell r="X156">
            <v>12563902.158607196</v>
          </cell>
        </row>
        <row r="157">
          <cell r="L157">
            <v>120436815.19771889</v>
          </cell>
          <cell r="M157">
            <v>176038248.52770308</v>
          </cell>
          <cell r="N157">
            <v>329309296.58627486</v>
          </cell>
          <cell r="O157">
            <v>1048364358.3480647</v>
          </cell>
          <cell r="P157">
            <v>2651219260.3727632</v>
          </cell>
          <cell r="T157">
            <v>829517.53824085055</v>
          </cell>
          <cell r="U157">
            <v>1173709.2920649357</v>
          </cell>
          <cell r="V157">
            <v>1983366.2212714294</v>
          </cell>
          <cell r="W157">
            <v>5294812.8433985729</v>
          </cell>
          <cell r="X157">
            <v>12643746.627738429</v>
          </cell>
        </row>
        <row r="158">
          <cell r="L158">
            <v>128770912.15692526</v>
          </cell>
          <cell r="M158">
            <v>209026117.58476669</v>
          </cell>
          <cell r="N158">
            <v>429272515.33814478</v>
          </cell>
          <cell r="O158">
            <v>1361176657.7009187</v>
          </cell>
          <cell r="P158">
            <v>3455416492.6939464</v>
          </cell>
          <cell r="T158">
            <v>833850.89602463087</v>
          </cell>
          <cell r="U158">
            <v>1180155.9856270941</v>
          </cell>
          <cell r="V158">
            <v>1994909.5841898038</v>
          </cell>
          <cell r="W158">
            <v>5327530.5426087845</v>
          </cell>
          <cell r="X158">
            <v>12723591.096869662</v>
          </cell>
        </row>
        <row r="159">
          <cell r="L159">
            <v>137546563.07977226</v>
          </cell>
          <cell r="M159">
            <v>234742620.14612284</v>
          </cell>
          <cell r="N159">
            <v>484051157.41935933</v>
          </cell>
          <cell r="O159">
            <v>1536742765.4889503</v>
          </cell>
          <cell r="P159">
            <v>3901893226.6270924</v>
          </cell>
          <cell r="T159">
            <v>838184.25380841119</v>
          </cell>
          <cell r="U159">
            <v>1186602.6791892524</v>
          </cell>
          <cell r="V159">
            <v>2006452.9471081779</v>
          </cell>
          <cell r="W159">
            <v>5360248.2418189961</v>
          </cell>
          <cell r="X159">
            <v>12803435.566000894</v>
          </cell>
        </row>
        <row r="160">
          <cell r="L160">
            <v>146952072.85536182</v>
          </cell>
          <cell r="M160">
            <v>251077498.86086968</v>
          </cell>
          <cell r="N160">
            <v>518228278.94566095</v>
          </cell>
          <cell r="O160">
            <v>1646418014.0173526</v>
          </cell>
          <cell r="P160">
            <v>4168905505.4417071</v>
          </cell>
          <cell r="T160">
            <v>842517.6115921915</v>
          </cell>
          <cell r="U160">
            <v>1193049.3727514108</v>
          </cell>
          <cell r="V160">
            <v>2017996.3100265521</v>
          </cell>
          <cell r="W160">
            <v>5392965.9410292078</v>
          </cell>
          <cell r="X160">
            <v>12883280.035132127</v>
          </cell>
        </row>
        <row r="161">
          <cell r="L161">
            <v>157032648.63446465</v>
          </cell>
          <cell r="M161">
            <v>268584788.38108474</v>
          </cell>
          <cell r="N161">
            <v>554858410.82342982</v>
          </cell>
          <cell r="O161">
            <v>1763965034.8871698</v>
          </cell>
          <cell r="P161">
            <v>4467436435.3613586</v>
          </cell>
          <cell r="T161">
            <v>846850.96937597182</v>
          </cell>
          <cell r="U161">
            <v>1199496.0663135692</v>
          </cell>
          <cell r="V161">
            <v>2029539.6729449264</v>
          </cell>
          <cell r="W161">
            <v>5425683.6402394194</v>
          </cell>
          <cell r="X161">
            <v>12963124.50426336</v>
          </cell>
        </row>
        <row r="162">
          <cell r="L162">
            <v>167836742.24159318</v>
          </cell>
          <cell r="M162">
            <v>287348636.68979102</v>
          </cell>
          <cell r="N162">
            <v>594117614.09922743</v>
          </cell>
          <cell r="O162">
            <v>1889948812.4556398</v>
          </cell>
          <cell r="P162">
            <v>4787393963.7955246</v>
          </cell>
          <cell r="T162">
            <v>851184.32715975214</v>
          </cell>
          <cell r="U162">
            <v>1205942.7598757276</v>
          </cell>
          <cell r="V162">
            <v>2041083.0358633006</v>
          </cell>
          <cell r="W162">
            <v>5458401.3394496311</v>
          </cell>
          <cell r="X162">
            <v>13042968.973394593</v>
          </cell>
        </row>
        <row r="163">
          <cell r="L163">
            <v>179416283.05647135</v>
          </cell>
          <cell r="M163">
            <v>307459231.36211848</v>
          </cell>
          <cell r="N163">
            <v>636194586.33054423</v>
          </cell>
          <cell r="O163">
            <v>2024974881.9635987</v>
          </cell>
          <cell r="P163">
            <v>5130315951.9099579</v>
          </cell>
          <cell r="T163">
            <v>855517.68494353245</v>
          </cell>
          <cell r="U163">
            <v>1212389.453437886</v>
          </cell>
          <cell r="V163">
            <v>2052626.3987816747</v>
          </cell>
          <cell r="W163">
            <v>5491119.0386598427</v>
          </cell>
          <cell r="X163">
            <v>13122813.442525825</v>
          </cell>
        </row>
        <row r="164">
          <cell r="T164">
            <v>859851.04272731277</v>
          </cell>
          <cell r="U164">
            <v>1218836.1470000444</v>
          </cell>
          <cell r="V164">
            <v>2064169.761700049</v>
          </cell>
          <cell r="W164">
            <v>5523836.7378700543</v>
          </cell>
          <cell r="X164">
            <v>13202657.911657058</v>
          </cell>
        </row>
        <row r="165">
          <cell r="T165">
            <v>864184.40051109309</v>
          </cell>
          <cell r="U165">
            <v>1225282.8405622025</v>
          </cell>
          <cell r="V165">
            <v>2075713.1246184232</v>
          </cell>
          <cell r="W165">
            <v>5556554.437080266</v>
          </cell>
          <cell r="X165">
            <v>13282502.380788291</v>
          </cell>
        </row>
        <row r="166">
          <cell r="T166">
            <v>868517.75829487341</v>
          </cell>
          <cell r="U166">
            <v>1231729.5341243609</v>
          </cell>
          <cell r="V166">
            <v>2087256.4875367973</v>
          </cell>
          <cell r="W166">
            <v>5589272.1362904776</v>
          </cell>
          <cell r="X166">
            <v>13362346.849919524</v>
          </cell>
        </row>
        <row r="167">
          <cell r="T167">
            <v>872851.11607865372</v>
          </cell>
          <cell r="U167">
            <v>1238176.2276865193</v>
          </cell>
          <cell r="V167">
            <v>2098799.8504551714</v>
          </cell>
          <cell r="W167">
            <v>5621989.8355006892</v>
          </cell>
          <cell r="X167">
            <v>13442191.319050755</v>
          </cell>
        </row>
        <row r="168">
          <cell r="T168">
            <v>877184.47386243404</v>
          </cell>
          <cell r="U168">
            <v>1244622.9212486777</v>
          </cell>
          <cell r="V168">
            <v>2110343.2133735456</v>
          </cell>
          <cell r="W168">
            <v>5654707.5347109009</v>
          </cell>
          <cell r="X168">
            <v>13522035.788181989</v>
          </cell>
        </row>
        <row r="169">
          <cell r="T169">
            <v>881517.83164621436</v>
          </cell>
          <cell r="U169">
            <v>1251069.614810836</v>
          </cell>
          <cell r="V169">
            <v>2121886.5762919202</v>
          </cell>
          <cell r="W169">
            <v>5687425.2339211125</v>
          </cell>
          <cell r="X169">
            <v>13601880.257313222</v>
          </cell>
        </row>
        <row r="170">
          <cell r="T170">
            <v>885851.18942999467</v>
          </cell>
          <cell r="U170">
            <v>1257516.3083729944</v>
          </cell>
          <cell r="V170">
            <v>2133429.9392102943</v>
          </cell>
          <cell r="W170">
            <v>5720142.9331313241</v>
          </cell>
          <cell r="X170">
            <v>13681724.726444455</v>
          </cell>
        </row>
        <row r="171">
          <cell r="T171">
            <v>890184.47403977695</v>
          </cell>
          <cell r="U171">
            <v>1263963.0019351528</v>
          </cell>
          <cell r="V171">
            <v>2144973.3021286684</v>
          </cell>
          <cell r="W171">
            <v>5752860.6323415348</v>
          </cell>
          <cell r="X171">
            <v>13761569.195575688</v>
          </cell>
        </row>
        <row r="172">
          <cell r="T172">
            <v>894517.12130961951</v>
          </cell>
          <cell r="U172">
            <v>1270409.6954973112</v>
          </cell>
          <cell r="V172">
            <v>2156512.5337531343</v>
          </cell>
          <cell r="W172">
            <v>5785578.3315517465</v>
          </cell>
          <cell r="X172">
            <v>13841413.664706919</v>
          </cell>
        </row>
        <row r="173">
          <cell r="T173">
            <v>898849.76857946208</v>
          </cell>
          <cell r="U173">
            <v>1276856.3890594693</v>
          </cell>
          <cell r="V173">
            <v>2168040.2855180311</v>
          </cell>
          <cell r="W173">
            <v>5818296.0307619581</v>
          </cell>
          <cell r="X173">
            <v>13921258.133838153</v>
          </cell>
        </row>
        <row r="174">
          <cell r="T174">
            <v>903182.41584930464</v>
          </cell>
          <cell r="U174">
            <v>1283303.0826216277</v>
          </cell>
          <cell r="V174">
            <v>2179568.0372829279</v>
          </cell>
          <cell r="W174">
            <v>5851013.7299721697</v>
          </cell>
          <cell r="X174">
            <v>14001102.602969386</v>
          </cell>
        </row>
        <row r="175">
          <cell r="T175">
            <v>907515.06311914721</v>
          </cell>
          <cell r="U175">
            <v>1289749.7761837861</v>
          </cell>
          <cell r="V175">
            <v>2191095.7890478252</v>
          </cell>
          <cell r="W175">
            <v>5883731.4291823814</v>
          </cell>
          <cell r="X175">
            <v>14080947.072100619</v>
          </cell>
        </row>
        <row r="176">
          <cell r="T176">
            <v>911847.71038898989</v>
          </cell>
          <cell r="U176">
            <v>1296196.4697459445</v>
          </cell>
          <cell r="V176">
            <v>2202623.5408127219</v>
          </cell>
          <cell r="W176">
            <v>5916443.2022817116</v>
          </cell>
          <cell r="X176">
            <v>14160791.54123185</v>
          </cell>
        </row>
        <row r="177">
          <cell r="T177">
            <v>916180.35765883245</v>
          </cell>
          <cell r="U177">
            <v>1302643.1633081029</v>
          </cell>
          <cell r="V177">
            <v>2214151.2925776187</v>
          </cell>
          <cell r="W177">
            <v>5948898.5527772438</v>
          </cell>
          <cell r="X177">
            <v>14240636.010363083</v>
          </cell>
        </row>
        <row r="178">
          <cell r="T178">
            <v>920513.00492867501</v>
          </cell>
          <cell r="U178">
            <v>1309089.856870261</v>
          </cell>
          <cell r="V178">
            <v>2225679.044342516</v>
          </cell>
          <cell r="W178">
            <v>5981353.9032727769</v>
          </cell>
          <cell r="X178">
            <v>14320480.479494317</v>
          </cell>
        </row>
        <row r="179">
          <cell r="T179">
            <v>924845.65219851758</v>
          </cell>
          <cell r="U179">
            <v>1315536.5504324194</v>
          </cell>
          <cell r="V179">
            <v>2237206.7961074128</v>
          </cell>
          <cell r="W179">
            <v>6013809.25376831</v>
          </cell>
          <cell r="X179">
            <v>14400324.94862555</v>
          </cell>
        </row>
        <row r="180">
          <cell r="T180">
            <v>929178.29946836014</v>
          </cell>
          <cell r="U180">
            <v>1321983.2439945778</v>
          </cell>
          <cell r="V180">
            <v>2248734.5478723096</v>
          </cell>
          <cell r="W180">
            <v>6046264.604263843</v>
          </cell>
          <cell r="X180">
            <v>14480169.417756781</v>
          </cell>
        </row>
        <row r="181">
          <cell r="T181">
            <v>933510.94673820282</v>
          </cell>
          <cell r="U181">
            <v>1328429.9375567362</v>
          </cell>
          <cell r="V181">
            <v>2260262.2996372068</v>
          </cell>
          <cell r="W181">
            <v>6078719.9547593761</v>
          </cell>
          <cell r="X181">
            <v>14560013.886888014</v>
          </cell>
        </row>
        <row r="182">
          <cell r="T182">
            <v>937843.59400804539</v>
          </cell>
          <cell r="U182">
            <v>1334876.6311188946</v>
          </cell>
          <cell r="V182">
            <v>2271790.0514021036</v>
          </cell>
          <cell r="W182">
            <v>6111175.3052549092</v>
          </cell>
          <cell r="X182">
            <v>14639858.356019247</v>
          </cell>
        </row>
        <row r="183">
          <cell r="T183">
            <v>942176.24127788795</v>
          </cell>
          <cell r="U183">
            <v>1340923.342526078</v>
          </cell>
          <cell r="V183">
            <v>2283317.8031670004</v>
          </cell>
          <cell r="W183">
            <v>6143630.6557504414</v>
          </cell>
          <cell r="X183">
            <v>14719476.170548452</v>
          </cell>
        </row>
        <row r="184">
          <cell r="T184">
            <v>946072.75534475804</v>
          </cell>
          <cell r="U184">
            <v>1346913.262017586</v>
          </cell>
          <cell r="V184">
            <v>2294498.0339671574</v>
          </cell>
          <cell r="W184">
            <v>6176086.0062459745</v>
          </cell>
          <cell r="X184">
            <v>14798686.112228729</v>
          </cell>
        </row>
        <row r="185">
          <cell r="T185">
            <v>949960.67007037718</v>
          </cell>
          <cell r="U185">
            <v>1352903.1815090941</v>
          </cell>
          <cell r="V185">
            <v>2305502.4107851568</v>
          </cell>
          <cell r="W185">
            <v>6208541.3567415075</v>
          </cell>
          <cell r="X185">
            <v>14877896.053909006</v>
          </cell>
        </row>
        <row r="186">
          <cell r="T186">
            <v>953848.58479599631</v>
          </cell>
          <cell r="U186">
            <v>1358893.1010006021</v>
          </cell>
          <cell r="V186">
            <v>2316506.7876031557</v>
          </cell>
          <cell r="W186">
            <v>6240996.7072370406</v>
          </cell>
          <cell r="X186">
            <v>14957105.995589282</v>
          </cell>
        </row>
        <row r="187">
          <cell r="T187">
            <v>957736.49952161545</v>
          </cell>
          <cell r="U187">
            <v>1364883.0204921104</v>
          </cell>
          <cell r="V187">
            <v>2327511.1644211551</v>
          </cell>
          <cell r="W187">
            <v>6273452.0577325737</v>
          </cell>
          <cell r="X187">
            <v>15036315.937269557</v>
          </cell>
        </row>
        <row r="188">
          <cell r="T188">
            <v>961624.41424723458</v>
          </cell>
          <cell r="U188">
            <v>1370872.9399836184</v>
          </cell>
          <cell r="V188">
            <v>2338515.5412391541</v>
          </cell>
          <cell r="W188">
            <v>6305907.4082281068</v>
          </cell>
          <cell r="X188">
            <v>15115525.878949834</v>
          </cell>
        </row>
        <row r="189">
          <cell r="T189">
            <v>965512.32897285372</v>
          </cell>
          <cell r="U189">
            <v>1376862.8594751265</v>
          </cell>
          <cell r="V189">
            <v>2349519.918057153</v>
          </cell>
          <cell r="W189">
            <v>6338221.9098628685</v>
          </cell>
          <cell r="X189">
            <v>15194735.820630111</v>
          </cell>
        </row>
        <row r="190">
          <cell r="T190">
            <v>969400.24369847286</v>
          </cell>
          <cell r="U190">
            <v>1382852.7789666345</v>
          </cell>
          <cell r="V190">
            <v>2360524.2948751524</v>
          </cell>
          <cell r="W190">
            <v>6370346.7243626676</v>
          </cell>
          <cell r="X190">
            <v>15273945.762310388</v>
          </cell>
        </row>
        <row r="191">
          <cell r="T191">
            <v>973288.15842409199</v>
          </cell>
          <cell r="U191">
            <v>1388842.6984581426</v>
          </cell>
          <cell r="V191">
            <v>2371528.6716931514</v>
          </cell>
          <cell r="W191">
            <v>6402471.5388624668</v>
          </cell>
          <cell r="X191">
            <v>15353155.703990664</v>
          </cell>
        </row>
        <row r="192">
          <cell r="T192">
            <v>977176.07314971113</v>
          </cell>
          <cell r="U192">
            <v>1394832.6179496506</v>
          </cell>
          <cell r="V192">
            <v>2382533.0485111508</v>
          </cell>
          <cell r="W192">
            <v>6434596.353362266</v>
          </cell>
          <cell r="X192">
            <v>15432365.645670941</v>
          </cell>
        </row>
        <row r="193">
          <cell r="T193">
            <v>981063.98787533026</v>
          </cell>
          <cell r="U193">
            <v>1400822.5374411589</v>
          </cell>
          <cell r="V193">
            <v>2393537.4253291497</v>
          </cell>
          <cell r="W193">
            <v>6466721.1678620651</v>
          </cell>
          <cell r="X193">
            <v>15511575.587351218</v>
          </cell>
        </row>
        <row r="194">
          <cell r="T194">
            <v>984951.9026009494</v>
          </cell>
          <cell r="U194">
            <v>1406812.4569326669</v>
          </cell>
          <cell r="V194">
            <v>2404541.8021471491</v>
          </cell>
          <cell r="W194">
            <v>6498845.9823618643</v>
          </cell>
          <cell r="X194">
            <v>15590785.529031493</v>
          </cell>
        </row>
        <row r="195">
          <cell r="T195">
            <v>988839.81732656853</v>
          </cell>
          <cell r="U195">
            <v>1412802.376424175</v>
          </cell>
          <cell r="V195">
            <v>2415546.1789651481</v>
          </cell>
          <cell r="W195">
            <v>6530970.7968616635</v>
          </cell>
          <cell r="X195">
            <v>15669995.47071177</v>
          </cell>
        </row>
        <row r="196">
          <cell r="T196">
            <v>992727.73205218767</v>
          </cell>
          <cell r="U196">
            <v>1418760.5052574067</v>
          </cell>
          <cell r="V196">
            <v>2426550.5557831475</v>
          </cell>
          <cell r="W196">
            <v>6563095.6113614617</v>
          </cell>
          <cell r="X196">
            <v>15749202.672497608</v>
          </cell>
        </row>
        <row r="197">
          <cell r="T197">
            <v>996615.64677780692</v>
          </cell>
          <cell r="U197">
            <v>1424717.2114555878</v>
          </cell>
          <cell r="V197">
            <v>2437554.9326011464</v>
          </cell>
          <cell r="W197">
            <v>6595220.4258612609</v>
          </cell>
          <cell r="X197">
            <v>15828394.968447385</v>
          </cell>
        </row>
        <row r="198">
          <cell r="T198">
            <v>1000503.5615034261</v>
          </cell>
          <cell r="U198">
            <v>1430673.9176537688</v>
          </cell>
          <cell r="V198">
            <v>2448559.3094191458</v>
          </cell>
          <cell r="W198">
            <v>6627345.24036106</v>
          </cell>
          <cell r="X198">
            <v>15907587.264397165</v>
          </cell>
        </row>
        <row r="199">
          <cell r="T199">
            <v>1004391.4762290452</v>
          </cell>
          <cell r="U199">
            <v>1436630.6238519498</v>
          </cell>
          <cell r="V199">
            <v>2459563.6862371447</v>
          </cell>
          <cell r="W199">
            <v>6659470.0548608592</v>
          </cell>
          <cell r="X199">
            <v>15986779.560346944</v>
          </cell>
        </row>
        <row r="200">
          <cell r="T200">
            <v>1008279.3909546643</v>
          </cell>
          <cell r="U200">
            <v>1442587.3300501308</v>
          </cell>
          <cell r="V200">
            <v>2470568.0630551442</v>
          </cell>
          <cell r="W200">
            <v>6691594.8693606583</v>
          </cell>
          <cell r="X200">
            <v>16065971.856296724</v>
          </cell>
        </row>
        <row r="201">
          <cell r="T201">
            <v>1012167.3056802835</v>
          </cell>
          <cell r="U201">
            <v>1448544.0362483119</v>
          </cell>
          <cell r="V201">
            <v>2481572.4398731431</v>
          </cell>
          <cell r="W201">
            <v>6723719.6838604575</v>
          </cell>
          <cell r="X201">
            <v>16145164.152246501</v>
          </cell>
        </row>
        <row r="202">
          <cell r="T202">
            <v>1016055.2204059026</v>
          </cell>
          <cell r="U202">
            <v>1454500.7424464929</v>
          </cell>
          <cell r="V202">
            <v>2492576.8166911425</v>
          </cell>
          <cell r="W202">
            <v>6755844.4983602567</v>
          </cell>
          <cell r="X202">
            <v>16224356.448196281</v>
          </cell>
        </row>
        <row r="203">
          <cell r="T203">
            <v>1019943.1351315217</v>
          </cell>
          <cell r="U203">
            <v>1460457.4486446739</v>
          </cell>
          <cell r="V203">
            <v>2503581.1935091414</v>
          </cell>
          <cell r="W203">
            <v>6787969.3128600558</v>
          </cell>
          <cell r="X203">
            <v>16303548.74414606</v>
          </cell>
        </row>
        <row r="204">
          <cell r="T204">
            <v>1023831.0498571409</v>
          </cell>
          <cell r="U204">
            <v>1466414.1548428549</v>
          </cell>
          <cell r="V204">
            <v>2514585.5703271409</v>
          </cell>
          <cell r="W204">
            <v>6820094.127359855</v>
          </cell>
          <cell r="X204">
            <v>16382741.04009584</v>
          </cell>
        </row>
        <row r="205">
          <cell r="T205">
            <v>1027718.96458276</v>
          </cell>
          <cell r="U205">
            <v>1472370.861041036</v>
          </cell>
          <cell r="V205">
            <v>2525589.9471451398</v>
          </cell>
          <cell r="W205">
            <v>6852218.9418596542</v>
          </cell>
          <cell r="X205">
            <v>16461933.336045617</v>
          </cell>
        </row>
        <row r="206">
          <cell r="T206">
            <v>1031606.8793083791</v>
          </cell>
          <cell r="U206">
            <v>1478327.567239217</v>
          </cell>
          <cell r="V206">
            <v>2536594.3239631392</v>
          </cell>
          <cell r="W206">
            <v>6884343.7563594533</v>
          </cell>
          <cell r="X206">
            <v>16541125.631995397</v>
          </cell>
        </row>
        <row r="207">
          <cell r="T207">
            <v>1035494.7940339983</v>
          </cell>
          <cell r="U207">
            <v>1484284.273437398</v>
          </cell>
          <cell r="V207">
            <v>2547598.7007811381</v>
          </cell>
          <cell r="W207">
            <v>6916468.5708592515</v>
          </cell>
          <cell r="X207">
            <v>16620317.927945176</v>
          </cell>
        </row>
        <row r="208">
          <cell r="T208">
            <v>1039382.7087596174</v>
          </cell>
          <cell r="U208">
            <v>1490240.9796355793</v>
          </cell>
          <cell r="V208">
            <v>2558603.0775991376</v>
          </cell>
          <cell r="W208">
            <v>6948593.3853590507</v>
          </cell>
          <cell r="X208">
            <v>16699510.223894954</v>
          </cell>
        </row>
        <row r="209">
          <cell r="T209">
            <v>1043270.6234852365</v>
          </cell>
          <cell r="U209">
            <v>1496197.6858337603</v>
          </cell>
          <cell r="V209">
            <v>2569607.4544171365</v>
          </cell>
          <cell r="W209">
            <v>6980718.1998588499</v>
          </cell>
          <cell r="X209">
            <v>16778702.519844733</v>
          </cell>
        </row>
        <row r="210">
          <cell r="T210">
            <v>1047158.5382108557</v>
          </cell>
          <cell r="U210">
            <v>1502154.3920319413</v>
          </cell>
          <cell r="V210">
            <v>2580611.8312351359</v>
          </cell>
          <cell r="W210">
            <v>7012843.014358649</v>
          </cell>
          <cell r="X210">
            <v>16857894.815794513</v>
          </cell>
        </row>
        <row r="211">
          <cell r="T211">
            <v>1051046.4529364747</v>
          </cell>
          <cell r="U211">
            <v>1508111.0982301224</v>
          </cell>
          <cell r="V211">
            <v>2591616.2080531348</v>
          </cell>
          <cell r="W211">
            <v>7044967.8288584482</v>
          </cell>
          <cell r="X211">
            <v>16937087.111744292</v>
          </cell>
        </row>
        <row r="212">
          <cell r="T212">
            <v>1054934.3676620938</v>
          </cell>
          <cell r="U212">
            <v>1514067.8044283034</v>
          </cell>
          <cell r="V212">
            <v>2602620.5848711343</v>
          </cell>
          <cell r="W212">
            <v>7077092.6433582474</v>
          </cell>
          <cell r="X212">
            <v>17016279.407694072</v>
          </cell>
        </row>
        <row r="213">
          <cell r="T213">
            <v>1058822.282387713</v>
          </cell>
          <cell r="U213">
            <v>1520024.5106264844</v>
          </cell>
          <cell r="V213">
            <v>2613624.9616891332</v>
          </cell>
          <cell r="W213">
            <v>7109217.4578580465</v>
          </cell>
          <cell r="X213">
            <v>17095471.703643851</v>
          </cell>
        </row>
        <row r="214">
          <cell r="T214">
            <v>1062710.1971133321</v>
          </cell>
          <cell r="U214">
            <v>1525981.2168246654</v>
          </cell>
          <cell r="V214">
            <v>2624629.3385071326</v>
          </cell>
          <cell r="W214">
            <v>7141342.2723578457</v>
          </cell>
          <cell r="X214">
            <v>17174663.99959363</v>
          </cell>
        </row>
        <row r="215">
          <cell r="T215">
            <v>1066598.1118389512</v>
          </cell>
          <cell r="U215">
            <v>1531937.9230228467</v>
          </cell>
          <cell r="V215">
            <v>2635633.7153251315</v>
          </cell>
          <cell r="W215">
            <v>7173467.0868576448</v>
          </cell>
          <cell r="X215">
            <v>17253856.295543406</v>
          </cell>
        </row>
        <row r="216">
          <cell r="T216">
            <v>1070486.0265645704</v>
          </cell>
          <cell r="U216">
            <v>1537894.6292210277</v>
          </cell>
          <cell r="V216">
            <v>2646638.092143131</v>
          </cell>
          <cell r="W216">
            <v>7205591.901357444</v>
          </cell>
          <cell r="X216">
            <v>17333048.591493186</v>
          </cell>
        </row>
        <row r="217">
          <cell r="T217">
            <v>1074373.9412901895</v>
          </cell>
          <cell r="U217">
            <v>1543851.3354192087</v>
          </cell>
          <cell r="V217">
            <v>2657642.4689611299</v>
          </cell>
          <cell r="W217">
            <v>7237716.7158572432</v>
          </cell>
          <cell r="X217">
            <v>17412240.887442965</v>
          </cell>
        </row>
        <row r="218">
          <cell r="T218">
            <v>1078261.8560158086</v>
          </cell>
          <cell r="U218">
            <v>1549808.0416173898</v>
          </cell>
          <cell r="V218">
            <v>2668646.8457791293</v>
          </cell>
          <cell r="W218">
            <v>7269841.5303570414</v>
          </cell>
          <cell r="X218">
            <v>17491433.183392745</v>
          </cell>
        </row>
        <row r="219">
          <cell r="T219">
            <v>1082149.7707414278</v>
          </cell>
          <cell r="U219">
            <v>1555764.7478155708</v>
          </cell>
          <cell r="V219">
            <v>2679651.2225971282</v>
          </cell>
          <cell r="W219">
            <v>7301966.3448568406</v>
          </cell>
          <cell r="X219">
            <v>17570625.479342524</v>
          </cell>
        </row>
        <row r="220">
          <cell r="T220">
            <v>1086037.6854670469</v>
          </cell>
          <cell r="U220">
            <v>1561721.4540137518</v>
          </cell>
          <cell r="V220">
            <v>2690655.5994151277</v>
          </cell>
          <cell r="W220">
            <v>7334091.1593566397</v>
          </cell>
          <cell r="X220">
            <v>17649817.775292303</v>
          </cell>
        </row>
        <row r="221">
          <cell r="T221">
            <v>1089925.6001926661</v>
          </cell>
          <cell r="U221">
            <v>1567678.1602119331</v>
          </cell>
          <cell r="V221">
            <v>2701659.9762331266</v>
          </cell>
          <cell r="W221">
            <v>7366215.9738564389</v>
          </cell>
          <cell r="X221">
            <v>17729010.071242083</v>
          </cell>
        </row>
        <row r="222">
          <cell r="T222">
            <v>1093813.5149182852</v>
          </cell>
          <cell r="U222">
            <v>1573634.8664101141</v>
          </cell>
          <cell r="V222">
            <v>2712664.353051126</v>
          </cell>
          <cell r="W222">
            <v>7398340.788356238</v>
          </cell>
          <cell r="X222">
            <v>17808202.367191862</v>
          </cell>
        </row>
        <row r="223">
          <cell r="T223">
            <v>1097701.4296439043</v>
          </cell>
          <cell r="U223">
            <v>1579591.5726082951</v>
          </cell>
          <cell r="V223">
            <v>2723668.7298691249</v>
          </cell>
          <cell r="W223">
            <v>7430465.6028560372</v>
          </cell>
          <cell r="X223">
            <v>17887394.663141642</v>
          </cell>
        </row>
        <row r="224">
          <cell r="T224">
            <v>1101589.3443695235</v>
          </cell>
          <cell r="U224">
            <v>1585548.2788064762</v>
          </cell>
          <cell r="V224">
            <v>2734673.1066871239</v>
          </cell>
          <cell r="W224">
            <v>7462590.4173558364</v>
          </cell>
          <cell r="X224">
            <v>17966586.959091417</v>
          </cell>
        </row>
        <row r="225">
          <cell r="T225">
            <v>1105477.2590951426</v>
          </cell>
          <cell r="U225">
            <v>1591504.9850046572</v>
          </cell>
          <cell r="V225">
            <v>2745677.4835051233</v>
          </cell>
          <cell r="W225">
            <v>7494715.2318556355</v>
          </cell>
          <cell r="X225">
            <v>18045779.255041197</v>
          </cell>
        </row>
        <row r="226">
          <cell r="T226">
            <v>1109365.1738207617</v>
          </cell>
          <cell r="U226">
            <v>1597461.6912028382</v>
          </cell>
          <cell r="V226">
            <v>2756681.8603231222</v>
          </cell>
          <cell r="W226">
            <v>7526840.0463554347</v>
          </cell>
          <cell r="X226">
            <v>18124971.550990976</v>
          </cell>
        </row>
        <row r="227">
          <cell r="T227">
            <v>1113253.0885463809</v>
          </cell>
          <cell r="U227">
            <v>1603418.3974010192</v>
          </cell>
          <cell r="V227">
            <v>2767686.2371411216</v>
          </cell>
          <cell r="W227">
            <v>7558964.8608552339</v>
          </cell>
          <cell r="X227">
            <v>18204163.846940756</v>
          </cell>
        </row>
        <row r="228">
          <cell r="T228">
            <v>1117141.003272</v>
          </cell>
          <cell r="U228">
            <v>1609375.1035992003</v>
          </cell>
          <cell r="V228">
            <v>2778690.6139591206</v>
          </cell>
          <cell r="W228">
            <v>7591089.675355033</v>
          </cell>
          <cell r="X228">
            <v>18283356.142890535</v>
          </cell>
        </row>
        <row r="229">
          <cell r="T229">
            <v>1121028.9179976194</v>
          </cell>
          <cell r="U229">
            <v>1615331.8097973813</v>
          </cell>
          <cell r="V229">
            <v>2789694.99077712</v>
          </cell>
          <cell r="W229">
            <v>7623214.4898548322</v>
          </cell>
          <cell r="X229">
            <v>18362548.438840315</v>
          </cell>
        </row>
        <row r="230">
          <cell r="T230">
            <v>1124916.8327232385</v>
          </cell>
          <cell r="U230">
            <v>1621288.5159955623</v>
          </cell>
          <cell r="V230">
            <v>2800699.3675951189</v>
          </cell>
          <cell r="W230">
            <v>7655339.3043546304</v>
          </cell>
          <cell r="X230">
            <v>18441740.734790094</v>
          </cell>
        </row>
        <row r="231">
          <cell r="T231">
            <v>1128804.7474488576</v>
          </cell>
          <cell r="U231">
            <v>1627245.2221937433</v>
          </cell>
          <cell r="V231">
            <v>2811703.7444131183</v>
          </cell>
          <cell r="W231">
            <v>7687464.1188544296</v>
          </cell>
          <cell r="X231">
            <v>18520933.030739874</v>
          </cell>
        </row>
        <row r="232">
          <cell r="T232">
            <v>1132692.6621744768</v>
          </cell>
          <cell r="U232">
            <v>1633201.9283919244</v>
          </cell>
          <cell r="V232">
            <v>2822708.1212311173</v>
          </cell>
          <cell r="W232">
            <v>7719588.9333542287</v>
          </cell>
          <cell r="X232">
            <v>18600125.326689649</v>
          </cell>
        </row>
        <row r="233">
          <cell r="T233">
            <v>1136580.5769000959</v>
          </cell>
          <cell r="U233">
            <v>1639158.6345901056</v>
          </cell>
          <cell r="V233">
            <v>2833712.4980491167</v>
          </cell>
          <cell r="W233">
            <v>7751713.7478540279</v>
          </cell>
          <cell r="X233">
            <v>18679317.622639429</v>
          </cell>
        </row>
        <row r="234">
          <cell r="T234">
            <v>1140468.491625715</v>
          </cell>
          <cell r="U234">
            <v>1645115.3407882866</v>
          </cell>
          <cell r="V234">
            <v>2844716.8748671156</v>
          </cell>
          <cell r="W234">
            <v>7783838.5623538271</v>
          </cell>
          <cell r="X234">
            <v>18758509.918589208</v>
          </cell>
        </row>
        <row r="235">
          <cell r="T235">
            <v>1144356.4063513342</v>
          </cell>
          <cell r="U235">
            <v>1651072.0469864677</v>
          </cell>
          <cell r="V235">
            <v>2855721.2516851146</v>
          </cell>
          <cell r="W235">
            <v>7815963.3768536262</v>
          </cell>
          <cell r="X235">
            <v>18837702.214538988</v>
          </cell>
        </row>
        <row r="236">
          <cell r="T236">
            <v>1148244.3210769533</v>
          </cell>
          <cell r="U236">
            <v>1657028.7531846487</v>
          </cell>
          <cell r="V236">
            <v>2866725.628503114</v>
          </cell>
          <cell r="W236">
            <v>7848088.1913534254</v>
          </cell>
          <cell r="X236">
            <v>18916894.510488767</v>
          </cell>
        </row>
        <row r="237">
          <cell r="T237">
            <v>1152132.2358025725</v>
          </cell>
          <cell r="U237">
            <v>1662985.4593828297</v>
          </cell>
          <cell r="V237">
            <v>2877730.0053211129</v>
          </cell>
          <cell r="W237">
            <v>7880213.0058532245</v>
          </cell>
          <cell r="X237">
            <v>18996086.806438547</v>
          </cell>
        </row>
        <row r="238">
          <cell r="T238">
            <v>1156020.1505281916</v>
          </cell>
          <cell r="U238">
            <v>1668942.1655810107</v>
          </cell>
          <cell r="V238">
            <v>2888734.3821391123</v>
          </cell>
          <cell r="W238">
            <v>7912337.8203530237</v>
          </cell>
          <cell r="X238">
            <v>19075279.102388322</v>
          </cell>
        </row>
        <row r="239">
          <cell r="T239">
            <v>1159908.0652538107</v>
          </cell>
          <cell r="U239">
            <v>1674898.8717791918</v>
          </cell>
          <cell r="V239">
            <v>2899738.7589571113</v>
          </cell>
          <cell r="W239">
            <v>7944462.6348528229</v>
          </cell>
          <cell r="X239">
            <v>19154471.398338102</v>
          </cell>
        </row>
        <row r="240">
          <cell r="T240">
            <v>1163795.9799794299</v>
          </cell>
          <cell r="U240">
            <v>1680855.5779773728</v>
          </cell>
          <cell r="V240">
            <v>2910743.1357751107</v>
          </cell>
          <cell r="W240">
            <v>7976587.449352622</v>
          </cell>
          <cell r="X240">
            <v>19233663.694287881</v>
          </cell>
        </row>
        <row r="241">
          <cell r="T241">
            <v>1167683.894705049</v>
          </cell>
          <cell r="U241">
            <v>1686812.2841755538</v>
          </cell>
          <cell r="V241">
            <v>2921747.5125931096</v>
          </cell>
          <cell r="W241">
            <v>8008712.2638524203</v>
          </cell>
          <cell r="X241">
            <v>19312855.990237661</v>
          </cell>
        </row>
        <row r="242">
          <cell r="T242">
            <v>1171571.8094306681</v>
          </cell>
          <cell r="U242">
            <v>1692768.9903737349</v>
          </cell>
          <cell r="V242">
            <v>2932751.889411109</v>
          </cell>
          <cell r="W242">
            <v>8040837.0783522194</v>
          </cell>
          <cell r="X242">
            <v>19392048.28618744</v>
          </cell>
        </row>
        <row r="243">
          <cell r="T243">
            <v>1175459.7241562873</v>
          </cell>
          <cell r="U243">
            <v>1698725.6965719159</v>
          </cell>
          <cell r="V243">
            <v>2943756.266229108</v>
          </cell>
          <cell r="W243">
            <v>8072961.8928520186</v>
          </cell>
          <cell r="X243">
            <v>19471240.58213722</v>
          </cell>
        </row>
        <row r="244">
          <cell r="T244">
            <v>1179347.6388819064</v>
          </cell>
          <cell r="U244">
            <v>1704682.4027700971</v>
          </cell>
          <cell r="V244">
            <v>2954760.6430471069</v>
          </cell>
          <cell r="W244">
            <v>8105086.7073518177</v>
          </cell>
          <cell r="X244">
            <v>19550432.878086999</v>
          </cell>
        </row>
        <row r="245">
          <cell r="T245">
            <v>1183235.5536075255</v>
          </cell>
          <cell r="U245">
            <v>1710639.1089682782</v>
          </cell>
          <cell r="V245">
            <v>2965765.0198651063</v>
          </cell>
          <cell r="W245">
            <v>8137211.5218516169</v>
          </cell>
          <cell r="X245">
            <v>19629625.174036775</v>
          </cell>
        </row>
        <row r="246">
          <cell r="T246">
            <v>1187123.4683331447</v>
          </cell>
          <cell r="U246">
            <v>1716595.8151664592</v>
          </cell>
          <cell r="V246">
            <v>2976769.3966831053</v>
          </cell>
          <cell r="W246">
            <v>8169336.3363514161</v>
          </cell>
          <cell r="X246">
            <v>19708817.469986554</v>
          </cell>
        </row>
        <row r="247">
          <cell r="T247">
            <v>1191011.3830587638</v>
          </cell>
          <cell r="U247">
            <v>1722552.5213646402</v>
          </cell>
          <cell r="V247">
            <v>2987773.7735011047</v>
          </cell>
          <cell r="W247">
            <v>8201461.1508512152</v>
          </cell>
          <cell r="X247">
            <v>19788009.765936334</v>
          </cell>
        </row>
        <row r="248">
          <cell r="T248">
            <v>1194899.2977843829</v>
          </cell>
          <cell r="U248">
            <v>1728509.2275628212</v>
          </cell>
          <cell r="V248">
            <v>2998778.1503191036</v>
          </cell>
          <cell r="W248">
            <v>8233585.9653510144</v>
          </cell>
          <cell r="X248">
            <v>19867202.061886113</v>
          </cell>
        </row>
        <row r="249">
          <cell r="T249">
            <v>1198787.2125100021</v>
          </cell>
          <cell r="U249">
            <v>1734465.9337610023</v>
          </cell>
          <cell r="V249">
            <v>3009782.527137103</v>
          </cell>
          <cell r="W249">
            <v>8265710.7798508136</v>
          </cell>
          <cell r="X249">
            <v>19946394.357835893</v>
          </cell>
        </row>
        <row r="250">
          <cell r="T250">
            <v>1202675.1272356212</v>
          </cell>
          <cell r="U250">
            <v>1740422.6399591835</v>
          </cell>
          <cell r="V250">
            <v>3020786.903955102</v>
          </cell>
          <cell r="W250">
            <v>8297835.5943506127</v>
          </cell>
          <cell r="X250">
            <v>20025586.653785672</v>
          </cell>
        </row>
        <row r="251">
          <cell r="T251">
            <v>1206563.0419612403</v>
          </cell>
          <cell r="U251">
            <v>1746379.3461573645</v>
          </cell>
          <cell r="V251">
            <v>3031791.2807731009</v>
          </cell>
          <cell r="W251">
            <v>8329960.4088504119</v>
          </cell>
          <cell r="X251">
            <v>20104778.949735451</v>
          </cell>
        </row>
        <row r="252">
          <cell r="T252">
            <v>1210450.9566868595</v>
          </cell>
          <cell r="U252">
            <v>1752336.0523555456</v>
          </cell>
          <cell r="V252">
            <v>3042795.6575911003</v>
          </cell>
          <cell r="W252">
            <v>8362085.223350211</v>
          </cell>
          <cell r="X252">
            <v>20183971.245685227</v>
          </cell>
        </row>
        <row r="253">
          <cell r="T253">
            <v>1214338.8714124786</v>
          </cell>
          <cell r="U253">
            <v>1758292.7585537266</v>
          </cell>
          <cell r="V253">
            <v>3053800.0344090993</v>
          </cell>
          <cell r="W253">
            <v>8394210.0378500111</v>
          </cell>
          <cell r="X253">
            <v>20263163.541635007</v>
          </cell>
        </row>
        <row r="254">
          <cell r="T254">
            <v>1218226.7861380978</v>
          </cell>
          <cell r="U254">
            <v>1764249.4647519076</v>
          </cell>
          <cell r="V254">
            <v>3064804.4112270987</v>
          </cell>
          <cell r="W254">
            <v>8426334.8523498103</v>
          </cell>
          <cell r="X254">
            <v>20342355.837584786</v>
          </cell>
        </row>
        <row r="255">
          <cell r="T255">
            <v>1222114.7008637169</v>
          </cell>
          <cell r="U255">
            <v>1770206.1709500886</v>
          </cell>
          <cell r="V255">
            <v>3075808.7880450976</v>
          </cell>
          <cell r="W255">
            <v>8458459.6668496095</v>
          </cell>
          <cell r="X255">
            <v>20421548.133534566</v>
          </cell>
        </row>
        <row r="256">
          <cell r="T256">
            <v>1226002.615589336</v>
          </cell>
          <cell r="U256">
            <v>1776162.8771482697</v>
          </cell>
          <cell r="V256">
            <v>3086813.1648630966</v>
          </cell>
          <cell r="W256">
            <v>8490584.4813494068</v>
          </cell>
          <cell r="X256">
            <v>20500740.429484345</v>
          </cell>
        </row>
        <row r="257">
          <cell r="T257">
            <v>1229890.5303149552</v>
          </cell>
          <cell r="U257">
            <v>1782119.5833464509</v>
          </cell>
          <cell r="V257">
            <v>3097817.541681096</v>
          </cell>
          <cell r="W257">
            <v>8522709.2958492059</v>
          </cell>
          <cell r="X257">
            <v>20579932.725434124</v>
          </cell>
        </row>
        <row r="258">
          <cell r="T258">
            <v>1233778.4450405743</v>
          </cell>
          <cell r="U258">
            <v>1788076.289544632</v>
          </cell>
          <cell r="V258">
            <v>3108821.9184990949</v>
          </cell>
          <cell r="W258">
            <v>8554834.1103490051</v>
          </cell>
          <cell r="X258">
            <v>20659125.021383904</v>
          </cell>
        </row>
        <row r="259">
          <cell r="T259">
            <v>1237666.3597661934</v>
          </cell>
          <cell r="U259">
            <v>1794032.995742813</v>
          </cell>
          <cell r="V259">
            <v>3119826.2953170943</v>
          </cell>
          <cell r="W259">
            <v>8586958.9248488043</v>
          </cell>
          <cell r="X259">
            <v>20738317.31733368</v>
          </cell>
        </row>
        <row r="260">
          <cell r="T260">
            <v>1241554.2744918126</v>
          </cell>
          <cell r="U260">
            <v>1799989.701940994</v>
          </cell>
          <cell r="V260">
            <v>3130830.6721350932</v>
          </cell>
          <cell r="W260">
            <v>8619083.7393486034</v>
          </cell>
          <cell r="X260">
            <v>20817509.613283459</v>
          </cell>
        </row>
        <row r="261">
          <cell r="T261">
            <v>1245442.1892174317</v>
          </cell>
          <cell r="U261">
            <v>1805946.408139175</v>
          </cell>
          <cell r="V261">
            <v>3141835.0489530927</v>
          </cell>
          <cell r="W261">
            <v>8651208.5538484026</v>
          </cell>
          <cell r="X261">
            <v>20896701.909233239</v>
          </cell>
        </row>
        <row r="262">
          <cell r="T262">
            <v>1249330.1039430508</v>
          </cell>
          <cell r="U262">
            <v>1811903.1143373561</v>
          </cell>
          <cell r="V262">
            <v>3152839.4257710916</v>
          </cell>
          <cell r="W262">
            <v>8683333.3683482017</v>
          </cell>
          <cell r="X262">
            <v>20975894.205183018</v>
          </cell>
        </row>
        <row r="263">
          <cell r="T263">
            <v>1253218.01866867</v>
          </cell>
          <cell r="U263">
            <v>1817859.8205355371</v>
          </cell>
          <cell r="V263">
            <v>3163843.802589091</v>
          </cell>
          <cell r="W263">
            <v>8715458.1828480009</v>
          </cell>
          <cell r="X263">
            <v>21055086.501132797</v>
          </cell>
        </row>
        <row r="264">
          <cell r="T264">
            <v>1257105.9333942891</v>
          </cell>
          <cell r="U264">
            <v>1823816.5267337181</v>
          </cell>
          <cell r="V264">
            <v>3174848.1794070899</v>
          </cell>
          <cell r="W264">
            <v>8747582.9973478001</v>
          </cell>
          <cell r="X264">
            <v>21134278.797082577</v>
          </cell>
        </row>
        <row r="265">
          <cell r="T265">
            <v>1260993.8481199082</v>
          </cell>
          <cell r="U265">
            <v>1829773.2329318991</v>
          </cell>
          <cell r="V265">
            <v>3185852.5562250894</v>
          </cell>
          <cell r="W265">
            <v>8779707.8118475992</v>
          </cell>
          <cell r="X265">
            <v>21213471.093032356</v>
          </cell>
        </row>
        <row r="266">
          <cell r="T266">
            <v>1264881.7628455274</v>
          </cell>
          <cell r="U266">
            <v>1835729.9391300802</v>
          </cell>
          <cell r="V266">
            <v>3196856.9330430883</v>
          </cell>
          <cell r="W266">
            <v>8811832.6263473984</v>
          </cell>
          <cell r="X266">
            <v>21292663.388982136</v>
          </cell>
        </row>
        <row r="267">
          <cell r="T267">
            <v>1268769.6775711465</v>
          </cell>
          <cell r="U267">
            <v>1841686.6453282614</v>
          </cell>
          <cell r="V267">
            <v>3207861.3098610877</v>
          </cell>
          <cell r="W267">
            <v>8843957.4408471957</v>
          </cell>
          <cell r="X267">
            <v>21371855.684931912</v>
          </cell>
        </row>
        <row r="268">
          <cell r="T268">
            <v>1272657.5922967657</v>
          </cell>
          <cell r="U268">
            <v>1847643.3515264424</v>
          </cell>
          <cell r="V268">
            <v>3218865.6866790866</v>
          </cell>
          <cell r="W268">
            <v>8876082.2553469948</v>
          </cell>
          <cell r="X268">
            <v>21451047.980881691</v>
          </cell>
        </row>
        <row r="269">
          <cell r="T269">
            <v>1276545.5070223848</v>
          </cell>
          <cell r="U269">
            <v>1853600.0577246235</v>
          </cell>
          <cell r="V269">
            <v>3229870.0634970861</v>
          </cell>
          <cell r="W269">
            <v>8908207.069846794</v>
          </cell>
          <cell r="X269">
            <v>21530240.27683147</v>
          </cell>
        </row>
        <row r="270">
          <cell r="T270">
            <v>1280433.4217480039</v>
          </cell>
          <cell r="U270">
            <v>1859556.7639228045</v>
          </cell>
          <cell r="V270">
            <v>3240874.440315085</v>
          </cell>
          <cell r="W270">
            <v>8940331.8843465932</v>
          </cell>
          <cell r="X270">
            <v>21609432.57278125</v>
          </cell>
        </row>
        <row r="271">
          <cell r="T271">
            <v>1284321.3364736231</v>
          </cell>
          <cell r="U271">
            <v>1865513.4701209855</v>
          </cell>
          <cell r="V271">
            <v>3251878.8171330839</v>
          </cell>
          <cell r="W271">
            <v>8972456.6988463923</v>
          </cell>
          <cell r="X271">
            <v>21688624.868731029</v>
          </cell>
        </row>
        <row r="272">
          <cell r="T272">
            <v>1288209.2511992422</v>
          </cell>
          <cell r="U272">
            <v>1871470.1763191666</v>
          </cell>
          <cell r="V272">
            <v>3262883.1939510833</v>
          </cell>
          <cell r="W272">
            <v>9004581.5133461915</v>
          </cell>
          <cell r="X272">
            <v>21767817.164680809</v>
          </cell>
        </row>
        <row r="273">
          <cell r="T273">
            <v>1292097.1659248616</v>
          </cell>
          <cell r="U273">
            <v>1877426.8825173476</v>
          </cell>
          <cell r="V273">
            <v>3273887.5707690823</v>
          </cell>
          <cell r="W273">
            <v>9036706.3278459907</v>
          </cell>
          <cell r="X273">
            <v>21847009.460630588</v>
          </cell>
        </row>
        <row r="274">
          <cell r="T274">
            <v>1295985.0806504807</v>
          </cell>
          <cell r="U274">
            <v>1883383.5887155286</v>
          </cell>
          <cell r="V274">
            <v>3284891.9475870817</v>
          </cell>
          <cell r="W274">
            <v>9068831.1423457898</v>
          </cell>
          <cell r="X274">
            <v>21926201.756580368</v>
          </cell>
        </row>
        <row r="275">
          <cell r="T275">
            <v>1299872.9953760998</v>
          </cell>
          <cell r="U275">
            <v>1889340.2949137096</v>
          </cell>
          <cell r="V275">
            <v>3295896.3244050806</v>
          </cell>
          <cell r="W275">
            <v>9100955.956845589</v>
          </cell>
          <cell r="X275">
            <v>22005394.052530147</v>
          </cell>
        </row>
        <row r="276">
          <cell r="T276">
            <v>1303760.910101719</v>
          </cell>
          <cell r="U276">
            <v>1895297.0011118907</v>
          </cell>
          <cell r="V276">
            <v>3306900.70122308</v>
          </cell>
          <cell r="W276">
            <v>9133080.7713453881</v>
          </cell>
          <cell r="X276">
            <v>22084586.348479923</v>
          </cell>
        </row>
        <row r="277">
          <cell r="T277">
            <v>1307648.8248273381</v>
          </cell>
          <cell r="U277">
            <v>1901253.7073100717</v>
          </cell>
          <cell r="V277">
            <v>3317905.078041079</v>
          </cell>
          <cell r="W277">
            <v>9165205.5858451873</v>
          </cell>
          <cell r="X277">
            <v>22163778.644429702</v>
          </cell>
        </row>
        <row r="278">
          <cell r="T278">
            <v>1311536.7395529572</v>
          </cell>
          <cell r="U278">
            <v>1907210.4135082529</v>
          </cell>
          <cell r="V278">
            <v>3328909.4548590784</v>
          </cell>
          <cell r="W278">
            <v>9197330.4003449865</v>
          </cell>
          <cell r="X278">
            <v>22242970.940379482</v>
          </cell>
        </row>
        <row r="279">
          <cell r="T279">
            <v>1315424.6542785764</v>
          </cell>
          <cell r="U279">
            <v>1913167.119706434</v>
          </cell>
          <cell r="V279">
            <v>3339913.8316770773</v>
          </cell>
          <cell r="W279">
            <v>9229455.2148447856</v>
          </cell>
          <cell r="X279">
            <v>22322163.236329261</v>
          </cell>
        </row>
        <row r="280">
          <cell r="T280">
            <v>1319312.5690041955</v>
          </cell>
          <cell r="U280">
            <v>1919123.825904615</v>
          </cell>
          <cell r="V280">
            <v>3350918.2084950767</v>
          </cell>
          <cell r="W280">
            <v>9261580.0293445848</v>
          </cell>
          <cell r="X280">
            <v>22401355.532279041</v>
          </cell>
        </row>
        <row r="281">
          <cell r="T281">
            <v>1323200.4837298146</v>
          </cell>
          <cell r="U281">
            <v>1925080.532102796</v>
          </cell>
          <cell r="V281">
            <v>3361922.5853130757</v>
          </cell>
          <cell r="W281">
            <v>9293704.843844384</v>
          </cell>
          <cell r="X281">
            <v>22480547.82822882</v>
          </cell>
        </row>
        <row r="282">
          <cell r="T282">
            <v>1327088.3984554338</v>
          </cell>
          <cell r="U282">
            <v>1931037.238300977</v>
          </cell>
          <cell r="V282">
            <v>3372926.9621310751</v>
          </cell>
          <cell r="W282">
            <v>9325829.6583441831</v>
          </cell>
          <cell r="X282">
            <v>22559740.1241786</v>
          </cell>
        </row>
        <row r="283">
          <cell r="T283">
            <v>1330976.3131810529</v>
          </cell>
          <cell r="U283">
            <v>1936993.9444991581</v>
          </cell>
          <cell r="V283">
            <v>3383931.338949074</v>
          </cell>
          <cell r="W283">
            <v>9357954.4728439823</v>
          </cell>
          <cell r="X283">
            <v>22638932.420128379</v>
          </cell>
        </row>
        <row r="284">
          <cell r="T284">
            <v>1334864.2279066721</v>
          </cell>
          <cell r="U284">
            <v>1942950.6506973391</v>
          </cell>
          <cell r="V284">
            <v>3394935.715767073</v>
          </cell>
          <cell r="W284">
            <v>9390079.2873437814</v>
          </cell>
          <cell r="X284">
            <v>22718124.716078155</v>
          </cell>
        </row>
        <row r="285">
          <cell r="T285">
            <v>1338752.1426322912</v>
          </cell>
          <cell r="U285">
            <v>1948907.3568955201</v>
          </cell>
          <cell r="V285">
            <v>3405940.0925850724</v>
          </cell>
          <cell r="W285">
            <v>9422204.1018435806</v>
          </cell>
          <cell r="X285">
            <v>22797317.012027934</v>
          </cell>
        </row>
        <row r="286">
          <cell r="T286">
            <v>1342640.0573579101</v>
          </cell>
          <cell r="U286">
            <v>1954864.0630937011</v>
          </cell>
          <cell r="V286">
            <v>3416944.4694030713</v>
          </cell>
          <cell r="W286">
            <v>9454328.9163433798</v>
          </cell>
          <cell r="X286">
            <v>22876509.307977714</v>
          </cell>
        </row>
        <row r="287">
          <cell r="T287">
            <v>1346527.9720835295</v>
          </cell>
          <cell r="U287">
            <v>1960820.7692918822</v>
          </cell>
          <cell r="V287">
            <v>3427948.8462210707</v>
          </cell>
          <cell r="W287">
            <v>9486453.7308431789</v>
          </cell>
          <cell r="X287">
            <v>22955701.603927493</v>
          </cell>
        </row>
        <row r="288">
          <cell r="T288">
            <v>1350415.8868091484</v>
          </cell>
          <cell r="U288">
            <v>1966777.4754900634</v>
          </cell>
          <cell r="V288">
            <v>3438953.2230390697</v>
          </cell>
          <cell r="W288">
            <v>9518578.5453429781</v>
          </cell>
          <cell r="X288">
            <v>23034893.899877273</v>
          </cell>
        </row>
        <row r="289">
          <cell r="T289">
            <v>1354303.8015347675</v>
          </cell>
          <cell r="U289">
            <v>1972734.1816882445</v>
          </cell>
          <cell r="V289">
            <v>3449957.5998570691</v>
          </cell>
          <cell r="W289">
            <v>9550703.3598427773</v>
          </cell>
          <cell r="X289">
            <v>23114086.195827052</v>
          </cell>
        </row>
        <row r="290">
          <cell r="T290">
            <v>1358191.7162603866</v>
          </cell>
          <cell r="U290">
            <v>1978690.8878864255</v>
          </cell>
          <cell r="V290">
            <v>3460961.976675068</v>
          </cell>
          <cell r="W290">
            <v>9582828.1743425764</v>
          </cell>
          <cell r="X290">
            <v>23193278.491776831</v>
          </cell>
        </row>
        <row r="291">
          <cell r="T291">
            <v>1362079.6309860058</v>
          </cell>
          <cell r="U291">
            <v>1984647.5940846065</v>
          </cell>
          <cell r="V291">
            <v>3471966.3534930674</v>
          </cell>
          <cell r="W291">
            <v>9614952.9888423756</v>
          </cell>
          <cell r="X291">
            <v>23272470.787726611</v>
          </cell>
        </row>
        <row r="292">
          <cell r="T292">
            <v>1365967.5457116249</v>
          </cell>
          <cell r="U292">
            <v>1990604.3002827875</v>
          </cell>
          <cell r="V292">
            <v>3482970.7303110664</v>
          </cell>
          <cell r="W292">
            <v>9647077.8033421747</v>
          </cell>
          <cell r="X292">
            <v>23351663.08367639</v>
          </cell>
        </row>
        <row r="293">
          <cell r="T293">
            <v>1369855.460437244</v>
          </cell>
          <cell r="U293">
            <v>1996561.0064809686</v>
          </cell>
          <cell r="V293">
            <v>3493975.1071290653</v>
          </cell>
          <cell r="W293">
            <v>9679202.6178419739</v>
          </cell>
          <cell r="X293">
            <v>23430855.37962617</v>
          </cell>
        </row>
        <row r="294">
          <cell r="T294">
            <v>1373743.3751628632</v>
          </cell>
          <cell r="U294">
            <v>2002517.7126791496</v>
          </cell>
          <cell r="V294">
            <v>3504979.4839470647</v>
          </cell>
          <cell r="W294">
            <v>9711327.4323417731</v>
          </cell>
          <cell r="X294">
            <v>23510047.675575946</v>
          </cell>
        </row>
        <row r="295">
          <cell r="T295">
            <v>1377631.2898884823</v>
          </cell>
          <cell r="U295">
            <v>2008474.4188773306</v>
          </cell>
          <cell r="V295">
            <v>3515983.8607650637</v>
          </cell>
          <cell r="W295">
            <v>9743452.2468415722</v>
          </cell>
          <cell r="X295">
            <v>23589239.971525725</v>
          </cell>
        </row>
        <row r="296">
          <cell r="T296">
            <v>1381519.2046141014</v>
          </cell>
          <cell r="U296">
            <v>2014431.1250755116</v>
          </cell>
          <cell r="V296">
            <v>3526988.2375830631</v>
          </cell>
          <cell r="W296">
            <v>9775577.0613413714</v>
          </cell>
          <cell r="X296">
            <v>23668432.267475504</v>
          </cell>
        </row>
        <row r="297">
          <cell r="T297">
            <v>1385407.1193397206</v>
          </cell>
          <cell r="U297">
            <v>2020387.8312736927</v>
          </cell>
          <cell r="V297">
            <v>3537992.614401062</v>
          </cell>
          <cell r="W297">
            <v>9807701.8758411705</v>
          </cell>
          <cell r="X297">
            <v>23747624.563425284</v>
          </cell>
        </row>
        <row r="298">
          <cell r="T298">
            <v>1389295.0340653397</v>
          </cell>
          <cell r="U298">
            <v>2026344.5374718737</v>
          </cell>
          <cell r="V298">
            <v>3548996.9912190614</v>
          </cell>
          <cell r="W298">
            <v>9839826.6903409697</v>
          </cell>
          <cell r="X298">
            <v>23826816.859375063</v>
          </cell>
        </row>
        <row r="299">
          <cell r="T299">
            <v>1393182.9487909588</v>
          </cell>
          <cell r="U299">
            <v>2032301.2436700547</v>
          </cell>
          <cell r="V299">
            <v>3560001.3680370604</v>
          </cell>
          <cell r="W299">
            <v>9871951.5048407689</v>
          </cell>
          <cell r="X299">
            <v>23906009.155324843</v>
          </cell>
        </row>
        <row r="300">
          <cell r="T300">
            <v>1397070.863516578</v>
          </cell>
          <cell r="U300">
            <v>2038257.949868236</v>
          </cell>
          <cell r="V300">
            <v>3571005.7448550598</v>
          </cell>
          <cell r="W300">
            <v>9904076.3193405662</v>
          </cell>
          <cell r="X300">
            <v>23985201.451274622</v>
          </cell>
        </row>
        <row r="301">
          <cell r="T301">
            <v>1400958.7782421971</v>
          </cell>
          <cell r="U301">
            <v>2044214.656066417</v>
          </cell>
          <cell r="V301">
            <v>3582010.1216730587</v>
          </cell>
          <cell r="W301">
            <v>9936201.1338403653</v>
          </cell>
          <cell r="X301">
            <v>24064393.747224402</v>
          </cell>
        </row>
        <row r="302">
          <cell r="T302">
            <v>1404846.6929678163</v>
          </cell>
          <cell r="U302">
            <v>2050171.362264598</v>
          </cell>
          <cell r="V302">
            <v>3593014.4984910581</v>
          </cell>
          <cell r="W302">
            <v>9968325.9483401645</v>
          </cell>
          <cell r="X302">
            <v>24143586.043174177</v>
          </cell>
        </row>
        <row r="303">
          <cell r="T303">
            <v>1408734.6076934354</v>
          </cell>
          <cell r="U303">
            <v>2056128.068462779</v>
          </cell>
          <cell r="V303">
            <v>3604018.8753090571</v>
          </cell>
          <cell r="W303">
            <v>10000450.762839964</v>
          </cell>
          <cell r="X303">
            <v>24222778.339123957</v>
          </cell>
        </row>
        <row r="304">
          <cell r="T304">
            <v>1412622.5224190545</v>
          </cell>
          <cell r="U304">
            <v>2062084.7746609601</v>
          </cell>
          <cell r="V304">
            <v>3615023.2521270565</v>
          </cell>
          <cell r="W304">
            <v>10032575.577339763</v>
          </cell>
          <cell r="X304">
            <v>24301970.635073736</v>
          </cell>
        </row>
        <row r="305">
          <cell r="T305">
            <v>1416510.4371446737</v>
          </cell>
          <cell r="U305">
            <v>2068041.4808591411</v>
          </cell>
          <cell r="V305">
            <v>3626027.6289450554</v>
          </cell>
          <cell r="W305">
            <v>10064700.391839562</v>
          </cell>
          <cell r="X305">
            <v>24381162.931023516</v>
          </cell>
        </row>
        <row r="306">
          <cell r="T306">
            <v>1420398.3518702928</v>
          </cell>
          <cell r="U306">
            <v>2073998.1870573221</v>
          </cell>
          <cell r="V306">
            <v>3637032.0057630544</v>
          </cell>
          <cell r="W306">
            <v>10096825.206339361</v>
          </cell>
          <cell r="X306">
            <v>24460355.226973295</v>
          </cell>
        </row>
        <row r="307">
          <cell r="T307">
            <v>1424286.2665959122</v>
          </cell>
          <cell r="U307">
            <v>2079954.8932555031</v>
          </cell>
          <cell r="V307">
            <v>3648036.3825810538</v>
          </cell>
          <cell r="W307">
            <v>10128950.02083916</v>
          </cell>
          <cell r="X307">
            <v>24539547.522923075</v>
          </cell>
        </row>
        <row r="308">
          <cell r="T308">
            <v>1428174.1813215311</v>
          </cell>
          <cell r="U308">
            <v>2085911.5994536842</v>
          </cell>
          <cell r="V308">
            <v>3659040.7593990527</v>
          </cell>
          <cell r="W308">
            <v>10161074.835338959</v>
          </cell>
          <cell r="X308">
            <v>24618739.818872854</v>
          </cell>
        </row>
        <row r="309">
          <cell r="T309">
            <v>1432062.0960471504</v>
          </cell>
          <cell r="U309">
            <v>2091868.3056518652</v>
          </cell>
          <cell r="V309">
            <v>3670045.1362170521</v>
          </cell>
          <cell r="W309">
            <v>10193199.649838759</v>
          </cell>
          <cell r="X309">
            <v>24697932.114822634</v>
          </cell>
        </row>
        <row r="310">
          <cell r="T310">
            <v>1435950.0107727696</v>
          </cell>
          <cell r="U310">
            <v>2097825.0118500465</v>
          </cell>
          <cell r="V310">
            <v>3681049.5130350511</v>
          </cell>
          <cell r="W310">
            <v>10225324.464338558</v>
          </cell>
          <cell r="X310">
            <v>24777124.410772413</v>
          </cell>
        </row>
        <row r="311">
          <cell r="T311">
            <v>1439837.9254983887</v>
          </cell>
          <cell r="U311">
            <v>2103781.7180482275</v>
          </cell>
          <cell r="V311">
            <v>3692053.8898530505</v>
          </cell>
          <cell r="W311">
            <v>10257449.278838357</v>
          </cell>
          <cell r="X311">
            <v>24856316.706722189</v>
          </cell>
        </row>
        <row r="312">
          <cell r="T312">
            <v>1443725.8402240078</v>
          </cell>
          <cell r="U312">
            <v>2109738.4242464085</v>
          </cell>
          <cell r="V312">
            <v>3703058.2666710494</v>
          </cell>
          <cell r="W312">
            <v>10289574.093338156</v>
          </cell>
          <cell r="X312">
            <v>24935509.002671968</v>
          </cell>
        </row>
        <row r="313">
          <cell r="T313">
            <v>1447613.754949627</v>
          </cell>
          <cell r="U313">
            <v>2115695.1304445895</v>
          </cell>
          <cell r="V313">
            <v>3714062.6434890488</v>
          </cell>
          <cell r="W313">
            <v>10321698.907837955</v>
          </cell>
          <cell r="X313">
            <v>25014701.298621748</v>
          </cell>
        </row>
        <row r="314">
          <cell r="T314">
            <v>1451501.6696752461</v>
          </cell>
          <cell r="U314">
            <v>2121651.8366427706</v>
          </cell>
          <cell r="V314">
            <v>3725067.0203070478</v>
          </cell>
          <cell r="W314">
            <v>10353823.722337754</v>
          </cell>
          <cell r="X314">
            <v>25093893.594571527</v>
          </cell>
        </row>
        <row r="315">
          <cell r="T315">
            <v>1455389.5844008652</v>
          </cell>
          <cell r="U315">
            <v>2127608.5428409516</v>
          </cell>
          <cell r="V315">
            <v>3736071.3971250472</v>
          </cell>
          <cell r="W315">
            <v>10385948.536837554</v>
          </cell>
          <cell r="X315">
            <v>25173085.890521307</v>
          </cell>
        </row>
        <row r="316">
          <cell r="T316">
            <v>1459277.4991264844</v>
          </cell>
          <cell r="U316">
            <v>2133565.2490391326</v>
          </cell>
          <cell r="V316">
            <v>3747075.7739430461</v>
          </cell>
          <cell r="W316">
            <v>10418073.351337353</v>
          </cell>
          <cell r="X316">
            <v>25252278.186471086</v>
          </cell>
        </row>
        <row r="317">
          <cell r="T317">
            <v>1463165.4138521035</v>
          </cell>
          <cell r="U317">
            <v>2139521.9552373136</v>
          </cell>
          <cell r="V317">
            <v>3758080.1507610455</v>
          </cell>
          <cell r="W317">
            <v>10450198.165837152</v>
          </cell>
          <cell r="X317">
            <v>25331470.482420865</v>
          </cell>
        </row>
        <row r="318">
          <cell r="T318">
            <v>1467053.3285777227</v>
          </cell>
          <cell r="U318">
            <v>2145478.6614354947</v>
          </cell>
          <cell r="V318">
            <v>3769084.5275790445</v>
          </cell>
          <cell r="W318">
            <v>10482322.980336951</v>
          </cell>
          <cell r="X318">
            <v>25410662.778370641</v>
          </cell>
        </row>
        <row r="319">
          <cell r="T319">
            <v>1470941.2433033418</v>
          </cell>
          <cell r="U319">
            <v>2151435.3676336757</v>
          </cell>
          <cell r="V319">
            <v>3780088.9043970439</v>
          </cell>
          <cell r="W319">
            <v>10514447.794836748</v>
          </cell>
          <cell r="X319">
            <v>25489855.074320421</v>
          </cell>
        </row>
        <row r="320">
          <cell r="T320">
            <v>1474829.1580289609</v>
          </cell>
          <cell r="U320">
            <v>2157392.0738318567</v>
          </cell>
          <cell r="V320">
            <v>3791093.2812150428</v>
          </cell>
          <cell r="W320">
            <v>10546572.609336548</v>
          </cell>
          <cell r="X320">
            <v>25569047.3702702</v>
          </cell>
        </row>
        <row r="321">
          <cell r="T321">
            <v>1478717.0727545801</v>
          </cell>
          <cell r="U321">
            <v>2163348.7800300377</v>
          </cell>
          <cell r="V321">
            <v>3802097.6580330422</v>
          </cell>
          <cell r="W321">
            <v>10578697.423836347</v>
          </cell>
          <cell r="X321">
            <v>25648239.66621998</v>
          </cell>
        </row>
        <row r="322">
          <cell r="T322">
            <v>1482604.9874801992</v>
          </cell>
          <cell r="U322">
            <v>2169305.4862282188</v>
          </cell>
          <cell r="V322">
            <v>3813102.0348510412</v>
          </cell>
          <cell r="W322">
            <v>10610822.238336146</v>
          </cell>
          <cell r="X322">
            <v>25727431.962169759</v>
          </cell>
        </row>
        <row r="323">
          <cell r="T323">
            <v>1486492.9022058183</v>
          </cell>
          <cell r="U323">
            <v>2175262.1924263998</v>
          </cell>
          <cell r="V323">
            <v>3824106.4116690401</v>
          </cell>
          <cell r="W323">
            <v>10642947.052835945</v>
          </cell>
          <cell r="X323">
            <v>25806624.258119538</v>
          </cell>
        </row>
        <row r="324">
          <cell r="T324">
            <v>1490380.8169314375</v>
          </cell>
          <cell r="U324">
            <v>2181218.8986245808</v>
          </cell>
          <cell r="V324">
            <v>3835110.7884870395</v>
          </cell>
          <cell r="W324">
            <v>10675071.867335744</v>
          </cell>
          <cell r="X324">
            <v>25885816.554069318</v>
          </cell>
        </row>
        <row r="325">
          <cell r="T325">
            <v>1494268.7316570566</v>
          </cell>
          <cell r="U325">
            <v>2187175.6048227618</v>
          </cell>
          <cell r="V325">
            <v>3846115.1653050384</v>
          </cell>
          <cell r="W325">
            <v>10707196.681835543</v>
          </cell>
          <cell r="X325">
            <v>25965008.850019094</v>
          </cell>
        </row>
        <row r="326">
          <cell r="T326">
            <v>1498156.6463826757</v>
          </cell>
          <cell r="U326">
            <v>2193132.3110209429</v>
          </cell>
          <cell r="V326">
            <v>3857119.5421230379</v>
          </cell>
          <cell r="W326">
            <v>10739321.496335343</v>
          </cell>
          <cell r="X326">
            <v>26044201.145968873</v>
          </cell>
        </row>
        <row r="327">
          <cell r="T327">
            <v>1502044.5611082949</v>
          </cell>
          <cell r="U327">
            <v>2199089.0172191239</v>
          </cell>
          <cell r="V327">
            <v>3868123.9189410368</v>
          </cell>
          <cell r="W327">
            <v>10771446.310835142</v>
          </cell>
          <cell r="X327">
            <v>26123393.441918653</v>
          </cell>
        </row>
        <row r="328">
          <cell r="T328">
            <v>1505932.475833914</v>
          </cell>
          <cell r="U328">
            <v>2205045.7234173049</v>
          </cell>
          <cell r="V328">
            <v>3879128.2957590362</v>
          </cell>
          <cell r="W328">
            <v>10803571.125334941</v>
          </cell>
          <cell r="X328">
            <v>26202585.737868432</v>
          </cell>
        </row>
        <row r="329">
          <cell r="T329">
            <v>1509820.3905595331</v>
          </cell>
          <cell r="U329">
            <v>2211002.4296154864</v>
          </cell>
          <cell r="V329">
            <v>3890132.6725770351</v>
          </cell>
          <cell r="W329">
            <v>10835695.93983474</v>
          </cell>
          <cell r="X329">
            <v>26281778.033818211</v>
          </cell>
        </row>
        <row r="330">
          <cell r="T330">
            <v>1513708.3052851523</v>
          </cell>
          <cell r="U330">
            <v>2216959.1358136674</v>
          </cell>
          <cell r="V330">
            <v>3901137.0493950346</v>
          </cell>
          <cell r="W330">
            <v>10867820.754334539</v>
          </cell>
          <cell r="X330">
            <v>26360970.329767991</v>
          </cell>
        </row>
        <row r="331">
          <cell r="T331">
            <v>1517596.2200107714</v>
          </cell>
          <cell r="U331">
            <v>2222915.8420118485</v>
          </cell>
          <cell r="V331">
            <v>3912141.4262130335</v>
          </cell>
          <cell r="W331">
            <v>10899945.568834338</v>
          </cell>
          <cell r="X331">
            <v>26440162.625717767</v>
          </cell>
        </row>
        <row r="332">
          <cell r="T332">
            <v>1521484.1347363906</v>
          </cell>
          <cell r="U332">
            <v>2228872.5482100295</v>
          </cell>
          <cell r="V332">
            <v>3923145.8030310329</v>
          </cell>
          <cell r="W332">
            <v>10932070.383334137</v>
          </cell>
          <cell r="X332">
            <v>26519354.921667546</v>
          </cell>
        </row>
        <row r="333">
          <cell r="T333">
            <v>1525372.0494620097</v>
          </cell>
          <cell r="U333">
            <v>2234829.2544082105</v>
          </cell>
          <cell r="V333">
            <v>3934150.1798490318</v>
          </cell>
          <cell r="W333">
            <v>10964195.197833937</v>
          </cell>
          <cell r="X333">
            <v>26598547.217617325</v>
          </cell>
        </row>
        <row r="334">
          <cell r="T334">
            <v>1529259.9641876288</v>
          </cell>
          <cell r="U334">
            <v>2240785.9606063915</v>
          </cell>
          <cell r="V334">
            <v>3945154.5566670313</v>
          </cell>
          <cell r="W334">
            <v>10996320.012333736</v>
          </cell>
          <cell r="X334">
            <v>26677739.513567105</v>
          </cell>
        </row>
        <row r="335">
          <cell r="T335">
            <v>1533147.878913248</v>
          </cell>
          <cell r="U335">
            <v>2246742.6668045726</v>
          </cell>
          <cell r="V335">
            <v>3956158.9334850302</v>
          </cell>
          <cell r="W335">
            <v>11028444.826833533</v>
          </cell>
          <cell r="X335">
            <v>26756931.809516884</v>
          </cell>
        </row>
        <row r="336">
          <cell r="T336">
            <v>1537035.7936388671</v>
          </cell>
          <cell r="U336">
            <v>2252699.3730027536</v>
          </cell>
          <cell r="V336">
            <v>3967163.3103030296</v>
          </cell>
          <cell r="W336">
            <v>11060569.641333332</v>
          </cell>
          <cell r="X336">
            <v>26836124.105466664</v>
          </cell>
        </row>
        <row r="337">
          <cell r="T337">
            <v>1540923.7083644862</v>
          </cell>
          <cell r="U337">
            <v>2258656.0792009346</v>
          </cell>
          <cell r="V337">
            <v>3978167.6871210285</v>
          </cell>
          <cell r="W337">
            <v>11092694.455833131</v>
          </cell>
          <cell r="X337">
            <v>26915316.40141644</v>
          </cell>
        </row>
        <row r="338">
          <cell r="T338">
            <v>1544811.6230901054</v>
          </cell>
          <cell r="U338">
            <v>2264612.7853991156</v>
          </cell>
          <cell r="V338">
            <v>3989172.063939028</v>
          </cell>
          <cell r="W338">
            <v>11124819.270332931</v>
          </cell>
          <cell r="X338">
            <v>26994508.697366219</v>
          </cell>
        </row>
        <row r="339">
          <cell r="T339">
            <v>1548699.5378157245</v>
          </cell>
          <cell r="U339">
            <v>2270569.4915972967</v>
          </cell>
          <cell r="V339">
            <v>4000176.4407570269</v>
          </cell>
          <cell r="W339">
            <v>11156944.08483273</v>
          </cell>
          <cell r="X339">
            <v>27073699.263363283</v>
          </cell>
        </row>
        <row r="340">
          <cell r="T340">
            <v>1552584.3384676364</v>
          </cell>
          <cell r="U340">
            <v>2276526.1977954777</v>
          </cell>
          <cell r="V340">
            <v>4011180.8175750263</v>
          </cell>
          <cell r="W340">
            <v>11189068.899332529</v>
          </cell>
          <cell r="X340">
            <v>27152881.147005476</v>
          </cell>
        </row>
        <row r="341">
          <cell r="T341">
            <v>1556457.134484218</v>
          </cell>
          <cell r="U341">
            <v>2282482.9039936587</v>
          </cell>
          <cell r="V341">
            <v>4022185.1943930252</v>
          </cell>
          <cell r="W341">
            <v>11221193.713832328</v>
          </cell>
          <cell r="X341">
            <v>27232063.030647673</v>
          </cell>
        </row>
        <row r="342">
          <cell r="T342">
            <v>1560329.9305007996</v>
          </cell>
          <cell r="U342">
            <v>2288439.6101918397</v>
          </cell>
          <cell r="V342">
            <v>4033189.5712110247</v>
          </cell>
          <cell r="W342">
            <v>11253318.528332127</v>
          </cell>
          <cell r="X342">
            <v>27311244.914289866</v>
          </cell>
        </row>
        <row r="343">
          <cell r="T343">
            <v>1564202.7265173811</v>
          </cell>
          <cell r="U343">
            <v>2294396.3163900208</v>
          </cell>
          <cell r="V343">
            <v>4044193.9480290236</v>
          </cell>
          <cell r="W343">
            <v>11285443.342831926</v>
          </cell>
          <cell r="X343">
            <v>27390426.797932062</v>
          </cell>
        </row>
        <row r="344">
          <cell r="T344">
            <v>1568075.5225339627</v>
          </cell>
          <cell r="U344">
            <v>2300353.0225882018</v>
          </cell>
          <cell r="V344">
            <v>4055198.324847023</v>
          </cell>
          <cell r="W344">
            <v>11317568.157331726</v>
          </cell>
          <cell r="X344">
            <v>27469608.681574255</v>
          </cell>
        </row>
        <row r="345">
          <cell r="T345">
            <v>1571948.3185505446</v>
          </cell>
          <cell r="U345">
            <v>2306309.7287863828</v>
          </cell>
          <cell r="V345">
            <v>4066202.7016650219</v>
          </cell>
          <cell r="W345">
            <v>11349692.971831525</v>
          </cell>
          <cell r="X345">
            <v>27548790.565216452</v>
          </cell>
        </row>
        <row r="346">
          <cell r="T346">
            <v>1575821.1145671261</v>
          </cell>
          <cell r="U346">
            <v>2312266.4349845638</v>
          </cell>
          <cell r="V346">
            <v>4077207.0784830214</v>
          </cell>
          <cell r="W346">
            <v>11381817.786331324</v>
          </cell>
          <cell r="X346">
            <v>27627972.448858645</v>
          </cell>
        </row>
        <row r="347">
          <cell r="T347">
            <v>1579693.9105837077</v>
          </cell>
          <cell r="U347">
            <v>2318223.1411827449</v>
          </cell>
          <cell r="V347">
            <v>4088211.4553010203</v>
          </cell>
          <cell r="W347">
            <v>11413942.600831123</v>
          </cell>
          <cell r="X347">
            <v>27707154.332500841</v>
          </cell>
        </row>
        <row r="348">
          <cell r="T348">
            <v>1583566.7066002893</v>
          </cell>
          <cell r="U348">
            <v>2324179.8473809259</v>
          </cell>
          <cell r="V348">
            <v>4099215.8321190197</v>
          </cell>
          <cell r="W348">
            <v>11446067.415330922</v>
          </cell>
          <cell r="X348">
            <v>27786336.216143034</v>
          </cell>
        </row>
        <row r="349">
          <cell r="T349">
            <v>1587439.5026168709</v>
          </cell>
          <cell r="U349">
            <v>2330136.5535791074</v>
          </cell>
          <cell r="V349">
            <v>4110220.2089370186</v>
          </cell>
          <cell r="W349">
            <v>11478192.229830721</v>
          </cell>
          <cell r="X349">
            <v>27865518.099785231</v>
          </cell>
        </row>
        <row r="350">
          <cell r="T350">
            <v>1591312.2986334525</v>
          </cell>
          <cell r="U350">
            <v>2336093.2597772884</v>
          </cell>
          <cell r="V350">
            <v>4121224.5857550181</v>
          </cell>
          <cell r="W350">
            <v>11510317.044330521</v>
          </cell>
          <cell r="X350">
            <v>27944699.983427424</v>
          </cell>
        </row>
        <row r="351">
          <cell r="T351">
            <v>1595185.0946500343</v>
          </cell>
          <cell r="U351">
            <v>2342049.9659754694</v>
          </cell>
          <cell r="V351">
            <v>4132228.962573017</v>
          </cell>
          <cell r="W351">
            <v>11542441.85883032</v>
          </cell>
          <cell r="X351">
            <v>28023881.867069621</v>
          </cell>
        </row>
        <row r="352">
          <cell r="T352">
            <v>1599057.8906666159</v>
          </cell>
          <cell r="U352">
            <v>2348006.6721736505</v>
          </cell>
          <cell r="V352">
            <v>4143233.3393910164</v>
          </cell>
          <cell r="W352">
            <v>11574566.673330119</v>
          </cell>
          <cell r="X352">
            <v>28103063.750711814</v>
          </cell>
        </row>
        <row r="353">
          <cell r="T353">
            <v>1602930.6866831975</v>
          </cell>
          <cell r="U353">
            <v>2353963.3783718315</v>
          </cell>
          <cell r="V353">
            <v>4154237.7162090153</v>
          </cell>
          <cell r="W353">
            <v>11606691.487829918</v>
          </cell>
          <cell r="X353">
            <v>28182245.63435401</v>
          </cell>
        </row>
        <row r="354">
          <cell r="T354">
            <v>1606803.4826997791</v>
          </cell>
          <cell r="U354">
            <v>2359920.0845700125</v>
          </cell>
          <cell r="V354">
            <v>4165242.0930270143</v>
          </cell>
          <cell r="W354">
            <v>11638816.302329717</v>
          </cell>
          <cell r="X354">
            <v>28261427.517996203</v>
          </cell>
        </row>
        <row r="355">
          <cell r="T355">
            <v>1610676.2787163607</v>
          </cell>
          <cell r="U355">
            <v>2365876.7907681935</v>
          </cell>
          <cell r="V355">
            <v>4176246.4698450137</v>
          </cell>
          <cell r="W355">
            <v>11670941.116829516</v>
          </cell>
          <cell r="X355">
            <v>28340609.4016384</v>
          </cell>
        </row>
        <row r="356">
          <cell r="T356">
            <v>1614549.0747329423</v>
          </cell>
          <cell r="U356">
            <v>2371833.4969663746</v>
          </cell>
          <cell r="V356">
            <v>4187250.8466630131</v>
          </cell>
          <cell r="W356">
            <v>11703065.931329316</v>
          </cell>
          <cell r="X356">
            <v>28419791.285280593</v>
          </cell>
        </row>
        <row r="357">
          <cell r="T357">
            <v>1618421.8707495241</v>
          </cell>
          <cell r="U357">
            <v>2377790.2031645556</v>
          </cell>
          <cell r="V357">
            <v>4198255.2234810125</v>
          </cell>
          <cell r="W357">
            <v>11735190.745829113</v>
          </cell>
          <cell r="X357">
            <v>28498973.168922789</v>
          </cell>
        </row>
        <row r="358">
          <cell r="T358">
            <v>1622294.6667661057</v>
          </cell>
          <cell r="U358">
            <v>2383746.9093627366</v>
          </cell>
          <cell r="V358">
            <v>4208975.6234510429</v>
          </cell>
          <cell r="W358">
            <v>11767315.560328912</v>
          </cell>
          <cell r="X358">
            <v>28578155.052564986</v>
          </cell>
        </row>
        <row r="359">
          <cell r="T359">
            <v>1626167.4627826873</v>
          </cell>
          <cell r="U359">
            <v>2389703.6155609176</v>
          </cell>
          <cell r="V359">
            <v>4219656.1954252925</v>
          </cell>
          <cell r="W359">
            <v>11799206.97581517</v>
          </cell>
          <cell r="X359">
            <v>28657336.936207179</v>
          </cell>
        </row>
        <row r="360">
          <cell r="T360">
            <v>1630040.2587992689</v>
          </cell>
          <cell r="U360">
            <v>2395660.3217590987</v>
          </cell>
          <cell r="V360">
            <v>4230336.767399542</v>
          </cell>
          <cell r="W360">
            <v>11830947.585209705</v>
          </cell>
          <cell r="X360">
            <v>28736518.819849376</v>
          </cell>
        </row>
        <row r="361">
          <cell r="T361">
            <v>1633913.0548158505</v>
          </cell>
          <cell r="U361">
            <v>2401617.0279572797</v>
          </cell>
          <cell r="V361">
            <v>4241017.3393737916</v>
          </cell>
          <cell r="W361">
            <v>11862688.194604242</v>
          </cell>
          <cell r="X361">
            <v>28815700.703491569</v>
          </cell>
        </row>
        <row r="362">
          <cell r="T362">
            <v>1637785.850832432</v>
          </cell>
          <cell r="U362">
            <v>2407313.9784725667</v>
          </cell>
          <cell r="V362">
            <v>4251697.9113480402</v>
          </cell>
          <cell r="W362">
            <v>11894428.80399878</v>
          </cell>
          <cell r="X362">
            <v>28894882.587133765</v>
          </cell>
        </row>
        <row r="363">
          <cell r="T363">
            <v>1641658.6468490139</v>
          </cell>
          <cell r="U363">
            <v>2412907.6343546393</v>
          </cell>
          <cell r="V363">
            <v>4262378.4833222898</v>
          </cell>
          <cell r="W363">
            <v>11926169.413393315</v>
          </cell>
          <cell r="X363">
            <v>28974064.470775958</v>
          </cell>
        </row>
        <row r="364">
          <cell r="T364">
            <v>1645531.4428655955</v>
          </cell>
          <cell r="U364">
            <v>2418501.2902367124</v>
          </cell>
          <cell r="V364">
            <v>4273059.0552965393</v>
          </cell>
          <cell r="W364">
            <v>11957910.022787852</v>
          </cell>
          <cell r="X364">
            <v>29052991.710573517</v>
          </cell>
        </row>
        <row r="365">
          <cell r="T365">
            <v>1649079.5198663634</v>
          </cell>
          <cell r="U365">
            <v>2424094.9461187851</v>
          </cell>
          <cell r="V365">
            <v>4283739.6272707889</v>
          </cell>
          <cell r="W365">
            <v>11989650.632182389</v>
          </cell>
          <cell r="X365">
            <v>29131667.325036339</v>
          </cell>
        </row>
        <row r="366">
          <cell r="T366">
            <v>1652614.5341842531</v>
          </cell>
          <cell r="U366">
            <v>2429688.6020008582</v>
          </cell>
          <cell r="V366">
            <v>4294420.1992450384</v>
          </cell>
          <cell r="W366">
            <v>12021391.241576927</v>
          </cell>
          <cell r="X366">
            <v>29210342.939499162</v>
          </cell>
        </row>
        <row r="367">
          <cell r="T367">
            <v>1656149.548502143</v>
          </cell>
          <cell r="U367">
            <v>2435282.2578829308</v>
          </cell>
          <cell r="V367">
            <v>4305100.771219288</v>
          </cell>
          <cell r="W367">
            <v>12053131.850971462</v>
          </cell>
          <cell r="X367">
            <v>29289018.553961985</v>
          </cell>
        </row>
        <row r="368">
          <cell r="T368">
            <v>1659684.5628200327</v>
          </cell>
          <cell r="U368">
            <v>2440875.9137650039</v>
          </cell>
          <cell r="V368">
            <v>4315781.3431935376</v>
          </cell>
          <cell r="W368">
            <v>12084872.460365999</v>
          </cell>
          <cell r="X368">
            <v>29367694.168424807</v>
          </cell>
        </row>
        <row r="369">
          <cell r="T369">
            <v>1663219.5771379226</v>
          </cell>
          <cell r="U369">
            <v>2446469.5696470765</v>
          </cell>
          <cell r="V369">
            <v>4326461.9151677871</v>
          </cell>
          <cell r="W369">
            <v>12116613.069760537</v>
          </cell>
          <cell r="X369">
            <v>29446369.78288763</v>
          </cell>
        </row>
        <row r="370">
          <cell r="T370">
            <v>1666754.5914558123</v>
          </cell>
          <cell r="U370">
            <v>2452063.2255291492</v>
          </cell>
          <cell r="V370">
            <v>4337142.4871420367</v>
          </cell>
          <cell r="W370">
            <v>12148353.679155072</v>
          </cell>
          <cell r="X370">
            <v>29525045.397350453</v>
          </cell>
        </row>
        <row r="371">
          <cell r="T371">
            <v>1670289.6057737023</v>
          </cell>
          <cell r="U371">
            <v>2457656.8814112223</v>
          </cell>
          <cell r="V371">
            <v>4347823.0591162862</v>
          </cell>
          <cell r="W371">
            <v>12180094.288549609</v>
          </cell>
          <cell r="X371">
            <v>29603721.011813276</v>
          </cell>
        </row>
        <row r="372">
          <cell r="T372">
            <v>1673824.6200915922</v>
          </cell>
          <cell r="U372">
            <v>2463250.5372932949</v>
          </cell>
          <cell r="V372">
            <v>4358503.6310905358</v>
          </cell>
          <cell r="W372">
            <v>12211834.897944147</v>
          </cell>
          <cell r="X372">
            <v>29682396.626276098</v>
          </cell>
        </row>
        <row r="373">
          <cell r="T373">
            <v>1677359.6344094819</v>
          </cell>
          <cell r="U373">
            <v>2468844.193175368</v>
          </cell>
          <cell r="V373">
            <v>4369184.2030647853</v>
          </cell>
          <cell r="W373">
            <v>12243575.507338684</v>
          </cell>
          <cell r="X373">
            <v>29761072.240738921</v>
          </cell>
        </row>
        <row r="374">
          <cell r="T374">
            <v>1680894.6487273718</v>
          </cell>
          <cell r="U374">
            <v>2474437.8490574406</v>
          </cell>
          <cell r="V374">
            <v>4379864.7750390349</v>
          </cell>
          <cell r="W374">
            <v>12275316.116733219</v>
          </cell>
          <cell r="X374">
            <v>29839747.855201744</v>
          </cell>
        </row>
        <row r="375">
          <cell r="T375">
            <v>1684429.6630452615</v>
          </cell>
          <cell r="U375">
            <v>2480031.5049395133</v>
          </cell>
          <cell r="V375">
            <v>4390545.3470132835</v>
          </cell>
          <cell r="W375">
            <v>12307056.726127757</v>
          </cell>
          <cell r="X375">
            <v>29918423.469664566</v>
          </cell>
        </row>
        <row r="376">
          <cell r="T376">
            <v>1687964.6773631515</v>
          </cell>
          <cell r="U376">
            <v>2485625.1608215864</v>
          </cell>
          <cell r="V376">
            <v>4401225.9189875331</v>
          </cell>
          <cell r="W376">
            <v>12338797.335522294</v>
          </cell>
          <cell r="X376">
            <v>29997099.084127389</v>
          </cell>
        </row>
        <row r="377">
          <cell r="T377">
            <v>1691499.6916810411</v>
          </cell>
          <cell r="U377">
            <v>2491218.816703659</v>
          </cell>
          <cell r="V377">
            <v>4411906.4909617826</v>
          </cell>
          <cell r="W377">
            <v>12370537.944916829</v>
          </cell>
          <cell r="X377">
            <v>30075774.698590212</v>
          </cell>
        </row>
        <row r="378">
          <cell r="T378">
            <v>1695034.7059989311</v>
          </cell>
          <cell r="U378">
            <v>2496812.4725857321</v>
          </cell>
          <cell r="V378">
            <v>4422587.0629360322</v>
          </cell>
          <cell r="W378">
            <v>12402278.554311367</v>
          </cell>
          <cell r="X378">
            <v>30154450.313053031</v>
          </cell>
        </row>
        <row r="379">
          <cell r="T379">
            <v>1698569.7203168208</v>
          </cell>
          <cell r="U379">
            <v>2502406.1284678048</v>
          </cell>
          <cell r="V379">
            <v>4433267.6349102817</v>
          </cell>
          <cell r="W379">
            <v>12434019.163705904</v>
          </cell>
          <cell r="X379">
            <v>30233125.927515853</v>
          </cell>
        </row>
        <row r="380">
          <cell r="T380">
            <v>1702104.7346347107</v>
          </cell>
          <cell r="U380">
            <v>2507999.7843498774</v>
          </cell>
          <cell r="V380">
            <v>4443948.2068845313</v>
          </cell>
          <cell r="W380">
            <v>12465759.773100439</v>
          </cell>
          <cell r="X380">
            <v>30311801.541978676</v>
          </cell>
        </row>
        <row r="381">
          <cell r="T381">
            <v>1705639.7489526006</v>
          </cell>
          <cell r="U381">
            <v>2513593.4402319505</v>
          </cell>
          <cell r="V381">
            <v>4454628.7788587809</v>
          </cell>
          <cell r="W381">
            <v>12497500.382494977</v>
          </cell>
          <cell r="X381">
            <v>30390477.156441499</v>
          </cell>
        </row>
        <row r="382">
          <cell r="T382">
            <v>1709174.7632704903</v>
          </cell>
          <cell r="U382">
            <v>2519187.0961140231</v>
          </cell>
          <cell r="V382">
            <v>4465251.4635572936</v>
          </cell>
          <cell r="W382">
            <v>12529240.991889514</v>
          </cell>
          <cell r="X382">
            <v>30469152.770904321</v>
          </cell>
        </row>
        <row r="383">
          <cell r="T383">
            <v>1712709.7775883803</v>
          </cell>
          <cell r="U383">
            <v>2524780.7519960962</v>
          </cell>
          <cell r="V383">
            <v>4475828.8308819402</v>
          </cell>
          <cell r="W383">
            <v>12560981.601284051</v>
          </cell>
          <cell r="X383">
            <v>30547828.385367144</v>
          </cell>
        </row>
        <row r="384">
          <cell r="T384">
            <v>1716244.79190627</v>
          </cell>
          <cell r="U384">
            <v>2530374.4078781689</v>
          </cell>
          <cell r="V384">
            <v>4486406.1982065868</v>
          </cell>
          <cell r="W384">
            <v>12592696.818027247</v>
          </cell>
          <cell r="X384">
            <v>30626503.999829967</v>
          </cell>
        </row>
        <row r="385">
          <cell r="T385">
            <v>1719779.8062241599</v>
          </cell>
          <cell r="U385">
            <v>2535968.0637602415</v>
          </cell>
          <cell r="V385">
            <v>4496983.5655312343</v>
          </cell>
          <cell r="W385">
            <v>12624351.922084358</v>
          </cell>
          <cell r="X385">
            <v>30705179.614292789</v>
          </cell>
        </row>
        <row r="386">
          <cell r="T386">
            <v>1723314.8205420496</v>
          </cell>
          <cell r="U386">
            <v>2541561.7196423146</v>
          </cell>
          <cell r="V386">
            <v>4507560.9328558808</v>
          </cell>
          <cell r="W386">
            <v>12656007.026141468</v>
          </cell>
          <cell r="X386">
            <v>30783855.228755612</v>
          </cell>
        </row>
        <row r="387">
          <cell r="T387">
            <v>1726849.8348599395</v>
          </cell>
          <cell r="U387">
            <v>2547155.3755243872</v>
          </cell>
          <cell r="V387">
            <v>4518138.3001805274</v>
          </cell>
          <cell r="W387">
            <v>12687662.130198581</v>
          </cell>
          <cell r="X387">
            <v>30862530.843218435</v>
          </cell>
        </row>
        <row r="388">
          <cell r="T388">
            <v>1730384.8491778295</v>
          </cell>
          <cell r="U388">
            <v>2552743.3340956126</v>
          </cell>
          <cell r="V388">
            <v>4528715.6675051739</v>
          </cell>
          <cell r="W388">
            <v>12719317.234255692</v>
          </cell>
          <cell r="X388">
            <v>30941206.457681257</v>
          </cell>
        </row>
        <row r="389">
          <cell r="T389">
            <v>1733919.8634957192</v>
          </cell>
          <cell r="U389">
            <v>2558311.8498452911</v>
          </cell>
          <cell r="V389">
            <v>4539293.0348298205</v>
          </cell>
          <cell r="W389">
            <v>12750972.338312803</v>
          </cell>
          <cell r="X389">
            <v>31019882.07214408</v>
          </cell>
        </row>
        <row r="390">
          <cell r="T390">
            <v>1737454.8778136091</v>
          </cell>
          <cell r="U390">
            <v>2563880.3655949701</v>
          </cell>
          <cell r="V390">
            <v>4549870.4021544671</v>
          </cell>
          <cell r="W390">
            <v>12782627.442369914</v>
          </cell>
          <cell r="X390">
            <v>31098557.686606903</v>
          </cell>
        </row>
        <row r="391">
          <cell r="T391">
            <v>1740989.8921314988</v>
          </cell>
          <cell r="U391">
            <v>2569448.881344649</v>
          </cell>
          <cell r="V391">
            <v>4560447.7694791136</v>
          </cell>
          <cell r="W391">
            <v>12814282.546427026</v>
          </cell>
          <cell r="X391">
            <v>31177233.301069725</v>
          </cell>
        </row>
        <row r="392">
          <cell r="T392">
            <v>1744524.9064493887</v>
          </cell>
          <cell r="U392">
            <v>2575017.397094328</v>
          </cell>
          <cell r="V392">
            <v>4571025.1368037602</v>
          </cell>
          <cell r="W392">
            <v>12845937.650484137</v>
          </cell>
          <cell r="X392">
            <v>31255908.915532548</v>
          </cell>
        </row>
        <row r="393">
          <cell r="T393">
            <v>1748059.9207672784</v>
          </cell>
          <cell r="U393">
            <v>2580585.9128440064</v>
          </cell>
          <cell r="V393">
            <v>4581602.5041284077</v>
          </cell>
          <cell r="W393">
            <v>12877592.754541248</v>
          </cell>
          <cell r="X393">
            <v>31334584.529995371</v>
          </cell>
        </row>
        <row r="394">
          <cell r="T394">
            <v>1751594.9350851683</v>
          </cell>
          <cell r="U394">
            <v>2586154.4285936854</v>
          </cell>
          <cell r="V394">
            <v>4592179.8714530542</v>
          </cell>
          <cell r="W394">
            <v>12909247.858598361</v>
          </cell>
          <cell r="X394">
            <v>31413260.144458193</v>
          </cell>
        </row>
        <row r="395">
          <cell r="T395">
            <v>1755129.949403058</v>
          </cell>
          <cell r="U395">
            <v>2591722.9443433643</v>
          </cell>
          <cell r="V395">
            <v>4602757.2387777008</v>
          </cell>
          <cell r="W395">
            <v>12940902.962655472</v>
          </cell>
          <cell r="X395">
            <v>31491935.758921012</v>
          </cell>
        </row>
        <row r="396">
          <cell r="T396">
            <v>1758664.963720948</v>
          </cell>
          <cell r="U396">
            <v>2597291.4600930428</v>
          </cell>
          <cell r="V396">
            <v>4613334.6061023474</v>
          </cell>
          <cell r="W396">
            <v>12972558.066712582</v>
          </cell>
          <cell r="X396">
            <v>31570611.373383835</v>
          </cell>
        </row>
        <row r="397">
          <cell r="T397">
            <v>1762199.9780388377</v>
          </cell>
          <cell r="U397">
            <v>2602859.9758427218</v>
          </cell>
          <cell r="V397">
            <v>4623911.9734269939</v>
          </cell>
          <cell r="W397">
            <v>13004213.170769693</v>
          </cell>
          <cell r="X397">
            <v>31649286.987846658</v>
          </cell>
        </row>
        <row r="398">
          <cell r="T398">
            <v>1765734.9923567276</v>
          </cell>
          <cell r="U398">
            <v>2608428.4915924007</v>
          </cell>
          <cell r="V398">
            <v>4634489.3407516405</v>
          </cell>
          <cell r="W398">
            <v>13035868.274826806</v>
          </cell>
          <cell r="X398">
            <v>31727962.60230948</v>
          </cell>
        </row>
        <row r="399">
          <cell r="T399">
            <v>1769270.0066746173</v>
          </cell>
          <cell r="U399">
            <v>2613997.0073420792</v>
          </cell>
          <cell r="V399">
            <v>4645066.7080762871</v>
          </cell>
          <cell r="W399">
            <v>13067523.378883917</v>
          </cell>
          <cell r="X399">
            <v>31806638.216772303</v>
          </cell>
        </row>
        <row r="400">
          <cell r="T400">
            <v>1772805.0209925072</v>
          </cell>
          <cell r="U400">
            <v>2619565.5230917581</v>
          </cell>
          <cell r="V400">
            <v>4655644.0754009336</v>
          </cell>
          <cell r="W400">
            <v>13099178.482941028</v>
          </cell>
          <cell r="X400">
            <v>31885313.831235126</v>
          </cell>
        </row>
        <row r="401">
          <cell r="T401">
            <v>1776340.0353103969</v>
          </cell>
          <cell r="U401">
            <v>2625134.0388414371</v>
          </cell>
          <cell r="V401">
            <v>4666221.4427255802</v>
          </cell>
          <cell r="W401">
            <v>13130833.586998139</v>
          </cell>
          <cell r="X401">
            <v>31963989.445697948</v>
          </cell>
        </row>
        <row r="402">
          <cell r="T402">
            <v>1779875.0496282869</v>
          </cell>
          <cell r="U402">
            <v>2630702.5545911156</v>
          </cell>
          <cell r="V402">
            <v>4676798.8100502277</v>
          </cell>
          <cell r="W402">
            <v>13162488.691055251</v>
          </cell>
          <cell r="X402">
            <v>32042665.060160771</v>
          </cell>
        </row>
        <row r="403">
          <cell r="T403">
            <v>1783410.0639461766</v>
          </cell>
          <cell r="U403">
            <v>2636271.0703407945</v>
          </cell>
          <cell r="V403">
            <v>4687376.1773748742</v>
          </cell>
          <cell r="W403">
            <v>13194143.795112362</v>
          </cell>
          <cell r="X403">
            <v>32121340.674623594</v>
          </cell>
        </row>
        <row r="404">
          <cell r="T404">
            <v>1786945.0782640665</v>
          </cell>
          <cell r="U404">
            <v>2641839.5860904735</v>
          </cell>
          <cell r="V404">
            <v>4697953.5446995208</v>
          </cell>
          <cell r="W404">
            <v>13225798.899169473</v>
          </cell>
          <cell r="X404">
            <v>32200016.289086416</v>
          </cell>
        </row>
        <row r="405">
          <cell r="T405">
            <v>1790480.0925819562</v>
          </cell>
          <cell r="U405">
            <v>2647408.1018401524</v>
          </cell>
          <cell r="V405">
            <v>4708530.9120241674</v>
          </cell>
          <cell r="W405">
            <v>13257454.003226584</v>
          </cell>
          <cell r="X405">
            <v>32278691.903549239</v>
          </cell>
        </row>
        <row r="406">
          <cell r="T406">
            <v>1794015.1068998461</v>
          </cell>
          <cell r="U406">
            <v>2652976.6175898309</v>
          </cell>
          <cell r="V406">
            <v>4719108.2793488139</v>
          </cell>
          <cell r="W406">
            <v>13289109.107283697</v>
          </cell>
          <cell r="X406">
            <v>32357367.518012062</v>
          </cell>
        </row>
        <row r="407">
          <cell r="T407">
            <v>1797550.1212177358</v>
          </cell>
          <cell r="U407">
            <v>2658545.1333395098</v>
          </cell>
          <cell r="V407">
            <v>4729685.6466734605</v>
          </cell>
          <cell r="W407">
            <v>13320764.211340807</v>
          </cell>
          <cell r="X407">
            <v>32436043.132474884</v>
          </cell>
        </row>
        <row r="408">
          <cell r="T408">
            <v>1801085.1355356257</v>
          </cell>
          <cell r="U408">
            <v>2664113.6490891888</v>
          </cell>
          <cell r="V408">
            <v>4740263.0139981071</v>
          </cell>
          <cell r="W408">
            <v>13352419.315397918</v>
          </cell>
          <cell r="X408">
            <v>32514718.746937707</v>
          </cell>
        </row>
        <row r="409">
          <cell r="T409">
            <v>1804620.1498535154</v>
          </cell>
          <cell r="U409">
            <v>2669682.1648388673</v>
          </cell>
          <cell r="V409">
            <v>4750840.3813227536</v>
          </cell>
          <cell r="W409">
            <v>13384074.419455029</v>
          </cell>
          <cell r="X409">
            <v>32593394.36140053</v>
          </cell>
        </row>
        <row r="410">
          <cell r="T410">
            <v>1808155.1641714054</v>
          </cell>
          <cell r="U410">
            <v>2675250.6805885462</v>
          </cell>
          <cell r="V410">
            <v>4761417.7486474002</v>
          </cell>
          <cell r="W410">
            <v>13415729.523512142</v>
          </cell>
          <cell r="X410">
            <v>32672069.975863352</v>
          </cell>
        </row>
        <row r="411">
          <cell r="T411">
            <v>1811690.1784892951</v>
          </cell>
          <cell r="U411">
            <v>2680819.1963382252</v>
          </cell>
          <cell r="V411">
            <v>4771995.1159720477</v>
          </cell>
          <cell r="W411">
            <v>13447384.627569253</v>
          </cell>
          <cell r="X411">
            <v>32750745.590326175</v>
          </cell>
        </row>
        <row r="412">
          <cell r="T412">
            <v>1815225.192807185</v>
          </cell>
          <cell r="U412">
            <v>2686387.7120879041</v>
          </cell>
          <cell r="V412">
            <v>4782572.4832966942</v>
          </cell>
          <cell r="W412">
            <v>13479039.731626363</v>
          </cell>
          <cell r="X412">
            <v>32829421.204788998</v>
          </cell>
        </row>
        <row r="413">
          <cell r="T413">
            <v>1818760.2071250747</v>
          </cell>
          <cell r="U413">
            <v>2691956.2278375826</v>
          </cell>
          <cell r="V413">
            <v>4793149.8506213408</v>
          </cell>
          <cell r="W413">
            <v>13510694.835683476</v>
          </cell>
          <cell r="X413">
            <v>32908096.81925182</v>
          </cell>
        </row>
        <row r="414">
          <cell r="T414">
            <v>1822295.2214429646</v>
          </cell>
          <cell r="U414">
            <v>2697524.7435872615</v>
          </cell>
          <cell r="V414">
            <v>4803727.2179459874</v>
          </cell>
          <cell r="W414">
            <v>13542349.939740587</v>
          </cell>
          <cell r="X414">
            <v>32986772.433714643</v>
          </cell>
        </row>
        <row r="415">
          <cell r="T415">
            <v>1825830.2357608543</v>
          </cell>
          <cell r="U415">
            <v>2703093.2593369405</v>
          </cell>
          <cell r="V415">
            <v>4814304.5852706339</v>
          </cell>
          <cell r="W415">
            <v>13574005.043797698</v>
          </cell>
          <cell r="X415">
            <v>33065448.048177466</v>
          </cell>
        </row>
        <row r="416">
          <cell r="T416">
            <v>1829365.2500787443</v>
          </cell>
          <cell r="U416">
            <v>2708661.775086619</v>
          </cell>
          <cell r="V416">
            <v>4824881.9525952805</v>
          </cell>
          <cell r="W416">
            <v>13605660.147854809</v>
          </cell>
          <cell r="X416">
            <v>33144123.662640288</v>
          </cell>
        </row>
        <row r="417">
          <cell r="T417">
            <v>1832900.264396634</v>
          </cell>
          <cell r="U417">
            <v>2714230.2908362979</v>
          </cell>
          <cell r="V417">
            <v>4835459.319919928</v>
          </cell>
          <cell r="W417">
            <v>13637315.251911921</v>
          </cell>
          <cell r="X417">
            <v>33222799.277103111</v>
          </cell>
        </row>
        <row r="418">
          <cell r="T418">
            <v>1836435.2787145239</v>
          </cell>
          <cell r="U418">
            <v>2719798.8065859769</v>
          </cell>
          <cell r="V418">
            <v>4846036.6872445745</v>
          </cell>
          <cell r="W418">
            <v>13668970.355969032</v>
          </cell>
          <cell r="X418">
            <v>33301474.891565934</v>
          </cell>
        </row>
        <row r="419">
          <cell r="T419">
            <v>1839970.2930324136</v>
          </cell>
          <cell r="U419">
            <v>2725367.3223356553</v>
          </cell>
          <cell r="V419">
            <v>4856614.0545692211</v>
          </cell>
          <cell r="W419">
            <v>13700625.460026143</v>
          </cell>
          <cell r="X419">
            <v>33380150.506028753</v>
          </cell>
        </row>
        <row r="420">
          <cell r="T420">
            <v>1843505.3073503035</v>
          </cell>
          <cell r="U420">
            <v>2730935.8380853343</v>
          </cell>
          <cell r="V420">
            <v>4867191.4218938677</v>
          </cell>
          <cell r="W420">
            <v>13732280.564083254</v>
          </cell>
          <cell r="X420">
            <v>33458826.120491575</v>
          </cell>
        </row>
        <row r="421">
          <cell r="T421">
            <v>1847040.3216681932</v>
          </cell>
          <cell r="U421">
            <v>2736504.3538350132</v>
          </cell>
          <cell r="V421">
            <v>4877768.7892185142</v>
          </cell>
          <cell r="W421">
            <v>13763935.668140367</v>
          </cell>
          <cell r="X421">
            <v>33537501.734954398</v>
          </cell>
        </row>
        <row r="422">
          <cell r="T422">
            <v>1850575.3359860831</v>
          </cell>
          <cell r="U422">
            <v>2742072.8695846917</v>
          </cell>
          <cell r="V422">
            <v>4888346.1565431608</v>
          </cell>
          <cell r="W422">
            <v>13795590.772197478</v>
          </cell>
          <cell r="X422">
            <v>33616177.349417225</v>
          </cell>
        </row>
        <row r="423">
          <cell r="T423">
            <v>1854110.3503039728</v>
          </cell>
          <cell r="U423">
            <v>2747641.3853343707</v>
          </cell>
          <cell r="V423">
            <v>4898923.5238678074</v>
          </cell>
          <cell r="W423">
            <v>13827245.876254588</v>
          </cell>
          <cell r="X423">
            <v>33694852.963880047</v>
          </cell>
        </row>
        <row r="424">
          <cell r="T424">
            <v>1857645.3646218628</v>
          </cell>
          <cell r="U424">
            <v>2753209.9010840496</v>
          </cell>
          <cell r="V424">
            <v>4909500.8911924548</v>
          </cell>
          <cell r="W424">
            <v>13858900.980311701</v>
          </cell>
          <cell r="X424">
            <v>33773528.57834287</v>
          </cell>
        </row>
        <row r="425">
          <cell r="T425">
            <v>1861180.3789397525</v>
          </cell>
          <cell r="U425">
            <v>2758778.4168337281</v>
          </cell>
          <cell r="V425">
            <v>4920078.2585171014</v>
          </cell>
          <cell r="W425">
            <v>13890556.084368812</v>
          </cell>
          <cell r="X425">
            <v>33852204.192805693</v>
          </cell>
        </row>
        <row r="426">
          <cell r="T426">
            <v>1864715.3932576424</v>
          </cell>
          <cell r="U426">
            <v>2764346.932583407</v>
          </cell>
          <cell r="V426">
            <v>4930655.625841748</v>
          </cell>
          <cell r="W426">
            <v>13922211.188425923</v>
          </cell>
          <cell r="X426">
            <v>33930879.807268515</v>
          </cell>
        </row>
        <row r="427">
          <cell r="T427">
            <v>1868250.4075755323</v>
          </cell>
          <cell r="U427">
            <v>2769915.448333086</v>
          </cell>
          <cell r="V427">
            <v>4941232.9931663945</v>
          </cell>
          <cell r="W427">
            <v>13953866.292483034</v>
          </cell>
          <cell r="X427">
            <v>34009555.421731338</v>
          </cell>
        </row>
        <row r="428">
          <cell r="T428">
            <v>1871785.421893422</v>
          </cell>
          <cell r="U428">
            <v>2775483.9640827649</v>
          </cell>
          <cell r="V428">
            <v>4951810.3604910411</v>
          </cell>
          <cell r="W428">
            <v>13985521.396540146</v>
          </cell>
          <cell r="X428">
            <v>34088231.036194153</v>
          </cell>
        </row>
        <row r="429">
          <cell r="T429">
            <v>1875320.436211312</v>
          </cell>
          <cell r="U429">
            <v>2781052.4798324434</v>
          </cell>
          <cell r="V429">
            <v>4962387.7278156877</v>
          </cell>
          <cell r="W429">
            <v>14017176.500597257</v>
          </cell>
          <cell r="X429">
            <v>34166906.650656976</v>
          </cell>
        </row>
        <row r="430">
          <cell r="T430">
            <v>1878855.4505292017</v>
          </cell>
          <cell r="U430">
            <v>2786620.9955821224</v>
          </cell>
          <cell r="V430">
            <v>4972965.0951403352</v>
          </cell>
          <cell r="W430">
            <v>14048831.604654368</v>
          </cell>
          <cell r="X430">
            <v>34245582.265119798</v>
          </cell>
        </row>
        <row r="431">
          <cell r="T431">
            <v>1882390.4648470916</v>
          </cell>
          <cell r="U431">
            <v>2792189.5113318013</v>
          </cell>
          <cell r="V431">
            <v>4983542.4624649817</v>
          </cell>
          <cell r="W431">
            <v>14080486.708711479</v>
          </cell>
          <cell r="X431">
            <v>34324257.879582621</v>
          </cell>
        </row>
        <row r="432">
          <cell r="T432">
            <v>1885925.4791649813</v>
          </cell>
          <cell r="U432">
            <v>2797758.0270814798</v>
          </cell>
          <cell r="V432">
            <v>4994119.8297896283</v>
          </cell>
          <cell r="W432">
            <v>14112141.812768592</v>
          </cell>
          <cell r="X432">
            <v>34402933.494045444</v>
          </cell>
        </row>
        <row r="433">
          <cell r="T433">
            <v>1889460.4934828712</v>
          </cell>
          <cell r="U433">
            <v>2803326.5428311587</v>
          </cell>
          <cell r="V433">
            <v>5004697.1971142748</v>
          </cell>
          <cell r="W433">
            <v>14143796.916825702</v>
          </cell>
          <cell r="X433">
            <v>34481609.108508267</v>
          </cell>
        </row>
        <row r="434">
          <cell r="T434">
            <v>1892995.5078007609</v>
          </cell>
          <cell r="U434">
            <v>2808895.0585808377</v>
          </cell>
          <cell r="V434">
            <v>5015274.5644389214</v>
          </cell>
          <cell r="W434">
            <v>14175452.020882813</v>
          </cell>
          <cell r="X434">
            <v>34560284.722971089</v>
          </cell>
        </row>
        <row r="435">
          <cell r="T435">
            <v>1896530.5221186508</v>
          </cell>
          <cell r="U435">
            <v>2814463.5743305162</v>
          </cell>
          <cell r="V435">
            <v>5025851.931763568</v>
          </cell>
          <cell r="W435">
            <v>14207107.124939926</v>
          </cell>
          <cell r="X435">
            <v>34638960.337433912</v>
          </cell>
        </row>
        <row r="436">
          <cell r="T436">
            <v>1900065.5364365405</v>
          </cell>
          <cell r="U436">
            <v>2820032.0900801951</v>
          </cell>
          <cell r="V436">
            <v>5036429.2990882145</v>
          </cell>
          <cell r="W436">
            <v>14238762.228997037</v>
          </cell>
          <cell r="X436">
            <v>34717635.951896735</v>
          </cell>
        </row>
        <row r="437">
          <cell r="T437">
            <v>1903600.5507544305</v>
          </cell>
          <cell r="U437">
            <v>2825600.6058298741</v>
          </cell>
          <cell r="V437">
            <v>5047006.666412862</v>
          </cell>
          <cell r="W437">
            <v>14270417.333054148</v>
          </cell>
          <cell r="X437">
            <v>34796311.566359557</v>
          </cell>
        </row>
        <row r="438">
          <cell r="T438">
            <v>1907135.5650723204</v>
          </cell>
          <cell r="U438">
            <v>2831169.1215795525</v>
          </cell>
          <cell r="V438">
            <v>5057584.0337375086</v>
          </cell>
          <cell r="W438">
            <v>14302072.437111259</v>
          </cell>
          <cell r="X438">
            <v>34874987.18082238</v>
          </cell>
        </row>
        <row r="439">
          <cell r="T439">
            <v>1910670.5793902101</v>
          </cell>
          <cell r="U439">
            <v>2836737.6373292315</v>
          </cell>
          <cell r="V439">
            <v>5068161.4010621551</v>
          </cell>
          <cell r="W439">
            <v>14333727.541168371</v>
          </cell>
          <cell r="X439">
            <v>34953662.795285203</v>
          </cell>
        </row>
        <row r="440">
          <cell r="T440">
            <v>1914205.5937081</v>
          </cell>
          <cell r="U440">
            <v>2842306.1530789104</v>
          </cell>
          <cell r="V440">
            <v>5078738.7683868017</v>
          </cell>
          <cell r="W440">
            <v>14365382.645225482</v>
          </cell>
          <cell r="X440">
            <v>35032338.409748025</v>
          </cell>
        </row>
        <row r="441">
          <cell r="T441">
            <v>1917740.6080259897</v>
          </cell>
          <cell r="U441">
            <v>2847874.6688285889</v>
          </cell>
          <cell r="V441">
            <v>5089316.1357114483</v>
          </cell>
          <cell r="W441">
            <v>14397037.749282593</v>
          </cell>
          <cell r="X441">
            <v>35111014.024210848</v>
          </cell>
        </row>
        <row r="442">
          <cell r="T442">
            <v>1921275.6223438797</v>
          </cell>
          <cell r="U442">
            <v>2853443.1845782679</v>
          </cell>
          <cell r="V442">
            <v>5099893.5030360948</v>
          </cell>
          <cell r="W442">
            <v>14428692.853339704</v>
          </cell>
          <cell r="X442">
            <v>35189689.638673671</v>
          </cell>
        </row>
        <row r="443">
          <cell r="T443">
            <v>1924810.6366617694</v>
          </cell>
          <cell r="U443">
            <v>2859011.7003279468</v>
          </cell>
          <cell r="V443">
            <v>5110470.8703607414</v>
          </cell>
          <cell r="W443">
            <v>14460347.957396816</v>
          </cell>
          <cell r="X443">
            <v>35268365.253136493</v>
          </cell>
        </row>
        <row r="444">
          <cell r="T444">
            <v>1928345.6509796593</v>
          </cell>
          <cell r="U444">
            <v>2864580.2160776258</v>
          </cell>
          <cell r="V444">
            <v>5121048.237685388</v>
          </cell>
          <cell r="W444">
            <v>14492003.061453927</v>
          </cell>
          <cell r="X444">
            <v>35347040.867599316</v>
          </cell>
        </row>
        <row r="445">
          <cell r="T445">
            <v>1931880.665297549</v>
          </cell>
          <cell r="U445">
            <v>2870148.7318273042</v>
          </cell>
          <cell r="V445">
            <v>5131625.6050100354</v>
          </cell>
          <cell r="W445">
            <v>14523658.165511038</v>
          </cell>
          <cell r="X445">
            <v>35425716.482062139</v>
          </cell>
        </row>
        <row r="446">
          <cell r="T446">
            <v>1935415.6796154389</v>
          </cell>
          <cell r="U446">
            <v>2875717.2475769832</v>
          </cell>
          <cell r="V446">
            <v>5142202.972334682</v>
          </cell>
          <cell r="W446">
            <v>14555313.269568151</v>
          </cell>
          <cell r="X446">
            <v>35504392.096524961</v>
          </cell>
        </row>
        <row r="447">
          <cell r="T447">
            <v>1938950.6939333288</v>
          </cell>
          <cell r="U447">
            <v>2881285.7633266621</v>
          </cell>
          <cell r="V447">
            <v>5152780.3396593286</v>
          </cell>
          <cell r="W447">
            <v>14586968.373625262</v>
          </cell>
          <cell r="X447">
            <v>35583067.710987784</v>
          </cell>
        </row>
        <row r="448">
          <cell r="T448">
            <v>1942485.7082512185</v>
          </cell>
          <cell r="U448">
            <v>2886854.2790763406</v>
          </cell>
          <cell r="V448">
            <v>5163357.7069839751</v>
          </cell>
          <cell r="W448">
            <v>14618623.477682373</v>
          </cell>
          <cell r="X448">
            <v>35661743.325450607</v>
          </cell>
        </row>
        <row r="449">
          <cell r="T449">
            <v>1946020.7225691085</v>
          </cell>
          <cell r="U449">
            <v>2892422.7948260196</v>
          </cell>
          <cell r="V449">
            <v>5173935.0743086217</v>
          </cell>
          <cell r="W449">
            <v>14650278.581739483</v>
          </cell>
          <cell r="X449">
            <v>35740418.939913429</v>
          </cell>
        </row>
        <row r="450">
          <cell r="T450">
            <v>1949555.7368869982</v>
          </cell>
          <cell r="U450">
            <v>2897991.3105756985</v>
          </cell>
          <cell r="V450">
            <v>5184512.4416332683</v>
          </cell>
          <cell r="W450">
            <v>14681933.685796596</v>
          </cell>
          <cell r="X450">
            <v>35819094.554376252</v>
          </cell>
        </row>
        <row r="451">
          <cell r="T451">
            <v>1953090.7512048881</v>
          </cell>
          <cell r="U451">
            <v>2903559.826325377</v>
          </cell>
          <cell r="V451">
            <v>5195089.8089579148</v>
          </cell>
          <cell r="W451">
            <v>14713588.789853707</v>
          </cell>
          <cell r="X451">
            <v>35897770.168839075</v>
          </cell>
        </row>
        <row r="452">
          <cell r="T452">
            <v>1956625.7655227778</v>
          </cell>
          <cell r="U452">
            <v>2909128.3420750559</v>
          </cell>
          <cell r="V452">
            <v>5205667.1762825623</v>
          </cell>
          <cell r="W452">
            <v>14745243.893910818</v>
          </cell>
          <cell r="X452">
            <v>35976445.783301897</v>
          </cell>
        </row>
        <row r="453">
          <cell r="T453">
            <v>1960160.7798406677</v>
          </cell>
          <cell r="U453">
            <v>2914696.8578247349</v>
          </cell>
          <cell r="V453">
            <v>5216244.5436072089</v>
          </cell>
          <cell r="W453">
            <v>14776898.997967931</v>
          </cell>
          <cell r="X453">
            <v>36055121.39776472</v>
          </cell>
        </row>
        <row r="454">
          <cell r="T454">
            <v>1963695.7941585574</v>
          </cell>
          <cell r="U454">
            <v>2920265.3735744134</v>
          </cell>
          <cell r="V454">
            <v>5226821.9109318554</v>
          </cell>
          <cell r="W454">
            <v>14808554.102025041</v>
          </cell>
          <cell r="X454">
            <v>36133797.012227543</v>
          </cell>
        </row>
        <row r="455">
          <cell r="T455">
            <v>1967230.8084764474</v>
          </cell>
          <cell r="U455">
            <v>2925833.8893240923</v>
          </cell>
          <cell r="V455">
            <v>5237399.278256502</v>
          </cell>
          <cell r="W455">
            <v>14840209.206082152</v>
          </cell>
          <cell r="X455">
            <v>36212472.626690365</v>
          </cell>
        </row>
        <row r="456">
          <cell r="T456">
            <v>1970765.8227943371</v>
          </cell>
          <cell r="U456">
            <v>2931402.4050737713</v>
          </cell>
          <cell r="V456">
            <v>5247976.6455811486</v>
          </cell>
          <cell r="W456">
            <v>14871864.310139263</v>
          </cell>
          <cell r="X456">
            <v>36291148.241153188</v>
          </cell>
        </row>
        <row r="457">
          <cell r="T457">
            <v>1974300.837112227</v>
          </cell>
          <cell r="U457">
            <v>2936970.9208234502</v>
          </cell>
          <cell r="V457">
            <v>5258554.0129057951</v>
          </cell>
          <cell r="W457">
            <v>14903519.414196376</v>
          </cell>
          <cell r="X457">
            <v>36369823.855616011</v>
          </cell>
        </row>
        <row r="458">
          <cell r="T458">
            <v>1977835.8514301167</v>
          </cell>
          <cell r="U458">
            <v>2942539.4365731287</v>
          </cell>
          <cell r="V458">
            <v>5269131.3802304417</v>
          </cell>
          <cell r="W458">
            <v>14935174.518253487</v>
          </cell>
          <cell r="X458">
            <v>36448499.470078833</v>
          </cell>
        </row>
        <row r="459">
          <cell r="T459">
            <v>1981370.8657480066</v>
          </cell>
          <cell r="U459">
            <v>2948107.9523228076</v>
          </cell>
          <cell r="V459">
            <v>5279708.7475550883</v>
          </cell>
          <cell r="W459">
            <v>14966829.622310597</v>
          </cell>
          <cell r="X459">
            <v>36527175.084541656</v>
          </cell>
        </row>
        <row r="460">
          <cell r="T460">
            <v>1984905.8800658965</v>
          </cell>
          <cell r="U460">
            <v>2953676.4680724866</v>
          </cell>
          <cell r="V460">
            <v>5290286.1148797348</v>
          </cell>
          <cell r="W460">
            <v>14998484.72636771</v>
          </cell>
          <cell r="X460">
            <v>36605850.699004479</v>
          </cell>
        </row>
        <row r="461">
          <cell r="T461">
            <v>1988440.8943837862</v>
          </cell>
          <cell r="U461">
            <v>2959244.9838221651</v>
          </cell>
          <cell r="V461">
            <v>5300863.4822043823</v>
          </cell>
          <cell r="W461">
            <v>15030139.830424821</v>
          </cell>
          <cell r="X461">
            <v>36684526.313467301</v>
          </cell>
        </row>
        <row r="462">
          <cell r="T462">
            <v>1991975.9087016762</v>
          </cell>
          <cell r="U462">
            <v>2964813.499571844</v>
          </cell>
          <cell r="V462">
            <v>5311440.8495290289</v>
          </cell>
          <cell r="W462">
            <v>15061794.934481932</v>
          </cell>
          <cell r="X462">
            <v>36763201.927930124</v>
          </cell>
        </row>
        <row r="463">
          <cell r="T463">
            <v>1995510.9230195659</v>
          </cell>
          <cell r="U463">
            <v>2970382.015321523</v>
          </cell>
          <cell r="V463">
            <v>5322018.2168536754</v>
          </cell>
          <cell r="W463">
            <v>15093450.038539043</v>
          </cell>
          <cell r="X463">
            <v>36841877.542392947</v>
          </cell>
        </row>
        <row r="464">
          <cell r="T464">
            <v>1999045.9373374558</v>
          </cell>
          <cell r="U464">
            <v>2975950.5310712014</v>
          </cell>
          <cell r="V464">
            <v>5332595.584178322</v>
          </cell>
          <cell r="W464">
            <v>15125105.142596155</v>
          </cell>
          <cell r="X464">
            <v>36920553.156855769</v>
          </cell>
        </row>
        <row r="465">
          <cell r="T465">
            <v>2002580.9516553455</v>
          </cell>
          <cell r="U465">
            <v>2981519.0468208804</v>
          </cell>
          <cell r="V465">
            <v>5343172.9515029686</v>
          </cell>
          <cell r="W465">
            <v>15156760.246653266</v>
          </cell>
          <cell r="X465">
            <v>36999228.771318592</v>
          </cell>
        </row>
        <row r="466">
          <cell r="T466">
            <v>2006115.9659732354</v>
          </cell>
          <cell r="U466">
            <v>2987087.5625705593</v>
          </cell>
          <cell r="V466">
            <v>5353750.3188276151</v>
          </cell>
          <cell r="W466">
            <v>15188415.350710377</v>
          </cell>
          <cell r="X466">
            <v>37077904.385781415</v>
          </cell>
        </row>
        <row r="467">
          <cell r="T467">
            <v>2009650.9802911251</v>
          </cell>
          <cell r="U467">
            <v>2992656.0783202378</v>
          </cell>
          <cell r="V467">
            <v>5364327.6861522617</v>
          </cell>
          <cell r="W467">
            <v>15220070.45476749</v>
          </cell>
          <cell r="X467">
            <v>37156580.000244237</v>
          </cell>
        </row>
        <row r="468">
          <cell r="T468">
            <v>2013185.9946090151</v>
          </cell>
          <cell r="U468">
            <v>2998224.5940699168</v>
          </cell>
          <cell r="V468">
            <v>5374905.0534769092</v>
          </cell>
          <cell r="W468">
            <v>15251725.558824601</v>
          </cell>
          <cell r="X468">
            <v>37235255.61470706</v>
          </cell>
        </row>
        <row r="469">
          <cell r="T469">
            <v>2016721.0089269048</v>
          </cell>
          <cell r="U469">
            <v>3003793.1098195957</v>
          </cell>
          <cell r="V469">
            <v>5385482.4208015557</v>
          </cell>
          <cell r="W469">
            <v>15283380.662881711</v>
          </cell>
          <cell r="X469">
            <v>37313931.229169883</v>
          </cell>
        </row>
        <row r="470">
          <cell r="T470">
            <v>2020256.0232447947</v>
          </cell>
          <cell r="U470">
            <v>3009361.6255692746</v>
          </cell>
          <cell r="V470">
            <v>5396059.7881262023</v>
          </cell>
          <cell r="W470">
            <v>15315035.766938822</v>
          </cell>
          <cell r="X470">
            <v>37392606.843632706</v>
          </cell>
        </row>
        <row r="471">
          <cell r="T471">
            <v>2023791.0375626844</v>
          </cell>
          <cell r="U471">
            <v>3014930.1413189531</v>
          </cell>
          <cell r="V471">
            <v>5406637.1554508489</v>
          </cell>
          <cell r="W471">
            <v>15346690.870995935</v>
          </cell>
          <cell r="X471">
            <v>37471282.458095528</v>
          </cell>
        </row>
        <row r="472">
          <cell r="T472">
            <v>2027326.0518805743</v>
          </cell>
          <cell r="U472">
            <v>3020498.6570686321</v>
          </cell>
          <cell r="V472">
            <v>5417214.5227754954</v>
          </cell>
          <cell r="W472">
            <v>15378345.975053046</v>
          </cell>
          <cell r="X472">
            <v>37549958.072558351</v>
          </cell>
        </row>
        <row r="473">
          <cell r="T473">
            <v>2030861.066198464</v>
          </cell>
          <cell r="U473">
            <v>3026067.172818311</v>
          </cell>
          <cell r="V473">
            <v>5427791.890100142</v>
          </cell>
          <cell r="W473">
            <v>15410001.079110157</v>
          </cell>
          <cell r="X473">
            <v>37628633.687021174</v>
          </cell>
        </row>
        <row r="474">
          <cell r="T474">
            <v>2034396.0805163539</v>
          </cell>
          <cell r="U474">
            <v>3031635.6885679895</v>
          </cell>
          <cell r="V474">
            <v>5438369.2574247885</v>
          </cell>
          <cell r="W474">
            <v>15441656.183167269</v>
          </cell>
          <cell r="X474">
            <v>37707309.301483996</v>
          </cell>
        </row>
        <row r="475">
          <cell r="T475">
            <v>2037931.0948342439</v>
          </cell>
          <cell r="U475">
            <v>3037204.2043176685</v>
          </cell>
          <cell r="V475">
            <v>5448946.6247494351</v>
          </cell>
          <cell r="W475">
            <v>15473311.28722438</v>
          </cell>
          <cell r="X475">
            <v>37785984.915946819</v>
          </cell>
        </row>
        <row r="476">
          <cell r="T476">
            <v>2041466.1091521336</v>
          </cell>
          <cell r="U476">
            <v>3042772.7200673474</v>
          </cell>
          <cell r="V476">
            <v>5459523.9920740826</v>
          </cell>
          <cell r="W476">
            <v>15504966.391281491</v>
          </cell>
          <cell r="X476">
            <v>37864660.530409642</v>
          </cell>
        </row>
        <row r="477">
          <cell r="T477">
            <v>2045001.1234700235</v>
          </cell>
          <cell r="U477">
            <v>3048341.2358170259</v>
          </cell>
          <cell r="V477">
            <v>5470101.3593987292</v>
          </cell>
          <cell r="W477">
            <v>15536621.495338602</v>
          </cell>
          <cell r="X477">
            <v>37943336.144872457</v>
          </cell>
        </row>
        <row r="478">
          <cell r="T478">
            <v>2048536.1377879132</v>
          </cell>
          <cell r="U478">
            <v>3053909.7515667048</v>
          </cell>
          <cell r="V478">
            <v>5480678.7267233757</v>
          </cell>
          <cell r="W478">
            <v>15568276.599395715</v>
          </cell>
          <cell r="X478">
            <v>38022011.759335279</v>
          </cell>
        </row>
        <row r="479">
          <cell r="T479">
            <v>2052071.1521058031</v>
          </cell>
          <cell r="U479">
            <v>3059478.2673163838</v>
          </cell>
          <cell r="V479">
            <v>5491256.0940480223</v>
          </cell>
          <cell r="W479">
            <v>15599931.703452826</v>
          </cell>
          <cell r="X479">
            <v>38100687.373798102</v>
          </cell>
        </row>
        <row r="480">
          <cell r="T480">
            <v>2055606.1664236928</v>
          </cell>
          <cell r="U480">
            <v>3065046.7830660627</v>
          </cell>
          <cell r="V480">
            <v>5501833.4613726689</v>
          </cell>
          <cell r="W480">
            <v>15631586.807509936</v>
          </cell>
          <cell r="X480">
            <v>38179362.988260925</v>
          </cell>
        </row>
        <row r="481">
          <cell r="T481">
            <v>2059141.1807415828</v>
          </cell>
          <cell r="U481">
            <v>3070615.2988157412</v>
          </cell>
          <cell r="V481">
            <v>5512410.8286973154</v>
          </cell>
          <cell r="W481">
            <v>15663241.911567047</v>
          </cell>
          <cell r="X481">
            <v>38258038.602723747</v>
          </cell>
        </row>
        <row r="482">
          <cell r="T482">
            <v>2062676.1950594725</v>
          </cell>
          <cell r="U482">
            <v>3076183.8145654202</v>
          </cell>
          <cell r="V482">
            <v>5522988.196021962</v>
          </cell>
          <cell r="W482">
            <v>15694897.01562416</v>
          </cell>
          <cell r="X482">
            <v>38336714.21718657</v>
          </cell>
        </row>
        <row r="483">
          <cell r="T483">
            <v>2066211.2093773624</v>
          </cell>
          <cell r="U483">
            <v>3081752.3303150991</v>
          </cell>
          <cell r="V483">
            <v>5533565.5633466095</v>
          </cell>
          <cell r="W483">
            <v>15726552.119681271</v>
          </cell>
          <cell r="X483">
            <v>38415389.831649393</v>
          </cell>
        </row>
        <row r="484">
          <cell r="T484">
            <v>2069746.2236952521</v>
          </cell>
          <cell r="U484">
            <v>3087320.8460647776</v>
          </cell>
          <cell r="V484">
            <v>5544142.930671256</v>
          </cell>
          <cell r="W484">
            <v>15758207.223738382</v>
          </cell>
          <cell r="X484">
            <v>38494065.446112216</v>
          </cell>
        </row>
        <row r="485">
          <cell r="T485">
            <v>2073281.238013142</v>
          </cell>
          <cell r="U485">
            <v>3092889.3618144565</v>
          </cell>
          <cell r="V485">
            <v>5554720.2979959026</v>
          </cell>
          <cell r="W485">
            <v>15789862.327795492</v>
          </cell>
          <cell r="X485">
            <v>38572741.060575038</v>
          </cell>
        </row>
        <row r="486">
          <cell r="T486">
            <v>2076816.2523310317</v>
          </cell>
          <cell r="U486">
            <v>3098457.8775641355</v>
          </cell>
          <cell r="V486">
            <v>5565297.6653205492</v>
          </cell>
          <cell r="W486">
            <v>15821517.431852605</v>
          </cell>
          <cell r="X486">
            <v>38651416.675037861</v>
          </cell>
        </row>
        <row r="487">
          <cell r="T487">
            <v>2080351.2666489216</v>
          </cell>
          <cell r="U487">
            <v>3104026.3933138144</v>
          </cell>
          <cell r="V487">
            <v>5575875.0326451957</v>
          </cell>
          <cell r="W487">
            <v>15853172.535909716</v>
          </cell>
          <cell r="X487">
            <v>38730092.289500684</v>
          </cell>
        </row>
        <row r="488">
          <cell r="T488">
            <v>2083886.2809668113</v>
          </cell>
          <cell r="U488">
            <v>3109594.9090634929</v>
          </cell>
          <cell r="V488">
            <v>5586452.3999698423</v>
          </cell>
          <cell r="W488">
            <v>15884827.639966827</v>
          </cell>
          <cell r="X488">
            <v>38808767.903963506</v>
          </cell>
        </row>
        <row r="489">
          <cell r="T489">
            <v>2087421.2952847013</v>
          </cell>
          <cell r="U489">
            <v>3115163.4248131718</v>
          </cell>
          <cell r="V489">
            <v>5597029.7672944888</v>
          </cell>
          <cell r="W489">
            <v>15916482.74402394</v>
          </cell>
          <cell r="X489">
            <v>38887443.518426329</v>
          </cell>
        </row>
        <row r="490">
          <cell r="T490">
            <v>2090956.309602591</v>
          </cell>
          <cell r="U490">
            <v>3120731.9405628508</v>
          </cell>
          <cell r="V490">
            <v>5607607.1346191354</v>
          </cell>
          <cell r="W490">
            <v>15948137.84808105</v>
          </cell>
          <cell r="X490">
            <v>38966119.132889152</v>
          </cell>
        </row>
        <row r="491">
          <cell r="T491">
            <v>2094491.3239204809</v>
          </cell>
          <cell r="U491">
            <v>3126300.4563125293</v>
          </cell>
          <cell r="V491">
            <v>5618184.5019437829</v>
          </cell>
          <cell r="W491">
            <v>15979792.952138161</v>
          </cell>
          <cell r="X491">
            <v>39044794.747351974</v>
          </cell>
        </row>
        <row r="492">
          <cell r="T492">
            <v>2098026.3382383706</v>
          </cell>
          <cell r="U492">
            <v>3131868.9720622082</v>
          </cell>
          <cell r="V492">
            <v>5628761.8692684295</v>
          </cell>
          <cell r="W492">
            <v>16011448.056195272</v>
          </cell>
          <cell r="X492">
            <v>39123470.361814797</v>
          </cell>
        </row>
        <row r="493">
          <cell r="T493">
            <v>2101561.3525562608</v>
          </cell>
          <cell r="U493">
            <v>3137437.4878118872</v>
          </cell>
          <cell r="V493">
            <v>5639339.236593076</v>
          </cell>
          <cell r="W493">
            <v>16043103.160252385</v>
          </cell>
          <cell r="X493">
            <v>39202145.97627762</v>
          </cell>
        </row>
        <row r="494">
          <cell r="T494">
            <v>2105096.3668741505</v>
          </cell>
          <cell r="U494">
            <v>3143006.0035615657</v>
          </cell>
          <cell r="V494">
            <v>5649916.6039177226</v>
          </cell>
          <cell r="W494">
            <v>16074758.264309496</v>
          </cell>
          <cell r="X494">
            <v>39280821.590740442</v>
          </cell>
        </row>
        <row r="495">
          <cell r="T495">
            <v>2108631.3811920402</v>
          </cell>
          <cell r="U495">
            <v>3148574.5193112446</v>
          </cell>
          <cell r="V495">
            <v>5660493.9712423692</v>
          </cell>
          <cell r="W495">
            <v>16106413.368366607</v>
          </cell>
          <cell r="X495">
            <v>39359497.205203265</v>
          </cell>
        </row>
        <row r="496">
          <cell r="T496">
            <v>2112166.3955099299</v>
          </cell>
          <cell r="U496">
            <v>3154143.0350609235</v>
          </cell>
          <cell r="V496">
            <v>5671071.3385670157</v>
          </cell>
          <cell r="W496">
            <v>16138068.472423717</v>
          </cell>
          <cell r="X496">
            <v>39438172.819666088</v>
          </cell>
        </row>
        <row r="497">
          <cell r="T497">
            <v>2115701.40982782</v>
          </cell>
          <cell r="U497">
            <v>3159711.5508106025</v>
          </cell>
          <cell r="V497">
            <v>5681648.7058916623</v>
          </cell>
          <cell r="W497">
            <v>16169723.57648083</v>
          </cell>
          <cell r="X497">
            <v>39516848.43412891</v>
          </cell>
        </row>
        <row r="498">
          <cell r="T498">
            <v>2119236.4241457097</v>
          </cell>
          <cell r="U498">
            <v>3165280.066560281</v>
          </cell>
          <cell r="V498">
            <v>5692226.0732163088</v>
          </cell>
          <cell r="W498">
            <v>16201378.680537941</v>
          </cell>
          <cell r="X498">
            <v>39595524.048591733</v>
          </cell>
        </row>
        <row r="499">
          <cell r="T499">
            <v>2122771.4384635994</v>
          </cell>
          <cell r="U499">
            <v>3170848.5823099599</v>
          </cell>
          <cell r="V499">
            <v>5702803.4405409563</v>
          </cell>
          <cell r="W499">
            <v>16233033.784595052</v>
          </cell>
          <cell r="X499">
            <v>39674199.663054548</v>
          </cell>
        </row>
        <row r="500">
          <cell r="T500">
            <v>2126306.4527814891</v>
          </cell>
          <cell r="U500">
            <v>3176417.0980596389</v>
          </cell>
          <cell r="V500">
            <v>5713380.8078656029</v>
          </cell>
          <cell r="W500">
            <v>16264688.888652163</v>
          </cell>
          <cell r="X500">
            <v>39752875.277517371</v>
          </cell>
        </row>
        <row r="501">
          <cell r="T501">
            <v>2129841.4670993793</v>
          </cell>
          <cell r="U501">
            <v>3181985.6138093174</v>
          </cell>
          <cell r="V501">
            <v>5723958.1751902495</v>
          </cell>
          <cell r="W501">
            <v>16296343.992709275</v>
          </cell>
          <cell r="X501">
            <v>39831550.891980194</v>
          </cell>
        </row>
        <row r="502">
          <cell r="T502">
            <v>2133376.481417269</v>
          </cell>
          <cell r="U502">
            <v>3187554.1295589963</v>
          </cell>
          <cell r="V502">
            <v>5734535.542514896</v>
          </cell>
          <cell r="W502">
            <v>16327999.096766386</v>
          </cell>
          <cell r="X502">
            <v>39910226.506443016</v>
          </cell>
        </row>
        <row r="503">
          <cell r="T503">
            <v>2136911.4957351587</v>
          </cell>
          <cell r="U503">
            <v>3193122.6453086752</v>
          </cell>
          <cell r="V503">
            <v>5745112.9098395426</v>
          </cell>
          <cell r="W503">
            <v>16359654.200823497</v>
          </cell>
          <cell r="X503">
            <v>39988902.120905839</v>
          </cell>
        </row>
      </sheetData>
      <sheetData sheetId="30"/>
      <sheetData sheetId="31"/>
      <sheetData sheetId="32">
        <row r="4">
          <cell r="V4" t="str">
            <v>天数</v>
          </cell>
          <cell r="W4" t="str">
            <v>参考注册ltv</v>
          </cell>
          <cell r="X4" t="str">
            <v>注册ltv</v>
          </cell>
          <cell r="Y4" t="str">
            <v>非r</v>
          </cell>
          <cell r="Z4" t="str">
            <v>小r</v>
          </cell>
          <cell r="AA4" t="str">
            <v>中r</v>
          </cell>
          <cell r="AB4" t="str">
            <v>大r</v>
          </cell>
          <cell r="AC4" t="str">
            <v>超r</v>
          </cell>
        </row>
        <row r="5">
          <cell r="V5">
            <v>1</v>
          </cell>
          <cell r="W5">
            <v>8</v>
          </cell>
          <cell r="X5">
            <v>8.1623999999999999</v>
          </cell>
          <cell r="Y5">
            <v>9000</v>
          </cell>
          <cell r="Z5">
            <v>725.99999999999966</v>
          </cell>
          <cell r="AA5">
            <v>256</v>
          </cell>
          <cell r="AB5">
            <v>16</v>
          </cell>
          <cell r="AC5">
            <v>2</v>
          </cell>
        </row>
        <row r="6">
          <cell r="V6">
            <v>7</v>
          </cell>
          <cell r="W6">
            <v>25</v>
          </cell>
          <cell r="X6">
            <v>23.477747037681151</v>
          </cell>
          <cell r="Y6">
            <v>1175.5125000000003</v>
          </cell>
          <cell r="Z6">
            <v>477.65849999999961</v>
          </cell>
          <cell r="AA6">
            <v>61.823999999999984</v>
          </cell>
          <cell r="AB6">
            <v>8.2799999999999994</v>
          </cell>
          <cell r="AC6">
            <v>1.7249999999999999</v>
          </cell>
        </row>
        <row r="7">
          <cell r="V7">
            <v>14</v>
          </cell>
          <cell r="W7">
            <v>40</v>
          </cell>
          <cell r="X7">
            <v>39.549605263552699</v>
          </cell>
          <cell r="Y7">
            <v>747.95400000000018</v>
          </cell>
          <cell r="Z7">
            <v>441.41454857142821</v>
          </cell>
          <cell r="AA7">
            <v>45.434879999999993</v>
          </cell>
          <cell r="AB7">
            <v>6.5622857142857143</v>
          </cell>
          <cell r="AC7">
            <v>1.4914285714285711</v>
          </cell>
        </row>
        <row r="8">
          <cell r="V8">
            <v>30</v>
          </cell>
          <cell r="W8">
            <v>60</v>
          </cell>
          <cell r="X8">
            <v>66.462164439599107</v>
          </cell>
          <cell r="Y8">
            <v>442.86750000000018</v>
          </cell>
          <cell r="Z8">
            <v>345.39035279999985</v>
          </cell>
          <cell r="AA8">
            <v>30.7625472</v>
          </cell>
          <cell r="AB8">
            <v>4.7916000000000016</v>
          </cell>
          <cell r="AC8">
            <v>1.1879999999999999</v>
          </cell>
        </row>
        <row r="9">
          <cell r="V9">
            <v>60</v>
          </cell>
          <cell r="W9">
            <v>90</v>
          </cell>
          <cell r="X9">
            <v>104.84948814396918</v>
          </cell>
          <cell r="Y9">
            <v>252.43447500000011</v>
          </cell>
          <cell r="Z9">
            <v>224.4902776399999</v>
          </cell>
          <cell r="AA9">
            <v>19.016847360000003</v>
          </cell>
          <cell r="AB9">
            <v>3.1944000000000008</v>
          </cell>
          <cell r="AC9">
            <v>0.86399999999999988</v>
          </cell>
        </row>
        <row r="10">
          <cell r="V10">
            <v>90</v>
          </cell>
          <cell r="W10">
            <v>120</v>
          </cell>
          <cell r="X10">
            <v>135.3364770722211</v>
          </cell>
          <cell r="Y10">
            <v>215.83147612499999</v>
          </cell>
          <cell r="Z10">
            <v>212.81181181163998</v>
          </cell>
          <cell r="AA10">
            <v>17.371890063360002</v>
          </cell>
          <cell r="AB10">
            <v>3.0905820000000008</v>
          </cell>
          <cell r="AC10">
            <v>0.89423999999999992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基础状态预期"/>
      <sheetName val="备份"/>
      <sheetName val="武将升星"/>
      <sheetName val="武将升级"/>
      <sheetName val="第4特性"/>
      <sheetName val="武将羁绊"/>
      <sheetName val="三国武将羁绊"/>
      <sheetName val="武将上阵羁绊"/>
      <sheetName val="武将进阶"/>
      <sheetName val="武将觉醒"/>
      <sheetName val="武将天赋"/>
      <sheetName val="武将经验消耗"/>
      <sheetName val="银币消耗"/>
      <sheetName val="属性汇总"/>
      <sheetName val="武将升星（废弃）"/>
      <sheetName val="Sheet2"/>
      <sheetName val="武将觉醒(废弃）"/>
      <sheetName val="属性分配（废弃）"/>
      <sheetName val="武将数量星级阶位验证"/>
      <sheetName val="武将天赋进度验证"/>
      <sheetName val="抽奖相关（日韩版本）"/>
      <sheetName val="130和140抽将（越南）"/>
      <sheetName val="140武将价值"/>
      <sheetName val="祈愿验证"/>
      <sheetName val="武将战力价值情况"/>
      <sheetName val="各r阵容卡情况"/>
      <sheetName val="抽奖券产出"/>
      <sheetName val="武将产出"/>
      <sheetName val="消耗-武将觉醒"/>
      <sheetName val="消耗-武将升星"/>
      <sheetName val="升级经验"/>
      <sheetName val="非r"/>
      <sheetName val="小r"/>
      <sheetName val="中r"/>
      <sheetName val="大r"/>
      <sheetName val="超r"/>
      <sheetName val="非r分类武将战斗属性"/>
      <sheetName val="中r分类武将战斗属性"/>
      <sheetName val="超r分类武将战斗属性"/>
      <sheetName val="Sheet1"/>
      <sheetName val="武将资质"/>
      <sheetName val="武将三维评级"/>
      <sheetName val="羁绊传记"/>
      <sheetName val="武将特性解锁"/>
      <sheetName val="羁绊简述"/>
      <sheetName val="羁绊设计"/>
      <sheetName val="羁绊解锁统计"/>
      <sheetName val="分列处理"/>
      <sheetName val="各武将羁绊具体加成"/>
      <sheetName val="武将"/>
      <sheetName val="武将怪物"/>
      <sheetName val="导表"/>
      <sheetName val="羁绊相关资料"/>
      <sheetName val="武将素材"/>
      <sheetName val="语言包"/>
      <sheetName val="语言包C"/>
      <sheetName val="140武将价值（草稿）"/>
      <sheetName val="验算"/>
    </sheetNames>
    <sheetDataSet>
      <sheetData sheetId="0"/>
      <sheetData sheetId="1"/>
      <sheetData sheetId="2">
        <row r="17">
          <cell r="C17">
            <v>1</v>
          </cell>
          <cell r="D17">
            <v>10</v>
          </cell>
          <cell r="F17"/>
          <cell r="G17"/>
          <cell r="H17">
            <v>2</v>
          </cell>
          <cell r="I17">
            <v>4</v>
          </cell>
          <cell r="J17"/>
        </row>
        <row r="18">
          <cell r="C18">
            <v>3</v>
          </cell>
          <cell r="D18">
            <v>20</v>
          </cell>
          <cell r="F18"/>
          <cell r="G18"/>
          <cell r="H18"/>
          <cell r="I18">
            <v>6</v>
          </cell>
          <cell r="J18"/>
        </row>
        <row r="19">
          <cell r="C19">
            <v>6</v>
          </cell>
          <cell r="D19">
            <v>28.071211008105138</v>
          </cell>
          <cell r="F19"/>
          <cell r="G19"/>
          <cell r="H19"/>
          <cell r="I19">
            <v>6</v>
          </cell>
          <cell r="J19"/>
        </row>
        <row r="20">
          <cell r="C20">
            <v>10</v>
          </cell>
          <cell r="D20">
            <v>34.585942742481357</v>
          </cell>
          <cell r="F20"/>
          <cell r="G20"/>
          <cell r="H20"/>
          <cell r="I20">
            <v>6</v>
          </cell>
          <cell r="J20"/>
        </row>
        <row r="21">
          <cell r="C21">
            <v>15</v>
          </cell>
          <cell r="D21">
            <v>40</v>
          </cell>
          <cell r="F21"/>
          <cell r="G21"/>
          <cell r="H21"/>
          <cell r="I21">
            <v>6</v>
          </cell>
          <cell r="J21"/>
        </row>
        <row r="22">
          <cell r="C22">
            <v>20</v>
          </cell>
          <cell r="D22">
            <v>43.920692243099523</v>
          </cell>
          <cell r="F22"/>
          <cell r="G22"/>
          <cell r="H22"/>
          <cell r="I22">
            <v>6</v>
          </cell>
          <cell r="J22"/>
        </row>
        <row r="23">
          <cell r="C23">
            <v>30</v>
          </cell>
          <cell r="D23">
            <v>49.533352307096472</v>
          </cell>
          <cell r="F23"/>
          <cell r="G23"/>
          <cell r="H23"/>
          <cell r="I23">
            <v>6</v>
          </cell>
          <cell r="J23"/>
        </row>
        <row r="24">
          <cell r="C24">
            <v>40</v>
          </cell>
          <cell r="D24">
            <v>53.567039423670657</v>
          </cell>
          <cell r="F24"/>
          <cell r="G24"/>
          <cell r="H24"/>
          <cell r="I24">
            <v>5</v>
          </cell>
          <cell r="J24">
            <v>1</v>
          </cell>
        </row>
        <row r="25">
          <cell r="C25">
            <v>60</v>
          </cell>
          <cell r="D25">
            <v>59.300028460644697</v>
          </cell>
          <cell r="F25"/>
          <cell r="G25"/>
          <cell r="H25"/>
          <cell r="I25">
            <v>4</v>
          </cell>
          <cell r="J25">
            <v>2</v>
          </cell>
        </row>
        <row r="26">
          <cell r="C26">
            <v>90</v>
          </cell>
          <cell r="D26">
            <v>65.075479910097457</v>
          </cell>
          <cell r="F26"/>
          <cell r="G26"/>
          <cell r="H26"/>
          <cell r="I26">
            <v>3</v>
          </cell>
          <cell r="J26">
            <v>3</v>
          </cell>
        </row>
        <row r="27">
          <cell r="C27">
            <v>120</v>
          </cell>
          <cell r="D27">
            <v>69.18336653741882</v>
          </cell>
          <cell r="F27"/>
          <cell r="G27"/>
          <cell r="H27"/>
          <cell r="I27">
            <v>2</v>
          </cell>
          <cell r="J27">
            <v>4</v>
          </cell>
        </row>
        <row r="28">
          <cell r="C28">
            <v>150</v>
          </cell>
          <cell r="D28">
            <v>72.375871759353331</v>
          </cell>
          <cell r="F28"/>
          <cell r="G28"/>
          <cell r="H28"/>
          <cell r="I28">
            <v>1</v>
          </cell>
          <cell r="J28">
            <v>5</v>
          </cell>
        </row>
        <row r="29">
          <cell r="C29">
            <v>180</v>
          </cell>
          <cell r="D29">
            <v>74.998404927577795</v>
          </cell>
          <cell r="F29"/>
          <cell r="G29"/>
          <cell r="H29"/>
          <cell r="I29">
            <v>0.5</v>
          </cell>
          <cell r="J29">
            <v>5.5</v>
          </cell>
        </row>
        <row r="30">
          <cell r="C30">
            <v>220</v>
          </cell>
          <cell r="D30">
            <v>77.875308029777003</v>
          </cell>
          <cell r="F30"/>
          <cell r="G30"/>
          <cell r="H30"/>
          <cell r="I30"/>
          <cell r="J30">
            <v>6</v>
          </cell>
        </row>
        <row r="31">
          <cell r="C31">
            <v>260</v>
          </cell>
          <cell r="D31">
            <v>80.272123558064706</v>
          </cell>
          <cell r="F31"/>
          <cell r="G31"/>
          <cell r="H31"/>
          <cell r="I31"/>
          <cell r="J31">
            <v>6</v>
          </cell>
        </row>
        <row r="32">
          <cell r="C32">
            <v>300</v>
          </cell>
          <cell r="D32">
            <v>82.328492296001457</v>
          </cell>
          <cell r="F32"/>
          <cell r="G32"/>
          <cell r="H32"/>
          <cell r="I32"/>
          <cell r="J32">
            <v>6</v>
          </cell>
        </row>
        <row r="33">
          <cell r="C33">
            <v>340</v>
          </cell>
          <cell r="D33">
            <v>84.132234338875293</v>
          </cell>
          <cell r="F33"/>
          <cell r="G33"/>
          <cell r="H33"/>
          <cell r="I33"/>
          <cell r="J33">
            <v>6</v>
          </cell>
        </row>
        <row r="34">
          <cell r="C34">
            <v>400</v>
          </cell>
          <cell r="D34">
            <v>86.465948248806328</v>
          </cell>
          <cell r="F34"/>
          <cell r="G34"/>
          <cell r="H34"/>
          <cell r="I34"/>
          <cell r="J34">
            <v>6</v>
          </cell>
        </row>
        <row r="35">
          <cell r="C35">
            <v>520</v>
          </cell>
          <cell r="D35">
            <v>90.244911202258237</v>
          </cell>
          <cell r="F35"/>
          <cell r="G35"/>
          <cell r="H35"/>
          <cell r="I35"/>
          <cell r="J35">
            <v>6</v>
          </cell>
        </row>
        <row r="36">
          <cell r="C36">
            <v>640</v>
          </cell>
          <cell r="D36">
            <v>93.235489905456092</v>
          </cell>
          <cell r="F36"/>
          <cell r="G36"/>
          <cell r="H36"/>
          <cell r="I36"/>
          <cell r="J36">
            <v>6</v>
          </cell>
        </row>
        <row r="37">
          <cell r="C37">
            <v>820</v>
          </cell>
          <cell r="D37">
            <v>96.807063977001675</v>
          </cell>
          <cell r="F37"/>
          <cell r="G37"/>
          <cell r="H37"/>
          <cell r="I37"/>
          <cell r="J37">
            <v>6</v>
          </cell>
        </row>
        <row r="38">
          <cell r="C38">
            <v>1060</v>
          </cell>
          <cell r="D38">
            <v>100.50342858241972</v>
          </cell>
          <cell r="F38"/>
          <cell r="G38"/>
          <cell r="H38"/>
          <cell r="I38"/>
          <cell r="J38">
            <v>6</v>
          </cell>
        </row>
        <row r="39">
          <cell r="C39">
            <v>1360</v>
          </cell>
          <cell r="D39">
            <v>104.10129967499306</v>
          </cell>
          <cell r="F39"/>
          <cell r="G39"/>
          <cell r="H39"/>
          <cell r="I39"/>
          <cell r="J39">
            <v>6</v>
          </cell>
        </row>
        <row r="40">
          <cell r="C40">
            <v>1720</v>
          </cell>
          <cell r="D40">
            <v>107.48165553683219</v>
          </cell>
          <cell r="F40"/>
          <cell r="G40"/>
          <cell r="H40"/>
          <cell r="I40"/>
          <cell r="J40">
            <v>6</v>
          </cell>
        </row>
        <row r="41">
          <cell r="C41">
            <v>2200</v>
          </cell>
          <cell r="D41">
            <v>111.03813549320469</v>
          </cell>
          <cell r="F41"/>
          <cell r="G41"/>
          <cell r="H41"/>
          <cell r="I41"/>
          <cell r="J41">
            <v>6</v>
          </cell>
        </row>
        <row r="42">
          <cell r="C42">
            <v>2800</v>
          </cell>
          <cell r="D42">
            <v>114.50860608277577</v>
          </cell>
          <cell r="F42"/>
          <cell r="G42"/>
          <cell r="H42"/>
          <cell r="I42"/>
          <cell r="J42">
            <v>6</v>
          </cell>
        </row>
        <row r="43">
          <cell r="C43">
            <v>3580</v>
          </cell>
          <cell r="D43">
            <v>118.05948896247369</v>
          </cell>
          <cell r="F43"/>
          <cell r="G43"/>
          <cell r="H43"/>
          <cell r="I43"/>
          <cell r="J43">
            <v>6</v>
          </cell>
        </row>
        <row r="44">
          <cell r="C44">
            <v>4540</v>
          </cell>
          <cell r="D44">
            <v>121.47928719052189</v>
          </cell>
          <cell r="F44"/>
          <cell r="G44"/>
          <cell r="H44"/>
          <cell r="I44"/>
          <cell r="J44">
            <v>6</v>
          </cell>
        </row>
        <row r="45">
          <cell r="C45">
            <v>5800</v>
          </cell>
          <cell r="D45">
            <v>125.02015904129435</v>
          </cell>
          <cell r="F45"/>
          <cell r="G45"/>
          <cell r="H45"/>
          <cell r="I45"/>
          <cell r="J45">
            <v>6</v>
          </cell>
        </row>
        <row r="46">
          <cell r="C46">
            <v>7420</v>
          </cell>
          <cell r="D46">
            <v>128.56549059889721</v>
          </cell>
          <cell r="F46"/>
          <cell r="G46"/>
          <cell r="H46"/>
          <cell r="I46"/>
          <cell r="J46">
            <v>6</v>
          </cell>
        </row>
        <row r="47">
          <cell r="C47">
            <v>9460</v>
          </cell>
          <cell r="D47">
            <v>132.07530828871487</v>
          </cell>
          <cell r="F47"/>
          <cell r="G47"/>
          <cell r="H47"/>
          <cell r="I47"/>
          <cell r="J47">
            <v>6</v>
          </cell>
        </row>
        <row r="48">
          <cell r="C48">
            <v>12040</v>
          </cell>
          <cell r="D48">
            <v>135.54811255008914</v>
          </cell>
          <cell r="F48"/>
          <cell r="G48"/>
          <cell r="H48"/>
          <cell r="I48"/>
          <cell r="J48">
            <v>6</v>
          </cell>
        </row>
        <row r="49">
          <cell r="C49">
            <v>15340</v>
          </cell>
          <cell r="D49">
            <v>139.0493876099641</v>
          </cell>
          <cell r="F49"/>
          <cell r="G49"/>
          <cell r="H49"/>
          <cell r="I49"/>
          <cell r="J49">
            <v>6</v>
          </cell>
        </row>
        <row r="50">
          <cell r="C50">
            <v>19540</v>
          </cell>
          <cell r="D50">
            <v>142.53355653582128</v>
          </cell>
          <cell r="F50"/>
          <cell r="G50"/>
          <cell r="H50"/>
          <cell r="I50"/>
          <cell r="J50">
            <v>6</v>
          </cell>
        </row>
        <row r="51">
          <cell r="C51">
            <v>24880</v>
          </cell>
          <cell r="D51">
            <v>146.02664953963369</v>
          </cell>
          <cell r="F51"/>
          <cell r="G51"/>
          <cell r="H51"/>
          <cell r="I51"/>
          <cell r="J51">
            <v>6</v>
          </cell>
        </row>
        <row r="52">
          <cell r="C52">
            <v>31720</v>
          </cell>
          <cell r="D52">
            <v>149.52287096243165</v>
          </cell>
          <cell r="F52"/>
          <cell r="G52"/>
          <cell r="H52"/>
          <cell r="I52"/>
          <cell r="J52">
            <v>6</v>
          </cell>
        </row>
        <row r="53">
          <cell r="C53">
            <v>40420</v>
          </cell>
          <cell r="D53">
            <v>153.02723536432757</v>
          </cell>
          <cell r="F53"/>
          <cell r="G53"/>
          <cell r="H53"/>
          <cell r="I53"/>
          <cell r="J53">
            <v>6</v>
          </cell>
        </row>
        <row r="54">
          <cell r="C54">
            <v>51520</v>
          </cell>
          <cell r="D54">
            <v>156.52008914974525</v>
          </cell>
          <cell r="F54"/>
          <cell r="G54"/>
          <cell r="H54"/>
          <cell r="I54"/>
          <cell r="J54">
            <v>6</v>
          </cell>
        </row>
        <row r="55">
          <cell r="C55">
            <v>65500</v>
          </cell>
          <cell r="D55">
            <v>159.99202506384199</v>
          </cell>
          <cell r="F55"/>
          <cell r="G55"/>
          <cell r="H55"/>
          <cell r="I55"/>
          <cell r="J55">
            <v>6</v>
          </cell>
        </row>
        <row r="62">
          <cell r="C62">
            <v>0.85</v>
          </cell>
          <cell r="D62">
            <v>9.9592453074578113</v>
          </cell>
          <cell r="F62"/>
          <cell r="G62"/>
          <cell r="H62">
            <v>2</v>
          </cell>
          <cell r="I62">
            <v>4</v>
          </cell>
          <cell r="J62"/>
        </row>
        <row r="63">
          <cell r="C63">
            <v>2.5499999999999998</v>
          </cell>
          <cell r="D63">
            <v>19.766822802328868</v>
          </cell>
          <cell r="F63"/>
          <cell r="G63"/>
          <cell r="H63"/>
          <cell r="I63">
            <v>6</v>
          </cell>
          <cell r="J63"/>
        </row>
        <row r="64">
          <cell r="C64">
            <v>5.0999999999999996</v>
          </cell>
          <cell r="D64">
            <v>27.773265580596355</v>
          </cell>
          <cell r="F64"/>
          <cell r="G64"/>
          <cell r="H64"/>
          <cell r="I64">
            <v>6</v>
          </cell>
          <cell r="J64"/>
        </row>
        <row r="65">
          <cell r="C65">
            <v>8.5</v>
          </cell>
          <cell r="D65">
            <v>34.250806171891597</v>
          </cell>
          <cell r="F65"/>
          <cell r="G65"/>
          <cell r="H65"/>
          <cell r="I65">
            <v>6</v>
          </cell>
          <cell r="J65"/>
        </row>
        <row r="66">
          <cell r="C66">
            <v>12.75</v>
          </cell>
          <cell r="D66">
            <v>39.661158518499626</v>
          </cell>
          <cell r="F66"/>
          <cell r="G66"/>
          <cell r="H66"/>
          <cell r="I66">
            <v>6</v>
          </cell>
          <cell r="J66"/>
        </row>
        <row r="67">
          <cell r="C67">
            <v>17</v>
          </cell>
          <cell r="D67">
            <v>43.535389560453282</v>
          </cell>
          <cell r="F67"/>
          <cell r="G67"/>
          <cell r="H67"/>
          <cell r="I67">
            <v>6</v>
          </cell>
          <cell r="J67"/>
        </row>
        <row r="68">
          <cell r="C68">
            <v>25.5</v>
          </cell>
          <cell r="D68">
            <v>49.178590903134719</v>
          </cell>
          <cell r="F68"/>
          <cell r="G68"/>
          <cell r="H68"/>
          <cell r="I68">
            <v>6</v>
          </cell>
          <cell r="J68"/>
        </row>
        <row r="69">
          <cell r="C69">
            <v>34</v>
          </cell>
          <cell r="D69">
            <v>53.226994578658328</v>
          </cell>
          <cell r="F69"/>
          <cell r="G69"/>
          <cell r="H69"/>
          <cell r="I69">
            <v>5</v>
          </cell>
          <cell r="J69">
            <v>1</v>
          </cell>
        </row>
        <row r="70">
          <cell r="C70">
            <v>51</v>
          </cell>
          <cell r="D70">
            <v>59.016342740868758</v>
          </cell>
          <cell r="F70"/>
          <cell r="G70"/>
          <cell r="H70"/>
          <cell r="I70">
            <v>4</v>
          </cell>
          <cell r="J70">
            <v>2</v>
          </cell>
        </row>
        <row r="71">
          <cell r="C71">
            <v>76.5</v>
          </cell>
          <cell r="D71">
            <v>64.781009552500748</v>
          </cell>
          <cell r="F71"/>
          <cell r="G71"/>
          <cell r="H71"/>
          <cell r="I71">
            <v>3</v>
          </cell>
          <cell r="J71">
            <v>3</v>
          </cell>
        </row>
        <row r="72">
          <cell r="C72">
            <v>102</v>
          </cell>
          <cell r="D72">
            <v>68.923431594456531</v>
          </cell>
          <cell r="F72"/>
          <cell r="G72"/>
          <cell r="H72"/>
          <cell r="I72">
            <v>2</v>
          </cell>
          <cell r="J72">
            <v>4</v>
          </cell>
        </row>
        <row r="73">
          <cell r="C73">
            <v>127.5</v>
          </cell>
          <cell r="D73">
            <v>72.103942950990486</v>
          </cell>
          <cell r="F73"/>
          <cell r="G73"/>
          <cell r="H73"/>
          <cell r="I73">
            <v>1</v>
          </cell>
          <cell r="J73">
            <v>5</v>
          </cell>
        </row>
        <row r="74">
          <cell r="C74">
            <v>153</v>
          </cell>
          <cell r="D74">
            <v>74.74003809013405</v>
          </cell>
          <cell r="F74"/>
          <cell r="G74"/>
          <cell r="H74"/>
          <cell r="I74">
            <v>0.5</v>
          </cell>
          <cell r="J74">
            <v>5.5</v>
          </cell>
        </row>
        <row r="75">
          <cell r="C75">
            <v>187</v>
          </cell>
          <cell r="D75">
            <v>77.609642525433856</v>
          </cell>
          <cell r="F75"/>
          <cell r="G75"/>
          <cell r="H75"/>
          <cell r="I75"/>
          <cell r="J75">
            <v>6</v>
          </cell>
        </row>
        <row r="76">
          <cell r="C76">
            <v>221</v>
          </cell>
          <cell r="D76">
            <v>79.994335665275713</v>
          </cell>
          <cell r="F76"/>
          <cell r="G76"/>
          <cell r="H76"/>
          <cell r="I76"/>
          <cell r="J76">
            <v>6</v>
          </cell>
        </row>
        <row r="77">
          <cell r="C77">
            <v>255</v>
          </cell>
          <cell r="D77">
            <v>82.100546804797787</v>
          </cell>
          <cell r="F77"/>
          <cell r="G77"/>
          <cell r="H77"/>
          <cell r="I77"/>
          <cell r="J77">
            <v>6</v>
          </cell>
        </row>
        <row r="78">
          <cell r="C78">
            <v>289</v>
          </cell>
          <cell r="D78">
            <v>83.885420957389968</v>
          </cell>
          <cell r="F78"/>
          <cell r="G78"/>
          <cell r="H78"/>
          <cell r="I78"/>
          <cell r="J78">
            <v>6</v>
          </cell>
        </row>
        <row r="79">
          <cell r="C79">
            <v>340</v>
          </cell>
          <cell r="D79">
            <v>86.247032860782397</v>
          </cell>
          <cell r="F79"/>
          <cell r="G79"/>
          <cell r="H79"/>
          <cell r="I79"/>
          <cell r="J79">
            <v>6</v>
          </cell>
        </row>
        <row r="80">
          <cell r="C80">
            <v>442</v>
          </cell>
          <cell r="D80">
            <v>90.122782504866933</v>
          </cell>
          <cell r="F80"/>
          <cell r="G80"/>
          <cell r="H80"/>
          <cell r="I80"/>
          <cell r="J80">
            <v>6</v>
          </cell>
        </row>
        <row r="81">
          <cell r="C81">
            <v>544</v>
          </cell>
          <cell r="D81">
            <v>93.149045658279036</v>
          </cell>
          <cell r="F81"/>
          <cell r="G81"/>
          <cell r="H81"/>
          <cell r="I81"/>
          <cell r="J81">
            <v>6</v>
          </cell>
        </row>
        <row r="82">
          <cell r="C82">
            <v>697</v>
          </cell>
          <cell r="D82">
            <v>96.770480813454071</v>
          </cell>
          <cell r="F82"/>
          <cell r="G82"/>
          <cell r="H82"/>
          <cell r="I82"/>
          <cell r="J82">
            <v>6</v>
          </cell>
        </row>
        <row r="83">
          <cell r="C83">
            <v>901</v>
          </cell>
          <cell r="D83">
            <v>100.40175326279811</v>
          </cell>
          <cell r="F83"/>
          <cell r="G83"/>
          <cell r="H83"/>
          <cell r="I83"/>
          <cell r="J83">
            <v>6</v>
          </cell>
        </row>
        <row r="84">
          <cell r="C84">
            <v>1156</v>
          </cell>
          <cell r="D84">
            <v>104.06236366727887</v>
          </cell>
          <cell r="F84"/>
          <cell r="G84"/>
          <cell r="H84"/>
          <cell r="I84"/>
          <cell r="J84">
            <v>6</v>
          </cell>
        </row>
        <row r="85">
          <cell r="C85">
            <v>1462</v>
          </cell>
          <cell r="D85">
            <v>107.42257994053838</v>
          </cell>
          <cell r="F85"/>
          <cell r="G85"/>
          <cell r="H85"/>
          <cell r="I85"/>
          <cell r="J85">
            <v>6</v>
          </cell>
        </row>
        <row r="86">
          <cell r="C86">
            <v>1870</v>
          </cell>
          <cell r="D86">
            <v>111.00691759243479</v>
          </cell>
          <cell r="F86"/>
          <cell r="G86"/>
          <cell r="H86"/>
          <cell r="I86"/>
          <cell r="J86">
            <v>6</v>
          </cell>
        </row>
        <row r="87">
          <cell r="C87">
            <v>2380</v>
          </cell>
          <cell r="D87">
            <v>114.47614359759058</v>
          </cell>
          <cell r="F87"/>
          <cell r="G87"/>
          <cell r="H87"/>
          <cell r="I87"/>
          <cell r="J87">
            <v>6</v>
          </cell>
        </row>
        <row r="88">
          <cell r="C88">
            <v>3043</v>
          </cell>
          <cell r="D88">
            <v>118.05724034557241</v>
          </cell>
          <cell r="F88"/>
          <cell r="G88"/>
          <cell r="H88"/>
          <cell r="I88"/>
          <cell r="J88">
            <v>6</v>
          </cell>
        </row>
        <row r="89">
          <cell r="C89">
            <v>3859</v>
          </cell>
          <cell r="D89">
            <v>121.49411884885473</v>
          </cell>
          <cell r="F89"/>
          <cell r="G89"/>
          <cell r="H89"/>
          <cell r="I89"/>
          <cell r="J89">
            <v>6</v>
          </cell>
        </row>
        <row r="90">
          <cell r="C90">
            <v>4930</v>
          </cell>
          <cell r="D90">
            <v>125.03100311549058</v>
          </cell>
          <cell r="F90"/>
          <cell r="G90"/>
          <cell r="H90"/>
          <cell r="I90"/>
          <cell r="J90">
            <v>6</v>
          </cell>
        </row>
        <row r="91">
          <cell r="C91">
            <v>6307</v>
          </cell>
          <cell r="D91">
            <v>128.62542789463421</v>
          </cell>
          <cell r="F91"/>
          <cell r="G91"/>
          <cell r="H91"/>
          <cell r="I91"/>
          <cell r="J91">
            <v>6</v>
          </cell>
        </row>
        <row r="92">
          <cell r="C92">
            <v>8041</v>
          </cell>
          <cell r="D92">
            <v>132.09902390525281</v>
          </cell>
          <cell r="F92"/>
          <cell r="G92"/>
          <cell r="H92"/>
          <cell r="I92"/>
          <cell r="J92">
            <v>6</v>
          </cell>
        </row>
        <row r="93">
          <cell r="C93">
            <v>10234</v>
          </cell>
          <cell r="D93">
            <v>135.61521761503846</v>
          </cell>
          <cell r="F93"/>
          <cell r="G93"/>
          <cell r="H93"/>
          <cell r="I93"/>
          <cell r="J93">
            <v>6</v>
          </cell>
        </row>
        <row r="94">
          <cell r="C94">
            <v>13039</v>
          </cell>
          <cell r="D94">
            <v>139.08794136138388</v>
          </cell>
          <cell r="F94"/>
          <cell r="G94"/>
          <cell r="H94"/>
          <cell r="I94"/>
          <cell r="J94">
            <v>6</v>
          </cell>
        </row>
        <row r="95">
          <cell r="C95">
            <v>16609</v>
          </cell>
          <cell r="D95">
            <v>142.60670974426387</v>
          </cell>
          <cell r="F95"/>
          <cell r="G95"/>
          <cell r="H95"/>
          <cell r="I95"/>
          <cell r="J95">
            <v>6</v>
          </cell>
        </row>
        <row r="96">
          <cell r="C96">
            <v>21148</v>
          </cell>
          <cell r="D96">
            <v>146.07830147206653</v>
          </cell>
          <cell r="F96"/>
          <cell r="G96"/>
          <cell r="H96"/>
          <cell r="I96"/>
          <cell r="J96">
            <v>6</v>
          </cell>
        </row>
        <row r="97">
          <cell r="C97">
            <v>26962</v>
          </cell>
          <cell r="D97">
            <v>149.61701338734093</v>
          </cell>
          <cell r="F97"/>
          <cell r="G97"/>
          <cell r="H97"/>
          <cell r="I97"/>
          <cell r="J97">
            <v>6</v>
          </cell>
        </row>
        <row r="98">
          <cell r="C98">
            <v>34357</v>
          </cell>
          <cell r="D98">
            <v>153.01012120353457</v>
          </cell>
          <cell r="F98"/>
          <cell r="G98"/>
          <cell r="H98"/>
          <cell r="I98"/>
          <cell r="J98">
            <v>6</v>
          </cell>
        </row>
        <row r="99">
          <cell r="C99">
            <v>43792</v>
          </cell>
          <cell r="D99">
            <v>154.95970315183646</v>
          </cell>
          <cell r="F99"/>
          <cell r="G99"/>
          <cell r="H99"/>
          <cell r="I99"/>
          <cell r="J99">
            <v>6</v>
          </cell>
        </row>
        <row r="100">
          <cell r="C100">
            <v>55675</v>
          </cell>
          <cell r="D100">
            <v>157.63974470288184</v>
          </cell>
          <cell r="F100"/>
          <cell r="G100"/>
          <cell r="H100"/>
          <cell r="I100"/>
          <cell r="J100">
            <v>6</v>
          </cell>
        </row>
        <row r="107">
          <cell r="C107">
            <v>0.7</v>
          </cell>
          <cell r="D107">
            <v>10.099965341977441</v>
          </cell>
          <cell r="F107"/>
          <cell r="G107"/>
          <cell r="H107">
            <v>2</v>
          </cell>
          <cell r="I107">
            <v>4</v>
          </cell>
          <cell r="J107"/>
        </row>
        <row r="108">
          <cell r="C108">
            <v>2.0999999999999996</v>
          </cell>
          <cell r="D108">
            <v>19.800198258084681</v>
          </cell>
          <cell r="F108"/>
          <cell r="G108"/>
          <cell r="H108"/>
          <cell r="I108">
            <v>6</v>
          </cell>
          <cell r="J108"/>
        </row>
        <row r="109">
          <cell r="C109">
            <v>4.1999999999999993</v>
          </cell>
          <cell r="D109">
            <v>27.769105021676069</v>
          </cell>
          <cell r="F109"/>
          <cell r="G109"/>
          <cell r="H109"/>
          <cell r="I109">
            <v>6</v>
          </cell>
          <cell r="J109"/>
        </row>
        <row r="110">
          <cell r="C110">
            <v>7</v>
          </cell>
          <cell r="D110">
            <v>34.192155176139416</v>
          </cell>
          <cell r="F110"/>
          <cell r="G110"/>
          <cell r="H110"/>
          <cell r="I110">
            <v>6</v>
          </cell>
          <cell r="J110"/>
        </row>
        <row r="111">
          <cell r="C111">
            <v>10.5</v>
          </cell>
          <cell r="D111">
            <v>39.631851677253941</v>
          </cell>
          <cell r="F111"/>
          <cell r="G111"/>
          <cell r="H111"/>
          <cell r="I111">
            <v>6</v>
          </cell>
          <cell r="J111"/>
        </row>
        <row r="112">
          <cell r="C112">
            <v>14</v>
          </cell>
          <cell r="D112">
            <v>43.484929789964411</v>
          </cell>
          <cell r="F112"/>
          <cell r="G112"/>
          <cell r="H112"/>
          <cell r="I112">
            <v>6</v>
          </cell>
          <cell r="J112"/>
        </row>
        <row r="113">
          <cell r="C113">
            <v>21</v>
          </cell>
          <cell r="D113">
            <v>49.18886033229559</v>
          </cell>
          <cell r="F113"/>
          <cell r="G113"/>
          <cell r="H113"/>
          <cell r="I113">
            <v>6</v>
          </cell>
          <cell r="J113"/>
        </row>
        <row r="114">
          <cell r="C114">
            <v>28</v>
          </cell>
          <cell r="D114">
            <v>53.212684955585161</v>
          </cell>
          <cell r="F114"/>
          <cell r="G114"/>
          <cell r="H114"/>
          <cell r="I114">
            <v>5</v>
          </cell>
          <cell r="J114">
            <v>1</v>
          </cell>
        </row>
        <row r="115">
          <cell r="C115">
            <v>42</v>
          </cell>
          <cell r="D115">
            <v>59.09095196730258</v>
          </cell>
          <cell r="F115"/>
          <cell r="G115"/>
          <cell r="H115"/>
          <cell r="I115">
            <v>4</v>
          </cell>
          <cell r="J115">
            <v>2</v>
          </cell>
        </row>
        <row r="116">
          <cell r="C116">
            <v>62.999999999999993</v>
          </cell>
          <cell r="D116">
            <v>64.819145630244321</v>
          </cell>
          <cell r="F116"/>
          <cell r="G116"/>
          <cell r="H116"/>
          <cell r="I116">
            <v>3</v>
          </cell>
          <cell r="J116">
            <v>3</v>
          </cell>
        </row>
        <row r="117">
          <cell r="C117">
            <v>84</v>
          </cell>
          <cell r="D117">
            <v>69.01697485309198</v>
          </cell>
          <cell r="F117"/>
          <cell r="G117"/>
          <cell r="H117"/>
          <cell r="I117">
            <v>2</v>
          </cell>
          <cell r="J117">
            <v>4</v>
          </cell>
        </row>
        <row r="118">
          <cell r="C118">
            <v>105</v>
          </cell>
          <cell r="D118">
            <v>72.23150684883845</v>
          </cell>
          <cell r="F118"/>
          <cell r="G118"/>
          <cell r="H118"/>
          <cell r="I118">
            <v>1</v>
          </cell>
          <cell r="J118">
            <v>5</v>
          </cell>
        </row>
        <row r="119">
          <cell r="C119">
            <v>125.99999999999999</v>
          </cell>
          <cell r="D119">
            <v>74.840792411391348</v>
          </cell>
          <cell r="F119"/>
          <cell r="G119"/>
          <cell r="H119"/>
          <cell r="I119">
            <v>0.5</v>
          </cell>
          <cell r="J119">
            <v>5.5</v>
          </cell>
        </row>
        <row r="120">
          <cell r="C120">
            <v>154</v>
          </cell>
          <cell r="D120">
            <v>77.697893604818219</v>
          </cell>
          <cell r="F120"/>
          <cell r="G120"/>
          <cell r="H120"/>
          <cell r="I120"/>
          <cell r="J120">
            <v>6</v>
          </cell>
        </row>
        <row r="121">
          <cell r="C121">
            <v>182</v>
          </cell>
          <cell r="D121">
            <v>80.134867890916794</v>
          </cell>
          <cell r="F121"/>
          <cell r="G121"/>
          <cell r="H121"/>
          <cell r="I121"/>
          <cell r="J121">
            <v>6</v>
          </cell>
        </row>
        <row r="122">
          <cell r="C122">
            <v>210</v>
          </cell>
          <cell r="D122">
            <v>82.238672852681816</v>
          </cell>
          <cell r="F122"/>
          <cell r="G122"/>
          <cell r="H122"/>
          <cell r="I122"/>
          <cell r="J122">
            <v>6</v>
          </cell>
        </row>
        <row r="123">
          <cell r="C123">
            <v>237.99999999999997</v>
          </cell>
          <cell r="D123">
            <v>84.043767921022209</v>
          </cell>
          <cell r="F123"/>
          <cell r="G123"/>
          <cell r="H123"/>
          <cell r="I123"/>
          <cell r="J123">
            <v>6</v>
          </cell>
        </row>
        <row r="124">
          <cell r="C124">
            <v>280</v>
          </cell>
          <cell r="D124">
            <v>86.385105215793828</v>
          </cell>
          <cell r="F124"/>
          <cell r="G124"/>
          <cell r="H124"/>
          <cell r="I124"/>
          <cell r="J124">
            <v>6</v>
          </cell>
        </row>
        <row r="125">
          <cell r="C125">
            <v>364</v>
          </cell>
          <cell r="D125">
            <v>90.406191748048585</v>
          </cell>
          <cell r="F125"/>
          <cell r="G125"/>
          <cell r="H125"/>
          <cell r="I125"/>
          <cell r="J125">
            <v>6</v>
          </cell>
        </row>
        <row r="126">
          <cell r="C126">
            <v>448</v>
          </cell>
          <cell r="D126">
            <v>93.471491811086082</v>
          </cell>
          <cell r="F126"/>
          <cell r="G126"/>
          <cell r="H126"/>
          <cell r="I126"/>
          <cell r="J126">
            <v>6</v>
          </cell>
        </row>
        <row r="127">
          <cell r="C127">
            <v>574</v>
          </cell>
          <cell r="D127">
            <v>97.107381566993553</v>
          </cell>
          <cell r="F127"/>
          <cell r="G127"/>
          <cell r="H127"/>
          <cell r="I127"/>
          <cell r="J127">
            <v>6</v>
          </cell>
        </row>
        <row r="128">
          <cell r="C128">
            <v>742</v>
          </cell>
          <cell r="D128">
            <v>100.71243145193914</v>
          </cell>
          <cell r="F128"/>
          <cell r="G128"/>
          <cell r="H128"/>
          <cell r="I128"/>
          <cell r="J128">
            <v>6</v>
          </cell>
        </row>
        <row r="129">
          <cell r="C129">
            <v>951.99999999999989</v>
          </cell>
          <cell r="D129">
            <v>104.39233713204413</v>
          </cell>
          <cell r="F129"/>
          <cell r="G129"/>
          <cell r="H129"/>
          <cell r="I129"/>
          <cell r="J129">
            <v>6</v>
          </cell>
        </row>
        <row r="130">
          <cell r="C130">
            <v>1204</v>
          </cell>
          <cell r="D130">
            <v>107.81562240612369</v>
          </cell>
          <cell r="F130"/>
          <cell r="G130"/>
          <cell r="H130"/>
          <cell r="I130"/>
          <cell r="J130">
            <v>6</v>
          </cell>
        </row>
        <row r="131">
          <cell r="C131">
            <v>1540</v>
          </cell>
          <cell r="D131">
            <v>111.36292001894914</v>
          </cell>
          <cell r="F131"/>
          <cell r="G131"/>
          <cell r="H131"/>
          <cell r="I131"/>
          <cell r="J131">
            <v>6</v>
          </cell>
        </row>
        <row r="132">
          <cell r="C132">
            <v>1959.9999999999998</v>
          </cell>
          <cell r="D132">
            <v>114.91934497223426</v>
          </cell>
          <cell r="F132"/>
          <cell r="G132"/>
          <cell r="H132"/>
          <cell r="I132"/>
          <cell r="J132">
            <v>6</v>
          </cell>
        </row>
        <row r="133">
          <cell r="C133">
            <v>2506</v>
          </cell>
          <cell r="D133">
            <v>118.44741987029688</v>
          </cell>
          <cell r="F133"/>
          <cell r="G133"/>
          <cell r="H133"/>
          <cell r="I133"/>
          <cell r="J133">
            <v>6</v>
          </cell>
        </row>
        <row r="134">
          <cell r="C134">
            <v>3178</v>
          </cell>
          <cell r="D134">
            <v>121.97211685892326</v>
          </cell>
          <cell r="F134"/>
          <cell r="G134"/>
          <cell r="H134"/>
          <cell r="I134"/>
          <cell r="J134">
            <v>6</v>
          </cell>
        </row>
        <row r="135">
          <cell r="C135">
            <v>4059.9999999999995</v>
          </cell>
          <cell r="D135">
            <v>125.41953077529134</v>
          </cell>
          <cell r="F135"/>
          <cell r="G135"/>
          <cell r="H135"/>
          <cell r="I135"/>
          <cell r="J135">
            <v>6</v>
          </cell>
        </row>
        <row r="136">
          <cell r="C136">
            <v>5194</v>
          </cell>
          <cell r="D136">
            <v>129.09045404756728</v>
          </cell>
          <cell r="F136"/>
          <cell r="G136"/>
          <cell r="H136"/>
          <cell r="I136"/>
          <cell r="J136">
            <v>6</v>
          </cell>
        </row>
        <row r="137">
          <cell r="C137">
            <v>6622</v>
          </cell>
          <cell r="D137">
            <v>132.53488795708068</v>
          </cell>
          <cell r="F137"/>
          <cell r="G137"/>
          <cell r="H137"/>
          <cell r="I137"/>
          <cell r="J137">
            <v>6</v>
          </cell>
        </row>
        <row r="138">
          <cell r="C138">
            <v>8428</v>
          </cell>
          <cell r="D138">
            <v>136.07141427598387</v>
          </cell>
          <cell r="F138"/>
          <cell r="G138"/>
          <cell r="H138"/>
          <cell r="I138"/>
          <cell r="J138">
            <v>6</v>
          </cell>
        </row>
        <row r="139">
          <cell r="C139">
            <v>10738</v>
          </cell>
          <cell r="D139">
            <v>139.56936219880694</v>
          </cell>
          <cell r="F139"/>
          <cell r="G139"/>
          <cell r="H139"/>
          <cell r="I139"/>
          <cell r="J139">
            <v>6</v>
          </cell>
        </row>
        <row r="140">
          <cell r="C140">
            <v>13678</v>
          </cell>
          <cell r="D140">
            <v>143.08413721822018</v>
          </cell>
          <cell r="F140"/>
          <cell r="G140"/>
          <cell r="H140"/>
          <cell r="I140"/>
          <cell r="J140">
            <v>6</v>
          </cell>
        </row>
        <row r="141">
          <cell r="C141">
            <v>17416</v>
          </cell>
          <cell r="D141">
            <v>146.62302564097175</v>
          </cell>
          <cell r="F141"/>
          <cell r="G141"/>
          <cell r="H141"/>
          <cell r="I141"/>
          <cell r="J141">
            <v>6</v>
          </cell>
        </row>
        <row r="142">
          <cell r="C142">
            <v>22204</v>
          </cell>
          <cell r="D142">
            <v>150.12999034316616</v>
          </cell>
          <cell r="F142"/>
          <cell r="G142"/>
          <cell r="H142"/>
          <cell r="I142"/>
          <cell r="J142">
            <v>6</v>
          </cell>
        </row>
        <row r="143">
          <cell r="C143">
            <v>28294</v>
          </cell>
          <cell r="D143">
            <v>153.11600330857166</v>
          </cell>
          <cell r="F143"/>
          <cell r="G143"/>
          <cell r="H143"/>
          <cell r="I143"/>
          <cell r="J143">
            <v>6</v>
          </cell>
        </row>
        <row r="144">
          <cell r="C144">
            <v>36064</v>
          </cell>
          <cell r="D144">
            <v>154.20294442048996</v>
          </cell>
          <cell r="F144"/>
          <cell r="G144"/>
          <cell r="H144"/>
          <cell r="I144"/>
          <cell r="J144">
            <v>6</v>
          </cell>
        </row>
        <row r="145">
          <cell r="C145">
            <v>45850</v>
          </cell>
          <cell r="D145">
            <v>155.2512378743358</v>
          </cell>
          <cell r="F145"/>
          <cell r="G145"/>
          <cell r="H145"/>
          <cell r="I145"/>
          <cell r="J145">
            <v>6</v>
          </cell>
        </row>
        <row r="152">
          <cell r="C152">
            <v>0.5</v>
          </cell>
          <cell r="D152">
            <v>10.00263241450434</v>
          </cell>
          <cell r="F152"/>
          <cell r="G152"/>
          <cell r="H152"/>
          <cell r="I152">
            <v>6</v>
          </cell>
          <cell r="J152"/>
        </row>
        <row r="153">
          <cell r="C153">
            <v>1.5</v>
          </cell>
          <cell r="D153">
            <v>19.43005414991557</v>
          </cell>
          <cell r="F153"/>
          <cell r="G153"/>
          <cell r="H153"/>
          <cell r="I153">
            <v>6</v>
          </cell>
          <cell r="J153"/>
        </row>
        <row r="154">
          <cell r="C154">
            <v>3</v>
          </cell>
          <cell r="D154">
            <v>27.324610510337703</v>
          </cell>
          <cell r="F154"/>
          <cell r="G154"/>
          <cell r="H154"/>
          <cell r="I154">
            <v>6</v>
          </cell>
          <cell r="J154"/>
        </row>
        <row r="155">
          <cell r="C155">
            <v>5</v>
          </cell>
          <cell r="D155">
            <v>33.672145166817529</v>
          </cell>
          <cell r="F155"/>
          <cell r="G155"/>
          <cell r="H155"/>
          <cell r="I155">
            <v>6</v>
          </cell>
          <cell r="J155"/>
        </row>
        <row r="156">
          <cell r="C156">
            <v>7.5</v>
          </cell>
          <cell r="D156">
            <v>39.138098927718012</v>
          </cell>
          <cell r="F156"/>
          <cell r="G156"/>
          <cell r="H156"/>
          <cell r="I156">
            <v>6</v>
          </cell>
          <cell r="J156"/>
        </row>
        <row r="157">
          <cell r="C157">
            <v>10</v>
          </cell>
          <cell r="D157">
            <v>42.970748198558951</v>
          </cell>
          <cell r="F157"/>
          <cell r="G157"/>
          <cell r="H157"/>
          <cell r="I157">
            <v>6</v>
          </cell>
          <cell r="J157"/>
        </row>
        <row r="158">
          <cell r="C158">
            <v>15</v>
          </cell>
          <cell r="D158">
            <v>48.731413734867289</v>
          </cell>
          <cell r="F158"/>
          <cell r="G158"/>
          <cell r="H158"/>
          <cell r="I158">
            <v>6</v>
          </cell>
          <cell r="J158"/>
        </row>
        <row r="159">
          <cell r="C159">
            <v>20</v>
          </cell>
          <cell r="D159">
            <v>52.769987980532711</v>
          </cell>
          <cell r="F159"/>
          <cell r="G159"/>
          <cell r="H159"/>
          <cell r="I159">
            <v>5</v>
          </cell>
          <cell r="J159">
            <v>1</v>
          </cell>
        </row>
        <row r="160">
          <cell r="C160">
            <v>30</v>
          </cell>
          <cell r="D160">
            <v>58.701446767877648</v>
          </cell>
          <cell r="F160"/>
          <cell r="G160"/>
          <cell r="H160"/>
          <cell r="I160">
            <v>4</v>
          </cell>
          <cell r="J160">
            <v>2</v>
          </cell>
        </row>
        <row r="161">
          <cell r="C161">
            <v>45</v>
          </cell>
          <cell r="D161">
            <v>64.399012521055653</v>
          </cell>
          <cell r="F161"/>
          <cell r="G161"/>
          <cell r="H161"/>
          <cell r="I161">
            <v>3</v>
          </cell>
          <cell r="J161">
            <v>3</v>
          </cell>
        </row>
        <row r="162">
          <cell r="C162">
            <v>60</v>
          </cell>
          <cell r="D162">
            <v>68.627579426319684</v>
          </cell>
          <cell r="F162"/>
          <cell r="G162"/>
          <cell r="H162"/>
          <cell r="I162">
            <v>2</v>
          </cell>
          <cell r="J162">
            <v>4</v>
          </cell>
        </row>
        <row r="163">
          <cell r="C163">
            <v>75</v>
          </cell>
          <cell r="D163">
            <v>71.882008108111634</v>
          </cell>
          <cell r="F163"/>
          <cell r="G163"/>
          <cell r="H163"/>
          <cell r="I163">
            <v>1</v>
          </cell>
          <cell r="J163">
            <v>5</v>
          </cell>
        </row>
        <row r="164">
          <cell r="C164">
            <v>90</v>
          </cell>
          <cell r="D164">
            <v>74.493385467679886</v>
          </cell>
          <cell r="F164"/>
          <cell r="G164"/>
          <cell r="H164"/>
          <cell r="I164">
            <v>0.5</v>
          </cell>
          <cell r="J164">
            <v>5.5</v>
          </cell>
        </row>
        <row r="165">
          <cell r="C165">
            <v>110</v>
          </cell>
          <cell r="D165">
            <v>77.332919927503724</v>
          </cell>
          <cell r="F165"/>
          <cell r="G165"/>
          <cell r="H165"/>
          <cell r="I165"/>
          <cell r="J165">
            <v>6</v>
          </cell>
        </row>
        <row r="166">
          <cell r="C166">
            <v>130</v>
          </cell>
          <cell r="D166">
            <v>79.813360188853366</v>
          </cell>
          <cell r="F166"/>
          <cell r="G166"/>
          <cell r="H166"/>
          <cell r="I166"/>
          <cell r="J166">
            <v>6</v>
          </cell>
        </row>
        <row r="167">
          <cell r="C167">
            <v>150</v>
          </cell>
          <cell r="D167">
            <v>81.919202803497143</v>
          </cell>
          <cell r="F167"/>
          <cell r="G167"/>
          <cell r="H167"/>
          <cell r="I167"/>
          <cell r="J167">
            <v>6</v>
          </cell>
        </row>
        <row r="168">
          <cell r="C168">
            <v>170</v>
          </cell>
          <cell r="D168">
            <v>83.738783536778797</v>
          </cell>
          <cell r="F168"/>
          <cell r="G168"/>
          <cell r="H168"/>
          <cell r="I168"/>
          <cell r="J168">
            <v>6</v>
          </cell>
        </row>
        <row r="169">
          <cell r="C169">
            <v>200</v>
          </cell>
          <cell r="D169">
            <v>86.045919706798657</v>
          </cell>
          <cell r="F169"/>
          <cell r="G169"/>
          <cell r="H169"/>
          <cell r="I169"/>
          <cell r="J169">
            <v>6</v>
          </cell>
        </row>
        <row r="170">
          <cell r="C170">
            <v>260</v>
          </cell>
          <cell r="D170">
            <v>90.288435080379244</v>
          </cell>
          <cell r="F170"/>
          <cell r="G170"/>
          <cell r="H170"/>
          <cell r="I170"/>
          <cell r="J170">
            <v>6</v>
          </cell>
        </row>
        <row r="171">
          <cell r="C171">
            <v>320</v>
          </cell>
          <cell r="D171">
            <v>93.400072017025948</v>
          </cell>
          <cell r="F171"/>
          <cell r="G171"/>
          <cell r="H171"/>
          <cell r="I171"/>
          <cell r="J171">
            <v>6</v>
          </cell>
        </row>
        <row r="172">
          <cell r="C172">
            <v>410</v>
          </cell>
          <cell r="D172">
            <v>97.006001686863456</v>
          </cell>
          <cell r="F172"/>
          <cell r="G172"/>
          <cell r="H172"/>
          <cell r="I172"/>
          <cell r="J172">
            <v>6</v>
          </cell>
        </row>
        <row r="173">
          <cell r="C173">
            <v>530</v>
          </cell>
          <cell r="D173">
            <v>100.64473135315967</v>
          </cell>
          <cell r="F173"/>
          <cell r="G173"/>
          <cell r="H173"/>
          <cell r="I173"/>
          <cell r="J173">
            <v>6</v>
          </cell>
        </row>
        <row r="174">
          <cell r="C174">
            <v>680</v>
          </cell>
          <cell r="D174">
            <v>104.30731379164318</v>
          </cell>
          <cell r="F174"/>
          <cell r="G174"/>
          <cell r="H174"/>
          <cell r="I174"/>
          <cell r="J174">
            <v>6</v>
          </cell>
        </row>
        <row r="175">
          <cell r="C175">
            <v>860</v>
          </cell>
          <cell r="D175">
            <v>107.78950972208385</v>
          </cell>
          <cell r="F175"/>
          <cell r="G175"/>
          <cell r="H175"/>
          <cell r="I175"/>
          <cell r="J175">
            <v>6</v>
          </cell>
        </row>
        <row r="176">
          <cell r="C176">
            <v>1100</v>
          </cell>
          <cell r="D176">
            <v>111.29737083030383</v>
          </cell>
          <cell r="F176"/>
          <cell r="G176"/>
          <cell r="H176"/>
          <cell r="I176"/>
          <cell r="J176">
            <v>6</v>
          </cell>
        </row>
        <row r="177">
          <cell r="C177">
            <v>1400</v>
          </cell>
          <cell r="D177">
            <v>114.91888401282834</v>
          </cell>
          <cell r="F177"/>
          <cell r="G177"/>
          <cell r="H177"/>
          <cell r="I177"/>
          <cell r="J177">
            <v>6</v>
          </cell>
        </row>
        <row r="178">
          <cell r="C178">
            <v>1790</v>
          </cell>
          <cell r="D178">
            <v>118.4172728380062</v>
          </cell>
          <cell r="F178"/>
          <cell r="G178"/>
          <cell r="H178"/>
          <cell r="I178"/>
          <cell r="J178">
            <v>6</v>
          </cell>
        </row>
        <row r="179">
          <cell r="C179">
            <v>2270</v>
          </cell>
          <cell r="D179">
            <v>121.99245722798884</v>
          </cell>
          <cell r="F179"/>
          <cell r="G179"/>
          <cell r="H179"/>
          <cell r="I179"/>
          <cell r="J179">
            <v>6</v>
          </cell>
        </row>
        <row r="180">
          <cell r="C180">
            <v>2900</v>
          </cell>
          <cell r="D180">
            <v>125.43876546297123</v>
          </cell>
          <cell r="F180"/>
          <cell r="G180"/>
          <cell r="H180"/>
          <cell r="I180"/>
          <cell r="J180">
            <v>6</v>
          </cell>
        </row>
        <row r="181">
          <cell r="C181">
            <v>3710</v>
          </cell>
          <cell r="D181">
            <v>129.12105302323599</v>
          </cell>
          <cell r="F181"/>
          <cell r="G181"/>
          <cell r="H181"/>
          <cell r="I181"/>
          <cell r="J181">
            <v>6</v>
          </cell>
        </row>
        <row r="182">
          <cell r="C182">
            <v>4730</v>
          </cell>
          <cell r="D182">
            <v>132.61179169042359</v>
          </cell>
          <cell r="F182"/>
          <cell r="G182"/>
          <cell r="H182"/>
          <cell r="I182"/>
          <cell r="J182">
            <v>6</v>
          </cell>
        </row>
        <row r="183">
          <cell r="C183">
            <v>6020</v>
          </cell>
          <cell r="D183">
            <v>136.12035534953262</v>
          </cell>
          <cell r="F183"/>
          <cell r="G183"/>
          <cell r="H183"/>
          <cell r="I183"/>
          <cell r="J183">
            <v>6</v>
          </cell>
        </row>
        <row r="184">
          <cell r="C184">
            <v>7670</v>
          </cell>
          <cell r="D184">
            <v>139.6793621861803</v>
          </cell>
          <cell r="F184"/>
          <cell r="G184"/>
          <cell r="H184"/>
          <cell r="I184"/>
          <cell r="J184">
            <v>6</v>
          </cell>
        </row>
        <row r="185">
          <cell r="C185">
            <v>9770</v>
          </cell>
          <cell r="D185">
            <v>143.14123736077869</v>
          </cell>
          <cell r="F185"/>
          <cell r="G185"/>
          <cell r="H185"/>
          <cell r="I185"/>
          <cell r="J185">
            <v>6</v>
          </cell>
        </row>
        <row r="186">
          <cell r="C186">
            <v>12440</v>
          </cell>
          <cell r="D186">
            <v>146.75578521325724</v>
          </cell>
          <cell r="F186"/>
          <cell r="G186"/>
          <cell r="H186"/>
          <cell r="I186"/>
          <cell r="J186">
            <v>6</v>
          </cell>
        </row>
        <row r="187">
          <cell r="C187">
            <v>15860</v>
          </cell>
          <cell r="D187">
            <v>150.21349802228445</v>
          </cell>
          <cell r="F187"/>
          <cell r="G187"/>
          <cell r="H187"/>
          <cell r="I187"/>
          <cell r="J187">
            <v>6</v>
          </cell>
        </row>
        <row r="188">
          <cell r="C188">
            <v>20210</v>
          </cell>
          <cell r="D188">
            <v>152.32856849044819</v>
          </cell>
          <cell r="F188"/>
          <cell r="G188"/>
          <cell r="H188"/>
          <cell r="I188"/>
          <cell r="J188">
            <v>6</v>
          </cell>
        </row>
        <row r="189">
          <cell r="C189">
            <v>25760</v>
          </cell>
          <cell r="D189">
            <v>153.15627769682186</v>
          </cell>
          <cell r="F189"/>
          <cell r="G189"/>
          <cell r="H189"/>
          <cell r="I189"/>
          <cell r="J189">
            <v>6</v>
          </cell>
        </row>
        <row r="190">
          <cell r="C190">
            <v>32750</v>
          </cell>
          <cell r="D190">
            <v>153.85863088955028</v>
          </cell>
          <cell r="F190"/>
          <cell r="G190"/>
          <cell r="H190"/>
          <cell r="I190"/>
          <cell r="J190">
            <v>6</v>
          </cell>
        </row>
        <row r="197">
          <cell r="C197">
            <v>0.27500000000000002</v>
          </cell>
          <cell r="D197">
            <v>10.040470049930473</v>
          </cell>
          <cell r="F197"/>
          <cell r="G197"/>
          <cell r="H197"/>
          <cell r="I197">
            <v>6</v>
          </cell>
          <cell r="J197"/>
        </row>
        <row r="198">
          <cell r="C198">
            <v>0.82500000000000007</v>
          </cell>
          <cell r="D198">
            <v>19.288856680060892</v>
          </cell>
          <cell r="F198"/>
          <cell r="G198"/>
          <cell r="H198"/>
          <cell r="I198">
            <v>6</v>
          </cell>
          <cell r="J198"/>
        </row>
        <row r="199">
          <cell r="C199">
            <v>1.6500000000000001</v>
          </cell>
          <cell r="D199">
            <v>27.144641112884834</v>
          </cell>
          <cell r="F199"/>
          <cell r="G199"/>
          <cell r="H199"/>
          <cell r="I199">
            <v>6</v>
          </cell>
          <cell r="J199"/>
        </row>
        <row r="200">
          <cell r="C200">
            <v>2.75</v>
          </cell>
          <cell r="D200">
            <v>33.399598377161809</v>
          </cell>
          <cell r="F200"/>
          <cell r="G200"/>
          <cell r="H200"/>
          <cell r="I200">
            <v>6</v>
          </cell>
          <cell r="J200"/>
        </row>
        <row r="201">
          <cell r="C201">
            <v>4.125</v>
          </cell>
          <cell r="D201">
            <v>38.848984787984186</v>
          </cell>
          <cell r="F201"/>
          <cell r="G201"/>
          <cell r="H201"/>
          <cell r="I201">
            <v>6</v>
          </cell>
          <cell r="J201"/>
        </row>
        <row r="202">
          <cell r="C202">
            <v>5.5</v>
          </cell>
          <cell r="D202">
            <v>42.643360270022924</v>
          </cell>
          <cell r="F202"/>
          <cell r="G202"/>
          <cell r="H202"/>
          <cell r="I202">
            <v>6</v>
          </cell>
          <cell r="J202"/>
        </row>
        <row r="203">
          <cell r="C203">
            <v>8.25</v>
          </cell>
          <cell r="D203">
            <v>48.493134765265182</v>
          </cell>
          <cell r="F203"/>
          <cell r="G203"/>
          <cell r="H203"/>
          <cell r="I203">
            <v>6</v>
          </cell>
          <cell r="J203"/>
        </row>
        <row r="204">
          <cell r="C204">
            <v>11</v>
          </cell>
          <cell r="D204">
            <v>52.559419343629337</v>
          </cell>
          <cell r="F204"/>
          <cell r="G204"/>
          <cell r="H204"/>
          <cell r="I204">
            <v>5</v>
          </cell>
          <cell r="J204">
            <v>1</v>
          </cell>
        </row>
        <row r="205">
          <cell r="C205">
            <v>16.5</v>
          </cell>
          <cell r="D205">
            <v>58.560986008166232</v>
          </cell>
          <cell r="F205"/>
          <cell r="G205"/>
          <cell r="H205"/>
          <cell r="I205">
            <v>4</v>
          </cell>
          <cell r="J205">
            <v>2</v>
          </cell>
        </row>
        <row r="206">
          <cell r="C206">
            <v>24.750000000000004</v>
          </cell>
          <cell r="D206">
            <v>64.247064283227857</v>
          </cell>
          <cell r="F206"/>
          <cell r="G206"/>
          <cell r="H206"/>
          <cell r="I206">
            <v>3</v>
          </cell>
          <cell r="J206">
            <v>3</v>
          </cell>
        </row>
        <row r="207">
          <cell r="C207">
            <v>33</v>
          </cell>
          <cell r="D207">
            <v>68.518369035696878</v>
          </cell>
          <cell r="F207"/>
          <cell r="G207"/>
          <cell r="H207"/>
          <cell r="I207">
            <v>2</v>
          </cell>
          <cell r="J207">
            <v>4</v>
          </cell>
        </row>
        <row r="208">
          <cell r="C208">
            <v>41.25</v>
          </cell>
          <cell r="D208">
            <v>71.7664716439551</v>
          </cell>
          <cell r="F208"/>
          <cell r="G208"/>
          <cell r="H208"/>
          <cell r="I208">
            <v>1</v>
          </cell>
          <cell r="J208">
            <v>5</v>
          </cell>
        </row>
        <row r="209">
          <cell r="C209">
            <v>49.500000000000007</v>
          </cell>
          <cell r="D209">
            <v>74.370993278111257</v>
          </cell>
          <cell r="F209"/>
          <cell r="G209"/>
          <cell r="H209"/>
          <cell r="I209">
            <v>0.5</v>
          </cell>
          <cell r="J209">
            <v>5.5</v>
          </cell>
        </row>
        <row r="210">
          <cell r="C210">
            <v>60.500000000000007</v>
          </cell>
          <cell r="D210">
            <v>77.234275947206214</v>
          </cell>
          <cell r="F210"/>
          <cell r="G210"/>
          <cell r="H210"/>
          <cell r="I210"/>
          <cell r="J210">
            <v>6</v>
          </cell>
        </row>
        <row r="211">
          <cell r="C211">
            <v>71.5</v>
          </cell>
          <cell r="D211">
            <v>79.725666247801229</v>
          </cell>
          <cell r="F211"/>
          <cell r="G211"/>
          <cell r="H211"/>
          <cell r="I211"/>
          <cell r="J211">
            <v>6</v>
          </cell>
        </row>
        <row r="212">
          <cell r="C212">
            <v>82.5</v>
          </cell>
          <cell r="D212">
            <v>81.863982387630472</v>
          </cell>
          <cell r="F212"/>
          <cell r="G212"/>
          <cell r="H212"/>
          <cell r="I212"/>
          <cell r="J212">
            <v>6</v>
          </cell>
        </row>
        <row r="213">
          <cell r="C213">
            <v>93.500000000000014</v>
          </cell>
          <cell r="D213">
            <v>83.667042947574714</v>
          </cell>
          <cell r="F213"/>
          <cell r="G213"/>
          <cell r="H213"/>
          <cell r="I213"/>
          <cell r="J213">
            <v>6</v>
          </cell>
        </row>
        <row r="214">
          <cell r="C214">
            <v>110.00000000000001</v>
          </cell>
          <cell r="D214">
            <v>86.154780808490059</v>
          </cell>
          <cell r="F214"/>
          <cell r="G214"/>
          <cell r="H214"/>
          <cell r="I214"/>
          <cell r="J214">
            <v>6</v>
          </cell>
        </row>
        <row r="215">
          <cell r="C215">
            <v>143</v>
          </cell>
          <cell r="D215">
            <v>90.480184629206022</v>
          </cell>
          <cell r="F215"/>
          <cell r="G215"/>
          <cell r="H215"/>
          <cell r="I215"/>
          <cell r="J215">
            <v>6</v>
          </cell>
        </row>
        <row r="216">
          <cell r="C216">
            <v>176</v>
          </cell>
          <cell r="D216">
            <v>93.6774218048877</v>
          </cell>
          <cell r="F216"/>
          <cell r="G216"/>
          <cell r="H216"/>
          <cell r="I216"/>
          <cell r="J216">
            <v>6</v>
          </cell>
        </row>
        <row r="217">
          <cell r="C217">
            <v>225.50000000000003</v>
          </cell>
          <cell r="D217">
            <v>97.125654465362558</v>
          </cell>
          <cell r="F217"/>
          <cell r="G217"/>
          <cell r="H217"/>
          <cell r="I217"/>
          <cell r="J217">
            <v>6</v>
          </cell>
        </row>
        <row r="218">
          <cell r="C218">
            <v>291.5</v>
          </cell>
          <cell r="D218">
            <v>100.89689545435591</v>
          </cell>
          <cell r="F218"/>
          <cell r="G218"/>
          <cell r="H218"/>
          <cell r="I218"/>
          <cell r="J218">
            <v>6</v>
          </cell>
        </row>
        <row r="219">
          <cell r="C219">
            <v>374.00000000000006</v>
          </cell>
          <cell r="D219">
            <v>104.52148587104635</v>
          </cell>
          <cell r="F219"/>
          <cell r="G219"/>
          <cell r="H219"/>
          <cell r="I219"/>
          <cell r="J219">
            <v>6</v>
          </cell>
        </row>
        <row r="220">
          <cell r="C220">
            <v>473.00000000000006</v>
          </cell>
          <cell r="D220">
            <v>108.05586950728798</v>
          </cell>
          <cell r="F220"/>
          <cell r="G220"/>
          <cell r="H220"/>
          <cell r="I220"/>
          <cell r="J220">
            <v>6</v>
          </cell>
        </row>
        <row r="221">
          <cell r="C221">
            <v>605</v>
          </cell>
          <cell r="D221">
            <v>111.54601176466306</v>
          </cell>
          <cell r="F221"/>
          <cell r="G221"/>
          <cell r="H221"/>
          <cell r="I221"/>
          <cell r="J221">
            <v>6</v>
          </cell>
        </row>
        <row r="222">
          <cell r="C222">
            <v>770.00000000000011</v>
          </cell>
          <cell r="D222">
            <v>115.20444967370992</v>
          </cell>
          <cell r="F222"/>
          <cell r="G222"/>
          <cell r="H222"/>
          <cell r="I222"/>
          <cell r="J222">
            <v>6</v>
          </cell>
        </row>
        <row r="223">
          <cell r="C223">
            <v>984.50000000000011</v>
          </cell>
          <cell r="D223">
            <v>118.75432507225094</v>
          </cell>
          <cell r="F223"/>
          <cell r="G223"/>
          <cell r="H223"/>
          <cell r="I223"/>
          <cell r="J223">
            <v>6</v>
          </cell>
        </row>
        <row r="224">
          <cell r="C224">
            <v>1248.5</v>
          </cell>
          <cell r="D224">
            <v>122.26514676047371</v>
          </cell>
          <cell r="F224"/>
          <cell r="G224"/>
          <cell r="H224"/>
          <cell r="I224"/>
          <cell r="J224">
            <v>6</v>
          </cell>
        </row>
        <row r="225">
          <cell r="C225">
            <v>1595.0000000000002</v>
          </cell>
          <cell r="D225">
            <v>125.84855083483956</v>
          </cell>
          <cell r="F225"/>
          <cell r="G225"/>
          <cell r="H225"/>
          <cell r="I225"/>
          <cell r="J225">
            <v>6</v>
          </cell>
        </row>
        <row r="226">
          <cell r="C226">
            <v>2040.5000000000002</v>
          </cell>
          <cell r="D226">
            <v>129.43528964176323</v>
          </cell>
          <cell r="F226"/>
          <cell r="G226"/>
          <cell r="H226"/>
          <cell r="I226"/>
          <cell r="J226">
            <v>6</v>
          </cell>
        </row>
        <row r="227">
          <cell r="C227">
            <v>2601.5</v>
          </cell>
          <cell r="D227">
            <v>133.03192104200832</v>
          </cell>
          <cell r="F227"/>
          <cell r="G227"/>
          <cell r="H227"/>
          <cell r="I227"/>
          <cell r="J227">
            <v>6</v>
          </cell>
        </row>
        <row r="228">
          <cell r="C228">
            <v>3311.0000000000005</v>
          </cell>
          <cell r="D228">
            <v>136.45508882162355</v>
          </cell>
          <cell r="F228"/>
          <cell r="G228"/>
          <cell r="H228"/>
          <cell r="I228"/>
          <cell r="J228">
            <v>6</v>
          </cell>
        </row>
        <row r="229">
          <cell r="C229">
            <v>4218.5</v>
          </cell>
          <cell r="D229">
            <v>140.08772492574531</v>
          </cell>
          <cell r="F229"/>
          <cell r="G229"/>
          <cell r="H229"/>
          <cell r="I229"/>
          <cell r="J229">
            <v>6</v>
          </cell>
        </row>
        <row r="230">
          <cell r="C230">
            <v>5373.5</v>
          </cell>
          <cell r="D230">
            <v>143.51956656528549</v>
          </cell>
          <cell r="F230"/>
          <cell r="G230"/>
          <cell r="H230"/>
          <cell r="I230"/>
          <cell r="J230">
            <v>6</v>
          </cell>
        </row>
        <row r="231">
          <cell r="C231">
            <v>6842.0000000000009</v>
          </cell>
          <cell r="D231">
            <v>147.17868266109423</v>
          </cell>
          <cell r="F231"/>
          <cell r="G231"/>
          <cell r="H231"/>
          <cell r="I231"/>
          <cell r="J231">
            <v>6</v>
          </cell>
        </row>
        <row r="232">
          <cell r="C232">
            <v>8723</v>
          </cell>
          <cell r="D232">
            <v>150.49637054967232</v>
          </cell>
          <cell r="F232"/>
          <cell r="G232"/>
          <cell r="H232"/>
          <cell r="I232"/>
          <cell r="J232">
            <v>6</v>
          </cell>
        </row>
        <row r="233">
          <cell r="C233">
            <v>11115.5</v>
          </cell>
          <cell r="D233">
            <v>151.40240982411487</v>
          </cell>
          <cell r="F233"/>
          <cell r="G233"/>
          <cell r="H233"/>
          <cell r="I233"/>
          <cell r="J233">
            <v>6</v>
          </cell>
        </row>
        <row r="234">
          <cell r="C234">
            <v>14168.000000000002</v>
          </cell>
          <cell r="D234">
            <v>152.00526961196863</v>
          </cell>
          <cell r="F234"/>
          <cell r="G234"/>
          <cell r="H234"/>
          <cell r="I234"/>
          <cell r="J234">
            <v>6</v>
          </cell>
        </row>
        <row r="235">
          <cell r="C235">
            <v>18012.5</v>
          </cell>
          <cell r="D235">
            <v>152.38629594951036</v>
          </cell>
          <cell r="F235"/>
          <cell r="G235"/>
          <cell r="H235"/>
          <cell r="I235"/>
          <cell r="J235">
            <v>6</v>
          </cell>
        </row>
      </sheetData>
      <sheetData sheetId="3"/>
      <sheetData sheetId="4">
        <row r="6">
          <cell r="C6">
            <v>1</v>
          </cell>
        </row>
      </sheetData>
      <sheetData sheetId="5">
        <row r="4">
          <cell r="CC4">
            <v>80</v>
          </cell>
        </row>
      </sheetData>
      <sheetData sheetId="6">
        <row r="4">
          <cell r="D4">
            <v>0</v>
          </cell>
        </row>
      </sheetData>
      <sheetData sheetId="7">
        <row r="1">
          <cell r="I1" t="str">
            <v>10连价格</v>
          </cell>
        </row>
      </sheetData>
      <sheetData sheetId="8"/>
      <sheetData sheetId="9">
        <row r="6">
          <cell r="Q6">
            <v>1.4999999999999999E-2</v>
          </cell>
        </row>
      </sheetData>
      <sheetData sheetId="10">
        <row r="4">
          <cell r="D4">
            <v>50</v>
          </cell>
        </row>
      </sheetData>
      <sheetData sheetId="11">
        <row r="3">
          <cell r="C3" t="str">
            <v>觉醒次数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4">
          <cell r="AH4">
            <v>0.7</v>
          </cell>
          <cell r="AI4">
            <v>0.30000000000000004</v>
          </cell>
        </row>
      </sheetData>
      <sheetData sheetId="11"/>
      <sheetData sheetId="12"/>
      <sheetData sheetId="13"/>
      <sheetData sheetId="14">
        <row r="7">
          <cell r="V7">
            <v>25080.636639361823</v>
          </cell>
          <cell r="AC7">
            <v>2977611.7998948474</v>
          </cell>
          <cell r="AP7">
            <v>18561.304735696634</v>
          </cell>
          <cell r="AX7">
            <v>1983056.2797829863</v>
          </cell>
        </row>
        <row r="8">
          <cell r="V8">
            <v>32727.225836568778</v>
          </cell>
          <cell r="AC8">
            <v>4035637.4685733328</v>
          </cell>
          <cell r="AP8">
            <v>25851.742776751849</v>
          </cell>
          <cell r="AX8">
            <v>2871238.3432154572</v>
          </cell>
        </row>
        <row r="9">
          <cell r="V9">
            <v>41196.659641218583</v>
          </cell>
          <cell r="AC9">
            <v>5265153.3455594163</v>
          </cell>
          <cell r="AP9">
            <v>34520.768630342143</v>
          </cell>
          <cell r="AX9">
            <v>3977203.365341939</v>
          </cell>
        </row>
        <row r="10">
          <cell r="V10">
            <v>50992.571861278586</v>
          </cell>
          <cell r="AC10">
            <v>6741553.4956169426</v>
          </cell>
          <cell r="AP10">
            <v>45109.938262626514</v>
          </cell>
          <cell r="AX10">
            <v>5380691.6644423557</v>
          </cell>
        </row>
        <row r="11">
          <cell r="V11">
            <v>62239.956981835021</v>
          </cell>
          <cell r="AC11">
            <v>8496866.0790248848</v>
          </cell>
          <cell r="AP11">
            <v>57902.086560002666</v>
          </cell>
          <cell r="AX11">
            <v>7137626.8697135188</v>
          </cell>
        </row>
        <row r="12">
          <cell r="V12">
            <v>75061.792177346011</v>
          </cell>
          <cell r="AC12">
            <v>10564341.825347411</v>
          </cell>
          <cell r="AP12">
            <v>73199.335082244244</v>
          </cell>
          <cell r="AX12">
            <v>9310032.0847002063</v>
          </cell>
        </row>
        <row r="13">
          <cell r="V13">
            <v>89587.594714023449</v>
          </cell>
          <cell r="AC13">
            <v>12979576.661044437</v>
          </cell>
          <cell r="AP13">
            <v>91331.259638043935</v>
          </cell>
          <cell r="AX13">
            <v>11967302.547853161</v>
          </cell>
        </row>
        <row r="14">
          <cell r="V14">
            <v>105953.64013927794</v>
          </cell>
          <cell r="AC14">
            <v>15780607.599777002</v>
          </cell>
          <cell r="AP14">
            <v>112656.5277525584</v>
          </cell>
          <cell r="AX14">
            <v>15186771.839366747</v>
          </cell>
        </row>
        <row r="15">
          <cell r="V15">
            <v>123400.23913293767</v>
          </cell>
          <cell r="AC15">
            <v>18869935.456500895</v>
          </cell>
          <cell r="AP15">
            <v>136565.3207038189</v>
          </cell>
          <cell r="AX15">
            <v>18915892.697562315</v>
          </cell>
        </row>
        <row r="16">
          <cell r="V16">
            <v>143357.90046906139</v>
          </cell>
          <cell r="AC16">
            <v>22480942.804452918</v>
          </cell>
          <cell r="AP16">
            <v>164834.6404494326</v>
          </cell>
          <cell r="AX16">
            <v>23431382.793330841</v>
          </cell>
        </row>
        <row r="17">
          <cell r="V17">
            <v>169718.19053073318</v>
          </cell>
          <cell r="AC17">
            <v>26747983.308086246</v>
          </cell>
          <cell r="AP17">
            <v>197934.7061599271</v>
          </cell>
          <cell r="AX17">
            <v>28845127.993437462</v>
          </cell>
        </row>
        <row r="18">
          <cell r="V18">
            <v>198508.85454310913</v>
          </cell>
          <cell r="AC18">
            <v>30820338.923344105</v>
          </cell>
          <cell r="AP18">
            <v>225881.09802324226</v>
          </cell>
          <cell r="AX18">
            <v>33055298.453391522</v>
          </cell>
        </row>
        <row r="19">
          <cell r="V19">
            <v>230795.87343231018</v>
          </cell>
          <cell r="AC19">
            <v>35321461.591771647</v>
          </cell>
          <cell r="AP19">
            <v>256986.4045238767</v>
          </cell>
          <cell r="AX19">
            <v>37760970.341286592</v>
          </cell>
        </row>
        <row r="20">
          <cell r="V20">
            <v>266684.72060249827</v>
          </cell>
          <cell r="AC20">
            <v>40253569.587417364</v>
          </cell>
          <cell r="AP20">
            <v>290785.29296747257</v>
          </cell>
          <cell r="AX20">
            <v>42898254.829630345</v>
          </cell>
        </row>
        <row r="21">
          <cell r="V21">
            <v>306456.75792730006</v>
          </cell>
          <cell r="AC21">
            <v>45645634.163404286</v>
          </cell>
          <cell r="AP21">
            <v>327541.80839194247</v>
          </cell>
          <cell r="AX21">
            <v>48510047.83273159</v>
          </cell>
        </row>
        <row r="22">
          <cell r="V22">
            <v>350375.07685052848</v>
          </cell>
          <cell r="AC22">
            <v>51523092.610220611</v>
          </cell>
          <cell r="AP22">
            <v>367404.32118362456</v>
          </cell>
          <cell r="AX22">
            <v>54622519.00644131</v>
          </cell>
        </row>
        <row r="23">
          <cell r="V23">
            <v>398700.88766797527</v>
          </cell>
          <cell r="AC23">
            <v>57910496.199156821</v>
          </cell>
          <cell r="AP23">
            <v>410522.05876368948</v>
          </cell>
          <cell r="AX23">
            <v>61262158.918859884</v>
          </cell>
        </row>
        <row r="24">
          <cell r="V24">
            <v>451904.80681065435</v>
          </cell>
          <cell r="AC24">
            <v>64861924.936944991</v>
          </cell>
          <cell r="AP24">
            <v>457804.41221052752</v>
          </cell>
          <cell r="AX24">
            <v>68569501.558335125</v>
          </cell>
        </row>
        <row r="25">
          <cell r="V25">
            <v>510080.41798710218</v>
          </cell>
          <cell r="AC25">
            <v>73107718.033199906</v>
          </cell>
          <cell r="AP25">
            <v>508583.80598216911</v>
          </cell>
          <cell r="AX25">
            <v>77222628.02809009</v>
          </cell>
        </row>
        <row r="26">
          <cell r="V26">
            <v>574093.49683534238</v>
          </cell>
          <cell r="AC26">
            <v>81507208.206571281</v>
          </cell>
          <cell r="AP26">
            <v>565256.39213071333</v>
          </cell>
          <cell r="AX26">
            <v>86270675.18394284</v>
          </cell>
        </row>
        <row r="27">
          <cell r="V27">
            <v>643024.00489183306</v>
          </cell>
          <cell r="AC27">
            <v>91928390.087384194</v>
          </cell>
          <cell r="AP27">
            <v>623188.11100049561</v>
          </cell>
          <cell r="AX27">
            <v>95843107.894904435</v>
          </cell>
        </row>
        <row r="28">
          <cell r="V28">
            <v>716891.59740424249</v>
          </cell>
          <cell r="AC28">
            <v>103189012.10792309</v>
          </cell>
          <cell r="AP28">
            <v>685841.4586892043</v>
          </cell>
          <cell r="AX28">
            <v>106305853.33557823</v>
          </cell>
        </row>
        <row r="29">
          <cell r="V29">
            <v>795611.36303415883</v>
          </cell>
          <cell r="AC29">
            <v>115289097.056335</v>
          </cell>
          <cell r="AP29">
            <v>752220.33394939103</v>
          </cell>
          <cell r="AX29">
            <v>117494077.80285856</v>
          </cell>
        </row>
        <row r="30">
          <cell r="V30">
            <v>879230.0667044057</v>
          </cell>
          <cell r="AC30">
            <v>128247296.46276903</v>
          </cell>
          <cell r="AP30">
            <v>822067.03862816165</v>
          </cell>
          <cell r="AX30">
            <v>129378688.42132083</v>
          </cell>
        </row>
        <row r="31">
          <cell r="V31">
            <v>967775.14799337776</v>
          </cell>
          <cell r="AC31">
            <v>142079360.32339314</v>
          </cell>
          <cell r="AP31">
            <v>895059.11322498554</v>
          </cell>
          <cell r="AX31">
            <v>141918921.98030499</v>
          </cell>
        </row>
        <row r="32">
          <cell r="V32">
            <v>1061547.4571597702</v>
          </cell>
          <cell r="AC32">
            <v>156853833.21265686</v>
          </cell>
          <cell r="AP32">
            <v>972947.87644110923</v>
          </cell>
          <cell r="AX32">
            <v>155415992.29158011</v>
          </cell>
        </row>
        <row r="33">
          <cell r="V33">
            <v>1163447.0219017933</v>
          </cell>
          <cell r="AC33">
            <v>173013234.43657166</v>
          </cell>
          <cell r="AP33">
            <v>1057903.6367311676</v>
          </cell>
          <cell r="AX33">
            <v>170233000.29527092</v>
          </cell>
        </row>
        <row r="34">
          <cell r="V34">
            <v>1273930.1168695046</v>
          </cell>
          <cell r="AC34">
            <v>190638234.46653384</v>
          </cell>
          <cell r="AP34">
            <v>1150615.9508110234</v>
          </cell>
          <cell r="AX34">
            <v>186496405.98552567</v>
          </cell>
        </row>
        <row r="35">
          <cell r="V35">
            <v>1413853.8360687853</v>
          </cell>
          <cell r="AC35">
            <v>211481103.75385678</v>
          </cell>
          <cell r="AP35">
            <v>1258217.7450944369</v>
          </cell>
          <cell r="AX35">
            <v>205517158.85326785</v>
          </cell>
        </row>
        <row r="36">
          <cell r="V36">
            <v>1566454.1092120223</v>
          </cell>
          <cell r="AC36">
            <v>233915994.99443993</v>
          </cell>
          <cell r="AP36">
            <v>1373456.3586906164</v>
          </cell>
          <cell r="AX36">
            <v>225891141.96188393</v>
          </cell>
        </row>
        <row r="37">
          <cell r="V37">
            <v>1763410.3568236749</v>
          </cell>
          <cell r="AC37">
            <v>263777516.05550933</v>
          </cell>
          <cell r="AP37">
            <v>1506115.4231895604</v>
          </cell>
          <cell r="AX37">
            <v>250223297.15583009</v>
          </cell>
        </row>
        <row r="38">
          <cell r="V38">
            <v>1977162.0037341896</v>
          </cell>
          <cell r="AC38">
            <v>296242236.41662681</v>
          </cell>
          <cell r="AP38">
            <v>1647155.1474568076</v>
          </cell>
          <cell r="AX38">
            <v>276373106.31539202</v>
          </cell>
        </row>
        <row r="39">
          <cell r="V39">
            <v>2209903.3105804352</v>
          </cell>
          <cell r="AC39">
            <v>331648065.50091326</v>
          </cell>
          <cell r="AP39">
            <v>1800980.4418038619</v>
          </cell>
          <cell r="AX39">
            <v>305120820.10302812</v>
          </cell>
        </row>
        <row r="40">
          <cell r="V40">
            <v>2461864.6913470565</v>
          </cell>
          <cell r="AC40">
            <v>370039327.40459257</v>
          </cell>
          <cell r="AP40">
            <v>1963756.8243125661</v>
          </cell>
          <cell r="AX40">
            <v>335865134.10133123</v>
          </cell>
        </row>
        <row r="41">
          <cell r="V41">
            <v>2770031.7010128689</v>
          </cell>
          <cell r="AC41">
            <v>414474334.64028108</v>
          </cell>
          <cell r="AP41">
            <v>2152178.347833537</v>
          </cell>
          <cell r="AX41">
            <v>371524229.09128428</v>
          </cell>
        </row>
        <row r="42">
          <cell r="V42">
            <v>3161011.0968752461</v>
          </cell>
          <cell r="AC42">
            <v>466550667.45908618</v>
          </cell>
          <cell r="AP42">
            <v>2370381.9480975256</v>
          </cell>
          <cell r="AX42">
            <v>412512435.48867559</v>
          </cell>
        </row>
        <row r="43">
          <cell r="V43">
            <v>3591969.3393104896</v>
          </cell>
          <cell r="AC43">
            <v>523275172.71876067</v>
          </cell>
          <cell r="AP43">
            <v>2606676.8713034936</v>
          </cell>
          <cell r="AX43">
            <v>457226775.28420389</v>
          </cell>
        </row>
        <row r="44">
          <cell r="V44">
            <v>4066752.9719598019</v>
          </cell>
          <cell r="AC44">
            <v>584857238.45126927</v>
          </cell>
          <cell r="AP44">
            <v>2861245.5795696685</v>
          </cell>
          <cell r="AX44">
            <v>505565164.48442769</v>
          </cell>
        </row>
        <row r="45">
          <cell r="V45">
            <v>4588725.0083446233</v>
          </cell>
          <cell r="AC45">
            <v>651830407.94966817</v>
          </cell>
          <cell r="AP45">
            <v>3135905.695825581</v>
          </cell>
          <cell r="AX45">
            <v>558071142.70438921</v>
          </cell>
        </row>
        <row r="46">
          <cell r="V46">
            <v>5161750.7770845816</v>
          </cell>
          <cell r="AC46">
            <v>724604563.97552347</v>
          </cell>
          <cell r="AP46">
            <v>3433113.2581726494</v>
          </cell>
          <cell r="AX46">
            <v>615246066.83693337</v>
          </cell>
        </row>
        <row r="47">
          <cell r="V47">
            <v>5512846.3567061098</v>
          </cell>
          <cell r="AC47">
            <v>779867006.57658386</v>
          </cell>
          <cell r="AP47">
            <v>3683645.6029817611</v>
          </cell>
          <cell r="AX47">
            <v>664696862.29078245</v>
          </cell>
        </row>
        <row r="48">
          <cell r="V48">
            <v>5883748.7401906252</v>
          </cell>
          <cell r="AC48">
            <v>838650819.27210891</v>
          </cell>
          <cell r="AP48">
            <v>3953960.7563729575</v>
          </cell>
          <cell r="AX48">
            <v>718304849.85790265</v>
          </cell>
        </row>
        <row r="49">
          <cell r="V49">
            <v>6273166.2394337617</v>
          </cell>
          <cell r="AC49">
            <v>900607205.83676171</v>
          </cell>
          <cell r="AP49">
            <v>4237059.6629183823</v>
          </cell>
          <cell r="AX49">
            <v>774666175.18430281</v>
          </cell>
        </row>
        <row r="50">
          <cell r="V50">
            <v>6682746.5223159734</v>
          </cell>
          <cell r="AC50">
            <v>967425213.76435113</v>
          </cell>
          <cell r="AP50">
            <v>4541797.2868973222</v>
          </cell>
          <cell r="AX50">
            <v>836550075.24280071</v>
          </cell>
        </row>
        <row r="51">
          <cell r="V51">
            <v>7099591.5387596227</v>
          </cell>
          <cell r="AC51">
            <v>1038690764.6398883</v>
          </cell>
          <cell r="AP51">
            <v>4856655.2321233144</v>
          </cell>
          <cell r="AX51">
            <v>901897269.59346414</v>
          </cell>
        </row>
        <row r="52">
          <cell r="V52">
            <v>7538019.6129820589</v>
          </cell>
          <cell r="AC52">
            <v>1114352293.0803175</v>
          </cell>
          <cell r="AP52">
            <v>5199382.3827826018</v>
          </cell>
          <cell r="AX52">
            <v>973326040.1163671</v>
          </cell>
        </row>
        <row r="53">
          <cell r="V53">
            <v>7997227.5489927828</v>
          </cell>
          <cell r="AC53">
            <v>1194376105.1056542</v>
          </cell>
          <cell r="AP53">
            <v>5566376.8779056314</v>
          </cell>
          <cell r="AX53">
            <v>1050265866.3625106</v>
          </cell>
        </row>
        <row r="54">
          <cell r="V54">
            <v>8479952.4776333086</v>
          </cell>
          <cell r="AC54">
            <v>1279256601.0808225</v>
          </cell>
          <cell r="AP54">
            <v>5965401.1344381012</v>
          </cell>
          <cell r="AX54">
            <v>1133904814.5529444</v>
          </cell>
        </row>
        <row r="55">
          <cell r="V55">
            <v>8980534.0792949032</v>
          </cell>
          <cell r="AC55">
            <v>1368224115.7288127</v>
          </cell>
          <cell r="AP55">
            <v>6390756.4223976294</v>
          </cell>
          <cell r="AX55">
            <v>1223490716.6389885</v>
          </cell>
        </row>
        <row r="56">
          <cell r="V56">
            <v>9506718.7544304803</v>
          </cell>
          <cell r="AC56">
            <v>1462177069.1435828</v>
          </cell>
          <cell r="AP56">
            <v>6833166.0288119158</v>
          </cell>
          <cell r="AX56">
            <v>1317658119.8179655</v>
          </cell>
        </row>
        <row r="57">
          <cell r="V57">
            <v>10297642.692334184</v>
          </cell>
          <cell r="AC57">
            <v>1612564917.0332012</v>
          </cell>
          <cell r="AP57">
            <v>7369887.7500368115</v>
          </cell>
          <cell r="AX57">
            <v>1444419889.1244187</v>
          </cell>
        </row>
        <row r="58">
          <cell r="V58">
            <v>11130172.655049056</v>
          </cell>
          <cell r="AC58">
            <v>1773638025.3539569</v>
          </cell>
          <cell r="AP58">
            <v>7932192.2106678998</v>
          </cell>
          <cell r="AX58">
            <v>1579288161.0722942</v>
          </cell>
        </row>
        <row r="59">
          <cell r="V59">
            <v>12009904.080043845</v>
          </cell>
          <cell r="AC59">
            <v>1946679384.7330129</v>
          </cell>
          <cell r="AP59">
            <v>8536142.0167882424</v>
          </cell>
          <cell r="AX59">
            <v>1725771746.7694049</v>
          </cell>
        </row>
        <row r="60">
          <cell r="V60">
            <v>12988061.648908477</v>
          </cell>
          <cell r="AC60">
            <v>2135194086.5005455</v>
          </cell>
          <cell r="AP60">
            <v>9194520.6109756809</v>
          </cell>
          <cell r="AX60">
            <v>1883857326.9866271</v>
          </cell>
        </row>
        <row r="61">
          <cell r="V61">
            <v>14095007.335170968</v>
          </cell>
          <cell r="AC61">
            <v>2341859765.0968008</v>
          </cell>
          <cell r="AP61">
            <v>9926230.8915688787</v>
          </cell>
          <cell r="AX61">
            <v>2056236205.5853357</v>
          </cell>
        </row>
        <row r="62">
          <cell r="V62">
            <v>15267410.062773922</v>
          </cell>
          <cell r="AC62">
            <v>2567034836.257802</v>
          </cell>
          <cell r="AP62">
            <v>10713263.268221615</v>
          </cell>
          <cell r="AX62">
            <v>2245187595.768084</v>
          </cell>
        </row>
        <row r="63">
          <cell r="V63">
            <v>16499383.253329616</v>
          </cell>
          <cell r="AC63">
            <v>2807719864.7376127</v>
          </cell>
          <cell r="AP63">
            <v>11544887.418778408</v>
          </cell>
          <cell r="AX63">
            <v>2447528887.5846348</v>
          </cell>
        </row>
        <row r="64">
          <cell r="V64">
            <v>17805018.080244247</v>
          </cell>
          <cell r="AC64">
            <v>3065430548.9733033</v>
          </cell>
          <cell r="AP64">
            <v>12436927.068412052</v>
          </cell>
          <cell r="AX64">
            <v>2666280449.5572853</v>
          </cell>
        </row>
        <row r="65">
          <cell r="V65">
            <v>19181695.040266674</v>
          </cell>
          <cell r="AC65">
            <v>3340024458.6515903</v>
          </cell>
          <cell r="AP65">
            <v>13375828.435368063</v>
          </cell>
          <cell r="AX65">
            <v>2898828760.65312</v>
          </cell>
        </row>
        <row r="66">
          <cell r="V66">
            <v>20852922.679742515</v>
          </cell>
          <cell r="AC66">
            <v>3665009177.3087926</v>
          </cell>
          <cell r="AP66">
            <v>14691362.697560161</v>
          </cell>
          <cell r="AX66">
            <v>3197825723.5027447</v>
          </cell>
        </row>
        <row r="67">
          <cell r="V67">
            <v>22974110.21038473</v>
          </cell>
          <cell r="AC67">
            <v>4064266367.6264191</v>
          </cell>
          <cell r="AP67">
            <v>16634758.752029048</v>
          </cell>
          <cell r="AX67">
            <v>3570512918.9480705</v>
          </cell>
        </row>
        <row r="68">
          <cell r="V68">
            <v>25250148.213447385</v>
          </cell>
          <cell r="AC68">
            <v>4499604765.4759064</v>
          </cell>
          <cell r="AP68">
            <v>18811569.289854094</v>
          </cell>
          <cell r="AX68">
            <v>3986696381.1429367</v>
          </cell>
        </row>
        <row r="69">
          <cell r="V69">
            <v>33864141.867628187</v>
          </cell>
          <cell r="AC69">
            <v>6079224893.0974512</v>
          </cell>
          <cell r="AP69">
            <v>26157697.945555251</v>
          </cell>
          <cell r="AX69">
            <v>5476434006.8327589</v>
          </cell>
        </row>
        <row r="70">
          <cell r="V70">
            <v>37856202.462957039</v>
          </cell>
          <cell r="AC70">
            <v>6844817208.5990467</v>
          </cell>
          <cell r="AP70">
            <v>30180159.915697213</v>
          </cell>
          <cell r="AX70">
            <v>6243548455.8442059</v>
          </cell>
        </row>
        <row r="71">
          <cell r="V71">
            <v>42197927.085412793</v>
          </cell>
          <cell r="AC71">
            <v>7683107330.6550331</v>
          </cell>
          <cell r="AP71">
            <v>34738317.591242798</v>
          </cell>
          <cell r="AX71">
            <v>7102153610.216424</v>
          </cell>
        </row>
        <row r="72">
          <cell r="V72">
            <v>46404476.460699752</v>
          </cell>
          <cell r="AC72">
            <v>8562814046.3021851</v>
          </cell>
          <cell r="AP72">
            <v>39210495.327986509</v>
          </cell>
          <cell r="AX72">
            <v>7986792711.7621651</v>
          </cell>
        </row>
        <row r="73">
          <cell r="V73">
            <v>50866882.849269964</v>
          </cell>
          <cell r="AC73">
            <v>9514250241.8934803</v>
          </cell>
          <cell r="AP73">
            <v>44114082.419730999</v>
          </cell>
          <cell r="AX73">
            <v>8957336738.9939232</v>
          </cell>
        </row>
        <row r="74">
          <cell r="V74">
            <v>55639443.987390697</v>
          </cell>
          <cell r="AC74">
            <v>10532855510.817741</v>
          </cell>
          <cell r="AP74">
            <v>49548354.871916525</v>
          </cell>
          <cell r="AX74">
            <v>10016380717.637024</v>
          </cell>
        </row>
        <row r="75">
          <cell r="V75">
            <v>60741874.330403343</v>
          </cell>
          <cell r="AC75">
            <v>11629433571.40654</v>
          </cell>
          <cell r="AP75">
            <v>55579101.328936778</v>
          </cell>
          <cell r="AX75">
            <v>11180279372.879581</v>
          </cell>
        </row>
        <row r="76">
          <cell r="V76">
            <v>66274415.545071751</v>
          </cell>
          <cell r="AC76">
            <v>12835193427.402081</v>
          </cell>
          <cell r="AP76">
            <v>62556803.197591096</v>
          </cell>
          <cell r="AX76">
            <v>12528043769.864136</v>
          </cell>
        </row>
        <row r="77">
          <cell r="V77">
            <v>72581513.838878468</v>
          </cell>
          <cell r="AC77">
            <v>14199611632.348049</v>
          </cell>
          <cell r="AP77">
            <v>70956923.199359134</v>
          </cell>
          <cell r="AX77">
            <v>14082733999.012505</v>
          </cell>
        </row>
        <row r="78">
          <cell r="V78">
            <v>79597553.936891854</v>
          </cell>
          <cell r="AC78">
            <v>15726991655.830709</v>
          </cell>
          <cell r="AP78">
            <v>80629565.507532492</v>
          </cell>
          <cell r="AX78">
            <v>15858542047.653183</v>
          </cell>
        </row>
        <row r="79">
          <cell r="V79">
            <v>87310198.856184483</v>
          </cell>
          <cell r="AC79">
            <v>17423635801.040684</v>
          </cell>
          <cell r="AP79">
            <v>91650907.200845718</v>
          </cell>
          <cell r="AX79">
            <v>17865210762.708054</v>
          </cell>
        </row>
        <row r="80">
          <cell r="V80">
            <v>95699846.620090634</v>
          </cell>
          <cell r="AC80">
            <v>19287993314.462875</v>
          </cell>
          <cell r="AP80">
            <v>104061111.6815327</v>
          </cell>
          <cell r="AX80">
            <v>20102248498.012486</v>
          </cell>
        </row>
        <row r="81">
          <cell r="V81">
            <v>104761993.88672668</v>
          </cell>
          <cell r="AC81">
            <v>21319987322.799225</v>
          </cell>
          <cell r="AP81">
            <v>118147988.9349743</v>
          </cell>
          <cell r="AX81">
            <v>22616977678.864029</v>
          </cell>
        </row>
        <row r="82">
          <cell r="V82">
            <v>114078463.78445485</v>
          </cell>
          <cell r="AC82">
            <v>23650694906.717796</v>
          </cell>
          <cell r="AP82">
            <v>133549103.97833365</v>
          </cell>
          <cell r="AX82">
            <v>25536580124.765263</v>
          </cell>
        </row>
        <row r="83">
          <cell r="V83">
            <v>124087550.11730236</v>
          </cell>
          <cell r="AC83">
            <v>26194133099.590508</v>
          </cell>
          <cell r="AP83">
            <v>150933898.12419814</v>
          </cell>
          <cell r="AX83">
            <v>28823904544.08432</v>
          </cell>
        </row>
        <row r="84">
          <cell r="V84">
            <v>134275778.94756034</v>
          </cell>
          <cell r="AC84">
            <v>28661114122.782516</v>
          </cell>
          <cell r="AP84">
            <v>167925836.57061353</v>
          </cell>
          <cell r="AX84">
            <v>31843283529.460243</v>
          </cell>
        </row>
        <row r="85">
          <cell r="V85">
            <v>145041619.23172855</v>
          </cell>
          <cell r="AC85">
            <v>31276518227.601311</v>
          </cell>
          <cell r="AP85">
            <v>186058097.56261638</v>
          </cell>
          <cell r="AX85">
            <v>35000848752.967545</v>
          </cell>
        </row>
        <row r="86">
          <cell r="V86">
            <v>156466611.74955964</v>
          </cell>
          <cell r="AC86">
            <v>34078033501.094414</v>
          </cell>
          <cell r="AP86">
            <v>205929929.7793735</v>
          </cell>
          <cell r="AX86">
            <v>38422516674.019852</v>
          </cell>
        </row>
        <row r="87">
          <cell r="V87">
            <v>168959374.9159345</v>
          </cell>
          <cell r="AC87">
            <v>36861287214.236282</v>
          </cell>
          <cell r="AP87">
            <v>226718396.83091119</v>
          </cell>
          <cell r="AX87">
            <v>42000992384.697357</v>
          </cell>
        </row>
        <row r="88">
          <cell r="V88">
            <v>183424651.10148886</v>
          </cell>
          <cell r="AC88">
            <v>40003320133.239304</v>
          </cell>
          <cell r="AP88">
            <v>252243454.20678905</v>
          </cell>
          <cell r="AX88">
            <v>46100703879.096375</v>
          </cell>
        </row>
        <row r="89">
          <cell r="V89">
            <v>198926742.48778236</v>
          </cell>
          <cell r="AC89">
            <v>43339325879.486542</v>
          </cell>
          <cell r="AP89">
            <v>278565760.4217661</v>
          </cell>
          <cell r="AX89">
            <v>50539879837.868561</v>
          </cell>
        </row>
        <row r="90">
          <cell r="V90">
            <v>215462740.63939732</v>
          </cell>
          <cell r="AC90">
            <v>46878785400.481201</v>
          </cell>
          <cell r="AP90">
            <v>306210389.7726348</v>
          </cell>
          <cell r="AX90">
            <v>55344935323.262985</v>
          </cell>
        </row>
        <row r="91">
          <cell r="V91">
            <v>233351871.25330266</v>
          </cell>
          <cell r="AC91">
            <v>50716630660.420822</v>
          </cell>
          <cell r="AP91">
            <v>336646416.6144914</v>
          </cell>
          <cell r="AX91">
            <v>60614628051.971802</v>
          </cell>
        </row>
        <row r="92">
          <cell r="V92">
            <v>252581528.02495474</v>
          </cell>
          <cell r="AC92">
            <v>55314512226.99118</v>
          </cell>
          <cell r="AP92">
            <v>370352251.71524632</v>
          </cell>
          <cell r="AX92">
            <v>66947518784.938629</v>
          </cell>
        </row>
        <row r="93">
          <cell r="V93">
            <v>272737769.12315732</v>
          </cell>
          <cell r="AC93">
            <v>60279792245.386505</v>
          </cell>
          <cell r="AP93">
            <v>409980209.57466274</v>
          </cell>
          <cell r="AX93">
            <v>73939248798.178223</v>
          </cell>
        </row>
        <row r="94">
          <cell r="V94">
            <v>291938632.68736136</v>
          </cell>
          <cell r="AC94">
            <v>64832722835.009918</v>
          </cell>
          <cell r="AP94">
            <v>445884889.21351463</v>
          </cell>
          <cell r="AX94">
            <v>80508149063.04071</v>
          </cell>
        </row>
        <row r="95">
          <cell r="V95">
            <v>311951641.23121774</v>
          </cell>
          <cell r="AC95">
            <v>69520776403.299133</v>
          </cell>
          <cell r="AP95">
            <v>483120753.14068609</v>
          </cell>
          <cell r="AX95">
            <v>87383358730.02356</v>
          </cell>
        </row>
        <row r="96">
          <cell r="V96">
            <v>333177433.97383285</v>
          </cell>
          <cell r="AC96">
            <v>74502145485.530518</v>
          </cell>
          <cell r="AP96">
            <v>523726899.74655139</v>
          </cell>
          <cell r="AX96">
            <v>94887858545.555008</v>
          </cell>
        </row>
        <row r="97">
          <cell r="V97">
            <v>354905914.09188849</v>
          </cell>
          <cell r="AC97">
            <v>79704676311.132843</v>
          </cell>
          <cell r="AP97">
            <v>569793081.10497308</v>
          </cell>
          <cell r="AX97">
            <v>103313370939.57733</v>
          </cell>
        </row>
        <row r="98">
          <cell r="V98">
            <v>378680773.60256565</v>
          </cell>
          <cell r="AC98">
            <v>85398595875.891235</v>
          </cell>
          <cell r="AP98">
            <v>626409767.98694074</v>
          </cell>
          <cell r="AX98">
            <v>112990676798.28848</v>
          </cell>
        </row>
        <row r="99">
          <cell r="V99">
            <v>402032554.12773955</v>
          </cell>
          <cell r="AC99">
            <v>91034743476.468903</v>
          </cell>
          <cell r="AP99">
            <v>684289142.16314197</v>
          </cell>
          <cell r="AX99">
            <v>122969437156.28119</v>
          </cell>
        </row>
        <row r="100">
          <cell r="V100">
            <v>426155707.1752764</v>
          </cell>
          <cell r="AC100">
            <v>96911784440.147064</v>
          </cell>
          <cell r="AP100">
            <v>744429726.53559053</v>
          </cell>
          <cell r="AX100">
            <v>133874197841.02843</v>
          </cell>
        </row>
        <row r="101">
          <cell r="V101">
            <v>451814186.34178263</v>
          </cell>
          <cell r="AC101">
            <v>103192060022.39336</v>
          </cell>
          <cell r="AP101">
            <v>811105661.94798934</v>
          </cell>
          <cell r="AX101">
            <v>145979389086.53424</v>
          </cell>
        </row>
        <row r="102">
          <cell r="V102">
            <v>479230258.58424807</v>
          </cell>
          <cell r="AC102">
            <v>110111441732.49649</v>
          </cell>
          <cell r="AP102">
            <v>885856020.15651798</v>
          </cell>
          <cell r="AX102">
            <v>159712214329.47791</v>
          </cell>
        </row>
        <row r="103">
          <cell r="V103">
            <v>511066582.5838747</v>
          </cell>
          <cell r="AC103">
            <v>118181144833.21814</v>
          </cell>
          <cell r="AP103">
            <v>986307929.97728527</v>
          </cell>
          <cell r="AX103">
            <v>175662604523.09323</v>
          </cell>
        </row>
        <row r="104">
          <cell r="V104">
            <v>543426157.8029654</v>
          </cell>
          <cell r="AC104">
            <v>126567455695.6937</v>
          </cell>
          <cell r="AP104">
            <v>1093328603.6481123</v>
          </cell>
          <cell r="AX104">
            <v>192229013481.61975</v>
          </cell>
        </row>
        <row r="105">
          <cell r="V105">
            <v>576727005.34983385</v>
          </cell>
          <cell r="AC105">
            <v>135268664489.82726</v>
          </cell>
          <cell r="AP105">
            <v>1205102923.8464005</v>
          </cell>
          <cell r="AX105">
            <v>208568512315.5983</v>
          </cell>
        </row>
        <row r="106">
          <cell r="V106">
            <v>611622828.39155865</v>
          </cell>
          <cell r="AC106">
            <v>144441496958.77756</v>
          </cell>
          <cell r="AP106">
            <v>1325850282.2983091</v>
          </cell>
          <cell r="AX106">
            <v>225836955453.18121</v>
          </cell>
        </row>
        <row r="107">
          <cell r="V107">
            <v>645826346.89518332</v>
          </cell>
          <cell r="AC107">
            <v>153938083487.01532</v>
          </cell>
          <cell r="AP107">
            <v>1449798097.7633884</v>
          </cell>
          <cell r="AX107">
            <v>243988971892.59656</v>
          </cell>
        </row>
        <row r="108">
          <cell r="V108">
            <v>676975478.27914381</v>
          </cell>
          <cell r="AC108">
            <v>162922676254.81195</v>
          </cell>
          <cell r="AP108">
            <v>1561552015.3842304</v>
          </cell>
          <cell r="AX108">
            <v>261473633081.95428</v>
          </cell>
        </row>
        <row r="109">
          <cell r="V109">
            <v>709350894.03842652</v>
          </cell>
          <cell r="AC109">
            <v>172330195903.95251</v>
          </cell>
          <cell r="AP109">
            <v>1680715926.766573</v>
          </cell>
          <cell r="AX109">
            <v>280047107973.01001</v>
          </cell>
        </row>
        <row r="110">
          <cell r="V110">
            <v>742906165.37503934</v>
          </cell>
          <cell r="AC110">
            <v>182162320752.69727</v>
          </cell>
          <cell r="AP110">
            <v>1807085860.3194897</v>
          </cell>
          <cell r="AX110">
            <v>299671606687.28748</v>
          </cell>
        </row>
        <row r="111">
          <cell r="V111">
            <v>774211003.70774436</v>
          </cell>
          <cell r="AC111">
            <v>191641717434.20074</v>
          </cell>
          <cell r="AP111">
            <v>1925167253.1728401</v>
          </cell>
          <cell r="AX111">
            <v>319011170073.98291</v>
          </cell>
        </row>
        <row r="112">
          <cell r="V112">
            <v>806177438.23220968</v>
          </cell>
          <cell r="AC112">
            <v>201910174479.25177</v>
          </cell>
          <cell r="AP112">
            <v>2048125865.438467</v>
          </cell>
          <cell r="AX112">
            <v>339986589297.44336</v>
          </cell>
        </row>
        <row r="113">
          <cell r="V113">
            <v>839425881.85651445</v>
          </cell>
          <cell r="AC113">
            <v>212702416406.12421</v>
          </cell>
          <cell r="AP113">
            <v>2179610789.0902104</v>
          </cell>
          <cell r="AX113">
            <v>362393505281.69403</v>
          </cell>
        </row>
        <row r="114">
          <cell r="V114">
            <v>873624329.5076828</v>
          </cell>
          <cell r="AC114">
            <v>223841813855.37463</v>
          </cell>
          <cell r="AP114">
            <v>2317159633.2164593</v>
          </cell>
          <cell r="AX114">
            <v>385726672676.08691</v>
          </cell>
        </row>
        <row r="115">
          <cell r="V115">
            <v>909082209.20533931</v>
          </cell>
          <cell r="AC115">
            <v>235490064928.13483</v>
          </cell>
          <cell r="AP115">
            <v>2463355317.697876</v>
          </cell>
          <cell r="AX115">
            <v>410548044231.3158</v>
          </cell>
        </row>
        <row r="116">
          <cell r="V116">
            <v>945326233.1114732</v>
          </cell>
          <cell r="AC116">
            <v>247532669737.25946</v>
          </cell>
          <cell r="AP116">
            <v>2614580066.3936858</v>
          </cell>
          <cell r="AX116">
            <v>436279858416.7865</v>
          </cell>
        </row>
        <row r="117">
          <cell r="V117">
            <v>985948548.81937861</v>
          </cell>
          <cell r="AC117">
            <v>259718433482.68427</v>
          </cell>
          <cell r="AP117">
            <v>2803866343.0218339</v>
          </cell>
          <cell r="AX117">
            <v>463526004736.73364</v>
          </cell>
        </row>
        <row r="118">
          <cell r="V118">
            <v>1027789143.9825392</v>
          </cell>
          <cell r="AC118">
            <v>272347750679.11902</v>
          </cell>
          <cell r="AP118">
            <v>3003092568.1445603</v>
          </cell>
          <cell r="AX118">
            <v>491972175769.22351</v>
          </cell>
        </row>
        <row r="119">
          <cell r="V119">
            <v>1071212030.3830625</v>
          </cell>
          <cell r="AC119">
            <v>285512924503.69531</v>
          </cell>
          <cell r="AP119">
            <v>3215516758.7707391</v>
          </cell>
          <cell r="AX119">
            <v>522114163960.89813</v>
          </cell>
        </row>
        <row r="120">
          <cell r="V120">
            <v>1119566677.7110331</v>
          </cell>
          <cell r="AC120">
            <v>300122354759.72876</v>
          </cell>
          <cell r="AP120">
            <v>3450361114.2392759</v>
          </cell>
          <cell r="AX120">
            <v>555408422795.06641</v>
          </cell>
        </row>
        <row r="121">
          <cell r="V121">
            <v>1170514012.8101678</v>
          </cell>
          <cell r="AC121">
            <v>315446543553.37677</v>
          </cell>
          <cell r="AP121">
            <v>3700888298.6637945</v>
          </cell>
          <cell r="AX121">
            <v>590773933299.04907</v>
          </cell>
        </row>
        <row r="122">
          <cell r="V122">
            <v>1222867359.4492044</v>
          </cell>
          <cell r="AC122">
            <v>330047492550.72174</v>
          </cell>
          <cell r="AP122">
            <v>3962246907.0744987</v>
          </cell>
          <cell r="AX122">
            <v>625338834108.40308</v>
          </cell>
        </row>
        <row r="123">
          <cell r="V123">
            <v>1276789705.2496719</v>
          </cell>
          <cell r="AC123">
            <v>344967202554.75702</v>
          </cell>
          <cell r="AP123">
            <v>4235937173.1507354</v>
          </cell>
          <cell r="AX123">
            <v>661193990667.36963</v>
          </cell>
        </row>
        <row r="124">
          <cell r="V124">
            <v>1332657444.972368</v>
          </cell>
          <cell r="AC124">
            <v>360389564464.06653</v>
          </cell>
          <cell r="AP124">
            <v>4525547687.9078808</v>
          </cell>
          <cell r="AX124">
            <v>698674035794.70264</v>
          </cell>
        </row>
        <row r="125">
          <cell r="V125">
            <v>1390573744.835562</v>
          </cell>
          <cell r="AC125">
            <v>376349014798.80011</v>
          </cell>
          <cell r="AP125">
            <v>4832295985.1292553</v>
          </cell>
          <cell r="AX125">
            <v>737923199057.32422</v>
          </cell>
        </row>
        <row r="126">
          <cell r="V126">
            <v>1450620017.4830976</v>
          </cell>
          <cell r="AC126">
            <v>392908833574.24078</v>
          </cell>
          <cell r="AP126">
            <v>5157240309.3770266</v>
          </cell>
          <cell r="AX126">
            <v>779125555805.55713</v>
          </cell>
        </row>
        <row r="127">
          <cell r="V127">
            <v>1504112164.0712051</v>
          </cell>
          <cell r="AC127">
            <v>407716248440.5813</v>
          </cell>
          <cell r="AP127">
            <v>5445464489.0560713</v>
          </cell>
          <cell r="AX127">
            <v>818428699324.39111</v>
          </cell>
        </row>
        <row r="128">
          <cell r="V128">
            <v>1558679468.8385</v>
          </cell>
          <cell r="AC128">
            <v>422974986326.86169</v>
          </cell>
          <cell r="AP128">
            <v>5748248555.7851553</v>
          </cell>
          <cell r="AX128">
            <v>859550404755.11414</v>
          </cell>
        </row>
        <row r="129">
          <cell r="V129">
            <v>1613708285.3247972</v>
          </cell>
          <cell r="AC129">
            <v>438189888076.15979</v>
          </cell>
          <cell r="AP129">
            <v>6059641990.609767</v>
          </cell>
          <cell r="AX129">
            <v>901239988489.00244</v>
          </cell>
        </row>
        <row r="130">
          <cell r="V130">
            <v>1670408626.8039651</v>
          </cell>
          <cell r="AC130">
            <v>453741146723.71332</v>
          </cell>
          <cell r="AP130">
            <v>6386089211.0348854</v>
          </cell>
          <cell r="AX130">
            <v>944588841841.1687</v>
          </cell>
        </row>
        <row r="131">
          <cell r="V131">
            <v>1728576745.4793816</v>
          </cell>
          <cell r="AC131">
            <v>469701276900.41272</v>
          </cell>
          <cell r="AP131">
            <v>6725606974.930892</v>
          </cell>
          <cell r="AX131">
            <v>989407524129.05457</v>
          </cell>
        </row>
        <row r="132">
          <cell r="V132">
            <v>1787425426.3944211</v>
          </cell>
          <cell r="AC132">
            <v>486187317336.7511</v>
          </cell>
          <cell r="AP132">
            <v>7084014006.3082037</v>
          </cell>
          <cell r="AX132">
            <v>1036572482180.5527</v>
          </cell>
        </row>
        <row r="133">
          <cell r="V133">
            <v>1850526632.4988937</v>
          </cell>
          <cell r="AC133">
            <v>503870103801.65594</v>
          </cell>
          <cell r="AP133">
            <v>7468907026.9841595</v>
          </cell>
          <cell r="AX133">
            <v>1087110591500.798</v>
          </cell>
        </row>
        <row r="134">
          <cell r="V134">
            <v>1915882530.0061722</v>
          </cell>
          <cell r="AC134">
            <v>522202014100.07294</v>
          </cell>
          <cell r="AP134">
            <v>7876388083.5321112</v>
          </cell>
          <cell r="AX134">
            <v>1140408712610.8228</v>
          </cell>
        </row>
        <row r="135">
          <cell r="V135">
            <v>1982736472.0838277</v>
          </cell>
          <cell r="AC135">
            <v>541056773417.6554</v>
          </cell>
          <cell r="AP135">
            <v>8298552069.7689934</v>
          </cell>
          <cell r="AX135">
            <v>1195461048889.5806</v>
          </cell>
        </row>
        <row r="136">
          <cell r="V136">
            <v>2051938090.5140135</v>
          </cell>
          <cell r="AC136">
            <v>560595072971.12671</v>
          </cell>
          <cell r="AP136">
            <v>8744976896.3273258</v>
          </cell>
          <cell r="AX136">
            <v>1253462488498.1843</v>
          </cell>
        </row>
        <row r="137">
          <cell r="V137">
            <v>2121468969.3325365</v>
          </cell>
          <cell r="AC137">
            <v>580266533767.22827</v>
          </cell>
          <cell r="AP137">
            <v>9193224289.6980839</v>
          </cell>
          <cell r="AX137">
            <v>1312353643632.729</v>
          </cell>
        </row>
        <row r="138">
          <cell r="V138">
            <v>2197897621.9693551</v>
          </cell>
          <cell r="AC138">
            <v>601870086524.45679</v>
          </cell>
          <cell r="AP138">
            <v>9687889522.0784092</v>
          </cell>
          <cell r="AX138">
            <v>1377388630765.9897</v>
          </cell>
        </row>
        <row r="139">
          <cell r="V139">
            <v>2277235629.063448</v>
          </cell>
          <cell r="AC139">
            <v>624318750200.01758</v>
          </cell>
          <cell r="AP139">
            <v>10207022264.502527</v>
          </cell>
          <cell r="AX139">
            <v>1445387955737.5396</v>
          </cell>
        </row>
        <row r="140">
          <cell r="V140">
            <v>2359153228.0561342</v>
          </cell>
          <cell r="AC140">
            <v>647524671641.56262</v>
          </cell>
          <cell r="AP140">
            <v>10753057142.458378</v>
          </cell>
          <cell r="AX140">
            <v>1516662550648.6555</v>
          </cell>
        </row>
        <row r="141">
          <cell r="V141">
            <v>2436784340.5721555</v>
          </cell>
          <cell r="AC141">
            <v>669603459353.45264</v>
          </cell>
          <cell r="AP141">
            <v>11291980124.485739</v>
          </cell>
          <cell r="AX141">
            <v>1586398060744.9424</v>
          </cell>
        </row>
        <row r="142">
          <cell r="V142">
            <v>2513392908.0041752</v>
          </cell>
          <cell r="AC142">
            <v>691448863674.6062</v>
          </cell>
          <cell r="AP142">
            <v>11840652775.747841</v>
          </cell>
          <cell r="AX142">
            <v>1656975218089.3579</v>
          </cell>
        </row>
        <row r="143">
          <cell r="V143">
            <v>2591796969.0045991</v>
          </cell>
          <cell r="AC143">
            <v>713835955480.54468</v>
          </cell>
          <cell r="AP143">
            <v>12410907349.722466</v>
          </cell>
          <cell r="AX143">
            <v>1730036571236.6953</v>
          </cell>
        </row>
        <row r="144">
          <cell r="V144">
            <v>2672142096.7099094</v>
          </cell>
          <cell r="AC144">
            <v>736806464117.73425</v>
          </cell>
          <cell r="AP144">
            <v>13004857965.658968</v>
          </cell>
          <cell r="AX144">
            <v>1805849961874.564</v>
          </cell>
        </row>
        <row r="145">
          <cell r="V145">
            <v>2754463074.2961245</v>
          </cell>
          <cell r="AC145">
            <v>760320368929.79688</v>
          </cell>
          <cell r="AP145">
            <v>13623309386.604954</v>
          </cell>
          <cell r="AX145">
            <v>1884370957465.4565</v>
          </cell>
        </row>
        <row r="146">
          <cell r="V146">
            <v>2838679486.7616858</v>
          </cell>
          <cell r="AC146">
            <v>784345023187.97681</v>
          </cell>
          <cell r="AP146">
            <v>14265610284.096045</v>
          </cell>
          <cell r="AX146">
            <v>1965445949330.5972</v>
          </cell>
        </row>
        <row r="147">
          <cell r="V147">
            <v>2924858423.6999016</v>
          </cell>
          <cell r="AC147">
            <v>808957436171.24634</v>
          </cell>
          <cell r="AP147">
            <v>14932958849.943592</v>
          </cell>
          <cell r="AX147">
            <v>2049549410656.7446</v>
          </cell>
        </row>
        <row r="148">
          <cell r="V148">
            <v>3012866447.9468756</v>
          </cell>
          <cell r="AC148">
            <v>834122172622.22339</v>
          </cell>
          <cell r="AP148">
            <v>15623958433.825882</v>
          </cell>
          <cell r="AX148">
            <v>2136276318613.1843</v>
          </cell>
        </row>
        <row r="149">
          <cell r="V149">
            <v>3103781483.5847754</v>
          </cell>
          <cell r="AC149">
            <v>860139347076.91797</v>
          </cell>
          <cell r="AP149">
            <v>16353212559.638763</v>
          </cell>
          <cell r="AX149">
            <v>2227472690864.9575</v>
          </cell>
        </row>
        <row r="150">
          <cell r="V150">
            <v>3197485313.4888134</v>
          </cell>
          <cell r="AC150">
            <v>886978436702.37012</v>
          </cell>
          <cell r="AP150">
            <v>17119931108.287291</v>
          </cell>
          <cell r="AX150">
            <v>2322876892686.4136</v>
          </cell>
        </row>
        <row r="151">
          <cell r="V151">
            <v>3293874076.765379</v>
          </cell>
          <cell r="AC151">
            <v>914612769466.09839</v>
          </cell>
          <cell r="AP151">
            <v>17923384734.753704</v>
          </cell>
          <cell r="AX151">
            <v>2422542489656.9512</v>
          </cell>
        </row>
        <row r="152">
          <cell r="V152">
            <v>3392039451.8304996</v>
          </cell>
          <cell r="AC152">
            <v>942791960116.93323</v>
          </cell>
          <cell r="AP152">
            <v>18751825133.139442</v>
          </cell>
          <cell r="AX152">
            <v>2524842477649.5264</v>
          </cell>
        </row>
        <row r="153">
          <cell r="V153">
            <v>3493110957.3851275</v>
          </cell>
          <cell r="AC153">
            <v>971831586808.97266</v>
          </cell>
          <cell r="AP153">
            <v>19621289296.143269</v>
          </cell>
          <cell r="AX153">
            <v>2631901802441.9561</v>
          </cell>
        </row>
        <row r="154">
          <cell r="V154">
            <v>3595877401.5666342</v>
          </cell>
          <cell r="AC154">
            <v>1001396595524.9268</v>
          </cell>
          <cell r="AP154">
            <v>20515404088.21265</v>
          </cell>
          <cell r="AX154">
            <v>2741482637026.8813</v>
          </cell>
        </row>
        <row r="155">
          <cell r="V155">
            <v>3701836448.1121559</v>
          </cell>
          <cell r="AC155">
            <v>1031905722498.7777</v>
          </cell>
          <cell r="AP155">
            <v>21455056674.867546</v>
          </cell>
          <cell r="AX155">
            <v>2856341441926.4648</v>
          </cell>
        </row>
        <row r="156">
          <cell r="V156">
            <v>3803811716.0686307</v>
          </cell>
          <cell r="AC156">
            <v>1067390833212.474</v>
          </cell>
          <cell r="AP156">
            <v>22392846197.635708</v>
          </cell>
          <cell r="AX156">
            <v>2987015923289.9204</v>
          </cell>
        </row>
        <row r="157">
          <cell r="V157">
            <v>3903402806.0245452</v>
          </cell>
          <cell r="AC157">
            <v>1102944936311.021</v>
          </cell>
          <cell r="AP157">
            <v>23359949034.772354</v>
          </cell>
          <cell r="AX157">
            <v>3121839398628.2607</v>
          </cell>
        </row>
        <row r="158">
          <cell r="V158">
            <v>4004553032.2106261</v>
          </cell>
          <cell r="AC158">
            <v>1139319129404.1155</v>
          </cell>
          <cell r="AP158">
            <v>24354422181.882286</v>
          </cell>
          <cell r="AX158">
            <v>3260739533976.1738</v>
          </cell>
        </row>
        <row r="159">
          <cell r="V159">
            <v>4121910754.5644546</v>
          </cell>
          <cell r="AC159">
            <v>1180717664755.8892</v>
          </cell>
          <cell r="AP159">
            <v>25503398195.783882</v>
          </cell>
          <cell r="AX159">
            <v>3420781587885.7271</v>
          </cell>
        </row>
        <row r="160">
          <cell r="V160">
            <v>4243302879.0521355</v>
          </cell>
          <cell r="AC160">
            <v>1223723434197.7214</v>
          </cell>
          <cell r="AP160">
            <v>26713093930.570847</v>
          </cell>
          <cell r="AX160">
            <v>3589468234995.8784</v>
          </cell>
        </row>
        <row r="161">
          <cell r="V161">
            <v>4367828298.4571705</v>
          </cell>
          <cell r="AC161">
            <v>1268097274360.7253</v>
          </cell>
          <cell r="AP161">
            <v>27976512975.123089</v>
          </cell>
          <cell r="AX161">
            <v>3765892799593.9355</v>
          </cell>
        </row>
        <row r="162">
          <cell r="V162">
            <v>4440684960.0933332</v>
          </cell>
          <cell r="AC162">
            <v>1293108704859.5181</v>
          </cell>
          <cell r="AP162">
            <v>28768959782.658951</v>
          </cell>
          <cell r="AX162">
            <v>3865190761879.6313</v>
          </cell>
        </row>
        <row r="163">
          <cell r="V163">
            <v>4484107203.8007765</v>
          </cell>
          <cell r="AC163">
            <v>1307147990150.4683</v>
          </cell>
          <cell r="AP163">
            <v>29284660721.055775</v>
          </cell>
          <cell r="AX163">
            <v>3919570865549.0303</v>
          </cell>
        </row>
        <row r="164">
          <cell r="V164">
            <v>4517052805.7910318</v>
          </cell>
          <cell r="AC164">
            <v>1318154920982.2759</v>
          </cell>
          <cell r="AP164">
            <v>29635081886.349976</v>
          </cell>
          <cell r="AX164">
            <v>3954243325914.9097</v>
          </cell>
        </row>
        <row r="165">
          <cell r="V165">
            <v>4544251539.5015364</v>
          </cell>
          <cell r="AC165">
            <v>1327501391039.354</v>
          </cell>
          <cell r="AP165">
            <v>29893864181.456367</v>
          </cell>
          <cell r="AX165">
            <v>3978023324158.0737</v>
          </cell>
        </row>
        <row r="166">
          <cell r="V166">
            <v>4571500300.3745337</v>
          </cell>
          <cell r="AC166">
            <v>1336885195940.6938</v>
          </cell>
          <cell r="AP166">
            <v>30153735357.996048</v>
          </cell>
          <cell r="AX166">
            <v>4001860144277.7783</v>
          </cell>
        </row>
      </sheetData>
      <sheetData sheetId="15">
        <row r="7">
          <cell r="V7">
            <v>25211.862821909381</v>
          </cell>
          <cell r="AC7">
            <v>2986538.0741049955</v>
          </cell>
          <cell r="AP7">
            <v>18630.906420100113</v>
          </cell>
          <cell r="AX7">
            <v>1988582.2158227139</v>
          </cell>
        </row>
        <row r="8">
          <cell r="V8">
            <v>33094.839627269474</v>
          </cell>
          <cell r="AC8">
            <v>4065052.9560727198</v>
          </cell>
          <cell r="AP8">
            <v>26138.01180520916</v>
          </cell>
          <cell r="AX8">
            <v>2898295.4021932008</v>
          </cell>
        </row>
        <row r="9">
          <cell r="V9">
            <v>41901.085673916867</v>
          </cell>
          <cell r="AC9">
            <v>5325359.5632151645</v>
          </cell>
          <cell r="AP9">
            <v>35133.69679686665</v>
          </cell>
          <cell r="AX9">
            <v>4038409.8955920856</v>
          </cell>
        </row>
        <row r="10">
          <cell r="V10">
            <v>52158.800804459082</v>
          </cell>
          <cell r="AC10">
            <v>6845907.8485212009</v>
          </cell>
          <cell r="AP10">
            <v>46191.959121088526</v>
          </cell>
          <cell r="AX10">
            <v>5493044.1016072743</v>
          </cell>
        </row>
        <row r="11">
          <cell r="V11">
            <v>64004.574898757826</v>
          </cell>
          <cell r="AC11">
            <v>8660283.5273199137</v>
          </cell>
          <cell r="AP11">
            <v>59620.011781307228</v>
          </cell>
          <cell r="AX11">
            <v>7321819.906357985</v>
          </cell>
        </row>
        <row r="12">
          <cell r="V12">
            <v>77583.005410930637</v>
          </cell>
          <cell r="AC12">
            <v>10804620.368152728</v>
          </cell>
          <cell r="AP12">
            <v>75755.244012269308</v>
          </cell>
          <cell r="AX12">
            <v>9591952.4702779949</v>
          </cell>
        </row>
        <row r="13">
          <cell r="V13">
            <v>93046.98880500815</v>
          </cell>
          <cell r="AC13">
            <v>13317711.104880452</v>
          </cell>
          <cell r="AP13">
            <v>94967.16330683633</v>
          </cell>
          <cell r="AX13">
            <v>12378872.585527763</v>
          </cell>
        </row>
        <row r="14">
          <cell r="V14">
            <v>110266.62237237213</v>
          </cell>
          <cell r="AC14">
            <v>16198314.524174446</v>
          </cell>
          <cell r="AP14">
            <v>117349.30359933955</v>
          </cell>
          <cell r="AX14">
            <v>15725323.201374684</v>
          </cell>
        </row>
        <row r="15">
          <cell r="V15">
            <v>128876.50435880874</v>
          </cell>
          <cell r="AC15">
            <v>19406980.317390922</v>
          </cell>
          <cell r="AP15">
            <v>142710.55610455264</v>
          </cell>
          <cell r="AX15">
            <v>19635008.101586234</v>
          </cell>
        </row>
        <row r="16">
          <cell r="V16">
            <v>149653.4494667298</v>
          </cell>
          <cell r="AC16">
            <v>23063614.28045645</v>
          </cell>
          <cell r="AP16">
            <v>172057.51833582349</v>
          </cell>
          <cell r="AX16">
            <v>24271770.541646764</v>
          </cell>
        </row>
        <row r="17">
          <cell r="V17">
            <v>177275.07270938606</v>
          </cell>
          <cell r="AC17">
            <v>27449810.370841786</v>
          </cell>
          <cell r="AP17">
            <v>206506.28943069224</v>
          </cell>
          <cell r="AX17">
            <v>29897496.306959964</v>
          </cell>
        </row>
        <row r="18">
          <cell r="V18">
            <v>208625.32482622488</v>
          </cell>
          <cell r="AC18">
            <v>31810890.591833822</v>
          </cell>
          <cell r="AP18">
            <v>237099.09896922493</v>
          </cell>
          <cell r="AX18">
            <v>34480331.012398273</v>
          </cell>
        </row>
        <row r="19">
          <cell r="V19">
            <v>242661.86482342432</v>
          </cell>
          <cell r="AC19">
            <v>36464079.518412702</v>
          </cell>
          <cell r="AP19">
            <v>269715.91192155977</v>
          </cell>
          <cell r="AX19">
            <v>39388437.17719233</v>
          </cell>
        </row>
        <row r="20">
          <cell r="V20">
            <v>280472.62675892585</v>
          </cell>
          <cell r="AC20">
            <v>41562250.821100011</v>
          </cell>
          <cell r="AP20">
            <v>305229.26685160497</v>
          </cell>
          <cell r="AX20">
            <v>44752954.965302676</v>
          </cell>
        </row>
        <row r="21">
          <cell r="V21">
            <v>322272.52228476829</v>
          </cell>
          <cell r="AC21">
            <v>47123161.489143118</v>
          </cell>
          <cell r="AP21">
            <v>343543.61840101861</v>
          </cell>
          <cell r="AX21">
            <v>50564068.071200624</v>
          </cell>
        </row>
        <row r="22">
          <cell r="V22">
            <v>368472.25337989704</v>
          </cell>
          <cell r="AC22">
            <v>53192744.29494758</v>
          </cell>
          <cell r="AP22">
            <v>385382.67411938071</v>
          </cell>
          <cell r="AX22">
            <v>56932429.838301256</v>
          </cell>
        </row>
        <row r="23">
          <cell r="V23">
            <v>419210.90971620299</v>
          </cell>
          <cell r="AC23">
            <v>59776674.596418872</v>
          </cell>
          <cell r="AP23">
            <v>430337.34948912088</v>
          </cell>
          <cell r="AX23">
            <v>63802045.845732763</v>
          </cell>
        </row>
        <row r="24">
          <cell r="V24">
            <v>475101.43517999031</v>
          </cell>
          <cell r="AC24">
            <v>67609854.748492956</v>
          </cell>
          <cell r="AP24">
            <v>479819.13284420629</v>
          </cell>
          <cell r="AX24">
            <v>72092592.578623414</v>
          </cell>
        </row>
        <row r="25">
          <cell r="V25">
            <v>536342.04210499139</v>
          </cell>
          <cell r="AC25">
            <v>75585166.20685935</v>
          </cell>
          <cell r="AP25">
            <v>533636.66533357394</v>
          </cell>
          <cell r="AX25">
            <v>80587332.940823883</v>
          </cell>
        </row>
        <row r="26">
          <cell r="V26">
            <v>599853.98680384608</v>
          </cell>
          <cell r="AC26">
            <v>83989736.824232921</v>
          </cell>
          <cell r="AP26">
            <v>589708.36971105635</v>
          </cell>
          <cell r="AX26">
            <v>89593186.706662834</v>
          </cell>
        </row>
        <row r="27">
          <cell r="V27">
            <v>672723.04946723732</v>
          </cell>
          <cell r="AC27">
            <v>94871658.164894462</v>
          </cell>
          <cell r="AP27">
            <v>650570.67755744304</v>
          </cell>
          <cell r="AX27">
            <v>99700430.139393955</v>
          </cell>
        </row>
        <row r="28">
          <cell r="V28">
            <v>750895.50762438832</v>
          </cell>
          <cell r="AC28">
            <v>106645030.06538111</v>
          </cell>
          <cell r="AP28">
            <v>715952.97572305868</v>
          </cell>
          <cell r="AX28">
            <v>110659109.2306464</v>
          </cell>
        </row>
        <row r="29">
          <cell r="V29">
            <v>834477.77788331592</v>
          </cell>
          <cell r="AC29">
            <v>119338329.13180372</v>
          </cell>
          <cell r="AP29">
            <v>785970.58794155193</v>
          </cell>
          <cell r="AX29">
            <v>122502836.16225418</v>
          </cell>
        </row>
        <row r="30">
          <cell r="V30">
            <v>923157.37944651861</v>
          </cell>
          <cell r="AC30">
            <v>132919823.88881288</v>
          </cell>
          <cell r="AP30">
            <v>858987.30891290132</v>
          </cell>
          <cell r="AX30">
            <v>134990293.60608232</v>
          </cell>
        </row>
        <row r="31">
          <cell r="V31">
            <v>1017401.8335508201</v>
          </cell>
          <cell r="AC31">
            <v>147525719.35152423</v>
          </cell>
          <cell r="AP31">
            <v>936159.40792878496</v>
          </cell>
          <cell r="AX31">
            <v>148370647.84581178</v>
          </cell>
        </row>
        <row r="32">
          <cell r="V32">
            <v>1120352.9626689553</v>
          </cell>
          <cell r="AC32">
            <v>163624949.9703455</v>
          </cell>
          <cell r="AP32">
            <v>1020557.7368094265</v>
          </cell>
          <cell r="AX32">
            <v>163143779.78263485</v>
          </cell>
        </row>
        <row r="33">
          <cell r="V33">
            <v>1232246.0106238266</v>
          </cell>
          <cell r="AC33">
            <v>181239977.69931763</v>
          </cell>
          <cell r="AP33">
            <v>1112808.9675388248</v>
          </cell>
          <cell r="AX33">
            <v>179401061.03839007</v>
          </cell>
        </row>
        <row r="34">
          <cell r="V34">
            <v>1359384.0536757023</v>
          </cell>
          <cell r="AC34">
            <v>200751468.6083957</v>
          </cell>
          <cell r="AP34">
            <v>1214435.0357490091</v>
          </cell>
          <cell r="AX34">
            <v>197354086.42775843</v>
          </cell>
        </row>
        <row r="35">
          <cell r="V35">
            <v>1528423.9663827552</v>
          </cell>
          <cell r="AC35">
            <v>224294620.87458512</v>
          </cell>
          <cell r="AP35">
            <v>1335935.0821256046</v>
          </cell>
          <cell r="AX35">
            <v>218635566.32159865</v>
          </cell>
        </row>
        <row r="36">
          <cell r="V36">
            <v>1713173.3302364915</v>
          </cell>
          <cell r="AC36">
            <v>249738013.96979806</v>
          </cell>
          <cell r="AP36">
            <v>1467226.7066715674</v>
          </cell>
          <cell r="AX36">
            <v>241675926.68718159</v>
          </cell>
        </row>
        <row r="37">
          <cell r="V37">
            <v>1949615.9641289569</v>
          </cell>
          <cell r="AC37">
            <v>283306848.76969612</v>
          </cell>
          <cell r="AP37">
            <v>1616487.016466463</v>
          </cell>
          <cell r="AX37">
            <v>268834208.51792818</v>
          </cell>
        </row>
        <row r="38">
          <cell r="V38">
            <v>2209953.1391527243</v>
          </cell>
          <cell r="AC38">
            <v>320154568.49802059</v>
          </cell>
          <cell r="AP38">
            <v>1779079.2384289603</v>
          </cell>
          <cell r="AX38">
            <v>298669861.23592979</v>
          </cell>
        </row>
        <row r="39">
          <cell r="V39">
            <v>2494464.8206072859</v>
          </cell>
          <cell r="AC39">
            <v>360300540.04611027</v>
          </cell>
          <cell r="AP39">
            <v>1951248.3742453135</v>
          </cell>
          <cell r="AX39">
            <v>330600029.49595857</v>
          </cell>
        </row>
        <row r="40">
          <cell r="V40">
            <v>2806813.7574559348</v>
          </cell>
          <cell r="AC40">
            <v>404727997.63643682</v>
          </cell>
          <cell r="AP40">
            <v>2140524.6748399232</v>
          </cell>
          <cell r="AX40">
            <v>366377342.6917423</v>
          </cell>
        </row>
        <row r="41">
          <cell r="V41">
            <v>3162820.4066938553</v>
          </cell>
          <cell r="AC41">
            <v>454348010.61565953</v>
          </cell>
          <cell r="AP41">
            <v>2345216.8773563528</v>
          </cell>
          <cell r="AX41">
            <v>405644068.68125224</v>
          </cell>
        </row>
        <row r="42">
          <cell r="V42">
            <v>3561582.6338355513</v>
          </cell>
          <cell r="AC42">
            <v>509166879.42011678</v>
          </cell>
          <cell r="AP42">
            <v>2567756.4575072685</v>
          </cell>
          <cell r="AX42">
            <v>449091475.89197206</v>
          </cell>
        </row>
        <row r="43">
          <cell r="V43">
            <v>3996147.9759801216</v>
          </cell>
          <cell r="AC43">
            <v>568601442.68461347</v>
          </cell>
          <cell r="AP43">
            <v>2804365.9153504334</v>
          </cell>
          <cell r="AX43">
            <v>495704450.38964057</v>
          </cell>
        </row>
        <row r="44">
          <cell r="V44">
            <v>4469736.9396869177</v>
          </cell>
          <cell r="AC44">
            <v>632984051.24701703</v>
          </cell>
          <cell r="AP44">
            <v>3059612.1640877472</v>
          </cell>
          <cell r="AX44">
            <v>546288271.5680542</v>
          </cell>
        </row>
        <row r="45">
          <cell r="V45">
            <v>4982442.3533100737</v>
          </cell>
          <cell r="AC45">
            <v>702409715.2109251</v>
          </cell>
          <cell r="AP45">
            <v>3331496.3376963795</v>
          </cell>
          <cell r="AX45">
            <v>600674726.40925694</v>
          </cell>
        </row>
        <row r="46">
          <cell r="V46">
            <v>5491477.3507763753</v>
          </cell>
          <cell r="AC46">
            <v>775083348.54365385</v>
          </cell>
          <cell r="AP46">
            <v>3605733.9206446381</v>
          </cell>
          <cell r="AX46">
            <v>657450768.21860623</v>
          </cell>
        </row>
        <row r="47">
          <cell r="V47">
            <v>5842566.5617699008</v>
          </cell>
          <cell r="AC47">
            <v>832646890.58386898</v>
          </cell>
          <cell r="AP47">
            <v>3858057.5883307857</v>
          </cell>
          <cell r="AX47">
            <v>709180404.04744864</v>
          </cell>
        </row>
        <row r="48">
          <cell r="V48">
            <v>6210717.5829120893</v>
          </cell>
          <cell r="AC48">
            <v>893654507.72924185</v>
          </cell>
          <cell r="AP48">
            <v>4125287.6538786995</v>
          </cell>
          <cell r="AX48">
            <v>764350805.20230758</v>
          </cell>
        </row>
        <row r="49">
          <cell r="V49">
            <v>6605296.8392387321</v>
          </cell>
          <cell r="AC49">
            <v>960530619.56371605</v>
          </cell>
          <cell r="AP49">
            <v>4419476.7723221518</v>
          </cell>
          <cell r="AX49">
            <v>825707832.75872111</v>
          </cell>
        </row>
        <row r="50">
          <cell r="V50">
            <v>7027874.8936398588</v>
          </cell>
          <cell r="AC50">
            <v>1032716560.3053877</v>
          </cell>
          <cell r="AP50">
            <v>4729290.8016516054</v>
          </cell>
          <cell r="AX50">
            <v>891087548.19179332</v>
          </cell>
        </row>
        <row r="51">
          <cell r="V51">
            <v>7482867.6889427174</v>
          </cell>
          <cell r="AC51">
            <v>1111259811.3839059</v>
          </cell>
          <cell r="AP51">
            <v>5068754.6135999262</v>
          </cell>
          <cell r="AX51">
            <v>962979200.74629676</v>
          </cell>
        </row>
        <row r="52">
          <cell r="V52">
            <v>7959643.2908462044</v>
          </cell>
          <cell r="AC52">
            <v>1194399015.5649996</v>
          </cell>
          <cell r="AP52">
            <v>5431633.8274090672</v>
          </cell>
          <cell r="AX52">
            <v>1040311525.359078</v>
          </cell>
        </row>
        <row r="53">
          <cell r="V53">
            <v>8456369.9500698037</v>
          </cell>
          <cell r="AC53">
            <v>1281942064.8340871</v>
          </cell>
          <cell r="AP53">
            <v>5823086.5817585429</v>
          </cell>
          <cell r="AX53">
            <v>1123749046.5305161</v>
          </cell>
        </row>
        <row r="54">
          <cell r="V54">
            <v>8961086.3990519252</v>
          </cell>
          <cell r="AC54">
            <v>1372133347.8871641</v>
          </cell>
          <cell r="AP54">
            <v>6233806.0147158466</v>
          </cell>
          <cell r="AX54">
            <v>1211950511.7955079</v>
          </cell>
        </row>
        <row r="55">
          <cell r="V55">
            <v>9467877.8710020017</v>
          </cell>
          <cell r="AC55">
            <v>1464078648.6113048</v>
          </cell>
          <cell r="AP55">
            <v>6656669.6757780435</v>
          </cell>
          <cell r="AX55">
            <v>1303583700.1143613</v>
          </cell>
        </row>
        <row r="56">
          <cell r="V56">
            <v>10080959.463489793</v>
          </cell>
          <cell r="AC56">
            <v>1568618146.9310672</v>
          </cell>
          <cell r="AP56">
            <v>7139511.5631779041</v>
          </cell>
          <cell r="AX56">
            <v>1406502273.1784077</v>
          </cell>
        </row>
        <row r="57">
          <cell r="V57">
            <v>10946523.871747872</v>
          </cell>
          <cell r="AC57">
            <v>1727413539.4033563</v>
          </cell>
          <cell r="AP57">
            <v>7696562.460330639</v>
          </cell>
          <cell r="AX57">
            <v>1536845079.4639115</v>
          </cell>
        </row>
        <row r="58">
          <cell r="V58">
            <v>11873120.203287913</v>
          </cell>
          <cell r="AC58">
            <v>1901137559.1604831</v>
          </cell>
          <cell r="AP58">
            <v>8308343.2478522025</v>
          </cell>
          <cell r="AX58">
            <v>1682112381.2123499</v>
          </cell>
        </row>
        <row r="59">
          <cell r="V59">
            <v>12854651.261098864</v>
          </cell>
          <cell r="AC59">
            <v>2088561060.8923926</v>
          </cell>
          <cell r="AP59">
            <v>8957770.2134423573</v>
          </cell>
          <cell r="AX59">
            <v>1838574882.7905207</v>
          </cell>
        </row>
        <row r="60">
          <cell r="V60">
            <v>13965632.137582332</v>
          </cell>
          <cell r="AC60">
            <v>2296341009.0499268</v>
          </cell>
          <cell r="AP60">
            <v>9704529.978758458</v>
          </cell>
          <cell r="AX60">
            <v>2011580953.9745219</v>
          </cell>
        </row>
        <row r="61">
          <cell r="V61">
            <v>15171048.422147959</v>
          </cell>
          <cell r="AC61">
            <v>2520917752.6897864</v>
          </cell>
          <cell r="AP61">
            <v>10502541.579009064</v>
          </cell>
          <cell r="AX61">
            <v>2196721477.1147008</v>
          </cell>
        </row>
        <row r="62">
          <cell r="V62">
            <v>16440427.653583251</v>
          </cell>
          <cell r="AC62">
            <v>2760897210.9275112</v>
          </cell>
          <cell r="AP62">
            <v>11350912.501268141</v>
          </cell>
          <cell r="AX62">
            <v>2395271915.7717676</v>
          </cell>
        </row>
        <row r="63">
          <cell r="V63">
            <v>17785741.887978937</v>
          </cell>
          <cell r="AC63">
            <v>3017966078.5437617</v>
          </cell>
          <cell r="AP63">
            <v>12262715.31493284</v>
          </cell>
          <cell r="AX63">
            <v>2610062231.8654938</v>
          </cell>
        </row>
        <row r="64">
          <cell r="V64">
            <v>19194906.981358491</v>
          </cell>
          <cell r="AC64">
            <v>3291358369.8139281</v>
          </cell>
          <cell r="AP64">
            <v>13214141.655663537</v>
          </cell>
          <cell r="AX64">
            <v>2837646067.95786</v>
          </cell>
        </row>
        <row r="65">
          <cell r="V65">
            <v>20676577.581174407</v>
          </cell>
          <cell r="AC65">
            <v>3582037300.5446262</v>
          </cell>
          <cell r="AP65">
            <v>14233301.346452555</v>
          </cell>
          <cell r="AX65">
            <v>3083391389.9371037</v>
          </cell>
        </row>
        <row r="66">
          <cell r="V66">
            <v>22699995.677843977</v>
          </cell>
          <cell r="AC66">
            <v>3972615872.638742</v>
          </cell>
          <cell r="AP66">
            <v>16229024.403164769</v>
          </cell>
          <cell r="AX66">
            <v>3447107046.8739777</v>
          </cell>
        </row>
        <row r="67">
          <cell r="V67">
            <v>25249364.011358172</v>
          </cell>
          <cell r="AC67">
            <v>4456096607.340106</v>
          </cell>
          <cell r="AP67">
            <v>19100655.650767706</v>
          </cell>
          <cell r="AX67">
            <v>3907873534.5375948</v>
          </cell>
        </row>
        <row r="68">
          <cell r="V68">
            <v>33418151.506974414</v>
          </cell>
          <cell r="AC68">
            <v>5945252968.6371717</v>
          </cell>
          <cell r="AP68">
            <v>24174277.879833363</v>
          </cell>
          <cell r="AX68">
            <v>4782241750.4528675</v>
          </cell>
        </row>
        <row r="69">
          <cell r="V69">
            <v>38731616.490843251</v>
          </cell>
          <cell r="AC69">
            <v>6943622047.9159698</v>
          </cell>
          <cell r="AP69">
            <v>32321718.15908628</v>
          </cell>
          <cell r="AX69">
            <v>6199130205.7597733</v>
          </cell>
        </row>
        <row r="70">
          <cell r="V70">
            <v>43567009.512561575</v>
          </cell>
          <cell r="AC70">
            <v>7868699888.4396286</v>
          </cell>
          <cell r="AP70">
            <v>38277877.157864578</v>
          </cell>
          <cell r="AX70">
            <v>7131217286.931489</v>
          </cell>
        </row>
        <row r="71">
          <cell r="V71">
            <v>48836020.987386629</v>
          </cell>
          <cell r="AC71">
            <v>8898713479.4417057</v>
          </cell>
          <cell r="AP71">
            <v>45113003.8491069</v>
          </cell>
          <cell r="AX71">
            <v>8193146079.3869724</v>
          </cell>
        </row>
        <row r="72">
          <cell r="V72">
            <v>54236140.730143793</v>
          </cell>
          <cell r="AC72">
            <v>10006638761.980732</v>
          </cell>
          <cell r="AP72">
            <v>52300515.851753645</v>
          </cell>
          <cell r="AX72">
            <v>9308860237.5208015</v>
          </cell>
        </row>
        <row r="73">
          <cell r="V73">
            <v>60054480.906127512</v>
          </cell>
          <cell r="AC73">
            <v>11216705630.713688</v>
          </cell>
          <cell r="AP73">
            <v>60407451.472008765</v>
          </cell>
          <cell r="AX73">
            <v>10547871603.555357</v>
          </cell>
        </row>
        <row r="74">
          <cell r="V74">
            <v>66347370.116800547</v>
          </cell>
          <cell r="AC74">
            <v>12525614117.735931</v>
          </cell>
          <cell r="AP74">
            <v>69597022.61946018</v>
          </cell>
          <cell r="AX74">
            <v>11912549359.612282</v>
          </cell>
        </row>
        <row r="75">
          <cell r="V75">
            <v>73109399.746266201</v>
          </cell>
          <cell r="AC75">
            <v>13944100698.901424</v>
          </cell>
          <cell r="AP75">
            <v>79930273.694730222</v>
          </cell>
          <cell r="AX75">
            <v>13418894807.230724</v>
          </cell>
        </row>
        <row r="76">
          <cell r="V76">
            <v>80522101.592282936</v>
          </cell>
          <cell r="AC76">
            <v>15521115893.761753</v>
          </cell>
          <cell r="AP76">
            <v>92307152.205326796</v>
          </cell>
          <cell r="AX76">
            <v>15196650100.754536</v>
          </cell>
        </row>
        <row r="77">
          <cell r="V77">
            <v>88354490.770309016</v>
          </cell>
          <cell r="AC77">
            <v>17189957965.613235</v>
          </cell>
          <cell r="AP77">
            <v>104043250.15066186</v>
          </cell>
          <cell r="AX77">
            <v>17073517812.491982</v>
          </cell>
        </row>
        <row r="78">
          <cell r="V78">
            <v>96779549.802969649</v>
          </cell>
          <cell r="AC78">
            <v>19000816841.136681</v>
          </cell>
          <cell r="AP78">
            <v>117276590.634351</v>
          </cell>
          <cell r="AX78">
            <v>19169279355.965115</v>
          </cell>
        </row>
        <row r="79">
          <cell r="V79">
            <v>105665169.62534502</v>
          </cell>
          <cell r="AC79">
            <v>20961137912.042255</v>
          </cell>
          <cell r="AP79">
            <v>131773865.38211815</v>
          </cell>
          <cell r="AX79">
            <v>21459802753.688965</v>
          </cell>
        </row>
        <row r="80">
          <cell r="V80">
            <v>115206908.57484096</v>
          </cell>
          <cell r="AC80">
            <v>23090458703.166695</v>
          </cell>
          <cell r="AP80">
            <v>148067929.23482814</v>
          </cell>
          <cell r="AX80">
            <v>24016095414.731873</v>
          </cell>
        </row>
        <row r="81">
          <cell r="V81">
            <v>125667681.84134954</v>
          </cell>
          <cell r="AC81">
            <v>25536116277.836361</v>
          </cell>
          <cell r="AP81">
            <v>166485808.82391617</v>
          </cell>
          <cell r="AX81">
            <v>26984385700.85524</v>
          </cell>
        </row>
        <row r="82">
          <cell r="V82">
            <v>136515532.62165278</v>
          </cell>
          <cell r="AC82">
            <v>28292161333.176666</v>
          </cell>
          <cell r="AP82">
            <v>186923628.26492071</v>
          </cell>
          <cell r="AX82">
            <v>30392620839.623276</v>
          </cell>
        </row>
        <row r="83">
          <cell r="V83">
            <v>148089762.74328631</v>
          </cell>
          <cell r="AC83">
            <v>31285217853.238327</v>
          </cell>
          <cell r="AP83">
            <v>209631051.9527373</v>
          </cell>
          <cell r="AX83">
            <v>34177324617.602268</v>
          </cell>
        </row>
        <row r="84">
          <cell r="V84">
            <v>160681437.98075718</v>
          </cell>
          <cell r="AC84">
            <v>34269883064.891987</v>
          </cell>
          <cell r="AP84">
            <v>232685067.29904941</v>
          </cell>
          <cell r="AX84">
            <v>37748561799.046532</v>
          </cell>
        </row>
        <row r="85">
          <cell r="V85">
            <v>175593529.50469187</v>
          </cell>
          <cell r="AC85">
            <v>37613922671.916397</v>
          </cell>
          <cell r="AP85">
            <v>259208250.25353613</v>
          </cell>
          <cell r="AX85">
            <v>41667599858.535538</v>
          </cell>
        </row>
        <row r="86">
          <cell r="V86">
            <v>191960487.39923739</v>
          </cell>
          <cell r="AC86">
            <v>41291086123.340637</v>
          </cell>
          <cell r="AP86">
            <v>290304736.07680762</v>
          </cell>
          <cell r="AX86">
            <v>46070308331.24762</v>
          </cell>
        </row>
        <row r="87">
          <cell r="V87">
            <v>211144941.14494842</v>
          </cell>
          <cell r="AC87">
            <v>45474766803.786942</v>
          </cell>
          <cell r="AP87">
            <v>330970915.70194328</v>
          </cell>
          <cell r="AX87">
            <v>51312994447.891479</v>
          </cell>
        </row>
        <row r="88">
          <cell r="V88">
            <v>231093785.7577233</v>
          </cell>
          <cell r="AC88">
            <v>49804303689.529114</v>
          </cell>
          <cell r="AP88">
            <v>371251663.46700227</v>
          </cell>
          <cell r="AX88">
            <v>56781071307.305038</v>
          </cell>
        </row>
        <row r="89">
          <cell r="V89">
            <v>251738664.93802699</v>
          </cell>
          <cell r="AC89">
            <v>54219118046.738968</v>
          </cell>
          <cell r="AP89">
            <v>412060354.81455153</v>
          </cell>
          <cell r="AX89">
            <v>62580615203.909073</v>
          </cell>
        </row>
        <row r="90">
          <cell r="V90">
            <v>273642450.08119488</v>
          </cell>
          <cell r="AC90">
            <v>58904484468.379105</v>
          </cell>
          <cell r="AP90">
            <v>456860051.94780368</v>
          </cell>
          <cell r="AX90">
            <v>68957471116.673752</v>
          </cell>
        </row>
        <row r="91">
          <cell r="V91">
            <v>295279791.73447263</v>
          </cell>
          <cell r="AC91">
            <v>63863052797.084183</v>
          </cell>
          <cell r="AP91">
            <v>506829921.64167058</v>
          </cell>
          <cell r="AX91">
            <v>76133770657.30069</v>
          </cell>
        </row>
        <row r="92">
          <cell r="V92">
            <v>318142446.60640633</v>
          </cell>
          <cell r="AC92">
            <v>69489043283.892807</v>
          </cell>
          <cell r="AP92">
            <v>563129484.7089237</v>
          </cell>
          <cell r="AX92">
            <v>84389899508.885788</v>
          </cell>
        </row>
        <row r="93">
          <cell r="V93">
            <v>341401982.03252393</v>
          </cell>
          <cell r="AC93">
            <v>75388075305.020172</v>
          </cell>
          <cell r="AP93">
            <v>619176474.34593034</v>
          </cell>
          <cell r="AX93">
            <v>93161500106.854477</v>
          </cell>
        </row>
        <row r="94">
          <cell r="V94">
            <v>365887715.30348182</v>
          </cell>
          <cell r="AC94">
            <v>81238455376.70285</v>
          </cell>
          <cell r="AP94">
            <v>679857222.83275664</v>
          </cell>
          <cell r="AX94">
            <v>102126408176.44843</v>
          </cell>
        </row>
        <row r="95">
          <cell r="V95">
            <v>391871073.21770912</v>
          </cell>
          <cell r="AC95">
            <v>87440592385.634262</v>
          </cell>
          <cell r="AP95">
            <v>745991968.7810688</v>
          </cell>
          <cell r="AX95">
            <v>111844561601.96384</v>
          </cell>
        </row>
        <row r="96">
          <cell r="V96">
            <v>419308735.14763945</v>
          </cell>
          <cell r="AC96">
            <v>94009725553.569672</v>
          </cell>
          <cell r="AP96">
            <v>817314017.72776937</v>
          </cell>
          <cell r="AX96">
            <v>122300778078.05606</v>
          </cell>
        </row>
        <row r="97">
          <cell r="V97">
            <v>450495851.00683886</v>
          </cell>
          <cell r="AC97">
            <v>101553647735.1911</v>
          </cell>
          <cell r="AP97">
            <v>908044086.6672858</v>
          </cell>
          <cell r="AX97">
            <v>134795699158.75922</v>
          </cell>
        </row>
        <row r="98">
          <cell r="V98">
            <v>481261971.98154789</v>
          </cell>
          <cell r="AC98">
            <v>109075958466.41693</v>
          </cell>
          <cell r="AP98">
            <v>1000549753.2225407</v>
          </cell>
          <cell r="AX98">
            <v>147638878998.74481</v>
          </cell>
        </row>
        <row r="99">
          <cell r="V99">
            <v>513355620.43374467</v>
          </cell>
          <cell r="AC99">
            <v>116964116756.52014</v>
          </cell>
          <cell r="AP99">
            <v>1098782546.3544316</v>
          </cell>
          <cell r="AX99">
            <v>161612945687.61606</v>
          </cell>
        </row>
        <row r="100">
          <cell r="V100">
            <v>548045706.67175543</v>
          </cell>
          <cell r="AC100">
            <v>125661463924.21506</v>
          </cell>
          <cell r="AP100">
            <v>1219339878.6398966</v>
          </cell>
          <cell r="AX100">
            <v>177695510068.89136</v>
          </cell>
        </row>
        <row r="101">
          <cell r="V101">
            <v>585642279.05986726</v>
          </cell>
          <cell r="AC101">
            <v>135147362627.46362</v>
          </cell>
          <cell r="AP101">
            <v>1358620301.6765561</v>
          </cell>
          <cell r="AX101">
            <v>196023759061.33795</v>
          </cell>
        </row>
        <row r="102">
          <cell r="V102">
            <v>628831916.97728372</v>
          </cell>
          <cell r="AC102">
            <v>146244135682.15439</v>
          </cell>
          <cell r="AP102">
            <v>1536157683.3010228</v>
          </cell>
          <cell r="AX102">
            <v>217922663288.71893</v>
          </cell>
        </row>
        <row r="103">
          <cell r="V103">
            <v>669125072.02188587</v>
          </cell>
          <cell r="AC103">
            <v>156763084223.51666</v>
          </cell>
          <cell r="AP103">
            <v>1695476974.6759009</v>
          </cell>
          <cell r="AX103">
            <v>238996994210.67395</v>
          </cell>
        </row>
        <row r="104">
          <cell r="V104">
            <v>704989570.27363753</v>
          </cell>
          <cell r="AC104">
            <v>166402690176.47739</v>
          </cell>
          <cell r="AP104">
            <v>1838098740.4597304</v>
          </cell>
          <cell r="AX104">
            <v>258611962984.2356</v>
          </cell>
        </row>
        <row r="105">
          <cell r="V105">
            <v>740333706.34144711</v>
          </cell>
          <cell r="AC105">
            <v>176028100670.9147</v>
          </cell>
          <cell r="AP105">
            <v>1974502453.7848165</v>
          </cell>
          <cell r="AX105">
            <v>277031348036.82465</v>
          </cell>
        </row>
        <row r="106">
          <cell r="V106">
            <v>776651008.93909264</v>
          </cell>
          <cell r="AC106">
            <v>185988882082.64697</v>
          </cell>
          <cell r="AP106">
            <v>2115996389.4437201</v>
          </cell>
          <cell r="AX106">
            <v>296027340662.05872</v>
          </cell>
        </row>
        <row r="107">
          <cell r="V107">
            <v>816286801.29331398</v>
          </cell>
          <cell r="AC107">
            <v>197216837908.29822</v>
          </cell>
          <cell r="AP107">
            <v>2276881769.3884168</v>
          </cell>
          <cell r="AX107">
            <v>317541211340.00854</v>
          </cell>
        </row>
        <row r="108">
          <cell r="V108">
            <v>857116275.73882103</v>
          </cell>
          <cell r="AC108">
            <v>208933716562.62769</v>
          </cell>
          <cell r="AP108">
            <v>2446917714.5613842</v>
          </cell>
          <cell r="AX108">
            <v>340243548482.59521</v>
          </cell>
        </row>
        <row r="109">
          <cell r="V109">
            <v>899578924.91710901</v>
          </cell>
          <cell r="AC109">
            <v>221211047810.3212</v>
          </cell>
          <cell r="AP109">
            <v>2627704514.9459548</v>
          </cell>
          <cell r="AX109">
            <v>364249786967.10608</v>
          </cell>
        </row>
        <row r="110">
          <cell r="V110">
            <v>941983181.65457058</v>
          </cell>
          <cell r="AC110">
            <v>233639548525.32056</v>
          </cell>
          <cell r="AP110">
            <v>2804976478.4251862</v>
          </cell>
          <cell r="AX110">
            <v>388982554976.23364</v>
          </cell>
        </row>
        <row r="111">
          <cell r="V111">
            <v>985116881.03286028</v>
          </cell>
          <cell r="AC111">
            <v>246515222767.02301</v>
          </cell>
          <cell r="AP111">
            <v>2988623566.0891962</v>
          </cell>
          <cell r="AX111">
            <v>414844320821.04553</v>
          </cell>
        </row>
        <row r="112">
          <cell r="V112">
            <v>1022822986.3043774</v>
          </cell>
          <cell r="AC112">
            <v>258274642955.34717</v>
          </cell>
          <cell r="AP112">
            <v>3178393642.2833676</v>
          </cell>
          <cell r="AX112">
            <v>439722591369.87018</v>
          </cell>
        </row>
        <row r="113">
          <cell r="V113">
            <v>1061486298.9817948</v>
          </cell>
          <cell r="AC113">
            <v>270413463032.44312</v>
          </cell>
          <cell r="AP113">
            <v>3376877672.7595754</v>
          </cell>
          <cell r="AX113">
            <v>465533183835.02777</v>
          </cell>
        </row>
        <row r="114">
          <cell r="V114">
            <v>1100707522.1915293</v>
          </cell>
          <cell r="AC114">
            <v>283017362132.65759</v>
          </cell>
          <cell r="AP114">
            <v>3587471511.882381</v>
          </cell>
          <cell r="AX114">
            <v>492889576439.12048</v>
          </cell>
        </row>
        <row r="115">
          <cell r="V115">
            <v>1139990045.8557777</v>
          </cell>
          <cell r="AC115">
            <v>295932722957.48279</v>
          </cell>
          <cell r="AP115">
            <v>3804381282.5109172</v>
          </cell>
          <cell r="AX115">
            <v>521001960347.60712</v>
          </cell>
        </row>
        <row r="116">
          <cell r="V116">
            <v>1180683234.7614985</v>
          </cell>
          <cell r="AC116">
            <v>309398427330.37848</v>
          </cell>
          <cell r="AP116">
            <v>4034854219.4582024</v>
          </cell>
          <cell r="AX116">
            <v>550806512230.61292</v>
          </cell>
        </row>
        <row r="117">
          <cell r="V117">
            <v>1217730412.672883</v>
          </cell>
          <cell r="AC117">
            <v>320727303341.18774</v>
          </cell>
          <cell r="AP117">
            <v>4257411527.4728599</v>
          </cell>
          <cell r="AX117">
            <v>578742797289.22595</v>
          </cell>
        </row>
        <row r="118">
          <cell r="V118">
            <v>1255391942.7044668</v>
          </cell>
          <cell r="AC118">
            <v>332394431039.53705</v>
          </cell>
          <cell r="AP118">
            <v>4491145445.9353018</v>
          </cell>
          <cell r="AX118">
            <v>607994099974.94824</v>
          </cell>
        </row>
        <row r="119">
          <cell r="V119">
            <v>1297603741.9210954</v>
          </cell>
          <cell r="AC119">
            <v>345362612330.51294</v>
          </cell>
          <cell r="AP119">
            <v>4748170433.5670366</v>
          </cell>
          <cell r="AX119">
            <v>640155930813.86169</v>
          </cell>
        </row>
        <row r="120">
          <cell r="V120">
            <v>1342725095.1803925</v>
          </cell>
          <cell r="AC120">
            <v>359206192574.48401</v>
          </cell>
          <cell r="AP120">
            <v>5024958262.0951557</v>
          </cell>
          <cell r="AX120">
            <v>674712374078.58301</v>
          </cell>
        </row>
        <row r="121">
          <cell r="V121">
            <v>1388829997.1502364</v>
          </cell>
          <cell r="AC121">
            <v>373284871756.1781</v>
          </cell>
          <cell r="AP121">
            <v>5310428278.2472134</v>
          </cell>
          <cell r="AX121">
            <v>710188670633.40869</v>
          </cell>
        </row>
        <row r="122">
          <cell r="V122">
            <v>1440251828.2999997</v>
          </cell>
          <cell r="AC122">
            <v>387906656037.47815</v>
          </cell>
          <cell r="AP122">
            <v>5611395676.8096466</v>
          </cell>
          <cell r="AX122">
            <v>747306597821.20972</v>
          </cell>
        </row>
        <row r="123">
          <cell r="V123">
            <v>1493405502.3722124</v>
          </cell>
          <cell r="AC123">
            <v>402809596098.72919</v>
          </cell>
          <cell r="AP123">
            <v>5925608303.1839695</v>
          </cell>
          <cell r="AX123">
            <v>785787194569.05627</v>
          </cell>
        </row>
        <row r="124">
          <cell r="V124">
            <v>1547599415.5754991</v>
          </cell>
          <cell r="AC124">
            <v>417959185260.55109</v>
          </cell>
          <cell r="AP124">
            <v>6252136123.3710375</v>
          </cell>
          <cell r="AX124">
            <v>825453337347.37939</v>
          </cell>
        </row>
        <row r="125">
          <cell r="V125">
            <v>1603613491.8154192</v>
          </cell>
          <cell r="AC125">
            <v>433636751316.81873</v>
          </cell>
          <cell r="AP125">
            <v>6596122374.0547895</v>
          </cell>
          <cell r="AX125">
            <v>867088952319.15234</v>
          </cell>
        </row>
        <row r="126">
          <cell r="V126">
            <v>1661200784.9764607</v>
          </cell>
          <cell r="AC126">
            <v>449777155398.92957</v>
          </cell>
          <cell r="AP126">
            <v>6955016734.5733128</v>
          </cell>
          <cell r="AX126">
            <v>910337495898.5802</v>
          </cell>
        </row>
        <row r="127">
          <cell r="V127">
            <v>1720013613.6005452</v>
          </cell>
          <cell r="AC127">
            <v>466287603597.75421</v>
          </cell>
          <cell r="AP127">
            <v>7325231276.4455194</v>
          </cell>
          <cell r="AX127">
            <v>955174359575.32739</v>
          </cell>
        </row>
        <row r="128">
          <cell r="V128">
            <v>1779958359.1217425</v>
          </cell>
          <cell r="AC128">
            <v>483201493136.55396</v>
          </cell>
          <cell r="AP128">
            <v>7708655588.9191284</v>
          </cell>
          <cell r="AX128">
            <v>1001404654275.749</v>
          </cell>
        </row>
        <row r="129">
          <cell r="V129">
            <v>1842848617.7008986</v>
          </cell>
          <cell r="AC129">
            <v>500835613478.82739</v>
          </cell>
          <cell r="AP129">
            <v>8116866750.906045</v>
          </cell>
          <cell r="AX129">
            <v>1050468740253.6467</v>
          </cell>
        </row>
        <row r="130">
          <cell r="V130">
            <v>1907819248.9995847</v>
          </cell>
          <cell r="AC130">
            <v>518998847702.52264</v>
          </cell>
          <cell r="AP130">
            <v>8542037814.5417128</v>
          </cell>
          <cell r="AX130">
            <v>1101355884852.5198</v>
          </cell>
        </row>
        <row r="131">
          <cell r="V131">
            <v>1974167083.2755365</v>
          </cell>
          <cell r="AC131">
            <v>537451365827.27515</v>
          </cell>
          <cell r="AP131">
            <v>8985714662.1311302</v>
          </cell>
          <cell r="AX131">
            <v>1154018176822.668</v>
          </cell>
        </row>
        <row r="132">
          <cell r="V132">
            <v>2042742132.8474407</v>
          </cell>
          <cell r="AC132">
            <v>556460087608.3866</v>
          </cell>
          <cell r="AP132">
            <v>9447027848.7821732</v>
          </cell>
          <cell r="AX132">
            <v>1208072193027.051</v>
          </cell>
        </row>
        <row r="133">
          <cell r="V133">
            <v>2114625595.3524413</v>
          </cell>
          <cell r="AC133">
            <v>576395587325.52283</v>
          </cell>
          <cell r="AP133">
            <v>9944525549.4416428</v>
          </cell>
          <cell r="AX133">
            <v>1266289824827.9836</v>
          </cell>
        </row>
        <row r="134">
          <cell r="V134">
            <v>2187809541.3160272</v>
          </cell>
          <cell r="AC134">
            <v>596470363808.92383</v>
          </cell>
          <cell r="AP134">
            <v>10455040823.835325</v>
          </cell>
          <cell r="AX134">
            <v>1325152932286.9204</v>
          </cell>
        </row>
        <row r="135">
          <cell r="V135">
            <v>2263852430.252069</v>
          </cell>
          <cell r="AC135">
            <v>617296542985.98413</v>
          </cell>
          <cell r="AP135">
            <v>10997842150.779097</v>
          </cell>
          <cell r="AX135">
            <v>1387481930261.8821</v>
          </cell>
        </row>
        <row r="136">
          <cell r="V136">
            <v>2341987638.9112382</v>
          </cell>
          <cell r="AC136">
            <v>638699403219.69775</v>
          </cell>
          <cell r="AP136">
            <v>11563904665.515114</v>
          </cell>
          <cell r="AX136">
            <v>1452171037508.8965</v>
          </cell>
        </row>
        <row r="137">
          <cell r="V137">
            <v>2428588555.1892977</v>
          </cell>
          <cell r="AC137">
            <v>662417573705.3114</v>
          </cell>
          <cell r="AP137">
            <v>12205053158.101847</v>
          </cell>
          <cell r="AX137">
            <v>1522917106972.7498</v>
          </cell>
        </row>
        <row r="138">
          <cell r="V138">
            <v>2520762591.3901339</v>
          </cell>
          <cell r="AC138">
            <v>687662981665.64746</v>
          </cell>
          <cell r="AP138">
            <v>12899741754.829515</v>
          </cell>
          <cell r="AX138">
            <v>1599427963562.387</v>
          </cell>
        </row>
        <row r="139">
          <cell r="V139">
            <v>2616239199.2551527</v>
          </cell>
          <cell r="AC139">
            <v>713816789564.73914</v>
          </cell>
          <cell r="AP139">
            <v>13634230572.17227</v>
          </cell>
          <cell r="AX139">
            <v>1679905223902.5625</v>
          </cell>
        </row>
        <row r="140">
          <cell r="V140">
            <v>2708731582.9149156</v>
          </cell>
          <cell r="AC140">
            <v>739163821650.09253</v>
          </cell>
          <cell r="AP140">
            <v>14369769892.704626</v>
          </cell>
          <cell r="AX140">
            <v>1759533283899.9683</v>
          </cell>
        </row>
        <row r="141">
          <cell r="V141">
            <v>2798732204.2500148</v>
          </cell>
          <cell r="AC141">
            <v>763838083910.1189</v>
          </cell>
          <cell r="AP141">
            <v>15112802093.630919</v>
          </cell>
          <cell r="AX141">
            <v>1839115058717.0066</v>
          </cell>
        </row>
        <row r="142">
          <cell r="V142">
            <v>2891506389.0184488</v>
          </cell>
          <cell r="AC142">
            <v>789276483918.95862</v>
          </cell>
          <cell r="AP142">
            <v>15893679411.586639</v>
          </cell>
          <cell r="AX142">
            <v>1922325634141.8</v>
          </cell>
        </row>
        <row r="143">
          <cell r="V143">
            <v>2986573709.0306597</v>
          </cell>
          <cell r="AC143">
            <v>815348172772.02759</v>
          </cell>
          <cell r="AP143">
            <v>16706937905.901594</v>
          </cell>
          <cell r="AX143">
            <v>2008445324009.9375</v>
          </cell>
        </row>
        <row r="144">
          <cell r="V144">
            <v>3084224646.313982</v>
          </cell>
          <cell r="AC144">
            <v>842990715214.21655</v>
          </cell>
          <cell r="AP144">
            <v>17557179678.164986</v>
          </cell>
          <cell r="AX144">
            <v>2100112351971.1765</v>
          </cell>
        </row>
        <row r="145">
          <cell r="V145">
            <v>3184088052.0499907</v>
          </cell>
          <cell r="AC145">
            <v>873426770843.70972</v>
          </cell>
          <cell r="AP145">
            <v>18440301962.281788</v>
          </cell>
          <cell r="AX145">
            <v>2200187723091.4355</v>
          </cell>
        </row>
        <row r="146">
          <cell r="V146">
            <v>3285559976.4591808</v>
          </cell>
          <cell r="AC146">
            <v>904717330821.33191</v>
          </cell>
          <cell r="AP146">
            <v>19363209384.685143</v>
          </cell>
          <cell r="AX146">
            <v>2304608010958.0796</v>
          </cell>
        </row>
        <row r="147">
          <cell r="V147">
            <v>3386279073.2116313</v>
          </cell>
          <cell r="AC147">
            <v>936030277188.10327</v>
          </cell>
          <cell r="AP147">
            <v>20277928261.32349</v>
          </cell>
          <cell r="AX147">
            <v>2409879522589.3599</v>
          </cell>
        </row>
        <row r="148">
          <cell r="V148">
            <v>3490478119.8163595</v>
          </cell>
          <cell r="AC148">
            <v>968516705083.19836</v>
          </cell>
          <cell r="AP148">
            <v>21245250344.615105</v>
          </cell>
          <cell r="AX148">
            <v>2521041837225.457</v>
          </cell>
        </row>
        <row r="149">
          <cell r="V149">
            <v>3596633766.500824</v>
          </cell>
          <cell r="AC149">
            <v>1001944358534.2446</v>
          </cell>
          <cell r="AP149">
            <v>22254980327.873272</v>
          </cell>
          <cell r="AX149">
            <v>2636659762223.0156</v>
          </cell>
        </row>
        <row r="150">
          <cell r="V150">
            <v>3705720264.5229359</v>
          </cell>
          <cell r="AC150">
            <v>1036711889334.5664</v>
          </cell>
          <cell r="AP150">
            <v>23327289069.698917</v>
          </cell>
          <cell r="AX150">
            <v>2759432787104.0342</v>
          </cell>
        </row>
        <row r="151">
          <cell r="V151">
            <v>3816886638.0490875</v>
          </cell>
          <cell r="AC151">
            <v>1072319861124.3533</v>
          </cell>
          <cell r="AP151">
            <v>24435554341.343281</v>
          </cell>
          <cell r="AX151">
            <v>2886113268149.5874</v>
          </cell>
        </row>
        <row r="152">
          <cell r="V152">
            <v>3931105156.8788671</v>
          </cell>
          <cell r="AC152">
            <v>1109049801820.0923</v>
          </cell>
          <cell r="AP152">
            <v>25595627507.792835</v>
          </cell>
          <cell r="AX152">
            <v>3018557333804.2441</v>
          </cell>
        </row>
        <row r="153">
          <cell r="V153">
            <v>4046872472.0718317</v>
          </cell>
          <cell r="AC153">
            <v>1146486477074.7161</v>
          </cell>
          <cell r="AP153">
            <v>26784410494.820446</v>
          </cell>
          <cell r="AX153">
            <v>3154023698891.8335</v>
          </cell>
        </row>
        <row r="154">
          <cell r="V154">
            <v>4166465922.117538</v>
          </cell>
          <cell r="AC154">
            <v>1185283086817.7683</v>
          </cell>
          <cell r="AP154">
            <v>28038156582.847347</v>
          </cell>
          <cell r="AX154">
            <v>3296766318164.2358</v>
          </cell>
        </row>
        <row r="155">
          <cell r="V155">
            <v>4288544421.0050993</v>
          </cell>
          <cell r="AC155">
            <v>1228541570424.656</v>
          </cell>
          <cell r="AP155">
            <v>29336901840.954834</v>
          </cell>
          <cell r="AX155">
            <v>3454174822952.9575</v>
          </cell>
        </row>
        <row r="156">
          <cell r="V156">
            <v>4408266144.2004356</v>
          </cell>
          <cell r="AC156">
            <v>1272945973809.7241</v>
          </cell>
          <cell r="AP156">
            <v>30659960888.505711</v>
          </cell>
          <cell r="AX156">
            <v>3618628827733.4238</v>
          </cell>
        </row>
        <row r="157">
          <cell r="V157">
            <v>4513932456.6727734</v>
          </cell>
          <cell r="AC157">
            <v>1313804329335.7651</v>
          </cell>
          <cell r="AP157">
            <v>31849104085.97858</v>
          </cell>
          <cell r="AX157">
            <v>3775991960596.4331</v>
          </cell>
        </row>
        <row r="158">
          <cell r="V158">
            <v>4632353544.2793922</v>
          </cell>
          <cell r="AC158">
            <v>1358884386541.9431</v>
          </cell>
          <cell r="AP158">
            <v>33118975575.747536</v>
          </cell>
          <cell r="AX158">
            <v>3944112667939.1514</v>
          </cell>
        </row>
        <row r="159">
          <cell r="V159">
            <v>4768236247.0390711</v>
          </cell>
          <cell r="AC159">
            <v>1409665011999.543</v>
          </cell>
          <cell r="AP159">
            <v>34597380680.633308</v>
          </cell>
          <cell r="AX159">
            <v>4138393732473.4922</v>
          </cell>
        </row>
        <row r="160">
          <cell r="V160">
            <v>4906758075.4328823</v>
          </cell>
          <cell r="AC160">
            <v>1461849812631.9512</v>
          </cell>
          <cell r="AP160">
            <v>36146191100.125664</v>
          </cell>
          <cell r="AX160">
            <v>4342554672351.6504</v>
          </cell>
        </row>
        <row r="161">
          <cell r="V161">
            <v>4992791532.3593245</v>
          </cell>
          <cell r="AC161">
            <v>1491246840496.3975</v>
          </cell>
          <cell r="AP161">
            <v>37405804899.686668</v>
          </cell>
          <cell r="AX161">
            <v>4490237501770.1035</v>
          </cell>
        </row>
        <row r="162">
          <cell r="V162">
            <v>5043389365.1666393</v>
          </cell>
          <cell r="AC162">
            <v>1508872713377.9441</v>
          </cell>
          <cell r="AP162">
            <v>38152664231.801453</v>
          </cell>
          <cell r="AX162">
            <v>4572292994518.8525</v>
          </cell>
        </row>
        <row r="163">
          <cell r="V163">
            <v>5078784566.3815022</v>
          </cell>
          <cell r="AC163">
            <v>1521992526681.4868</v>
          </cell>
          <cell r="AP163">
            <v>38628807078.117058</v>
          </cell>
          <cell r="AX163">
            <v>4625404554863.9775</v>
          </cell>
        </row>
        <row r="164">
          <cell r="V164">
            <v>5104003633.6974735</v>
          </cell>
          <cell r="AC164">
            <v>1532092373701.6763</v>
          </cell>
          <cell r="AP164">
            <v>38921509354.024864</v>
          </cell>
          <cell r="AX164">
            <v>4657131046244.4902</v>
          </cell>
        </row>
        <row r="165">
          <cell r="V165">
            <v>5123949868.0298328</v>
          </cell>
          <cell r="AC165">
            <v>1540631329185.9175</v>
          </cell>
          <cell r="AP165">
            <v>39118512888.272881</v>
          </cell>
          <cell r="AX165">
            <v>4677382095989.4033</v>
          </cell>
        </row>
        <row r="166">
          <cell r="V166">
            <v>5143922074.9014454</v>
          </cell>
          <cell r="AC166">
            <v>1549200631310.9224</v>
          </cell>
          <cell r="AP166">
            <v>39316012820.922585</v>
          </cell>
          <cell r="AX166">
            <v>4697675699954.3369</v>
          </cell>
        </row>
      </sheetData>
      <sheetData sheetId="16">
        <row r="7">
          <cell r="V7">
            <v>25391.091836836931</v>
          </cell>
          <cell r="AC7">
            <v>2998173.8332366189</v>
          </cell>
          <cell r="AP7">
            <v>18723.681809279744</v>
          </cell>
          <cell r="AX7">
            <v>1995727.0854587499</v>
          </cell>
        </row>
        <row r="8">
          <cell r="V8">
            <v>33648.984661877999</v>
          </cell>
          <cell r="AC8">
            <v>4111310.7247643229</v>
          </cell>
          <cell r="AP8">
            <v>26616.386742623577</v>
          </cell>
          <cell r="AX8">
            <v>2945490.9605666641</v>
          </cell>
        </row>
        <row r="9">
          <cell r="V9">
            <v>43016.63600707829</v>
          </cell>
          <cell r="AC9">
            <v>5426877.4369368833</v>
          </cell>
          <cell r="AP9">
            <v>36231.162838825301</v>
          </cell>
          <cell r="AX9">
            <v>4153566.5379399406</v>
          </cell>
        </row>
        <row r="10">
          <cell r="V10">
            <v>54033.286352717972</v>
          </cell>
          <cell r="AC10">
            <v>7024952.7538206335</v>
          </cell>
          <cell r="AP10">
            <v>48184.635972856253</v>
          </cell>
          <cell r="AX10">
            <v>5710865.9837178001</v>
          </cell>
        </row>
        <row r="11">
          <cell r="V11">
            <v>66871.00953706968</v>
          </cell>
          <cell r="AC11">
            <v>8943969.9713785611</v>
          </cell>
          <cell r="AP11">
            <v>62852.103807195475</v>
          </cell>
          <cell r="AX11">
            <v>7687271.3775850534</v>
          </cell>
        </row>
        <row r="12">
          <cell r="V12">
            <v>81713.101765032887</v>
          </cell>
          <cell r="AC12">
            <v>11225486.895093698</v>
          </cell>
          <cell r="AP12">
            <v>80648.92775106254</v>
          </cell>
          <cell r="AX12">
            <v>10162128.03399176</v>
          </cell>
        </row>
        <row r="13">
          <cell r="V13">
            <v>98754.531549388907</v>
          </cell>
          <cell r="AC13">
            <v>13914331.276205368</v>
          </cell>
          <cell r="AP13">
            <v>102033.34176769793</v>
          </cell>
          <cell r="AX13">
            <v>13225073.66942478</v>
          </cell>
        </row>
        <row r="14">
          <cell r="V14">
            <v>117436.43802537926</v>
          </cell>
          <cell r="AC14">
            <v>16948207.687175795</v>
          </cell>
          <cell r="AP14">
            <v>126683.11325494079</v>
          </cell>
          <cell r="AX14">
            <v>16866899.397146713</v>
          </cell>
        </row>
        <row r="15">
          <cell r="V15">
            <v>138156.57808086224</v>
          </cell>
          <cell r="AC15">
            <v>20397586.792187657</v>
          </cell>
          <cell r="AP15">
            <v>155247.88615005536</v>
          </cell>
          <cell r="AX15">
            <v>21205161.282483764</v>
          </cell>
        </row>
        <row r="16">
          <cell r="V16">
            <v>161305.19632197014</v>
          </cell>
          <cell r="AC16">
            <v>24336287.709586389</v>
          </cell>
          <cell r="AP16">
            <v>188439.14134873965</v>
          </cell>
          <cell r="AX16">
            <v>26373521.124304172</v>
          </cell>
        </row>
        <row r="17">
          <cell r="V17">
            <v>190789.41170654044</v>
          </cell>
          <cell r="AC17">
            <v>28975657.029665042</v>
          </cell>
          <cell r="AP17">
            <v>226166.33532824676</v>
          </cell>
          <cell r="AX17">
            <v>32566551.614909273</v>
          </cell>
        </row>
        <row r="18">
          <cell r="V18">
            <v>223274.57369783032</v>
          </cell>
          <cell r="AC18">
            <v>33401718.35936109</v>
          </cell>
          <cell r="AP18">
            <v>258618.93421455091</v>
          </cell>
          <cell r="AX18">
            <v>37418573.263074405</v>
          </cell>
        </row>
        <row r="19">
          <cell r="V19">
            <v>260938.9358252422</v>
          </cell>
          <cell r="AC19">
            <v>38490522.897324473</v>
          </cell>
          <cell r="AP19">
            <v>296537.40358345403</v>
          </cell>
          <cell r="AX19">
            <v>43086793.44799538</v>
          </cell>
        </row>
        <row r="20">
          <cell r="V20">
            <v>300996.04906325589</v>
          </cell>
          <cell r="AC20">
            <v>43812752.201439083</v>
          </cell>
          <cell r="AP20">
            <v>334565.81256257585</v>
          </cell>
          <cell r="AX20">
            <v>48799971.02478382</v>
          </cell>
        </row>
        <row r="21">
          <cell r="V21">
            <v>345507.57109853404</v>
          </cell>
          <cell r="AC21">
            <v>49659661.008763887</v>
          </cell>
          <cell r="AP21">
            <v>377074.86670885078</v>
          </cell>
          <cell r="AX21">
            <v>55197627.999548808</v>
          </cell>
        </row>
        <row r="22">
          <cell r="V22">
            <v>394434.49203116691</v>
          </cell>
          <cell r="AC22">
            <v>56010666.017573625</v>
          </cell>
          <cell r="AP22">
            <v>422878.85207596351</v>
          </cell>
          <cell r="AX22">
            <v>62111692.902501941</v>
          </cell>
        </row>
        <row r="23">
          <cell r="V23">
            <v>448125.08023428614</v>
          </cell>
          <cell r="AC23">
            <v>63765152.542426072</v>
          </cell>
          <cell r="AP23">
            <v>472438.12537332147</v>
          </cell>
          <cell r="AX23">
            <v>70569634.452681288</v>
          </cell>
        </row>
        <row r="24">
          <cell r="V24">
            <v>507506.05312440463</v>
          </cell>
          <cell r="AC24">
            <v>71622620.706899628</v>
          </cell>
          <cell r="AP24">
            <v>528417.69601484225</v>
          </cell>
          <cell r="AX24">
            <v>79405024.550750285</v>
          </cell>
        </row>
        <row r="25">
          <cell r="V25">
            <v>572203.20047900931</v>
          </cell>
          <cell r="AC25">
            <v>80118241.242343947</v>
          </cell>
          <cell r="AP25">
            <v>588289.43924175622</v>
          </cell>
          <cell r="AX25">
            <v>88977392.757302627</v>
          </cell>
        </row>
        <row r="26">
          <cell r="V26">
            <v>639749.51604040409</v>
          </cell>
          <cell r="AC26">
            <v>89149126.078688264</v>
          </cell>
          <cell r="AP26">
            <v>650611.43454519636</v>
          </cell>
          <cell r="AX26">
            <v>99180575.857180834</v>
          </cell>
        </row>
        <row r="27">
          <cell r="V27">
            <v>717291.80181881902</v>
          </cell>
          <cell r="AC27">
            <v>101013904.50282651</v>
          </cell>
          <cell r="AP27">
            <v>718009.88997216546</v>
          </cell>
          <cell r="AX27">
            <v>110744436.96397291</v>
          </cell>
        </row>
        <row r="28">
          <cell r="V28">
            <v>800110.01443982439</v>
          </cell>
          <cell r="AC28">
            <v>113845542.56285307</v>
          </cell>
          <cell r="AP28">
            <v>789212.75732443784</v>
          </cell>
          <cell r="AX28">
            <v>123131725.12310207</v>
          </cell>
        </row>
        <row r="29">
          <cell r="V29">
            <v>887857.87804147881</v>
          </cell>
          <cell r="AC29">
            <v>127613602.3047168</v>
          </cell>
          <cell r="AP29">
            <v>862486.37683595682</v>
          </cell>
          <cell r="AX29">
            <v>136086068.48202023</v>
          </cell>
        </row>
        <row r="30">
          <cell r="V30">
            <v>981940.32540076377</v>
          </cell>
          <cell r="AC30">
            <v>142534601.64722013</v>
          </cell>
          <cell r="AP30">
            <v>942663.5785472804</v>
          </cell>
          <cell r="AX30">
            <v>150381119.23093438</v>
          </cell>
        </row>
        <row r="31">
          <cell r="V31">
            <v>1085091.5344258246</v>
          </cell>
          <cell r="AC31">
            <v>159033562.46921682</v>
          </cell>
          <cell r="AP31">
            <v>1030003.5286056265</v>
          </cell>
          <cell r="AX31">
            <v>166092927.84525216</v>
          </cell>
        </row>
        <row r="32">
          <cell r="V32">
            <v>1196661.4088883968</v>
          </cell>
          <cell r="AC32">
            <v>177050299.43224484</v>
          </cell>
          <cell r="AP32">
            <v>1125231.4828919582</v>
          </cell>
          <cell r="AX32">
            <v>183375436.11443275</v>
          </cell>
        </row>
        <row r="33">
          <cell r="V33">
            <v>1315366.8474856922</v>
          </cell>
          <cell r="AC33">
            <v>196423614.86650315</v>
          </cell>
          <cell r="AP33">
            <v>1225958.5459058755</v>
          </cell>
          <cell r="AX33">
            <v>201871823.2450071</v>
          </cell>
        </row>
        <row r="34">
          <cell r="V34">
            <v>1458284.9579808051</v>
          </cell>
          <cell r="AC34">
            <v>218490529.37240726</v>
          </cell>
          <cell r="AP34">
            <v>1340315.6026087464</v>
          </cell>
          <cell r="AX34">
            <v>222710455.4446876</v>
          </cell>
        </row>
        <row r="35">
          <cell r="V35">
            <v>1675374.8603581728</v>
          </cell>
          <cell r="AC35">
            <v>246950290.66986001</v>
          </cell>
          <cell r="AP35">
            <v>1491167.7998270474</v>
          </cell>
          <cell r="AX35">
            <v>249108739.69539982</v>
          </cell>
        </row>
        <row r="36">
          <cell r="V36">
            <v>1916029.7415092613</v>
          </cell>
          <cell r="AC36">
            <v>277952888.10756886</v>
          </cell>
          <cell r="AP36">
            <v>1653770.1967829713</v>
          </cell>
          <cell r="AX36">
            <v>277666257.67629957</v>
          </cell>
        </row>
        <row r="37">
          <cell r="V37">
            <v>2222195.3844599645</v>
          </cell>
          <cell r="AC37">
            <v>318489529.72322506</v>
          </cell>
          <cell r="AP37">
            <v>1840524.9079814337</v>
          </cell>
          <cell r="AX37">
            <v>311547116.51181543</v>
          </cell>
        </row>
        <row r="38">
          <cell r="V38">
            <v>2564091.4704223131</v>
          </cell>
          <cell r="AC38">
            <v>363339749.32573044</v>
          </cell>
          <cell r="AP38">
            <v>2042269.8475890681</v>
          </cell>
          <cell r="AX38">
            <v>348533220.68813795</v>
          </cell>
        </row>
        <row r="39">
          <cell r="V39">
            <v>2945253.7356279073</v>
          </cell>
          <cell r="AC39">
            <v>413089330.40235966</v>
          </cell>
          <cell r="AP39">
            <v>2262271.8987501133</v>
          </cell>
          <cell r="AX39">
            <v>389410991.71381104</v>
          </cell>
        </row>
        <row r="40">
          <cell r="V40">
            <v>3368631.1752874991</v>
          </cell>
          <cell r="AC40">
            <v>467850943.80311018</v>
          </cell>
          <cell r="AP40">
            <v>2500932.3259571833</v>
          </cell>
          <cell r="AX40">
            <v>434121432.25197577</v>
          </cell>
        </row>
        <row r="41">
          <cell r="V41">
            <v>3754820.2828957196</v>
          </cell>
          <cell r="AC41">
            <v>523403572.06860983</v>
          </cell>
          <cell r="AP41">
            <v>2727627.2477568821</v>
          </cell>
          <cell r="AX41">
            <v>479670685.18039167</v>
          </cell>
        </row>
        <row r="42">
          <cell r="V42">
            <v>4150973.4579023654</v>
          </cell>
          <cell r="AC42">
            <v>582168819.92538631</v>
          </cell>
          <cell r="AP42">
            <v>2952653.2437787675</v>
          </cell>
          <cell r="AX42">
            <v>526888984.15644985</v>
          </cell>
        </row>
        <row r="43">
          <cell r="V43">
            <v>4576743.2584624775</v>
          </cell>
          <cell r="AC43">
            <v>645616511.31910217</v>
          </cell>
          <cell r="AP43">
            <v>3196504.5455938559</v>
          </cell>
          <cell r="AX43">
            <v>578344137.13180578</v>
          </cell>
        </row>
        <row r="44">
          <cell r="V44">
            <v>5032460.8727131533</v>
          </cell>
          <cell r="AC44">
            <v>713933591.71126366</v>
          </cell>
          <cell r="AP44">
            <v>3452631.5214648242</v>
          </cell>
          <cell r="AX44">
            <v>633033214.3642025</v>
          </cell>
        </row>
        <row r="45">
          <cell r="V45">
            <v>5520538.3887327723</v>
          </cell>
          <cell r="AC45">
            <v>787578531.7535516</v>
          </cell>
          <cell r="AP45">
            <v>3727490.9707166059</v>
          </cell>
          <cell r="AX45">
            <v>692276870.32563639</v>
          </cell>
        </row>
        <row r="46">
          <cell r="V46">
            <v>6029225.8578595351</v>
          </cell>
          <cell r="AC46">
            <v>866863521.73952079</v>
          </cell>
          <cell r="AP46">
            <v>4016439.1878904453</v>
          </cell>
          <cell r="AX46">
            <v>756075058.50552285</v>
          </cell>
        </row>
        <row r="47">
          <cell r="V47">
            <v>6437601.0434567314</v>
          </cell>
          <cell r="AC47">
            <v>934493854.19032502</v>
          </cell>
          <cell r="AP47">
            <v>4303308.7118293336</v>
          </cell>
          <cell r="AX47">
            <v>817336922.75179219</v>
          </cell>
        </row>
        <row r="48">
          <cell r="V48">
            <v>6864988.3206904624</v>
          </cell>
          <cell r="AC48">
            <v>1005927211.4101187</v>
          </cell>
          <cell r="AP48">
            <v>4609410.282158047</v>
          </cell>
          <cell r="AX48">
            <v>883152779.01665819</v>
          </cell>
        </row>
        <row r="49">
          <cell r="V49">
            <v>7311198.2363619264</v>
          </cell>
          <cell r="AC49">
            <v>1081189660.3639829</v>
          </cell>
          <cell r="AP49">
            <v>4929774.6546125375</v>
          </cell>
          <cell r="AX49">
            <v>952636511.21067476</v>
          </cell>
        </row>
        <row r="50">
          <cell r="V50">
            <v>7805748.4362045908</v>
          </cell>
          <cell r="AC50">
            <v>1162716014.1578958</v>
          </cell>
          <cell r="AP50">
            <v>5288372.8551805047</v>
          </cell>
          <cell r="AX50">
            <v>1029589961.6307379</v>
          </cell>
        </row>
        <row r="51">
          <cell r="V51">
            <v>8354904.9875621032</v>
          </cell>
          <cell r="AC51">
            <v>1252372445.9745791</v>
          </cell>
          <cell r="AP51">
            <v>5685927.8182619428</v>
          </cell>
          <cell r="AX51">
            <v>1113730346.6074643</v>
          </cell>
        </row>
        <row r="52">
          <cell r="V52">
            <v>8944809.6283578798</v>
          </cell>
          <cell r="AC52">
            <v>1349731084.1786208</v>
          </cell>
          <cell r="AP52">
            <v>6129874.8881680369</v>
          </cell>
          <cell r="AX52">
            <v>1207626540.1510324</v>
          </cell>
        </row>
        <row r="53">
          <cell r="V53">
            <v>9538262.5083329193</v>
          </cell>
          <cell r="AC53">
            <v>1448701335.354852</v>
          </cell>
          <cell r="AP53">
            <v>6580772.2793743899</v>
          </cell>
          <cell r="AX53">
            <v>1303775250.5145502</v>
          </cell>
        </row>
        <row r="54">
          <cell r="V54">
            <v>10153631.180574819</v>
          </cell>
          <cell r="AC54">
            <v>1552083715.2069407</v>
          </cell>
          <cell r="AP54">
            <v>7057302.0149052925</v>
          </cell>
          <cell r="AX54">
            <v>1405898062.5259638</v>
          </cell>
        </row>
        <row r="55">
          <cell r="V55">
            <v>10793208.884313617</v>
          </cell>
          <cell r="AC55">
            <v>1660277265.3574209</v>
          </cell>
          <cell r="AP55">
            <v>7556697.9735434595</v>
          </cell>
          <cell r="AX55">
            <v>1513501028.1892266</v>
          </cell>
        </row>
        <row r="56">
          <cell r="V56">
            <v>12266913.922498748</v>
          </cell>
          <cell r="AC56">
            <v>1893411339.3716061</v>
          </cell>
          <cell r="AP56">
            <v>8262452.8771065027</v>
          </cell>
          <cell r="AX56">
            <v>1660376288.3888054</v>
          </cell>
        </row>
        <row r="57">
          <cell r="V57">
            <v>14310292.483172385</v>
          </cell>
          <cell r="AC57">
            <v>2237515364.8089547</v>
          </cell>
          <cell r="AP57">
            <v>9115149.4261674527</v>
          </cell>
          <cell r="AX57">
            <v>1854294475.8393641</v>
          </cell>
        </row>
        <row r="58">
          <cell r="V58">
            <v>16546882.339046033</v>
          </cell>
          <cell r="AC58">
            <v>2620061705.3885813</v>
          </cell>
          <cell r="AP58">
            <v>10028919.644707697</v>
          </cell>
          <cell r="AX58">
            <v>2064592426.4773889</v>
          </cell>
        </row>
        <row r="59">
          <cell r="V59">
            <v>18987583.390811928</v>
          </cell>
          <cell r="AC59">
            <v>3043804333.3777566</v>
          </cell>
          <cell r="AP59">
            <v>11017156.050904395</v>
          </cell>
          <cell r="AX59">
            <v>2294402165.0425568</v>
          </cell>
        </row>
        <row r="60">
          <cell r="V60">
            <v>20072647.73215941</v>
          </cell>
          <cell r="AC60">
            <v>3256080441.9774594</v>
          </cell>
          <cell r="AP60">
            <v>11809950.463570738</v>
          </cell>
          <cell r="AX60">
            <v>2483090552.4575992</v>
          </cell>
        </row>
        <row r="61">
          <cell r="V61">
            <v>20800791.512913555</v>
          </cell>
          <cell r="AC61">
            <v>3414628817.4474707</v>
          </cell>
          <cell r="AP61">
            <v>12590741.712763879</v>
          </cell>
          <cell r="AX61">
            <v>2673946925.0873251</v>
          </cell>
        </row>
        <row r="62">
          <cell r="V62">
            <v>21538624.858049285</v>
          </cell>
          <cell r="AC62">
            <v>3579037903.7261114</v>
          </cell>
          <cell r="AP62">
            <v>13410979.242109425</v>
          </cell>
          <cell r="AX62">
            <v>2876810249.2389178</v>
          </cell>
        </row>
        <row r="63">
          <cell r="V63">
            <v>22300152.28743048</v>
          </cell>
          <cell r="AC63">
            <v>3749920422.7187419</v>
          </cell>
          <cell r="AP63">
            <v>14284631.320093198</v>
          </cell>
          <cell r="AX63">
            <v>3094150521.8779392</v>
          </cell>
        </row>
        <row r="64">
          <cell r="V64">
            <v>23090008.470365938</v>
          </cell>
          <cell r="AC64">
            <v>3927742328.6496854</v>
          </cell>
          <cell r="AP64">
            <v>15220583.388152448</v>
          </cell>
          <cell r="AX64">
            <v>3328050476.9680128</v>
          </cell>
        </row>
        <row r="65">
          <cell r="V65">
            <v>23909433.42875139</v>
          </cell>
          <cell r="AC65">
            <v>4113471962.8708539</v>
          </cell>
          <cell r="AP65">
            <v>16217001.335288322</v>
          </cell>
          <cell r="AX65">
            <v>3578948720.5763855</v>
          </cell>
        </row>
        <row r="66">
          <cell r="V66">
            <v>31932736.233796474</v>
          </cell>
          <cell r="AC66">
            <v>5560108275.7716579</v>
          </cell>
          <cell r="AP66">
            <v>23159286.681748234</v>
          </cell>
          <cell r="AX66">
            <v>5039046866.839467</v>
          </cell>
        </row>
        <row r="67">
          <cell r="V67">
            <v>36423193.149058916</v>
          </cell>
          <cell r="AC67">
            <v>6395731144.7399511</v>
          </cell>
          <cell r="AP67">
            <v>28054849.126669854</v>
          </cell>
          <cell r="AX67">
            <v>5843393246.3865662</v>
          </cell>
        </row>
        <row r="68">
          <cell r="V68">
            <v>41364789.44994884</v>
          </cell>
          <cell r="AC68">
            <v>7322741146.4667978</v>
          </cell>
          <cell r="AP68">
            <v>33795871.009079657</v>
          </cell>
          <cell r="AX68">
            <v>6758950881.0902634</v>
          </cell>
        </row>
        <row r="69">
          <cell r="V69">
            <v>46791585.619826615</v>
          </cell>
          <cell r="AC69">
            <v>8348802705.680192</v>
          </cell>
          <cell r="AP69">
            <v>40438547.721969627</v>
          </cell>
          <cell r="AX69">
            <v>7786654386.1914463</v>
          </cell>
        </row>
        <row r="70">
          <cell r="V70">
            <v>52763048.905468509</v>
          </cell>
          <cell r="AC70">
            <v>9486128178.7214661</v>
          </cell>
          <cell r="AP70">
            <v>48191833.61520765</v>
          </cell>
          <cell r="AX70">
            <v>8955251161.4805832</v>
          </cell>
        </row>
        <row r="71">
          <cell r="V71">
            <v>59346520.323298305</v>
          </cell>
          <cell r="AC71">
            <v>10771419259.444527</v>
          </cell>
          <cell r="AP71">
            <v>57025503.471010149</v>
          </cell>
          <cell r="AX71">
            <v>10290327736.177586</v>
          </cell>
        </row>
        <row r="72">
          <cell r="V72">
            <v>66420224.490113147</v>
          </cell>
          <cell r="AC72">
            <v>12195899002.331974</v>
          </cell>
          <cell r="AP72">
            <v>66818249.845335551</v>
          </cell>
          <cell r="AX72">
            <v>11764206866.094715</v>
          </cell>
        </row>
        <row r="73">
          <cell r="V73">
            <v>73950442.633990079</v>
          </cell>
          <cell r="AC73">
            <v>13734555235.502615</v>
          </cell>
          <cell r="AP73">
            <v>77736391.094551638</v>
          </cell>
          <cell r="AX73">
            <v>13373012941.515739</v>
          </cell>
        </row>
        <row r="74">
          <cell r="V74">
            <v>82091022.923075914</v>
          </cell>
          <cell r="AC74">
            <v>15404082374.694221</v>
          </cell>
          <cell r="AP74">
            <v>90101053.59373711</v>
          </cell>
          <cell r="AX74">
            <v>15150391957.796406</v>
          </cell>
        </row>
        <row r="75">
          <cell r="V75">
            <v>91205832.576621473</v>
          </cell>
          <cell r="AC75">
            <v>17279707047.530529</v>
          </cell>
          <cell r="AP75">
            <v>104632910.6146208</v>
          </cell>
          <cell r="AX75">
            <v>17203653307.522675</v>
          </cell>
        </row>
        <row r="76">
          <cell r="V76">
            <v>100059395.97342101</v>
          </cell>
          <cell r="AC76">
            <v>19225363943.098473</v>
          </cell>
          <cell r="AP76">
            <v>120977554.54936402</v>
          </cell>
          <cell r="AX76">
            <v>19477796651.897079</v>
          </cell>
        </row>
        <row r="77">
          <cell r="V77">
            <v>108846150.27154961</v>
          </cell>
          <cell r="AC77">
            <v>21174495085.162712</v>
          </cell>
          <cell r="AP77">
            <v>135224670.15500012</v>
          </cell>
          <cell r="AX77">
            <v>21747943368.668564</v>
          </cell>
        </row>
        <row r="78">
          <cell r="V78">
            <v>118193096.70640284</v>
          </cell>
          <cell r="AC78">
            <v>23274279259.708099</v>
          </cell>
          <cell r="AP78">
            <v>150902199.63417849</v>
          </cell>
          <cell r="AX78">
            <v>24240082586.290001</v>
          </cell>
        </row>
        <row r="79">
          <cell r="V79">
            <v>128464487.26764189</v>
          </cell>
          <cell r="AC79">
            <v>25642085201.759834</v>
          </cell>
          <cell r="AP79">
            <v>168913585.75290745</v>
          </cell>
          <cell r="AX79">
            <v>27063107698.308067</v>
          </cell>
        </row>
        <row r="80">
          <cell r="V80">
            <v>139609804.68067664</v>
          </cell>
          <cell r="AC80">
            <v>28253696852.24752</v>
          </cell>
          <cell r="AP80">
            <v>189472564.38079846</v>
          </cell>
          <cell r="AX80">
            <v>30255096000.951149</v>
          </cell>
        </row>
        <row r="81">
          <cell r="V81">
            <v>151805012.45350897</v>
          </cell>
          <cell r="AC81">
            <v>31215804896.455147</v>
          </cell>
          <cell r="AP81">
            <v>211371477.96443424</v>
          </cell>
          <cell r="AX81">
            <v>33720030025.947792</v>
          </cell>
        </row>
        <row r="82">
          <cell r="V82">
            <v>165977248.74864423</v>
          </cell>
          <cell r="AC82">
            <v>34537426169.431122</v>
          </cell>
          <cell r="AP82">
            <v>236742405.21999031</v>
          </cell>
          <cell r="AX82">
            <v>37720085824.813095</v>
          </cell>
        </row>
        <row r="83">
          <cell r="V83">
            <v>181273402.68552238</v>
          </cell>
          <cell r="AC83">
            <v>38205078413.727562</v>
          </cell>
          <cell r="AP83">
            <v>265212788.28055</v>
          </cell>
          <cell r="AX83">
            <v>42238630501.535271</v>
          </cell>
        </row>
        <row r="84">
          <cell r="V84">
            <v>197891752.30291387</v>
          </cell>
          <cell r="AC84">
            <v>42004442224.130653</v>
          </cell>
          <cell r="AP84">
            <v>296276396.7337684</v>
          </cell>
          <cell r="AX84">
            <v>46929496346.398308</v>
          </cell>
        </row>
        <row r="85">
          <cell r="V85">
            <v>215752362.86967784</v>
          </cell>
          <cell r="AC85">
            <v>46000000727.706741</v>
          </cell>
          <cell r="AP85">
            <v>330539685.84102315</v>
          </cell>
          <cell r="AX85">
            <v>51965569238.693115</v>
          </cell>
        </row>
        <row r="86">
          <cell r="V86">
            <v>234658013.94032821</v>
          </cell>
          <cell r="AC86">
            <v>50246329533.627808</v>
          </cell>
          <cell r="AP86">
            <v>367275363.4623881</v>
          </cell>
          <cell r="AX86">
            <v>57338571723.873123</v>
          </cell>
        </row>
        <row r="87">
          <cell r="V87">
            <v>254634737.62786704</v>
          </cell>
          <cell r="AC87">
            <v>54699591179.817627</v>
          </cell>
          <cell r="AP87">
            <v>409196077.63806778</v>
          </cell>
          <cell r="AX87">
            <v>63441649249.355057</v>
          </cell>
        </row>
        <row r="88">
          <cell r="V88">
            <v>276124431.21932846</v>
          </cell>
          <cell r="AC88">
            <v>59473243320.886139</v>
          </cell>
          <cell r="AP88">
            <v>455061404.10833859</v>
          </cell>
          <cell r="AX88">
            <v>70121299156.460175</v>
          </cell>
        </row>
        <row r="89">
          <cell r="V89">
            <v>299584299.7249372</v>
          </cell>
          <cell r="AC89">
            <v>64725280939.227386</v>
          </cell>
          <cell r="AP89">
            <v>508545497.37323684</v>
          </cell>
          <cell r="AX89">
            <v>77672513814.283112</v>
          </cell>
        </row>
        <row r="90">
          <cell r="V90">
            <v>324769641.08804464</v>
          </cell>
          <cell r="AC90">
            <v>70385299859.655975</v>
          </cell>
          <cell r="AP90">
            <v>567998178.11812663</v>
          </cell>
          <cell r="AX90">
            <v>85929970682.205688</v>
          </cell>
        </row>
        <row r="91">
          <cell r="V91">
            <v>351770008.4495002</v>
          </cell>
          <cell r="AC91">
            <v>76791726618.977615</v>
          </cell>
          <cell r="AP91">
            <v>629628545.84506106</v>
          </cell>
          <cell r="AX91">
            <v>95203044547.223007</v>
          </cell>
        </row>
        <row r="92">
          <cell r="V92">
            <v>379939899.10378087</v>
          </cell>
          <cell r="AC92">
            <v>83805774443.760498</v>
          </cell>
          <cell r="AP92">
            <v>696075238.46595335</v>
          </cell>
          <cell r="AX92">
            <v>105542805823.74583</v>
          </cell>
        </row>
        <row r="93">
          <cell r="V93">
            <v>410871099.17672575</v>
          </cell>
          <cell r="AC93">
            <v>91431901167.226379</v>
          </cell>
          <cell r="AP93">
            <v>778216724.63996863</v>
          </cell>
          <cell r="AX93">
            <v>117220575984.03427</v>
          </cell>
        </row>
        <row r="94">
          <cell r="V94">
            <v>444148675.08697397</v>
          </cell>
          <cell r="AC94">
            <v>99552871884.406738</v>
          </cell>
          <cell r="AP94">
            <v>874214414.9621681</v>
          </cell>
          <cell r="AX94">
            <v>130026592521.57639</v>
          </cell>
        </row>
        <row r="95">
          <cell r="V95">
            <v>479625563.88135314</v>
          </cell>
          <cell r="AC95">
            <v>108126449939.63416</v>
          </cell>
          <cell r="AP95">
            <v>980085148.81482816</v>
          </cell>
          <cell r="AX95">
            <v>143746198912.31732</v>
          </cell>
        </row>
        <row r="96">
          <cell r="V96">
            <v>519046409.84206152</v>
          </cell>
          <cell r="AC96">
            <v>117670348054.53519</v>
          </cell>
          <cell r="AP96">
            <v>1107778140.5225046</v>
          </cell>
          <cell r="AX96">
            <v>159517834382.52829</v>
          </cell>
        </row>
        <row r="97">
          <cell r="V97">
            <v>557500344.17778361</v>
          </cell>
          <cell r="AC97">
            <v>127162597057.89171</v>
          </cell>
          <cell r="AP97">
            <v>1235784613.0719244</v>
          </cell>
          <cell r="AX97">
            <v>175778792067.00403</v>
          </cell>
        </row>
        <row r="98">
          <cell r="V98">
            <v>597124215.95498931</v>
          </cell>
          <cell r="AC98">
            <v>137048757644.93994</v>
          </cell>
          <cell r="AP98">
            <v>1374223077.4404662</v>
          </cell>
          <cell r="AX98">
            <v>193526219983.84744</v>
          </cell>
        </row>
        <row r="99">
          <cell r="V99">
            <v>639870420.31608701</v>
          </cell>
          <cell r="AC99">
            <v>147752411345.69104</v>
          </cell>
          <cell r="AP99">
            <v>1530298152.1416049</v>
          </cell>
          <cell r="AX99">
            <v>213447209674.3862</v>
          </cell>
        </row>
        <row r="100">
          <cell r="V100">
            <v>684543889.81379271</v>
          </cell>
          <cell r="AC100">
            <v>159044314069.42917</v>
          </cell>
          <cell r="AP100">
            <v>1704820449.4670992</v>
          </cell>
          <cell r="AX100">
            <v>235319550693.3959</v>
          </cell>
        </row>
        <row r="101">
          <cell r="V101">
            <v>729048199.19882083</v>
          </cell>
          <cell r="AC101">
            <v>170287042862.88733</v>
          </cell>
          <cell r="AP101">
            <v>1881420608.077908</v>
          </cell>
          <cell r="AX101">
            <v>257268509693.91446</v>
          </cell>
        </row>
        <row r="102">
          <cell r="V102">
            <v>774634931.96498013</v>
          </cell>
          <cell r="AC102">
            <v>182209889493.80591</v>
          </cell>
          <cell r="AP102">
            <v>2052693728.2477012</v>
          </cell>
          <cell r="AX102">
            <v>280015965368.94556</v>
          </cell>
        </row>
        <row r="103">
          <cell r="V103">
            <v>821613311.83394265</v>
          </cell>
          <cell r="AC103">
            <v>194604348438.09393</v>
          </cell>
          <cell r="AP103">
            <v>2229643711.9889083</v>
          </cell>
          <cell r="AX103">
            <v>302787073863.52527</v>
          </cell>
        </row>
        <row r="104">
          <cell r="V104">
            <v>868858322.38446689</v>
          </cell>
          <cell r="AC104">
            <v>207483779055.61987</v>
          </cell>
          <cell r="AP104">
            <v>2415714352.4002275</v>
          </cell>
          <cell r="AX104">
            <v>326347734195.08209</v>
          </cell>
        </row>
        <row r="105">
          <cell r="V105">
            <v>918027953.08662915</v>
          </cell>
          <cell r="AC105">
            <v>221015555578.83826</v>
          </cell>
          <cell r="AP105">
            <v>2614339441.9193254</v>
          </cell>
          <cell r="AX105">
            <v>351360402960.19489</v>
          </cell>
        </row>
        <row r="106">
          <cell r="V106">
            <v>969273268.24443984</v>
          </cell>
          <cell r="AC106">
            <v>235201045416.97247</v>
          </cell>
          <cell r="AP106">
            <v>2825903880.5621409</v>
          </cell>
          <cell r="AX106">
            <v>377814721010.01093</v>
          </cell>
        </row>
        <row r="107">
          <cell r="V107">
            <v>1003297713.7283236</v>
          </cell>
          <cell r="AC107">
            <v>244883501183.33484</v>
          </cell>
          <cell r="AP107">
            <v>3017299722.3181252</v>
          </cell>
          <cell r="AX107">
            <v>399306608090.70111</v>
          </cell>
        </row>
        <row r="108">
          <cell r="V108">
            <v>1037171011.9850519</v>
          </cell>
          <cell r="AC108">
            <v>254763208240.5509</v>
          </cell>
          <cell r="AP108">
            <v>3216179265.4364882</v>
          </cell>
          <cell r="AX108">
            <v>421449145617.04669</v>
          </cell>
        </row>
        <row r="109">
          <cell r="V109">
            <v>1072601132.9502931</v>
          </cell>
          <cell r="AC109">
            <v>265115503146.68152</v>
          </cell>
          <cell r="AP109">
            <v>3430923649.6304898</v>
          </cell>
          <cell r="AX109">
            <v>445093155325.505</v>
          </cell>
        </row>
        <row r="110">
          <cell r="V110">
            <v>1109711095.8818688</v>
          </cell>
          <cell r="AC110">
            <v>275978002557.91742</v>
          </cell>
          <cell r="AP110">
            <v>3662774946.3327832</v>
          </cell>
          <cell r="AX110">
            <v>470228244708.18384</v>
          </cell>
        </row>
        <row r="111">
          <cell r="V111">
            <v>1147878436.2228584</v>
          </cell>
          <cell r="AC111">
            <v>287295580432.65887</v>
          </cell>
          <cell r="AP111">
            <v>3911023656.6989188</v>
          </cell>
          <cell r="AX111">
            <v>496920226526.54431</v>
          </cell>
        </row>
        <row r="112">
          <cell r="V112">
            <v>1184215720.0170765</v>
          </cell>
          <cell r="AC112">
            <v>298790608298.97766</v>
          </cell>
          <cell r="AP112">
            <v>4171228424.0464349</v>
          </cell>
          <cell r="AX112">
            <v>524439393676.70398</v>
          </cell>
        </row>
        <row r="113">
          <cell r="V113">
            <v>1219199188.8846674</v>
          </cell>
          <cell r="AC113">
            <v>310122225165.84393</v>
          </cell>
          <cell r="AP113">
            <v>4422448519.1290541</v>
          </cell>
          <cell r="AX113">
            <v>552248312425.71875</v>
          </cell>
        </row>
        <row r="114">
          <cell r="V114">
            <v>1253654310.9956143</v>
          </cell>
          <cell r="AC114">
            <v>321442784980.08014</v>
          </cell>
          <cell r="AP114">
            <v>4671535096.418746</v>
          </cell>
          <cell r="AX114">
            <v>580013159048.3075</v>
          </cell>
        </row>
        <row r="115">
          <cell r="V115">
            <v>1289410790.1744735</v>
          </cell>
          <cell r="AC115">
            <v>333220703852.4953</v>
          </cell>
          <cell r="AP115">
            <v>4936672849.8058462</v>
          </cell>
          <cell r="AX115">
            <v>609461699772.57129</v>
          </cell>
        </row>
        <row r="116">
          <cell r="V116">
            <v>1326290812.141794</v>
          </cell>
          <cell r="AC116">
            <v>345416346458.43622</v>
          </cell>
          <cell r="AP116">
            <v>5216551917.421854</v>
          </cell>
          <cell r="AX116">
            <v>640407496653.20959</v>
          </cell>
        </row>
        <row r="117">
          <cell r="V117">
            <v>1370738683.3058465</v>
          </cell>
          <cell r="AC117">
            <v>358639981131.31116</v>
          </cell>
          <cell r="AP117">
            <v>5528628290.9138308</v>
          </cell>
          <cell r="AX117">
            <v>674046810862.16016</v>
          </cell>
        </row>
        <row r="118">
          <cell r="V118">
            <v>1420023049.8463535</v>
          </cell>
          <cell r="AC118">
            <v>373212091939.43762</v>
          </cell>
          <cell r="AP118">
            <v>5870236692.2261486</v>
          </cell>
          <cell r="AX118">
            <v>710798584027.32031</v>
          </cell>
        </row>
        <row r="119">
          <cell r="V119">
            <v>1472813869.4552526</v>
          </cell>
          <cell r="AC119">
            <v>388813712593.03723</v>
          </cell>
          <cell r="AP119">
            <v>6238995451.9111423</v>
          </cell>
          <cell r="AX119">
            <v>750352675691.31775</v>
          </cell>
        </row>
        <row r="120">
          <cell r="V120">
            <v>1526647634.1959171</v>
          </cell>
          <cell r="AC120">
            <v>404809459405.30396</v>
          </cell>
          <cell r="AP120">
            <v>6622785284.7758684</v>
          </cell>
          <cell r="AX120">
            <v>791220817649.45728</v>
          </cell>
        </row>
        <row r="121">
          <cell r="V121">
            <v>1582430440.7115231</v>
          </cell>
          <cell r="AC121">
            <v>421266250331.2746</v>
          </cell>
          <cell r="AP121">
            <v>7024196511.5701275</v>
          </cell>
          <cell r="AX121">
            <v>833654828338.3728</v>
          </cell>
        </row>
        <row r="122">
          <cell r="V122">
            <v>1646110049.5535862</v>
          </cell>
          <cell r="AC122">
            <v>438709444112.56561</v>
          </cell>
          <cell r="AP122">
            <v>7457466670.1017256</v>
          </cell>
          <cell r="AX122">
            <v>878940311663.23877</v>
          </cell>
        </row>
        <row r="123">
          <cell r="V123">
            <v>1709799514.8403251</v>
          </cell>
          <cell r="AC123">
            <v>455901129004.15771</v>
          </cell>
          <cell r="AP123">
            <v>7900726319.1961679</v>
          </cell>
          <cell r="AX123">
            <v>924606221494.61279</v>
          </cell>
        </row>
        <row r="124">
          <cell r="V124">
            <v>1775805703.3948922</v>
          </cell>
          <cell r="AC124">
            <v>473726299991.41553</v>
          </cell>
          <cell r="AP124">
            <v>8369527341.8010359</v>
          </cell>
          <cell r="AX124">
            <v>972631387925.30457</v>
          </cell>
        </row>
        <row r="125">
          <cell r="V125">
            <v>1843234394.4201157</v>
          </cell>
          <cell r="AC125">
            <v>492086992939.57581</v>
          </cell>
          <cell r="AP125">
            <v>8860646818.1531391</v>
          </cell>
          <cell r="AX125">
            <v>1022631077008.2977</v>
          </cell>
        </row>
        <row r="126">
          <cell r="V126">
            <v>1912388812.2593112</v>
          </cell>
          <cell r="AC126">
            <v>511052530917.04761</v>
          </cell>
          <cell r="AP126">
            <v>9378149210.1611576</v>
          </cell>
          <cell r="AX126">
            <v>1075033319678.3188</v>
          </cell>
        </row>
        <row r="127">
          <cell r="V127">
            <v>1980042784.2670827</v>
          </cell>
          <cell r="AC127">
            <v>529651986279.41174</v>
          </cell>
          <cell r="AP127">
            <v>9875081678.9404564</v>
          </cell>
          <cell r="AX127">
            <v>1126736099420.4482</v>
          </cell>
        </row>
        <row r="128">
          <cell r="V128">
            <v>2050008364.1272154</v>
          </cell>
          <cell r="AC128">
            <v>548979674041.08044</v>
          </cell>
          <cell r="AP128">
            <v>10403337335.213753</v>
          </cell>
          <cell r="AX128">
            <v>1181538880948.6853</v>
          </cell>
        </row>
        <row r="129">
          <cell r="V129">
            <v>2121344679.1056378</v>
          </cell>
          <cell r="AC129">
            <v>568896094072.53296</v>
          </cell>
          <cell r="AP129">
            <v>10956532398.534046</v>
          </cell>
          <cell r="AX129">
            <v>1238705825860.8804</v>
          </cell>
        </row>
        <row r="130">
          <cell r="V130">
            <v>2195103763.126833</v>
          </cell>
          <cell r="AC130">
            <v>589355183203.32385</v>
          </cell>
          <cell r="AP130">
            <v>11538934255.225124</v>
          </cell>
          <cell r="AX130">
            <v>1298466508654.0234</v>
          </cell>
        </row>
        <row r="131">
          <cell r="V131">
            <v>2272711864.7653589</v>
          </cell>
          <cell r="AC131">
            <v>610676311847.10498</v>
          </cell>
          <cell r="AP131">
            <v>12157042090.405079</v>
          </cell>
          <cell r="AX131">
            <v>1361162298272.9363</v>
          </cell>
        </row>
        <row r="132">
          <cell r="V132">
            <v>2351955934.7209668</v>
          </cell>
          <cell r="AC132">
            <v>632544781832.40405</v>
          </cell>
          <cell r="AP132">
            <v>12806432503.864252</v>
          </cell>
          <cell r="AX132">
            <v>1426519647630.3289</v>
          </cell>
        </row>
        <row r="133">
          <cell r="V133">
            <v>2432505631.9243455</v>
          </cell>
          <cell r="AC133">
            <v>656530259983.46289</v>
          </cell>
          <cell r="AP133">
            <v>13472748638.28298</v>
          </cell>
          <cell r="AX133">
            <v>1497032806863.761</v>
          </cell>
        </row>
        <row r="134">
          <cell r="V134">
            <v>2515478927.5308118</v>
          </cell>
          <cell r="AC134">
            <v>681747212929.11255</v>
          </cell>
          <cell r="AP134">
            <v>14171394807.975924</v>
          </cell>
          <cell r="AX134">
            <v>1571783965990.9954</v>
          </cell>
        </row>
        <row r="135">
          <cell r="V135">
            <v>2601498225.6157751</v>
          </cell>
          <cell r="AC135">
            <v>707978257616.95959</v>
          </cell>
          <cell r="AP135">
            <v>14911770107.069304</v>
          </cell>
          <cell r="AX135">
            <v>1650908224404.5005</v>
          </cell>
        </row>
        <row r="136">
          <cell r="V136">
            <v>2694102122.6866503</v>
          </cell>
          <cell r="AC136">
            <v>736200512151.33765</v>
          </cell>
          <cell r="AP136">
            <v>15714199382.48856</v>
          </cell>
          <cell r="AX136">
            <v>1736631453021.2598</v>
          </cell>
        </row>
        <row r="137">
          <cell r="V137">
            <v>2784342248.0951157</v>
          </cell>
          <cell r="AC137">
            <v>763980720796.26587</v>
          </cell>
          <cell r="AP137">
            <v>16453450921.229315</v>
          </cell>
          <cell r="AX137">
            <v>1822229320368.0339</v>
          </cell>
        </row>
        <row r="138">
          <cell r="V138">
            <v>2877107495.7264328</v>
          </cell>
          <cell r="AC138">
            <v>792657744057.77954</v>
          </cell>
          <cell r="AP138">
            <v>17224402774.067188</v>
          </cell>
          <cell r="AX138">
            <v>1911678291384.0974</v>
          </cell>
        </row>
        <row r="139">
          <cell r="V139">
            <v>2966652808.0155315</v>
          </cell>
          <cell r="AC139">
            <v>820650733570.65125</v>
          </cell>
          <cell r="AP139">
            <v>17986871382.50481</v>
          </cell>
          <cell r="AX139">
            <v>2000529269813.9299</v>
          </cell>
        </row>
        <row r="140">
          <cell r="V140">
            <v>3051176229.0463915</v>
          </cell>
          <cell r="AC140">
            <v>847448281438.15649</v>
          </cell>
          <cell r="AP140">
            <v>18729970751.903221</v>
          </cell>
          <cell r="AX140">
            <v>2087560751862.8667</v>
          </cell>
        </row>
        <row r="141">
          <cell r="V141">
            <v>3138426862.7505779</v>
          </cell>
          <cell r="AC141">
            <v>875194367650.60425</v>
          </cell>
          <cell r="AP141">
            <v>19511853688.237186</v>
          </cell>
          <cell r="AX141">
            <v>2179252007642.437</v>
          </cell>
        </row>
        <row r="142">
          <cell r="V142">
            <v>3227740034.097187</v>
          </cell>
          <cell r="AC142">
            <v>903711950878.10889</v>
          </cell>
          <cell r="AP142">
            <v>20324124005.948803</v>
          </cell>
          <cell r="AX142">
            <v>2274688201324.2524</v>
          </cell>
        </row>
        <row r="143">
          <cell r="V143">
            <v>3319056268.092145</v>
          </cell>
          <cell r="AC143">
            <v>933059020246.31226</v>
          </cell>
          <cell r="AP143">
            <v>21166295495.904503</v>
          </cell>
          <cell r="AX143">
            <v>2374006370335.7061</v>
          </cell>
        </row>
        <row r="144">
          <cell r="V144">
            <v>3411591498.8569589</v>
          </cell>
          <cell r="AC144">
            <v>963272614937.09668</v>
          </cell>
          <cell r="AP144">
            <v>22027322552.619774</v>
          </cell>
          <cell r="AX144">
            <v>2476636120318.2549</v>
          </cell>
        </row>
        <row r="145">
          <cell r="V145">
            <v>3505701382.7912283</v>
          </cell>
          <cell r="AC145">
            <v>994159029507.58447</v>
          </cell>
          <cell r="AP145">
            <v>22917915443.643261</v>
          </cell>
          <cell r="AX145">
            <v>2583044796018.0415</v>
          </cell>
        </row>
        <row r="146">
          <cell r="V146">
            <v>3600373164.7102451</v>
          </cell>
          <cell r="AC146">
            <v>1025435509870.1962</v>
          </cell>
          <cell r="AP146">
            <v>23816420297.513493</v>
          </cell>
          <cell r="AX146">
            <v>2690807238405.1846</v>
          </cell>
        </row>
        <row r="147">
          <cell r="V147">
            <v>3697153028.5978661</v>
          </cell>
          <cell r="AC147">
            <v>1057546284216.993</v>
          </cell>
          <cell r="AP147">
            <v>24747631325.27948</v>
          </cell>
          <cell r="AX147">
            <v>2803461574401.354</v>
          </cell>
        </row>
        <row r="148">
          <cell r="V148">
            <v>3798294258.5694504</v>
          </cell>
          <cell r="AC148">
            <v>1091146313207.4425</v>
          </cell>
          <cell r="AP148">
            <v>25748945020.503998</v>
          </cell>
          <cell r="AX148">
            <v>2924221801537.6445</v>
          </cell>
        </row>
        <row r="149">
          <cell r="V149">
            <v>3902609126.9200125</v>
          </cell>
          <cell r="AC149">
            <v>1125908890959.3201</v>
          </cell>
          <cell r="AP149">
            <v>26796531637.345905</v>
          </cell>
          <cell r="AX149">
            <v>3050789844952.4639</v>
          </cell>
        </row>
        <row r="150">
          <cell r="V150">
            <v>4008550099.093523</v>
          </cell>
          <cell r="AC150">
            <v>1161397217632.053</v>
          </cell>
          <cell r="AP150">
            <v>27869897303.346485</v>
          </cell>
          <cell r="AX150">
            <v>3180862659414.8813</v>
          </cell>
        </row>
        <row r="151">
          <cell r="V151">
            <v>4117175257.3411741</v>
          </cell>
          <cell r="AC151">
            <v>1197925009181.5569</v>
          </cell>
          <cell r="AP151">
            <v>28988085454.963467</v>
          </cell>
          <cell r="AX151">
            <v>3316637471485.501</v>
          </cell>
        </row>
        <row r="152">
          <cell r="V152">
            <v>4226755251.4669347</v>
          </cell>
          <cell r="AC152">
            <v>1234996725785.2151</v>
          </cell>
          <cell r="AP152">
            <v>30122218626.282516</v>
          </cell>
          <cell r="AX152">
            <v>3454836463047.7646</v>
          </cell>
        </row>
        <row r="153">
          <cell r="V153">
            <v>4338396250.2069788</v>
          </cell>
          <cell r="AC153">
            <v>1272940309818.3042</v>
          </cell>
          <cell r="AP153">
            <v>31293436503.293339</v>
          </cell>
          <cell r="AX153">
            <v>3597899934978.0518</v>
          </cell>
        </row>
        <row r="154">
          <cell r="V154">
            <v>4452708579.7433167</v>
          </cell>
          <cell r="AC154">
            <v>1314976401766.7466</v>
          </cell>
          <cell r="AP154">
            <v>32514811456.282986</v>
          </cell>
          <cell r="AX154">
            <v>3756026188980.3281</v>
          </cell>
        </row>
        <row r="155">
          <cell r="V155">
            <v>4569342503.889946</v>
          </cell>
          <cell r="AC155">
            <v>1360683656331.2759</v>
          </cell>
          <cell r="AP155">
            <v>33776984868.361607</v>
          </cell>
          <cell r="AX155">
            <v>3927500229981.6685</v>
          </cell>
        </row>
        <row r="156">
          <cell r="V156">
            <v>4688169664.738183</v>
          </cell>
          <cell r="AC156">
            <v>1407619879230.0107</v>
          </cell>
          <cell r="AP156">
            <v>35078187523.389221</v>
          </cell>
          <cell r="AX156">
            <v>4105355847384.002</v>
          </cell>
        </row>
        <row r="157">
          <cell r="V157">
            <v>4807258970.424387</v>
          </cell>
          <cell r="AC157">
            <v>1455216386473.5339</v>
          </cell>
          <cell r="AP157">
            <v>36417420020.872787</v>
          </cell>
          <cell r="AX157">
            <v>4294096741542.231</v>
          </cell>
        </row>
        <row r="158">
          <cell r="V158">
            <v>4949226260.9520187</v>
          </cell>
          <cell r="AC158">
            <v>1510376557672.0215</v>
          </cell>
          <cell r="AP158">
            <v>38028117042.161804</v>
          </cell>
          <cell r="AX158">
            <v>4517378928277.543</v>
          </cell>
        </row>
        <row r="159">
          <cell r="V159">
            <v>5095182957.6086903</v>
          </cell>
          <cell r="AC159">
            <v>1567472596258.9175</v>
          </cell>
          <cell r="AP159">
            <v>39713547243.862473</v>
          </cell>
          <cell r="AX159">
            <v>4752410936506.4727</v>
          </cell>
        </row>
        <row r="160">
          <cell r="V160">
            <v>5146917855.2182055</v>
          </cell>
          <cell r="AC160">
            <v>1587758012546.5684</v>
          </cell>
          <cell r="AP160">
            <v>40376659208.924408</v>
          </cell>
          <cell r="AX160">
            <v>4841769734014.873</v>
          </cell>
        </row>
        <row r="161">
          <cell r="V161">
            <v>5176101909.1648731</v>
          </cell>
          <cell r="AC161">
            <v>1599667619617.4824</v>
          </cell>
          <cell r="AP161">
            <v>40749318281.399742</v>
          </cell>
          <cell r="AX161">
            <v>4891991299216.8789</v>
          </cell>
        </row>
        <row r="162">
          <cell r="V162">
            <v>5188559463.7770729</v>
          </cell>
          <cell r="AC162">
            <v>1606430588665.0649</v>
          </cell>
          <cell r="AP162">
            <v>40810229673.223503</v>
          </cell>
          <cell r="AX162">
            <v>4908656196811.2959</v>
          </cell>
        </row>
        <row r="163">
          <cell r="V163">
            <v>5198073942.3293581</v>
          </cell>
          <cell r="AC163">
            <v>1612293968634.6182</v>
          </cell>
          <cell r="AP163">
            <v>40816134288.852898</v>
          </cell>
          <cell r="AX163">
            <v>4919391005836.8125</v>
          </cell>
        </row>
        <row r="164">
          <cell r="V164">
            <v>5207594759.6035976</v>
          </cell>
          <cell r="AC164">
            <v>1618169281202.5847</v>
          </cell>
          <cell r="AP164">
            <v>40822041602.663109</v>
          </cell>
          <cell r="AX164">
            <v>4930129232919.998</v>
          </cell>
        </row>
        <row r="165">
          <cell r="V165">
            <v>5217121914.6836643</v>
          </cell>
          <cell r="AC165">
            <v>1624056534927.5515</v>
          </cell>
          <cell r="AP165">
            <v>40827951608.368362</v>
          </cell>
          <cell r="AX165">
            <v>4940870878939.749</v>
          </cell>
        </row>
        <row r="166">
          <cell r="V166">
            <v>5226642426.5388756</v>
          </cell>
          <cell r="AC166">
            <v>1629955138498.5188</v>
          </cell>
          <cell r="AP166">
            <v>40833860701.825363</v>
          </cell>
          <cell r="AX166">
            <v>4951615107522.4131</v>
          </cell>
        </row>
      </sheetData>
      <sheetData sheetId="17">
        <row r="7">
          <cell r="V7">
            <v>25583.495659324144</v>
          </cell>
          <cell r="AC7">
            <v>3010760.8591112643</v>
          </cell>
          <cell r="AP7">
            <v>18823.688474268303</v>
          </cell>
          <cell r="AX7">
            <v>2003470.4619825557</v>
          </cell>
        </row>
        <row r="8">
          <cell r="V8">
            <v>34396.790574624516</v>
          </cell>
          <cell r="AC8">
            <v>4195975.2298976891</v>
          </cell>
          <cell r="AP8">
            <v>27137.50636595851</v>
          </cell>
          <cell r="AX8">
            <v>3008606.1049083695</v>
          </cell>
        </row>
        <row r="9">
          <cell r="V9">
            <v>44577.656731419716</v>
          </cell>
          <cell r="AC9">
            <v>5622630.0553476606</v>
          </cell>
          <cell r="AP9">
            <v>37430.561911987221</v>
          </cell>
          <cell r="AX9">
            <v>4311006.1984153688</v>
          </cell>
        </row>
        <row r="10">
          <cell r="V10">
            <v>56685.066296196615</v>
          </cell>
          <cell r="AC10">
            <v>7376066.965115793</v>
          </cell>
          <cell r="AP10">
            <v>50366.86286715218</v>
          </cell>
          <cell r="AX10">
            <v>6011947.0063710827</v>
          </cell>
        </row>
        <row r="11">
          <cell r="V11">
            <v>70939.533110196513</v>
          </cell>
          <cell r="AC11">
            <v>9503986.6314839832</v>
          </cell>
          <cell r="AP11">
            <v>66398.298050265163</v>
          </cell>
          <cell r="AX11">
            <v>8196152.5069805495</v>
          </cell>
        </row>
        <row r="12">
          <cell r="V12">
            <v>87577.348777928622</v>
          </cell>
          <cell r="AC12">
            <v>12058259.431239134</v>
          </cell>
          <cell r="AP12">
            <v>86028.507805479472</v>
          </cell>
          <cell r="AX12">
            <v>10960561.311616849</v>
          </cell>
        </row>
        <row r="13">
          <cell r="V13">
            <v>106679.0972315965</v>
          </cell>
          <cell r="AC13">
            <v>15070809.383099999</v>
          </cell>
          <cell r="AP13">
            <v>109639.83946914297</v>
          </cell>
          <cell r="AX13">
            <v>14392239.607335329</v>
          </cell>
        </row>
        <row r="14">
          <cell r="V14">
            <v>127627.80854631097</v>
          </cell>
          <cell r="AC14">
            <v>18472318.767644025</v>
          </cell>
          <cell r="AP14">
            <v>136877.07523168469</v>
          </cell>
          <cell r="AX14">
            <v>18482490.565606982</v>
          </cell>
        </row>
        <row r="15">
          <cell r="V15">
            <v>151314.85897330416</v>
          </cell>
          <cell r="AC15">
            <v>22407233.150859587</v>
          </cell>
          <cell r="AP15">
            <v>168957.3448737227</v>
          </cell>
          <cell r="AX15">
            <v>23433465.442571297</v>
          </cell>
        </row>
        <row r="16">
          <cell r="V16">
            <v>177959.59767088582</v>
          </cell>
          <cell r="AC16">
            <v>26929030.920115635</v>
          </cell>
          <cell r="AP16">
            <v>206473.36987866322</v>
          </cell>
          <cell r="AX16">
            <v>29374177.681777243</v>
          </cell>
        </row>
        <row r="17">
          <cell r="V17">
            <v>211531.05698252918</v>
          </cell>
          <cell r="AC17">
            <v>32239006.85781429</v>
          </cell>
          <cell r="AP17">
            <v>248472.30778926791</v>
          </cell>
          <cell r="AX17">
            <v>36481468.783015035</v>
          </cell>
        </row>
        <row r="18">
          <cell r="V18">
            <v>248982.35748512251</v>
          </cell>
          <cell r="AC18">
            <v>37269457.62569961</v>
          </cell>
          <cell r="AP18">
            <v>285236.06948999851</v>
          </cell>
          <cell r="AX18">
            <v>42010912.297874138</v>
          </cell>
        </row>
        <row r="19">
          <cell r="V19">
            <v>290581.72964664537</v>
          </cell>
          <cell r="AC19">
            <v>42775395.13026005</v>
          </cell>
          <cell r="AP19">
            <v>325216.42414328409</v>
          </cell>
          <cell r="AX19">
            <v>48012746.005835414</v>
          </cell>
        </row>
        <row r="20">
          <cell r="V20">
            <v>336498.39600215183</v>
          </cell>
          <cell r="AC20">
            <v>48761387.087187707</v>
          </cell>
          <cell r="AP20">
            <v>367937.68226591934</v>
          </cell>
          <cell r="AX20">
            <v>54421423.970304772</v>
          </cell>
        </row>
        <row r="21">
          <cell r="V21">
            <v>387318.70334904233</v>
          </cell>
          <cell r="AC21">
            <v>55293376.69936569</v>
          </cell>
          <cell r="AP21">
            <v>414721.18678450835</v>
          </cell>
          <cell r="AX21">
            <v>61435256.317821056</v>
          </cell>
        </row>
        <row r="22">
          <cell r="V22">
            <v>445983.1728881314</v>
          </cell>
          <cell r="AC22">
            <v>63820638.445842609</v>
          </cell>
          <cell r="AP22">
            <v>469189.37138970545</v>
          </cell>
          <cell r="AX22">
            <v>70763115.154897079</v>
          </cell>
        </row>
        <row r="23">
          <cell r="V23">
            <v>508206.36780435499</v>
          </cell>
          <cell r="AC23">
            <v>71935571.879302382</v>
          </cell>
          <cell r="AP23">
            <v>525582.69898383354</v>
          </cell>
          <cell r="AX23">
            <v>79577277.001195639</v>
          </cell>
        </row>
        <row r="24">
          <cell r="V24">
            <v>576843.67429511179</v>
          </cell>
          <cell r="AC24">
            <v>80802503.413946509</v>
          </cell>
          <cell r="AP24">
            <v>588341.5832581037</v>
          </cell>
          <cell r="AX24">
            <v>89474324.743449271</v>
          </cell>
        </row>
        <row r="25">
          <cell r="V25">
            <v>651502.772613863</v>
          </cell>
          <cell r="AC25">
            <v>90349971.824579373</v>
          </cell>
          <cell r="AP25">
            <v>654716.90170603595</v>
          </cell>
          <cell r="AX25">
            <v>100096347.36574683</v>
          </cell>
        </row>
        <row r="26">
          <cell r="V26">
            <v>723929.19179136469</v>
          </cell>
          <cell r="AC26">
            <v>100456972.09716403</v>
          </cell>
          <cell r="AP26">
            <v>721046.16136916017</v>
          </cell>
          <cell r="AX26">
            <v>111282014.55108708</v>
          </cell>
        </row>
        <row r="27">
          <cell r="V27">
            <v>811913.54270489071</v>
          </cell>
          <cell r="AC27">
            <v>114070416.00468212</v>
          </cell>
          <cell r="AP27">
            <v>794485.49972713867</v>
          </cell>
          <cell r="AX27">
            <v>124278644.51290622</v>
          </cell>
        </row>
        <row r="28">
          <cell r="V28">
            <v>905761.80127192824</v>
          </cell>
          <cell r="AC28">
            <v>128805331.69940488</v>
          </cell>
          <cell r="AP28">
            <v>871568.03371974675</v>
          </cell>
          <cell r="AX28">
            <v>138144242.48527884</v>
          </cell>
        </row>
        <row r="29">
          <cell r="V29">
            <v>1005951.7288830924</v>
          </cell>
          <cell r="AC29">
            <v>144878686.4419435</v>
          </cell>
          <cell r="AP29">
            <v>953743.51326090354</v>
          </cell>
          <cell r="AX29">
            <v>153260436.41157854</v>
          </cell>
        </row>
        <row r="30">
          <cell r="V30">
            <v>1117220.2053494023</v>
          </cell>
          <cell r="AC30">
            <v>162929106.61922362</v>
          </cell>
          <cell r="AP30">
            <v>1045428.1826652882</v>
          </cell>
          <cell r="AX30">
            <v>170286342.95227095</v>
          </cell>
        </row>
        <row r="31">
          <cell r="V31">
            <v>1237085.7902273189</v>
          </cell>
          <cell r="AC31">
            <v>182628540.31651101</v>
          </cell>
          <cell r="AP31">
            <v>1145189.354739232</v>
          </cell>
          <cell r="AX31">
            <v>189026081.3061586</v>
          </cell>
        </row>
        <row r="32">
          <cell r="V32">
            <v>1364296.7346930534</v>
          </cell>
          <cell r="AC32">
            <v>203829743.47198194</v>
          </cell>
          <cell r="AP32">
            <v>1248778.0112380432</v>
          </cell>
          <cell r="AX32">
            <v>208816487.02018437</v>
          </cell>
        </row>
        <row r="33">
          <cell r="V33">
            <v>1500369.5396176048</v>
          </cell>
          <cell r="AC33">
            <v>226794291.11202198</v>
          </cell>
          <cell r="AP33">
            <v>1361016.2295823887</v>
          </cell>
          <cell r="AX33">
            <v>230493488.71513993</v>
          </cell>
        </row>
        <row r="34">
          <cell r="V34">
            <v>1719005.9833489258</v>
          </cell>
          <cell r="AC34">
            <v>257157376.26067114</v>
          </cell>
          <cell r="AP34">
            <v>1511571.7146999903</v>
          </cell>
          <cell r="AX34">
            <v>258052186.89378297</v>
          </cell>
        </row>
        <row r="35">
          <cell r="V35">
            <v>2004245.1926441917</v>
          </cell>
          <cell r="AC35">
            <v>293587210.58477169</v>
          </cell>
          <cell r="AP35">
            <v>1695536.9711154869</v>
          </cell>
          <cell r="AX35">
            <v>291132443.52560174</v>
          </cell>
        </row>
        <row r="36">
          <cell r="V36">
            <v>2323985.7517963098</v>
          </cell>
          <cell r="AC36">
            <v>333662496.65789056</v>
          </cell>
          <cell r="AP36">
            <v>1893354.2768505572</v>
          </cell>
          <cell r="AX36">
            <v>326937448.50204504</v>
          </cell>
        </row>
        <row r="37">
          <cell r="V37">
            <v>2729242.9807373239</v>
          </cell>
          <cell r="AC37">
            <v>385794158.77489358</v>
          </cell>
          <cell r="AP37">
            <v>2121164.7918389593</v>
          </cell>
          <cell r="AX37">
            <v>369596026.23368347</v>
          </cell>
        </row>
        <row r="38">
          <cell r="V38">
            <v>3187145.3561891541</v>
          </cell>
          <cell r="AC38">
            <v>444046543.79433608</v>
          </cell>
          <cell r="AP38">
            <v>2370281.4873398445</v>
          </cell>
          <cell r="AX38">
            <v>416770003.88537288</v>
          </cell>
        </row>
        <row r="39">
          <cell r="V39">
            <v>3702384.1148639815</v>
          </cell>
          <cell r="AC39">
            <v>508795187.58340526</v>
          </cell>
          <cell r="AP39">
            <v>2642198.6614040392</v>
          </cell>
          <cell r="AX39">
            <v>468711722.82009113</v>
          </cell>
        </row>
        <row r="40">
          <cell r="V40">
            <v>4230317.3800647315</v>
          </cell>
          <cell r="AC40">
            <v>577987060.40765202</v>
          </cell>
          <cell r="AP40">
            <v>2921627.1843952122</v>
          </cell>
          <cell r="AX40">
            <v>523938992.22186315</v>
          </cell>
        </row>
        <row r="41">
          <cell r="V41">
            <v>4705483.6504334044</v>
          </cell>
          <cell r="AC41">
            <v>648398214.59168816</v>
          </cell>
          <cell r="AP41">
            <v>3176805.2870546225</v>
          </cell>
          <cell r="AX41">
            <v>578887414.84822762</v>
          </cell>
        </row>
        <row r="42">
          <cell r="V42">
            <v>5222086.1981213205</v>
          </cell>
          <cell r="AC42">
            <v>724984948.26024079</v>
          </cell>
          <cell r="AP42">
            <v>3445148.9808839536</v>
          </cell>
          <cell r="AX42">
            <v>638324392.39970505</v>
          </cell>
        </row>
        <row r="43">
          <cell r="V43">
            <v>5775216.683503814</v>
          </cell>
          <cell r="AC43">
            <v>807480196.23972845</v>
          </cell>
          <cell r="AP43">
            <v>3726230.2831732882</v>
          </cell>
          <cell r="AX43">
            <v>701337837.04973114</v>
          </cell>
        </row>
        <row r="44">
          <cell r="V44">
            <v>6369878.1635089517</v>
          </cell>
          <cell r="AC44">
            <v>896885561.34127903</v>
          </cell>
          <cell r="AP44">
            <v>4030480.7373224711</v>
          </cell>
          <cell r="AX44">
            <v>770196850.16889846</v>
          </cell>
        </row>
        <row r="45">
          <cell r="V45">
            <v>7005620.1168095563</v>
          </cell>
          <cell r="AC45">
            <v>993233133.18634892</v>
          </cell>
          <cell r="AP45">
            <v>4351278.5903643556</v>
          </cell>
          <cell r="AX45">
            <v>843788201.9452219</v>
          </cell>
        </row>
        <row r="46">
          <cell r="V46">
            <v>7712285.3978942726</v>
          </cell>
          <cell r="AC46">
            <v>1099213651.6528912</v>
          </cell>
          <cell r="AP46">
            <v>4705535.9129606336</v>
          </cell>
          <cell r="AX46">
            <v>924577967.3391844</v>
          </cell>
        </row>
        <row r="47">
          <cell r="V47">
            <v>8338396.1933015268</v>
          </cell>
          <cell r="AC47">
            <v>1192459679.2826376</v>
          </cell>
          <cell r="AP47">
            <v>5071277.4526407225</v>
          </cell>
          <cell r="AX47">
            <v>1003002469.5428874</v>
          </cell>
        </row>
        <row r="48">
          <cell r="V48">
            <v>9008549.4502834044</v>
          </cell>
          <cell r="AC48">
            <v>1292357806.6498756</v>
          </cell>
          <cell r="AP48">
            <v>5473687.9424074637</v>
          </cell>
          <cell r="AX48">
            <v>1089398435.5910165</v>
          </cell>
        </row>
        <row r="49">
          <cell r="V49">
            <v>9718924.3886678126</v>
          </cell>
          <cell r="AC49">
            <v>1398620439.6849318</v>
          </cell>
          <cell r="AP49">
            <v>5901353.4913127339</v>
          </cell>
          <cell r="AX49">
            <v>1181776931.0059052</v>
          </cell>
        </row>
        <row r="50">
          <cell r="V50">
            <v>10502772.90405931</v>
          </cell>
          <cell r="AC50">
            <v>1517215414.3574984</v>
          </cell>
          <cell r="AP50">
            <v>6369299.917412336</v>
          </cell>
          <cell r="AX50">
            <v>1283818056.4057682</v>
          </cell>
        </row>
        <row r="51">
          <cell r="V51">
            <v>11313855.29518446</v>
          </cell>
          <cell r="AC51">
            <v>1641020699.4598143</v>
          </cell>
          <cell r="AP51">
            <v>6866735.8745368822</v>
          </cell>
          <cell r="AX51">
            <v>1392218901.0158558</v>
          </cell>
        </row>
        <row r="52">
          <cell r="V52">
            <v>12130200.761965267</v>
          </cell>
          <cell r="AC52">
            <v>1766464913.4229524</v>
          </cell>
          <cell r="AP52">
            <v>7367525.9826572323</v>
          </cell>
          <cell r="AX52">
            <v>1502334962.630271</v>
          </cell>
        </row>
        <row r="53">
          <cell r="V53">
            <v>12989589.669577392</v>
          </cell>
          <cell r="AC53">
            <v>1899066108.4627504</v>
          </cell>
          <cell r="AP53">
            <v>7902688.632740601</v>
          </cell>
          <cell r="AX53">
            <v>1620512005.0580328</v>
          </cell>
        </row>
        <row r="54">
          <cell r="V54">
            <v>13887284.379611243</v>
          </cell>
          <cell r="AC54">
            <v>2038187989.6940575</v>
          </cell>
          <cell r="AP54">
            <v>8455950.3192964233</v>
          </cell>
          <cell r="AX54">
            <v>1743485074.0360317</v>
          </cell>
        </row>
        <row r="55">
          <cell r="V55">
            <v>15011071.604085848</v>
          </cell>
          <cell r="AC55">
            <v>2225474023.6601648</v>
          </cell>
          <cell r="AP55">
            <v>9223241.6811439991</v>
          </cell>
          <cell r="AX55">
            <v>1911275069.8621345</v>
          </cell>
        </row>
        <row r="56">
          <cell r="V56">
            <v>16023681.198282398</v>
          </cell>
          <cell r="AC56">
            <v>2386841455.9128833</v>
          </cell>
          <cell r="AP56">
            <v>9886244.1680933777</v>
          </cell>
          <cell r="AX56">
            <v>2054954829.7733097</v>
          </cell>
        </row>
        <row r="57">
          <cell r="V57">
            <v>17414623.179429933</v>
          </cell>
          <cell r="AC57">
            <v>2644308573.0980921</v>
          </cell>
          <cell r="AP57">
            <v>10666231.849257721</v>
          </cell>
          <cell r="AX57">
            <v>2255758646.3290892</v>
          </cell>
        </row>
        <row r="58">
          <cell r="V58">
            <v>18893464.925873276</v>
          </cell>
          <cell r="AC58">
            <v>2922674971.8090763</v>
          </cell>
          <cell r="AP58">
            <v>11507340.108378937</v>
          </cell>
          <cell r="AX58">
            <v>2474642298.2443209</v>
          </cell>
        </row>
        <row r="59">
          <cell r="V59">
            <v>20490960.673110235</v>
          </cell>
          <cell r="AC59">
            <v>3227463198.1740503</v>
          </cell>
          <cell r="AP59">
            <v>12415997.644255225</v>
          </cell>
          <cell r="AX59">
            <v>2711767150.5750475</v>
          </cell>
        </row>
        <row r="60">
          <cell r="V60">
            <v>22324952.505159777</v>
          </cell>
          <cell r="AC60">
            <v>3576845150.0279422</v>
          </cell>
          <cell r="AP60">
            <v>13464080.510594631</v>
          </cell>
          <cell r="AX60">
            <v>2980277187.6284723</v>
          </cell>
        </row>
        <row r="61">
          <cell r="V61">
            <v>24288218.287449628</v>
          </cell>
          <cell r="AC61">
            <v>3953462352.1704655</v>
          </cell>
          <cell r="AP61">
            <v>14557863.986882022</v>
          </cell>
          <cell r="AX61">
            <v>3266482302.2161212</v>
          </cell>
        </row>
        <row r="62">
          <cell r="V62">
            <v>26358922.432677422</v>
          </cell>
          <cell r="AC62">
            <v>4358252383.5751581</v>
          </cell>
          <cell r="AP62">
            <v>15733938.999467816</v>
          </cell>
          <cell r="AX62">
            <v>3577352793.5334167</v>
          </cell>
        </row>
        <row r="63">
          <cell r="V63">
            <v>28549956.450202037</v>
          </cell>
          <cell r="AC63">
            <v>4792923742.2178173</v>
          </cell>
          <cell r="AP63">
            <v>16989094.783322066</v>
          </cell>
          <cell r="AX63">
            <v>3912411308.295661</v>
          </cell>
        </row>
        <row r="64">
          <cell r="V64">
            <v>30885652.778845925</v>
          </cell>
          <cell r="AC64">
            <v>5263903409.5390787</v>
          </cell>
          <cell r="AP64">
            <v>18345288.97261982</v>
          </cell>
          <cell r="AX64">
            <v>4278884827.2308407</v>
          </cell>
        </row>
        <row r="65">
          <cell r="V65">
            <v>40544314.869144201</v>
          </cell>
          <cell r="AC65">
            <v>7017841001.4166164</v>
          </cell>
          <cell r="AP65">
            <v>24338241.475715276</v>
          </cell>
          <cell r="AX65">
            <v>5752582423.2392025</v>
          </cell>
        </row>
        <row r="66">
          <cell r="V66">
            <v>45908927.520648286</v>
          </cell>
          <cell r="AC66">
            <v>8072047064.5914593</v>
          </cell>
          <cell r="AP66">
            <v>30244856.315863512</v>
          </cell>
          <cell r="AX66">
            <v>6993697277.5540581</v>
          </cell>
        </row>
        <row r="67">
          <cell r="V67">
            <v>52028023.453132682</v>
          </cell>
          <cell r="AC67">
            <v>9239447865.8214645</v>
          </cell>
          <cell r="AP67">
            <v>36633643.824748419</v>
          </cell>
          <cell r="AX67">
            <v>8087888241.2241411</v>
          </cell>
        </row>
        <row r="68">
          <cell r="V68">
            <v>58744058.467520699</v>
          </cell>
          <cell r="AC68">
            <v>10533020317.918949</v>
          </cell>
          <cell r="AP68">
            <v>44074903.902657755</v>
          </cell>
          <cell r="AX68">
            <v>9323152944.73032</v>
          </cell>
        </row>
        <row r="69">
          <cell r="V69">
            <v>66113011.346092768</v>
          </cell>
          <cell r="AC69">
            <v>11965122444.161819</v>
          </cell>
          <cell r="AP69">
            <v>52741482.730859309</v>
          </cell>
          <cell r="AX69">
            <v>10721664618.063229</v>
          </cell>
        </row>
        <row r="70">
          <cell r="V70">
            <v>74166176.847779006</v>
          </cell>
          <cell r="AC70">
            <v>13543964863.833723</v>
          </cell>
          <cell r="AP70">
            <v>62745432.485198721</v>
          </cell>
          <cell r="AX70">
            <v>12291423191.665916</v>
          </cell>
        </row>
        <row r="71">
          <cell r="V71">
            <v>82364941.088968456</v>
          </cell>
          <cell r="AC71">
            <v>15221416683.068031</v>
          </cell>
          <cell r="AP71">
            <v>74304113.721054986</v>
          </cell>
          <cell r="AX71">
            <v>14050795188.800955</v>
          </cell>
        </row>
        <row r="72">
          <cell r="V72">
            <v>90423712.181353599</v>
          </cell>
          <cell r="AC72">
            <v>16971416966.840431</v>
          </cell>
          <cell r="AP72">
            <v>87237505.953275651</v>
          </cell>
          <cell r="AX72">
            <v>15961189690.667736</v>
          </cell>
        </row>
        <row r="73">
          <cell r="V73">
            <v>99110874.466997504</v>
          </cell>
          <cell r="AC73">
            <v>18896717253.597862</v>
          </cell>
          <cell r="AP73">
            <v>102111749.31000623</v>
          </cell>
          <cell r="AX73">
            <v>18123385691.14579</v>
          </cell>
        </row>
        <row r="74">
          <cell r="V74">
            <v>108920402.14913309</v>
          </cell>
          <cell r="AC74">
            <v>21087246934.784081</v>
          </cell>
          <cell r="AP74">
            <v>119603800.79513204</v>
          </cell>
          <cell r="AX74">
            <v>20628171465.72987</v>
          </cell>
        </row>
        <row r="75">
          <cell r="V75">
            <v>119218761.5203481</v>
          </cell>
          <cell r="AC75">
            <v>23450887799.205009</v>
          </cell>
          <cell r="AP75">
            <v>139465858.44842774</v>
          </cell>
          <cell r="AX75">
            <v>23432520316.098701</v>
          </cell>
        </row>
        <row r="76">
          <cell r="V76">
            <v>129662692.86023429</v>
          </cell>
          <cell r="AC76">
            <v>25951392443.286171</v>
          </cell>
          <cell r="AP76">
            <v>161429998.98994902</v>
          </cell>
          <cell r="AX76">
            <v>26494256187.259918</v>
          </cell>
        </row>
        <row r="77">
          <cell r="V77">
            <v>140557814.91722307</v>
          </cell>
          <cell r="AC77">
            <v>28554779745.207867</v>
          </cell>
          <cell r="AP77">
            <v>183363842.83701101</v>
          </cell>
          <cell r="AX77">
            <v>29698673072.495827</v>
          </cell>
        </row>
        <row r="78">
          <cell r="V78">
            <v>152525098.78226751</v>
          </cell>
          <cell r="AC78">
            <v>31391916895.320313</v>
          </cell>
          <cell r="AP78">
            <v>208065461.11943433</v>
          </cell>
          <cell r="AX78">
            <v>33259129340.840683</v>
          </cell>
        </row>
        <row r="79">
          <cell r="V79">
            <v>168950473.8322044</v>
          </cell>
          <cell r="AC79">
            <v>34793640684.683365</v>
          </cell>
          <cell r="AP79">
            <v>238316528.65772882</v>
          </cell>
          <cell r="AX79">
            <v>37524718816.028229</v>
          </cell>
        </row>
        <row r="80">
          <cell r="V80">
            <v>186905504.69999173</v>
          </cell>
          <cell r="AC80">
            <v>38513997780.819382</v>
          </cell>
          <cell r="AP80">
            <v>272864453.20951653</v>
          </cell>
          <cell r="AX80">
            <v>42330649052.463867</v>
          </cell>
        </row>
        <row r="81">
          <cell r="V81">
            <v>206012285.9785538</v>
          </cell>
          <cell r="AC81">
            <v>42641487748.517639</v>
          </cell>
          <cell r="AP81">
            <v>310412467.78653324</v>
          </cell>
          <cell r="AX81">
            <v>47563377079.307747</v>
          </cell>
        </row>
        <row r="82">
          <cell r="V82">
            <v>225914517.68933746</v>
          </cell>
          <cell r="AC82">
            <v>47369274204.136978</v>
          </cell>
          <cell r="AP82">
            <v>350522956.45200634</v>
          </cell>
          <cell r="AX82">
            <v>53394758483.363968</v>
          </cell>
        </row>
        <row r="83">
          <cell r="V83">
            <v>247118307.08476841</v>
          </cell>
          <cell r="AC83">
            <v>52426753293.193878</v>
          </cell>
          <cell r="AP83">
            <v>394786696.54142606</v>
          </cell>
          <cell r="AX83">
            <v>59734743302.911598</v>
          </cell>
        </row>
        <row r="84">
          <cell r="V84">
            <v>271016394.49041247</v>
          </cell>
          <cell r="AC84">
            <v>57905734492.391464</v>
          </cell>
          <cell r="AP84">
            <v>444904635.08050239</v>
          </cell>
          <cell r="AX84">
            <v>66680740519.044212</v>
          </cell>
        </row>
        <row r="85">
          <cell r="V85">
            <v>296599498.4702968</v>
          </cell>
          <cell r="AC85">
            <v>63733297947.85231</v>
          </cell>
          <cell r="AP85">
            <v>498561443.2772963</v>
          </cell>
          <cell r="AX85">
            <v>74180250766.312744</v>
          </cell>
        </row>
        <row r="86">
          <cell r="V86">
            <v>323575082.066383</v>
          </cell>
          <cell r="AC86">
            <v>69864899980.005981</v>
          </cell>
          <cell r="AP86">
            <v>556851411.66301119</v>
          </cell>
          <cell r="AX86">
            <v>82355005344.142365</v>
          </cell>
        </row>
        <row r="87">
          <cell r="V87">
            <v>356624569.60731518</v>
          </cell>
          <cell r="AC87">
            <v>77363235503.791962</v>
          </cell>
          <cell r="AP87">
            <v>643662877.20294833</v>
          </cell>
          <cell r="AX87">
            <v>92876517472.119446</v>
          </cell>
        </row>
        <row r="88">
          <cell r="V88">
            <v>392541435.28502464</v>
          </cell>
          <cell r="AC88">
            <v>85493688163.415314</v>
          </cell>
          <cell r="AP88">
            <v>741001628.51644242</v>
          </cell>
          <cell r="AX88">
            <v>104511401269.08717</v>
          </cell>
        </row>
        <row r="89">
          <cell r="V89">
            <v>429051143.17881554</v>
          </cell>
          <cell r="AC89">
            <v>93842294735.865112</v>
          </cell>
          <cell r="AP89">
            <v>843267273.98938251</v>
          </cell>
          <cell r="AX89">
            <v>116650080213.84865</v>
          </cell>
        </row>
        <row r="90">
          <cell r="V90">
            <v>467307702.76349968</v>
          </cell>
          <cell r="AC90">
            <v>102677841722.87564</v>
          </cell>
          <cell r="AP90">
            <v>953372537.37509048</v>
          </cell>
          <cell r="AX90">
            <v>129795937532.49579</v>
          </cell>
        </row>
        <row r="91">
          <cell r="V91">
            <v>504464580.92008483</v>
          </cell>
          <cell r="AC91">
            <v>111616571318.06097</v>
          </cell>
          <cell r="AP91">
            <v>1059616373.3766836</v>
          </cell>
          <cell r="AX91">
            <v>143351215419.96603</v>
          </cell>
        </row>
        <row r="92">
          <cell r="V92">
            <v>542102193.36363471</v>
          </cell>
          <cell r="AC92">
            <v>121307991837.36182</v>
          </cell>
          <cell r="AP92">
            <v>1173382064.3943849</v>
          </cell>
          <cell r="AX92">
            <v>158416820295.50946</v>
          </cell>
        </row>
        <row r="93">
          <cell r="V93">
            <v>580726155.36978412</v>
          </cell>
          <cell r="AC93">
            <v>131412924907.2874</v>
          </cell>
          <cell r="AP93">
            <v>1296021471.3846045</v>
          </cell>
          <cell r="AX93">
            <v>174334969068.47284</v>
          </cell>
        </row>
        <row r="94">
          <cell r="V94">
            <v>622171817.63886678</v>
          </cell>
          <cell r="AC94">
            <v>141715058196.8573</v>
          </cell>
          <cell r="AP94">
            <v>1436143798.033201</v>
          </cell>
          <cell r="AX94">
            <v>191101086000.17426</v>
          </cell>
        </row>
        <row r="95">
          <cell r="V95">
            <v>665325159.64980125</v>
          </cell>
          <cell r="AC95">
            <v>152516559891.13165</v>
          </cell>
          <cell r="AP95">
            <v>1588264606.7127373</v>
          </cell>
          <cell r="AX95">
            <v>209125089117.1539</v>
          </cell>
        </row>
        <row r="96">
          <cell r="V96">
            <v>708470223.32791924</v>
          </cell>
          <cell r="AC96">
            <v>163421606088.27649</v>
          </cell>
          <cell r="AP96">
            <v>1744616823.3588841</v>
          </cell>
          <cell r="AX96">
            <v>227992701641.53934</v>
          </cell>
        </row>
        <row r="97">
          <cell r="V97">
            <v>749017744.91118073</v>
          </cell>
          <cell r="AC97">
            <v>173328636675.39215</v>
          </cell>
          <cell r="AP97">
            <v>1930786656.8793004</v>
          </cell>
          <cell r="AX97">
            <v>247579636641.13623</v>
          </cell>
        </row>
        <row r="98">
          <cell r="V98">
            <v>792909369.28538907</v>
          </cell>
          <cell r="AC98">
            <v>184060137832.25436</v>
          </cell>
          <cell r="AP98">
            <v>2141836735.8063593</v>
          </cell>
          <cell r="AX98">
            <v>269619126917.40039</v>
          </cell>
        </row>
        <row r="99">
          <cell r="V99">
            <v>840325210.11567748</v>
          </cell>
          <cell r="AC99">
            <v>195663962337.383</v>
          </cell>
          <cell r="AP99">
            <v>2383040072.0096211</v>
          </cell>
          <cell r="AX99">
            <v>293892423930.47644</v>
          </cell>
        </row>
        <row r="100">
          <cell r="V100">
            <v>890814479.7207458</v>
          </cell>
          <cell r="AC100">
            <v>207738161701.86359</v>
          </cell>
          <cell r="AP100">
            <v>2651226294.572475</v>
          </cell>
          <cell r="AX100">
            <v>319583791220.32373</v>
          </cell>
        </row>
        <row r="101">
          <cell r="V101">
            <v>940150215.58804166</v>
          </cell>
          <cell r="AC101">
            <v>219476375912.12067</v>
          </cell>
          <cell r="AP101">
            <v>2911417278.3713779</v>
          </cell>
          <cell r="AX101">
            <v>344414357512.31604</v>
          </cell>
        </row>
        <row r="102">
          <cell r="V102">
            <v>988765730.83951414</v>
          </cell>
          <cell r="AC102">
            <v>231365638633.95157</v>
          </cell>
          <cell r="AP102">
            <v>3176909007.0084958</v>
          </cell>
          <cell r="AX102">
            <v>368348863251.40692</v>
          </cell>
        </row>
        <row r="103">
          <cell r="V103">
            <v>1039509165.6910343</v>
          </cell>
          <cell r="AC103">
            <v>243807463330.50385</v>
          </cell>
          <cell r="AP103">
            <v>3462771788.3588991</v>
          </cell>
          <cell r="AX103">
            <v>393423301195.08521</v>
          </cell>
        </row>
        <row r="104">
          <cell r="V104">
            <v>1087405427.2809741</v>
          </cell>
          <cell r="AC104">
            <v>256474494461.93024</v>
          </cell>
          <cell r="AP104">
            <v>3766969700.2471542</v>
          </cell>
          <cell r="AX104">
            <v>419650107388.60156</v>
          </cell>
        </row>
        <row r="105">
          <cell r="V105">
            <v>1136989115.0083621</v>
          </cell>
          <cell r="AC105">
            <v>269649600224.87836</v>
          </cell>
          <cell r="AP105">
            <v>4092122356.2488327</v>
          </cell>
          <cell r="AX105">
            <v>447164294913.68994</v>
          </cell>
        </row>
        <row r="106">
          <cell r="V106">
            <v>1187913462.3228755</v>
          </cell>
          <cell r="AC106">
            <v>283247044522.55627</v>
          </cell>
          <cell r="AP106">
            <v>4435282604.6537848</v>
          </cell>
          <cell r="AX106">
            <v>475650224447.97675</v>
          </cell>
        </row>
        <row r="107">
          <cell r="V107">
            <v>1222181913.8713262</v>
          </cell>
          <cell r="AC107">
            <v>293386175934.42163</v>
          </cell>
          <cell r="AP107">
            <v>4677046814.9846277</v>
          </cell>
          <cell r="AX107">
            <v>499405354833.98877</v>
          </cell>
        </row>
        <row r="108">
          <cell r="V108">
            <v>1257123621.6904149</v>
          </cell>
          <cell r="AC108">
            <v>303854025693.23584</v>
          </cell>
          <cell r="AP108">
            <v>4931877036.0743265</v>
          </cell>
          <cell r="AX108">
            <v>524324197766.55872</v>
          </cell>
        </row>
        <row r="109">
          <cell r="V109">
            <v>1293448815.7926095</v>
          </cell>
          <cell r="AC109">
            <v>314753865877.52118</v>
          </cell>
          <cell r="AP109">
            <v>5203680710.0856857</v>
          </cell>
          <cell r="AX109">
            <v>550609382947.63147</v>
          </cell>
        </row>
        <row r="110">
          <cell r="V110">
            <v>1331668277.4685245</v>
          </cell>
          <cell r="AC110">
            <v>326217290913.83075</v>
          </cell>
          <cell r="AP110">
            <v>5498690980.2612162</v>
          </cell>
          <cell r="AX110">
            <v>578863720210.52429</v>
          </cell>
        </row>
        <row r="111">
          <cell r="V111">
            <v>1370069798.5416708</v>
          </cell>
          <cell r="AC111">
            <v>337934035903.60571</v>
          </cell>
          <cell r="AP111">
            <v>5804658267.9305182</v>
          </cell>
          <cell r="AX111">
            <v>607945560701.31189</v>
          </cell>
        </row>
        <row r="112">
          <cell r="V112">
            <v>1406891162.9847755</v>
          </cell>
          <cell r="AC112">
            <v>350107969624.17975</v>
          </cell>
          <cell r="AP112">
            <v>6129661798.7509527</v>
          </cell>
          <cell r="AX112">
            <v>638774273368.24756</v>
          </cell>
        </row>
        <row r="113">
          <cell r="V113">
            <v>1442583936.1206088</v>
          </cell>
          <cell r="AC113">
            <v>362206920568.39746</v>
          </cell>
          <cell r="AP113">
            <v>6448688152.23001</v>
          </cell>
          <cell r="AX113">
            <v>669509313873.18347</v>
          </cell>
        </row>
        <row r="114">
          <cell r="V114">
            <v>1476672809.9308503</v>
          </cell>
          <cell r="AC114">
            <v>374037374758.71741</v>
          </cell>
          <cell r="AP114">
            <v>6752545485.3111038</v>
          </cell>
          <cell r="AX114">
            <v>700389667139.10474</v>
          </cell>
        </row>
        <row r="115">
          <cell r="V115">
            <v>1511394946.5195551</v>
          </cell>
          <cell r="AC115">
            <v>386157545372.95349</v>
          </cell>
          <cell r="AP115">
            <v>7066952093.9222269</v>
          </cell>
          <cell r="AX115">
            <v>732293564160.21252</v>
          </cell>
        </row>
        <row r="116">
          <cell r="V116">
            <v>1547524528.6936915</v>
          </cell>
          <cell r="AC116">
            <v>398770072628.57147</v>
          </cell>
          <cell r="AP116">
            <v>7401582996.5421085</v>
          </cell>
          <cell r="AX116">
            <v>766219179801.56299</v>
          </cell>
        </row>
        <row r="117">
          <cell r="V117">
            <v>1591987149.8106353</v>
          </cell>
          <cell r="AC117">
            <v>412413651843.18689</v>
          </cell>
          <cell r="AP117">
            <v>7736436166.6036425</v>
          </cell>
          <cell r="AX117">
            <v>802185303117.61841</v>
          </cell>
        </row>
        <row r="118">
          <cell r="V118">
            <v>1639354446.9244123</v>
          </cell>
          <cell r="AC118">
            <v>426921275074.4054</v>
          </cell>
          <cell r="AP118">
            <v>8092784606.9942598</v>
          </cell>
          <cell r="AX118">
            <v>840475884077.82959</v>
          </cell>
        </row>
        <row r="119">
          <cell r="V119">
            <v>1687492980.9595833</v>
          </cell>
          <cell r="AC119">
            <v>441746123710.32916</v>
          </cell>
          <cell r="AP119">
            <v>8457893530.411355</v>
          </cell>
          <cell r="AX119">
            <v>879784762886.11743</v>
          </cell>
        </row>
        <row r="120">
          <cell r="V120">
            <v>1736722215.0227468</v>
          </cell>
          <cell r="AC120">
            <v>456975531508.23169</v>
          </cell>
          <cell r="AP120">
            <v>8835913145.0890579</v>
          </cell>
          <cell r="AX120">
            <v>920547635299.12646</v>
          </cell>
        </row>
        <row r="121">
          <cell r="V121">
            <v>1787852509.1796827</v>
          </cell>
          <cell r="AC121">
            <v>472947746031.3667</v>
          </cell>
          <cell r="AP121">
            <v>9227965683.1326485</v>
          </cell>
          <cell r="AX121">
            <v>963493629334.58521</v>
          </cell>
        </row>
        <row r="122">
          <cell r="V122">
            <v>1846168453.9994669</v>
          </cell>
          <cell r="AC122">
            <v>490180693259.53748</v>
          </cell>
          <cell r="AP122">
            <v>9643714625.5178547</v>
          </cell>
          <cell r="AX122">
            <v>1009854681752.2068</v>
          </cell>
        </row>
        <row r="123">
          <cell r="V123">
            <v>1904135165.1788895</v>
          </cell>
          <cell r="AC123">
            <v>507238936616.29993</v>
          </cell>
          <cell r="AP123">
            <v>10064131423.920364</v>
          </cell>
          <cell r="AX123">
            <v>1056891204589.5354</v>
          </cell>
        </row>
        <row r="124">
          <cell r="V124">
            <v>1963524897.974124</v>
          </cell>
          <cell r="AC124">
            <v>524776885248.27673</v>
          </cell>
          <cell r="AP124">
            <v>10499030318.953777</v>
          </cell>
          <cell r="AX124">
            <v>1105696671598.5994</v>
          </cell>
        </row>
        <row r="125">
          <cell r="V125">
            <v>2024569299.4916434</v>
          </cell>
          <cell r="AC125">
            <v>542860197734.63037</v>
          </cell>
          <cell r="AP125">
            <v>10952327126.793739</v>
          </cell>
          <cell r="AX125">
            <v>1156696659564.6118</v>
          </cell>
        </row>
        <row r="126">
          <cell r="V126">
            <v>2086299428.6332984</v>
          </cell>
          <cell r="AC126">
            <v>561232363912.47314</v>
          </cell>
          <cell r="AP126">
            <v>11410905604.625372</v>
          </cell>
          <cell r="AX126">
            <v>1208517489273.6765</v>
          </cell>
        </row>
        <row r="127">
          <cell r="V127">
            <v>2149926685.4817228</v>
          </cell>
          <cell r="AC127">
            <v>580221916677.04663</v>
          </cell>
          <cell r="AP127">
            <v>11891315487.387445</v>
          </cell>
          <cell r="AX127">
            <v>1262966538480.3169</v>
          </cell>
        </row>
        <row r="128">
          <cell r="V128">
            <v>2214743842.5600238</v>
          </cell>
          <cell r="AC128">
            <v>599714239461.13428</v>
          </cell>
          <cell r="AP128">
            <v>12387012995.768513</v>
          </cell>
          <cell r="AX128">
            <v>1319316986724.415</v>
          </cell>
        </row>
        <row r="129">
          <cell r="V129">
            <v>2282394619.6098776</v>
          </cell>
          <cell r="AC129">
            <v>619857724599.49646</v>
          </cell>
          <cell r="AP129">
            <v>12912981794.702818</v>
          </cell>
          <cell r="AX129">
            <v>1378934506858.9631</v>
          </cell>
        </row>
        <row r="130">
          <cell r="V130">
            <v>2353611955.0137873</v>
          </cell>
          <cell r="AC130">
            <v>640740368305.85547</v>
          </cell>
          <cell r="AP130">
            <v>13466041322.93602</v>
          </cell>
          <cell r="AX130">
            <v>1441078192734.5171</v>
          </cell>
        </row>
        <row r="131">
          <cell r="V131">
            <v>2426997739.5366316</v>
          </cell>
          <cell r="AC131">
            <v>662270539002.46143</v>
          </cell>
          <cell r="AP131">
            <v>14043217046.719738</v>
          </cell>
          <cell r="AX131">
            <v>1505962037631.6406</v>
          </cell>
        </row>
        <row r="132">
          <cell r="V132">
            <v>2500244234.8624277</v>
          </cell>
          <cell r="AC132">
            <v>685694117258.18555</v>
          </cell>
          <cell r="AP132">
            <v>14625309454.909191</v>
          </cell>
          <cell r="AX132">
            <v>1575436091460.9175</v>
          </cell>
        </row>
        <row r="133">
          <cell r="V133">
            <v>2575206848.8442879</v>
          </cell>
          <cell r="AC133">
            <v>710214159793.26843</v>
          </cell>
          <cell r="AP133">
            <v>15227797779.690947</v>
          </cell>
          <cell r="AX133">
            <v>1648641344099.6006</v>
          </cell>
        </row>
        <row r="134">
          <cell r="V134">
            <v>2652047474.102541</v>
          </cell>
          <cell r="AC134">
            <v>735484083691.65894</v>
          </cell>
          <cell r="AP134">
            <v>15852985646.607605</v>
          </cell>
          <cell r="AX134">
            <v>1724960438430.96</v>
          </cell>
        </row>
        <row r="135">
          <cell r="V135">
            <v>2735456814.562602</v>
          </cell>
          <cell r="AC135">
            <v>762820489080.14075</v>
          </cell>
          <cell r="AP135">
            <v>16540017187.738953</v>
          </cell>
          <cell r="AX135">
            <v>1808709464673.5767</v>
          </cell>
        </row>
        <row r="136">
          <cell r="V136">
            <v>2824786120.3651881</v>
          </cell>
          <cell r="AC136">
            <v>792071613919.48926</v>
          </cell>
          <cell r="AP136">
            <v>17279164789.579277</v>
          </cell>
          <cell r="AX136">
            <v>1898918577168.3394</v>
          </cell>
        </row>
        <row r="137">
          <cell r="V137">
            <v>2916221169.1019802</v>
          </cell>
          <cell r="AC137">
            <v>822189225420.47961</v>
          </cell>
          <cell r="AP137">
            <v>18043684347.456047</v>
          </cell>
          <cell r="AX137">
            <v>1992717258174.5901</v>
          </cell>
        </row>
        <row r="138">
          <cell r="V138">
            <v>3004826358.3724823</v>
          </cell>
          <cell r="AC138">
            <v>851783765952.66821</v>
          </cell>
          <cell r="AP138">
            <v>18801457915.7015</v>
          </cell>
          <cell r="AX138">
            <v>2086580449186.4199</v>
          </cell>
        </row>
        <row r="139">
          <cell r="V139">
            <v>3087473358.529355</v>
          </cell>
          <cell r="AC139">
            <v>879950455631.65869</v>
          </cell>
          <cell r="AP139">
            <v>19528273484.84211</v>
          </cell>
          <cell r="AX139">
            <v>2177795216137.1606</v>
          </cell>
        </row>
        <row r="140">
          <cell r="V140">
            <v>3172194812.3094478</v>
          </cell>
          <cell r="AC140">
            <v>908963401746.63037</v>
          </cell>
          <cell r="AP140">
            <v>20284789813.276096</v>
          </cell>
          <cell r="AX140">
            <v>2273106998973.248</v>
          </cell>
        </row>
        <row r="141">
          <cell r="V141">
            <v>3258660509.3213019</v>
          </cell>
          <cell r="AC141">
            <v>938736884433.33679</v>
          </cell>
          <cell r="AP141">
            <v>21066263624.977245</v>
          </cell>
          <cell r="AX141">
            <v>2372027948392.1147</v>
          </cell>
        </row>
        <row r="142">
          <cell r="V142">
            <v>3347804350.2782431</v>
          </cell>
          <cell r="AC142">
            <v>969462359243.44702</v>
          </cell>
          <cell r="AP142">
            <v>21887826514.927635</v>
          </cell>
          <cell r="AX142">
            <v>2476086515687.1431</v>
          </cell>
        </row>
        <row r="143">
          <cell r="V143">
            <v>3437777609.7065043</v>
          </cell>
          <cell r="AC143">
            <v>999932168480.89783</v>
          </cell>
          <cell r="AP143">
            <v>22720926203.80125</v>
          </cell>
          <cell r="AX143">
            <v>2580334036721.1646</v>
          </cell>
        </row>
        <row r="144">
          <cell r="V144">
            <v>3529115803.80723</v>
          </cell>
          <cell r="AC144">
            <v>1031030205245.7472</v>
          </cell>
          <cell r="AP144">
            <v>23579651900.776657</v>
          </cell>
          <cell r="AX144">
            <v>2688220704581.0034</v>
          </cell>
        </row>
        <row r="145">
          <cell r="V145">
            <v>3620723007.4198704</v>
          </cell>
          <cell r="AC145">
            <v>1062440023069.0745</v>
          </cell>
          <cell r="AP145">
            <v>24440508001.04781</v>
          </cell>
          <cell r="AX145">
            <v>2797089662513.4541</v>
          </cell>
        </row>
        <row r="146">
          <cell r="V146">
            <v>3714706539.2607965</v>
          </cell>
          <cell r="AC146">
            <v>1094783595547.3489</v>
          </cell>
          <cell r="AP146">
            <v>25337875623.496948</v>
          </cell>
          <cell r="AX146">
            <v>2910875106888.1235</v>
          </cell>
        </row>
        <row r="147">
          <cell r="V147">
            <v>3812805935.0380526</v>
          </cell>
          <cell r="AC147">
            <v>1128584843030.5205</v>
          </cell>
          <cell r="AP147">
            <v>26301247087.720146</v>
          </cell>
          <cell r="AX147">
            <v>3032600908858.6978</v>
          </cell>
        </row>
        <row r="148">
          <cell r="V148">
            <v>3914599630.3689852</v>
          </cell>
          <cell r="AC148">
            <v>1163734147205.3669</v>
          </cell>
          <cell r="AP148">
            <v>27319288889.150673</v>
          </cell>
          <cell r="AX148">
            <v>3161441947300.2197</v>
          </cell>
        </row>
        <row r="149">
          <cell r="V149">
            <v>4018160163.5440884</v>
          </cell>
          <cell r="AC149">
            <v>1199670114102.9214</v>
          </cell>
          <cell r="AP149">
            <v>28364177068.970917</v>
          </cell>
          <cell r="AX149">
            <v>3294233235635.5488</v>
          </cell>
        </row>
        <row r="150">
          <cell r="V150">
            <v>4124012395.4357467</v>
          </cell>
          <cell r="AC150">
            <v>1236556775225.4365</v>
          </cell>
          <cell r="AP150">
            <v>29446715661.209785</v>
          </cell>
          <cell r="AX150">
            <v>3432265456772.2158</v>
          </cell>
        </row>
        <row r="151">
          <cell r="V151">
            <v>4230933842.6184359</v>
          </cell>
          <cell r="AC151">
            <v>1274034679490.7573</v>
          </cell>
          <cell r="AP151">
            <v>30546244639.22789</v>
          </cell>
          <cell r="AX151">
            <v>3573166677173.6094</v>
          </cell>
        </row>
        <row r="152">
          <cell r="V152">
            <v>4339363794.7923431</v>
          </cell>
          <cell r="AC152">
            <v>1312240636857.074</v>
          </cell>
          <cell r="AP152">
            <v>31671346197.242802</v>
          </cell>
          <cell r="AX152">
            <v>3717963194547.1064</v>
          </cell>
        </row>
        <row r="153">
          <cell r="V153">
            <v>4449281229.133256</v>
          </cell>
          <cell r="AC153">
            <v>1353867703953.4138</v>
          </cell>
          <cell r="AP153">
            <v>32824433024.156425</v>
          </cell>
          <cell r="AX153">
            <v>3874678135552.0161</v>
          </cell>
        </row>
        <row r="154">
          <cell r="V154">
            <v>4561610189.8532467</v>
          </cell>
          <cell r="AC154">
            <v>1400027909955.7007</v>
          </cell>
          <cell r="AP154">
            <v>34027575928.924213</v>
          </cell>
          <cell r="AX154">
            <v>4048579103143.8257</v>
          </cell>
        </row>
        <row r="155">
          <cell r="V155">
            <v>4676012596.8158827</v>
          </cell>
          <cell r="AC155">
            <v>1447415095762.5505</v>
          </cell>
          <cell r="AP155">
            <v>35266702913.652695</v>
          </cell>
          <cell r="AX155">
            <v>4228989669526.9038</v>
          </cell>
        </row>
        <row r="156">
          <cell r="V156">
            <v>4806213884.5505638</v>
          </cell>
          <cell r="AC156">
            <v>1500329845370.6931</v>
          </cell>
          <cell r="AP156">
            <v>36674068841.913956</v>
          </cell>
          <cell r="AX156">
            <v>4431987381438.6904</v>
          </cell>
        </row>
        <row r="157">
          <cell r="V157">
            <v>4957728705.019989</v>
          </cell>
          <cell r="AC157">
            <v>1560632091278.3315</v>
          </cell>
          <cell r="AP157">
            <v>38380214491.179726</v>
          </cell>
          <cell r="AX157">
            <v>4673933632239.0547</v>
          </cell>
        </row>
        <row r="158">
          <cell r="V158">
            <v>5110405458.7485228</v>
          </cell>
          <cell r="AC158">
            <v>1622175585595.1748</v>
          </cell>
          <cell r="AP158">
            <v>40150865874.116425</v>
          </cell>
          <cell r="AX158">
            <v>4927158912071.9082</v>
          </cell>
        </row>
        <row r="159">
          <cell r="V159">
            <v>5162076044.1673813</v>
          </cell>
          <cell r="AC159">
            <v>1643129278902.2288</v>
          </cell>
          <cell r="AP159">
            <v>40830375617.787537</v>
          </cell>
          <cell r="AX159">
            <v>5021018540161.877</v>
          </cell>
        </row>
        <row r="160">
          <cell r="V160">
            <v>5191460257.7591209</v>
          </cell>
          <cell r="AC160">
            <v>1655739208646.1555</v>
          </cell>
          <cell r="AP160">
            <v>41208842626.352165</v>
          </cell>
          <cell r="AX160">
            <v>5074065517864.9629</v>
          </cell>
        </row>
        <row r="161">
          <cell r="V161">
            <v>5203508366.1650629</v>
          </cell>
          <cell r="AC161">
            <v>1662845184340.5146</v>
          </cell>
          <cell r="AP161">
            <v>41261899817.138611</v>
          </cell>
          <cell r="AX161">
            <v>5091169174029.1367</v>
          </cell>
        </row>
        <row r="162">
          <cell r="V162">
            <v>5213054062.8702202</v>
          </cell>
          <cell r="AC162">
            <v>1669164175315.4609</v>
          </cell>
          <cell r="AP162">
            <v>41267837126.177078</v>
          </cell>
          <cell r="AX162">
            <v>5103060321154.084</v>
          </cell>
        </row>
        <row r="163">
          <cell r="V163">
            <v>5222606104.995841</v>
          </cell>
          <cell r="AC163">
            <v>1675496322192.2241</v>
          </cell>
          <cell r="AP163">
            <v>41273777156.273102</v>
          </cell>
          <cell r="AX163">
            <v>5114955237514.9707</v>
          </cell>
        </row>
        <row r="164">
          <cell r="V164">
            <v>5232164491.6092176</v>
          </cell>
          <cell r="AC164">
            <v>1681841634440.3093</v>
          </cell>
          <cell r="AP164">
            <v>41279719901.08316</v>
          </cell>
          <cell r="AX164">
            <v>5126853924128.3799</v>
          </cell>
        </row>
        <row r="165">
          <cell r="V165">
            <v>5241729221.7809792</v>
          </cell>
          <cell r="AC165">
            <v>1688200121530.2522</v>
          </cell>
          <cell r="AP165">
            <v>41285665354.283554</v>
          </cell>
          <cell r="AX165">
            <v>5138756382007.791</v>
          </cell>
        </row>
        <row r="166">
          <cell r="V166">
            <v>5251287262.3329992</v>
          </cell>
          <cell r="AC166">
            <v>1694571172209.4302</v>
          </cell>
          <cell r="AP166">
            <v>41291609888.137909</v>
          </cell>
          <cell r="AX166">
            <v>5150661745807.8359</v>
          </cell>
        </row>
      </sheetData>
      <sheetData sheetId="18">
        <row r="7">
          <cell r="V7">
            <v>25733.356195046705</v>
          </cell>
          <cell r="AC7">
            <v>3021226.3528824658</v>
          </cell>
          <cell r="AP7">
            <v>18904.325877052539</v>
          </cell>
          <cell r="AX7">
            <v>2009985.6574360463</v>
          </cell>
        </row>
        <row r="8">
          <cell r="V8">
            <v>34857.624772431758</v>
          </cell>
          <cell r="AC8">
            <v>4233941.517616326</v>
          </cell>
          <cell r="AP8">
            <v>27591.897083186908</v>
          </cell>
          <cell r="AX8">
            <v>3052793.3315950474</v>
          </cell>
        </row>
        <row r="9">
          <cell r="V9">
            <v>45530.474206168481</v>
          </cell>
          <cell r="AC9">
            <v>5707444.6399572939</v>
          </cell>
          <cell r="AP9">
            <v>38506.106231086946</v>
          </cell>
          <cell r="AX9">
            <v>4421513.7773314482</v>
          </cell>
        </row>
        <row r="10">
          <cell r="V10">
            <v>58317.873428821586</v>
          </cell>
          <cell r="AC10">
            <v>7528073.8150231969</v>
          </cell>
          <cell r="AP10">
            <v>52357.731188729747</v>
          </cell>
          <cell r="AX10">
            <v>6224607.6638133451</v>
          </cell>
        </row>
        <row r="11">
          <cell r="V11">
            <v>73478.177782950108</v>
          </cell>
          <cell r="AC11">
            <v>9748412.2286002934</v>
          </cell>
          <cell r="AP11">
            <v>69677.262711958378</v>
          </cell>
          <cell r="AX11">
            <v>8558177.0175547004</v>
          </cell>
        </row>
        <row r="12">
          <cell r="V12">
            <v>91289.580761335732</v>
          </cell>
          <cell r="AC12">
            <v>12425873.500337895</v>
          </cell>
          <cell r="AP12">
            <v>91059.732686780073</v>
          </cell>
          <cell r="AX12">
            <v>11532812.466033181</v>
          </cell>
        </row>
        <row r="13">
          <cell r="V13">
            <v>111388.55825472789</v>
          </cell>
          <cell r="AC13">
            <v>15530587.534963876</v>
          </cell>
          <cell r="AP13">
            <v>116477.16091626468</v>
          </cell>
          <cell r="AX13">
            <v>15184705.238808958</v>
          </cell>
        </row>
        <row r="14">
          <cell r="V14">
            <v>133939.3259240498</v>
          </cell>
          <cell r="AC14">
            <v>19101748.689893838</v>
          </cell>
          <cell r="AP14">
            <v>146404.31930153831</v>
          </cell>
          <cell r="AX14">
            <v>19614744.749590784</v>
          </cell>
        </row>
        <row r="15">
          <cell r="V15">
            <v>159562.44652196128</v>
          </cell>
          <cell r="AC15">
            <v>23245887.841042399</v>
          </cell>
          <cell r="AP15">
            <v>181864.61994436977</v>
          </cell>
          <cell r="AX15">
            <v>25003834.915125467</v>
          </cell>
        </row>
        <row r="16">
          <cell r="V16">
            <v>188518.50466989473</v>
          </cell>
          <cell r="AC16">
            <v>28022204.943110917</v>
          </cell>
          <cell r="AP16">
            <v>223567.02666195581</v>
          </cell>
          <cell r="AX16">
            <v>31500332.755835284</v>
          </cell>
        </row>
        <row r="17">
          <cell r="V17">
            <v>224102.10836221365</v>
          </cell>
          <cell r="AC17">
            <v>33570701.296303846</v>
          </cell>
          <cell r="AP17">
            <v>269375.11597477813</v>
          </cell>
          <cell r="AX17">
            <v>39219054.85769292</v>
          </cell>
        </row>
        <row r="18">
          <cell r="V18">
            <v>265611.05137511587</v>
          </cell>
          <cell r="AC18">
            <v>39169102.514748633</v>
          </cell>
          <cell r="AP18">
            <v>309785.63727658906</v>
          </cell>
          <cell r="AX18">
            <v>45349756.055496685</v>
          </cell>
        </row>
        <row r="19">
          <cell r="V19">
            <v>311958.72921876208</v>
          </cell>
          <cell r="AC19">
            <v>45351361.581176311</v>
          </cell>
          <cell r="AP19">
            <v>354418.8924218599</v>
          </cell>
          <cell r="AX19">
            <v>52114388.830019981</v>
          </cell>
        </row>
        <row r="20">
          <cell r="V20">
            <v>362878.61779020797</v>
          </cell>
          <cell r="AC20">
            <v>52058668.537770182</v>
          </cell>
          <cell r="AP20">
            <v>400732.02899038745</v>
          </cell>
          <cell r="AX20">
            <v>59146964.107325412</v>
          </cell>
        </row>
        <row r="21">
          <cell r="V21">
            <v>419873.38764965534</v>
          </cell>
          <cell r="AC21">
            <v>60476385.413101852</v>
          </cell>
          <cell r="AP21">
            <v>453793.79163826816</v>
          </cell>
          <cell r="AX21">
            <v>68316827.784260049</v>
          </cell>
        </row>
        <row r="22">
          <cell r="V22">
            <v>483179.85100179364</v>
          </cell>
          <cell r="AC22">
            <v>68974747.895053357</v>
          </cell>
          <cell r="AP22">
            <v>513171.89111645066</v>
          </cell>
          <cell r="AX22">
            <v>77709412.892825067</v>
          </cell>
        </row>
        <row r="23">
          <cell r="V23">
            <v>551914.68824680476</v>
          </cell>
          <cell r="AC23">
            <v>78122533.38082242</v>
          </cell>
          <cell r="AP23">
            <v>573875.31378934125</v>
          </cell>
          <cell r="AX23">
            <v>87440282.833815038</v>
          </cell>
        </row>
        <row r="24">
          <cell r="V24">
            <v>627772.24267887825</v>
          </cell>
          <cell r="AC24">
            <v>88147404.846542418</v>
          </cell>
          <cell r="AP24">
            <v>641557.79927953507</v>
          </cell>
          <cell r="AX24">
            <v>98461495.42792806</v>
          </cell>
        </row>
        <row r="25">
          <cell r="V25">
            <v>710524.4120620531</v>
          </cell>
          <cell r="AC25">
            <v>99002865.804172203</v>
          </cell>
          <cell r="AP25">
            <v>713906.90373667248</v>
          </cell>
          <cell r="AX25">
            <v>110331396.50102574</v>
          </cell>
        </row>
        <row r="26">
          <cell r="V26">
            <v>790088.02580006304</v>
          </cell>
          <cell r="AC26">
            <v>110389860.49048376</v>
          </cell>
          <cell r="AP26">
            <v>783941.97090045561</v>
          </cell>
          <cell r="AX26">
            <v>122473333.89186373</v>
          </cell>
        </row>
        <row r="27">
          <cell r="V27">
            <v>889637.60473046615</v>
          </cell>
          <cell r="AC27">
            <v>125656636.36548036</v>
          </cell>
          <cell r="AP27">
            <v>864109.49106108816</v>
          </cell>
          <cell r="AX27">
            <v>136792616.36776751</v>
          </cell>
        </row>
        <row r="28">
          <cell r="V28">
            <v>1003188.1121286729</v>
          </cell>
          <cell r="AC28">
            <v>143329242.85770738</v>
          </cell>
          <cell r="AP28">
            <v>956937.45123043074</v>
          </cell>
          <cell r="AX28">
            <v>153590426.6802361</v>
          </cell>
        </row>
        <row r="29">
          <cell r="V29">
            <v>1123362.0791846015</v>
          </cell>
          <cell r="AC29">
            <v>162302669.10097986</v>
          </cell>
          <cell r="AP29">
            <v>1051476.506203626</v>
          </cell>
          <cell r="AX29">
            <v>171052446.05711669</v>
          </cell>
        </row>
        <row r="30">
          <cell r="V30">
            <v>1253706.353363446</v>
          </cell>
          <cell r="AC30">
            <v>183119082.3474009</v>
          </cell>
          <cell r="AP30">
            <v>1156551.9985291169</v>
          </cell>
          <cell r="AX30">
            <v>190638938.64964494</v>
          </cell>
        </row>
        <row r="31">
          <cell r="V31">
            <v>1392819.1653128306</v>
          </cell>
          <cell r="AC31">
            <v>205611578.52347565</v>
          </cell>
          <cell r="AP31">
            <v>1265752.6536490235</v>
          </cell>
          <cell r="AX31">
            <v>211341393.12338993</v>
          </cell>
        </row>
        <row r="32">
          <cell r="V32">
            <v>1542497.835826172</v>
          </cell>
          <cell r="AC32">
            <v>230080682.72255284</v>
          </cell>
          <cell r="AP32">
            <v>1384637.84524005</v>
          </cell>
          <cell r="AX32">
            <v>234119934.40146869</v>
          </cell>
        </row>
        <row r="33">
          <cell r="V33">
            <v>1702287.5087165562</v>
          </cell>
          <cell r="AC33">
            <v>256497568.14251539</v>
          </cell>
          <cell r="AP33">
            <v>1510243.2202182142</v>
          </cell>
          <cell r="AX33">
            <v>258521815.86337632</v>
          </cell>
        </row>
        <row r="34">
          <cell r="V34">
            <v>1983497.1736816564</v>
          </cell>
          <cell r="AC34">
            <v>293108237.9488548</v>
          </cell>
          <cell r="AP34">
            <v>1695019.1660084848</v>
          </cell>
          <cell r="AX34">
            <v>291623343.10111439</v>
          </cell>
        </row>
        <row r="35">
          <cell r="V35">
            <v>2321853.3359736376</v>
          </cell>
          <cell r="AC35">
            <v>334980913.40163058</v>
          </cell>
          <cell r="AP35">
            <v>1904030.5296380047</v>
          </cell>
          <cell r="AX35">
            <v>328950465.79802597</v>
          </cell>
        </row>
        <row r="36">
          <cell r="V36">
            <v>2703634.1095738262</v>
          </cell>
          <cell r="AC36">
            <v>381563352.809057</v>
          </cell>
          <cell r="AP36">
            <v>2133226.743288863</v>
          </cell>
          <cell r="AX36">
            <v>370351927.91353691</v>
          </cell>
        </row>
        <row r="37">
          <cell r="V37">
            <v>3184221.0801991923</v>
          </cell>
          <cell r="AC37">
            <v>441415016.4229055</v>
          </cell>
          <cell r="AP37">
            <v>2393211.9877898772</v>
          </cell>
          <cell r="AX37">
            <v>418735509.71450478</v>
          </cell>
        </row>
        <row r="38">
          <cell r="V38">
            <v>3729395.386149772</v>
          </cell>
          <cell r="AC38">
            <v>508305420.37722504</v>
          </cell>
          <cell r="AP38">
            <v>2681093.6510550212</v>
          </cell>
          <cell r="AX38">
            <v>472687214.23579001</v>
          </cell>
        </row>
        <row r="39">
          <cell r="V39">
            <v>4341878.288482395</v>
          </cell>
          <cell r="AC39">
            <v>582359379.54742873</v>
          </cell>
          <cell r="AP39">
            <v>2991521.992617094</v>
          </cell>
          <cell r="AX39">
            <v>531349560.93649924</v>
          </cell>
        </row>
        <row r="40">
          <cell r="V40">
            <v>4924539.1433143234</v>
          </cell>
          <cell r="AC40">
            <v>659362784.63922381</v>
          </cell>
          <cell r="AP40">
            <v>3295107.5987268849</v>
          </cell>
          <cell r="AX40">
            <v>591891174.15998161</v>
          </cell>
        </row>
        <row r="41">
          <cell r="V41">
            <v>5488038.6036531329</v>
          </cell>
          <cell r="AC41">
            <v>739676112.39645886</v>
          </cell>
          <cell r="AP41">
            <v>3584221.4305588999</v>
          </cell>
          <cell r="AX41">
            <v>653257774.76946127</v>
          </cell>
        </row>
        <row r="42">
          <cell r="V42">
            <v>6100702.4470827039</v>
          </cell>
          <cell r="AC42">
            <v>826653500.31654572</v>
          </cell>
          <cell r="AP42">
            <v>3885023.7982626185</v>
          </cell>
          <cell r="AX42">
            <v>718812704.26970792</v>
          </cell>
        </row>
        <row r="43">
          <cell r="V43">
            <v>6760839.6900554523</v>
          </cell>
          <cell r="AC43">
            <v>920962002.57775116</v>
          </cell>
          <cell r="AP43">
            <v>4210003.9519839333</v>
          </cell>
          <cell r="AX43">
            <v>790249482.90771818</v>
          </cell>
        </row>
        <row r="44">
          <cell r="V44">
            <v>7469202.2921555862</v>
          </cell>
          <cell r="AC44">
            <v>1022827659.1991123</v>
          </cell>
          <cell r="AP44">
            <v>4554598.5397896031</v>
          </cell>
          <cell r="AX44">
            <v>866899461.7611165</v>
          </cell>
        </row>
        <row r="45">
          <cell r="V45">
            <v>8234696.8523317259</v>
          </cell>
          <cell r="AC45">
            <v>1133721187.5077453</v>
          </cell>
          <cell r="AP45">
            <v>4927217.1113912109</v>
          </cell>
          <cell r="AX45">
            <v>950545107.49113107</v>
          </cell>
        </row>
        <row r="46">
          <cell r="V46">
            <v>9078535.5829401445</v>
          </cell>
          <cell r="AC46">
            <v>1257527330.5300939</v>
          </cell>
          <cell r="AP46">
            <v>5328232.5264082681</v>
          </cell>
          <cell r="AX46">
            <v>1041618476.5281919</v>
          </cell>
        </row>
        <row r="47">
          <cell r="V47">
            <v>9833987.3870080318</v>
          </cell>
          <cell r="AC47">
            <v>1368120625.9791193</v>
          </cell>
          <cell r="AP47">
            <v>5762577.4401988015</v>
          </cell>
          <cell r="AX47">
            <v>1133953253.036747</v>
          </cell>
        </row>
        <row r="48">
          <cell r="V48">
            <v>10629014.868238579</v>
          </cell>
          <cell r="AC48">
            <v>1485067897.8615284</v>
          </cell>
          <cell r="AP48">
            <v>6219291.0956829805</v>
          </cell>
          <cell r="AX48">
            <v>1231667512.2980688</v>
          </cell>
        </row>
        <row r="49">
          <cell r="V49">
            <v>11491768.530173128</v>
          </cell>
          <cell r="AC49">
            <v>1612288872.0515752</v>
          </cell>
          <cell r="AP49">
            <v>6715774.1015117429</v>
          </cell>
          <cell r="AX49">
            <v>1338403169.1864228</v>
          </cell>
        </row>
        <row r="50">
          <cell r="V50">
            <v>12392166.644598268</v>
          </cell>
          <cell r="AC50">
            <v>1745598467.7201786</v>
          </cell>
          <cell r="AP50">
            <v>7218015.952242285</v>
          </cell>
          <cell r="AX50">
            <v>1447803413.0340416</v>
          </cell>
        </row>
        <row r="51">
          <cell r="V51">
            <v>13333208.604925554</v>
          </cell>
          <cell r="AC51">
            <v>1886135805.2587223</v>
          </cell>
          <cell r="AP51">
            <v>7754342.2613851866</v>
          </cell>
          <cell r="AX51">
            <v>1564505455.0353341</v>
          </cell>
        </row>
        <row r="52">
          <cell r="V52">
            <v>14320368.61815754</v>
          </cell>
          <cell r="AC52">
            <v>2034253398.8585041</v>
          </cell>
          <cell r="AP52">
            <v>8313856.6268079625</v>
          </cell>
          <cell r="AX52">
            <v>1687010774.8324852</v>
          </cell>
        </row>
        <row r="53">
          <cell r="V53">
            <v>15358523.955374381</v>
          </cell>
          <cell r="AC53">
            <v>2191072271.6621647</v>
          </cell>
          <cell r="AP53">
            <v>8906950.9027923178</v>
          </cell>
          <cell r="AX53">
            <v>1817791254.5658979</v>
          </cell>
        </row>
        <row r="54">
          <cell r="V54">
            <v>16450140.317669813</v>
          </cell>
          <cell r="AC54">
            <v>2357330200.0561185</v>
          </cell>
          <cell r="AP54">
            <v>9537562.3635081109</v>
          </cell>
          <cell r="AX54">
            <v>1958000940.2683187</v>
          </cell>
        </row>
        <row r="55">
          <cell r="V55">
            <v>17621178.059636872</v>
          </cell>
          <cell r="AC55">
            <v>2534107354.6817331</v>
          </cell>
          <cell r="AP55">
            <v>10207527.274921836</v>
          </cell>
          <cell r="AX55">
            <v>2105064177.5935898</v>
          </cell>
        </row>
        <row r="56">
          <cell r="V56">
            <v>18876919.431242049</v>
          </cell>
          <cell r="AC56">
            <v>2722766659.0222688</v>
          </cell>
          <cell r="AP56">
            <v>10940002.635600565</v>
          </cell>
          <cell r="AX56">
            <v>2262635347.7205353</v>
          </cell>
        </row>
        <row r="57">
          <cell r="V57">
            <v>20611770.18907604</v>
          </cell>
          <cell r="AC57">
            <v>3036566219.6384563</v>
          </cell>
          <cell r="AP57">
            <v>11795256.699086465</v>
          </cell>
          <cell r="AX57">
            <v>2493489034.888485</v>
          </cell>
        </row>
        <row r="58">
          <cell r="V58">
            <v>22456709.135129265</v>
          </cell>
          <cell r="AC58">
            <v>3376650584.6760798</v>
          </cell>
          <cell r="AP58">
            <v>12716608.828340674</v>
          </cell>
          <cell r="AX58">
            <v>2745545351.4303408</v>
          </cell>
        </row>
        <row r="59">
          <cell r="V59">
            <v>24336243.140010104</v>
          </cell>
          <cell r="AC59">
            <v>3735330120.7082314</v>
          </cell>
          <cell r="AP59">
            <v>13703638.734756302</v>
          </cell>
          <cell r="AX59">
            <v>3017503172.232655</v>
          </cell>
        </row>
        <row r="60">
          <cell r="V60">
            <v>26235817.008305732</v>
          </cell>
          <cell r="AC60">
            <v>4109857936.9272456</v>
          </cell>
          <cell r="AP60">
            <v>14754995.457586413</v>
          </cell>
          <cell r="AX60">
            <v>3310446791.192174</v>
          </cell>
        </row>
        <row r="61">
          <cell r="V61">
            <v>28270083.500955492</v>
          </cell>
          <cell r="AC61">
            <v>4513260328.6542282</v>
          </cell>
          <cell r="AP61">
            <v>15870298.689728834</v>
          </cell>
          <cell r="AX61">
            <v>3628111886.983882</v>
          </cell>
        </row>
        <row r="62">
          <cell r="V62">
            <v>30396080.282987457</v>
          </cell>
          <cell r="AC62">
            <v>4944398805.4885454</v>
          </cell>
          <cell r="AP62">
            <v>17049075.875035774</v>
          </cell>
          <cell r="AX62">
            <v>3969493687.7438173</v>
          </cell>
        </row>
        <row r="63">
          <cell r="V63">
            <v>39221057.484018199</v>
          </cell>
          <cell r="AC63">
            <v>6500750139.1423006</v>
          </cell>
          <cell r="AP63">
            <v>22240624.292648327</v>
          </cell>
          <cell r="AX63">
            <v>5273733610.3859329</v>
          </cell>
        </row>
        <row r="64">
          <cell r="V64">
            <v>44046329.290378936</v>
          </cell>
          <cell r="AC64">
            <v>7540624397.3518772</v>
          </cell>
          <cell r="AP64">
            <v>25480727.342935171</v>
          </cell>
          <cell r="AX64">
            <v>6148095152.032505</v>
          </cell>
        </row>
        <row r="65">
          <cell r="V65">
            <v>48183163.255208075</v>
          </cell>
          <cell r="AC65">
            <v>8414901999.948616</v>
          </cell>
          <cell r="AP65">
            <v>28111311.223716307</v>
          </cell>
          <cell r="AX65">
            <v>6903214286.9179821</v>
          </cell>
        </row>
        <row r="66">
          <cell r="V66">
            <v>54286234.861955762</v>
          </cell>
          <cell r="AC66">
            <v>9667027047.1298637</v>
          </cell>
          <cell r="AP66">
            <v>36280323.282471232</v>
          </cell>
          <cell r="AX66">
            <v>8672889647.1223488</v>
          </cell>
        </row>
        <row r="67">
          <cell r="V67">
            <v>60658066.410867527</v>
          </cell>
          <cell r="AC67">
            <v>10929882101.866684</v>
          </cell>
          <cell r="AP67">
            <v>43626969.484055832</v>
          </cell>
          <cell r="AX67">
            <v>9951636501.6005096</v>
          </cell>
        </row>
        <row r="68">
          <cell r="V68">
            <v>67579322.979028851</v>
          </cell>
          <cell r="AC68">
            <v>12316821455.193562</v>
          </cell>
          <cell r="AP68">
            <v>52158988.511654869</v>
          </cell>
          <cell r="AX68">
            <v>11391926867.875488</v>
          </cell>
        </row>
        <row r="69">
          <cell r="V69">
            <v>75067781.795593813</v>
          </cell>
          <cell r="AC69">
            <v>13833575349.691669</v>
          </cell>
          <cell r="AP69">
            <v>61947961.96458143</v>
          </cell>
          <cell r="AX69">
            <v>12996981103.528809</v>
          </cell>
        </row>
        <row r="70">
          <cell r="V70">
            <v>83102187.505446851</v>
          </cell>
          <cell r="AC70">
            <v>15478762222.002583</v>
          </cell>
          <cell r="AP70">
            <v>73045454.776403382</v>
          </cell>
          <cell r="AX70">
            <v>14763748674.90593</v>
          </cell>
        </row>
        <row r="71">
          <cell r="V71">
            <v>91244819.865311354</v>
          </cell>
          <cell r="AC71">
            <v>17239013058.023697</v>
          </cell>
          <cell r="AP71">
            <v>85611304.073696837</v>
          </cell>
          <cell r="AX71">
            <v>16700288901.685383</v>
          </cell>
        </row>
        <row r="72">
          <cell r="V72">
            <v>99815453.346427754</v>
          </cell>
          <cell r="AC72">
            <v>19181556612.836876</v>
          </cell>
          <cell r="AP72">
            <v>100200702.71046752</v>
          </cell>
          <cell r="AX72">
            <v>18904618084.98473</v>
          </cell>
        </row>
        <row r="73">
          <cell r="V73">
            <v>109236845.95715532</v>
          </cell>
          <cell r="AC73">
            <v>21346097916.94886</v>
          </cell>
          <cell r="AP73">
            <v>117051098.82320479</v>
          </cell>
          <cell r="AX73">
            <v>21403567649.754875</v>
          </cell>
        </row>
        <row r="74">
          <cell r="V74">
            <v>119519922.5875707</v>
          </cell>
          <cell r="AC74">
            <v>23743762734.102673</v>
          </cell>
          <cell r="AP74">
            <v>136598324.64418185</v>
          </cell>
          <cell r="AX74">
            <v>24217216074.649273</v>
          </cell>
        </row>
        <row r="75">
          <cell r="V75">
            <v>130816057.53576124</v>
          </cell>
          <cell r="AC75">
            <v>26366199064.42337</v>
          </cell>
          <cell r="AP75">
            <v>158659054.21588174</v>
          </cell>
          <cell r="AX75">
            <v>27341264135.784657</v>
          </cell>
        </row>
        <row r="76">
          <cell r="V76">
            <v>143311160.18948591</v>
          </cell>
          <cell r="AC76">
            <v>29248173215.562531</v>
          </cell>
          <cell r="AP76">
            <v>183822396.74123281</v>
          </cell>
          <cell r="AX76">
            <v>30858684803.552589</v>
          </cell>
        </row>
        <row r="77">
          <cell r="V77">
            <v>156636941.04051617</v>
          </cell>
          <cell r="AC77">
            <v>32270297413.490204</v>
          </cell>
          <cell r="AP77">
            <v>210421670.89026037</v>
          </cell>
          <cell r="AX77">
            <v>34551873313.170982</v>
          </cell>
        </row>
        <row r="78">
          <cell r="V78">
            <v>171644557.56019235</v>
          </cell>
          <cell r="AC78">
            <v>35618121254.010445</v>
          </cell>
          <cell r="AP78">
            <v>240985128.65297472</v>
          </cell>
          <cell r="AX78">
            <v>38724550862.289612</v>
          </cell>
        </row>
        <row r="79">
          <cell r="V79">
            <v>190102763.77486768</v>
          </cell>
          <cell r="AC79">
            <v>39466564579.956314</v>
          </cell>
          <cell r="AP79">
            <v>276905444.47845048</v>
          </cell>
          <cell r="AX79">
            <v>43527236761.643127</v>
          </cell>
        </row>
        <row r="80">
          <cell r="V80">
            <v>210775665.40524548</v>
          </cell>
          <cell r="AC80">
            <v>43893733101.854897</v>
          </cell>
          <cell r="AP80">
            <v>319043228.16648179</v>
          </cell>
          <cell r="AX80">
            <v>49186440273.838684</v>
          </cell>
        </row>
        <row r="81">
          <cell r="V81">
            <v>233134385.9038862</v>
          </cell>
          <cell r="AC81">
            <v>48734123590.867676</v>
          </cell>
          <cell r="AP81">
            <v>366044234.41333228</v>
          </cell>
          <cell r="AX81">
            <v>55487338928.37265</v>
          </cell>
        </row>
        <row r="82">
          <cell r="V82">
            <v>257971107.3282885</v>
          </cell>
          <cell r="AC82">
            <v>54460890360.968712</v>
          </cell>
          <cell r="AP82">
            <v>419496684.20765233</v>
          </cell>
          <cell r="AX82">
            <v>63053327385.611023</v>
          </cell>
        </row>
        <row r="83">
          <cell r="V83">
            <v>284500382.67716134</v>
          </cell>
          <cell r="AC83">
            <v>60639621637.712524</v>
          </cell>
          <cell r="AP83">
            <v>478062154.82591563</v>
          </cell>
          <cell r="AX83">
            <v>71288907948.899857</v>
          </cell>
        </row>
        <row r="84">
          <cell r="V84">
            <v>312432933.52287841</v>
          </cell>
          <cell r="AC84">
            <v>67087402159.896767</v>
          </cell>
          <cell r="AP84">
            <v>540637092.97484922</v>
          </cell>
          <cell r="AX84">
            <v>79880971905.875946</v>
          </cell>
        </row>
        <row r="85">
          <cell r="V85">
            <v>342615850.45172417</v>
          </cell>
          <cell r="AC85">
            <v>74096577417.922256</v>
          </cell>
          <cell r="AP85">
            <v>610832831.46285391</v>
          </cell>
          <cell r="AX85">
            <v>89368530016.357651</v>
          </cell>
        </row>
        <row r="86">
          <cell r="V86">
            <v>375416926.37657142</v>
          </cell>
          <cell r="AC86">
            <v>81755535416.958038</v>
          </cell>
          <cell r="AP86">
            <v>691644157.73444605</v>
          </cell>
          <cell r="AX86">
            <v>99898867984.325928</v>
          </cell>
        </row>
        <row r="87">
          <cell r="V87">
            <v>414288049.26396269</v>
          </cell>
          <cell r="AC87">
            <v>90690129789.73262</v>
          </cell>
          <cell r="AP87">
            <v>802982060.62258613</v>
          </cell>
          <cell r="AX87">
            <v>112775222811.22351</v>
          </cell>
        </row>
        <row r="88">
          <cell r="V88">
            <v>455869313.53151059</v>
          </cell>
          <cell r="AC88">
            <v>100216845221.01181</v>
          </cell>
          <cell r="AP88">
            <v>925030586.53668749</v>
          </cell>
          <cell r="AX88">
            <v>126746074583.83415</v>
          </cell>
        </row>
        <row r="89">
          <cell r="V89">
            <v>495502892.83906019</v>
          </cell>
          <cell r="AC89">
            <v>109300865238.41557</v>
          </cell>
          <cell r="AP89">
            <v>1039783118.3927954</v>
          </cell>
          <cell r="AX89">
            <v>140478835060.28995</v>
          </cell>
        </row>
        <row r="90">
          <cell r="V90">
            <v>537011064.48499346</v>
          </cell>
          <cell r="AC90">
            <v>119049704179.74026</v>
          </cell>
          <cell r="AP90">
            <v>1163945192.9492161</v>
          </cell>
          <cell r="AX90">
            <v>155425326871.19971</v>
          </cell>
        </row>
        <row r="91">
          <cell r="V91">
            <v>579824627.39037228</v>
          </cell>
          <cell r="AC91">
            <v>129307278174.75114</v>
          </cell>
          <cell r="AP91">
            <v>1297444572.7829473</v>
          </cell>
          <cell r="AX91">
            <v>171565512236.54388</v>
          </cell>
        </row>
        <row r="92">
          <cell r="V92">
            <v>618295884.58924592</v>
          </cell>
          <cell r="AC92">
            <v>138724475315.80319</v>
          </cell>
          <cell r="AP92">
            <v>1435414879.7120574</v>
          </cell>
          <cell r="AX92">
            <v>186916537150.94754</v>
          </cell>
        </row>
        <row r="93">
          <cell r="V93">
            <v>658503538.01113653</v>
          </cell>
          <cell r="AC93">
            <v>148885016003.97742</v>
          </cell>
          <cell r="AP93">
            <v>1587717035.7463055</v>
          </cell>
          <cell r="AX93">
            <v>203858516657.01196</v>
          </cell>
        </row>
        <row r="94">
          <cell r="V94">
            <v>698438442.24477887</v>
          </cell>
          <cell r="AC94">
            <v>158897837854.52655</v>
          </cell>
          <cell r="AP94">
            <v>1749966847.0511115</v>
          </cell>
          <cell r="AX94">
            <v>221330207120.96945</v>
          </cell>
        </row>
        <row r="95">
          <cell r="V95">
            <v>739597147.02348471</v>
          </cell>
          <cell r="AC95">
            <v>168868456953.71509</v>
          </cell>
          <cell r="AP95">
            <v>1925037366.9727094</v>
          </cell>
          <cell r="AX95">
            <v>239487626470.68137</v>
          </cell>
        </row>
        <row r="96">
          <cell r="V96">
            <v>783252416.69505787</v>
          </cell>
          <cell r="AC96">
            <v>179466455955.37732</v>
          </cell>
          <cell r="AP96">
            <v>2118146554.0635812</v>
          </cell>
          <cell r="AX96">
            <v>259314613305.74915</v>
          </cell>
        </row>
        <row r="97">
          <cell r="V97">
            <v>825596531.30546474</v>
          </cell>
          <cell r="AC97">
            <v>189705657227.58441</v>
          </cell>
          <cell r="AP97">
            <v>2327924827.0837746</v>
          </cell>
          <cell r="AX97">
            <v>280959789556.9342</v>
          </cell>
        </row>
        <row r="98">
          <cell r="V98">
            <v>870407946.82839549</v>
          </cell>
          <cell r="AC98">
            <v>200497331274.45062</v>
          </cell>
          <cell r="AP98">
            <v>2556801696.0552769</v>
          </cell>
          <cell r="AX98">
            <v>303780623800.20251</v>
          </cell>
        </row>
        <row r="99">
          <cell r="V99">
            <v>917564509.9840765</v>
          </cell>
          <cell r="AC99">
            <v>211574167241.41229</v>
          </cell>
          <cell r="AP99">
            <v>2807101033.3662372</v>
          </cell>
          <cell r="AX99">
            <v>327780685998.3006</v>
          </cell>
        </row>
        <row r="100">
          <cell r="V100">
            <v>965479078.90083289</v>
          </cell>
          <cell r="AC100">
            <v>223073529260.69067</v>
          </cell>
          <cell r="AP100">
            <v>3077744620.6087756</v>
          </cell>
          <cell r="AX100">
            <v>353306461048.40088</v>
          </cell>
        </row>
        <row r="101">
          <cell r="V101">
            <v>1008366876.0063696</v>
          </cell>
          <cell r="AC101">
            <v>233954348681.74051</v>
          </cell>
          <cell r="AP101">
            <v>3327721922.9812837</v>
          </cell>
          <cell r="AX101">
            <v>375720049453.43774</v>
          </cell>
        </row>
        <row r="102">
          <cell r="V102">
            <v>1050781401.0541401</v>
          </cell>
          <cell r="AC102">
            <v>245132000492.84781</v>
          </cell>
          <cell r="AP102">
            <v>3592706113.3032808</v>
          </cell>
          <cell r="AX102">
            <v>399129171679.41742</v>
          </cell>
        </row>
        <row r="103">
          <cell r="V103">
            <v>1095779933.5976262</v>
          </cell>
          <cell r="AC103">
            <v>257011950462.58282</v>
          </cell>
          <cell r="AP103">
            <v>3882961514.2011433</v>
          </cell>
          <cell r="AX103">
            <v>424411611937.42181</v>
          </cell>
        </row>
        <row r="104">
          <cell r="V104">
            <v>1142329616.0763106</v>
          </cell>
          <cell r="AC104">
            <v>269414238906.99191</v>
          </cell>
          <cell r="AP104">
            <v>4194330927.9697766</v>
          </cell>
          <cell r="AX104">
            <v>451129632004.68066</v>
          </cell>
        </row>
        <row r="105">
          <cell r="V105">
            <v>1189811659.705797</v>
          </cell>
          <cell r="AC105">
            <v>282129149453.32013</v>
          </cell>
          <cell r="AP105">
            <v>4519227144.3045053</v>
          </cell>
          <cell r="AX105">
            <v>478523345884.13989</v>
          </cell>
        </row>
        <row r="106">
          <cell r="V106">
            <v>1238913806.5273888</v>
          </cell>
          <cell r="AC106">
            <v>295330248005.46118</v>
          </cell>
          <cell r="AP106">
            <v>4864755471.1937943</v>
          </cell>
          <cell r="AX106">
            <v>507249464096.19263</v>
          </cell>
        </row>
        <row r="107">
          <cell r="V107">
            <v>1272892690.0108342</v>
          </cell>
          <cell r="AC107">
            <v>305452556440.23035</v>
          </cell>
          <cell r="AP107">
            <v>5109725859.9538193</v>
          </cell>
          <cell r="AX107">
            <v>531608840509.50952</v>
          </cell>
        </row>
        <row r="108">
          <cell r="V108">
            <v>1307410581.0642304</v>
          </cell>
          <cell r="AC108">
            <v>315870716547.68292</v>
          </cell>
          <cell r="AP108">
            <v>5366387389.1960182</v>
          </cell>
          <cell r="AX108">
            <v>557011132287.35217</v>
          </cell>
        </row>
        <row r="109">
          <cell r="V109">
            <v>1343373470.3945022</v>
          </cell>
          <cell r="AC109">
            <v>327009629150.29437</v>
          </cell>
          <cell r="AP109">
            <v>5640978706.0362635</v>
          </cell>
          <cell r="AX109">
            <v>584453129833.91772</v>
          </cell>
        </row>
        <row r="110">
          <cell r="V110">
            <v>1380466431.3242722</v>
          </cell>
          <cell r="AC110">
            <v>339272271386.80151</v>
          </cell>
          <cell r="AP110">
            <v>5931112114.4059219</v>
          </cell>
          <cell r="AX110">
            <v>614500057781.45459</v>
          </cell>
        </row>
        <row r="111">
          <cell r="V111">
            <v>1418824064.4440641</v>
          </cell>
          <cell r="AC111">
            <v>352122921926.98041</v>
          </cell>
          <cell r="AP111">
            <v>6238868434.5620947</v>
          </cell>
          <cell r="AX111">
            <v>646348802970.16528</v>
          </cell>
        </row>
        <row r="112">
          <cell r="V112">
            <v>1450888990.19874</v>
          </cell>
          <cell r="AC112">
            <v>364359028870.07922</v>
          </cell>
          <cell r="AP112">
            <v>6521038760.9903107</v>
          </cell>
          <cell r="AX112">
            <v>677257835889.12524</v>
          </cell>
        </row>
        <row r="113">
          <cell r="V113">
            <v>1482703402.6228991</v>
          </cell>
          <cell r="AC113">
            <v>376773938885.24768</v>
          </cell>
          <cell r="AP113">
            <v>6802750155.7880335</v>
          </cell>
          <cell r="AX113">
            <v>709204774398.91821</v>
          </cell>
        </row>
        <row r="114">
          <cell r="V114">
            <v>1514890167.5172734</v>
          </cell>
          <cell r="AC114">
            <v>389460078051.44263</v>
          </cell>
          <cell r="AP114">
            <v>7089506379.5806522</v>
          </cell>
          <cell r="AX114">
            <v>742156840890.13074</v>
          </cell>
        </row>
        <row r="115">
          <cell r="V115">
            <v>1548107394.4773843</v>
          </cell>
          <cell r="AC115">
            <v>402585317573.48383</v>
          </cell>
          <cell r="AP115">
            <v>7391085967.0971346</v>
          </cell>
          <cell r="AX115">
            <v>776866118226.96741</v>
          </cell>
        </row>
        <row r="116">
          <cell r="V116">
            <v>1587186202.4407506</v>
          </cell>
          <cell r="AC116">
            <v>417433658168.92096</v>
          </cell>
          <cell r="AP116">
            <v>7728764505.5419168</v>
          </cell>
          <cell r="AX116">
            <v>815603058745.61194</v>
          </cell>
        </row>
        <row r="117">
          <cell r="V117">
            <v>1634523417.4955292</v>
          </cell>
          <cell r="AC117">
            <v>433368503142.90277</v>
          </cell>
          <cell r="AP117">
            <v>8086500927.1269588</v>
          </cell>
          <cell r="AX117">
            <v>857137990587.49878</v>
          </cell>
        </row>
        <row r="118">
          <cell r="V118">
            <v>1682241306.5303359</v>
          </cell>
          <cell r="AC118">
            <v>449601219328.84119</v>
          </cell>
          <cell r="AP118">
            <v>8448341598.8794508</v>
          </cell>
          <cell r="AX118">
            <v>899424390006.63379</v>
          </cell>
        </row>
        <row r="119">
          <cell r="V119">
            <v>1731270292.8639545</v>
          </cell>
          <cell r="AC119">
            <v>466379741964.92419</v>
          </cell>
          <cell r="AP119">
            <v>8825849070.6581421</v>
          </cell>
          <cell r="AX119">
            <v>943700937527.21387</v>
          </cell>
        </row>
        <row r="120">
          <cell r="V120">
            <v>1781443469.8816037</v>
          </cell>
          <cell r="AC120">
            <v>483784800150.65564</v>
          </cell>
          <cell r="AP120">
            <v>9217114508.0083828</v>
          </cell>
          <cell r="AX120">
            <v>990022223686.47498</v>
          </cell>
        </row>
        <row r="121">
          <cell r="V121">
            <v>1833855823.5185835</v>
          </cell>
          <cell r="AC121">
            <v>501897218123.26019</v>
          </cell>
          <cell r="AP121">
            <v>9624139758.0535011</v>
          </cell>
          <cell r="AX121">
            <v>1038564507533.8043</v>
          </cell>
        </row>
        <row r="122">
          <cell r="V122">
            <v>1893195531.9526744</v>
          </cell>
          <cell r="AC122">
            <v>520780149001.0127</v>
          </cell>
          <cell r="AP122">
            <v>10055027330.592232</v>
          </cell>
          <cell r="AX122">
            <v>1089797390590.9016</v>
          </cell>
        </row>
        <row r="123">
          <cell r="V123">
            <v>1953088637.9967704</v>
          </cell>
          <cell r="AC123">
            <v>539759609434.30139</v>
          </cell>
          <cell r="AP123">
            <v>10492461532.970047</v>
          </cell>
          <cell r="AX123">
            <v>1142091823198.7893</v>
          </cell>
        </row>
        <row r="124">
          <cell r="V124">
            <v>2013634632.0854723</v>
          </cell>
          <cell r="AC124">
            <v>559092254592.48401</v>
          </cell>
          <cell r="AP124">
            <v>10942782169.06793</v>
          </cell>
          <cell r="AX124">
            <v>1196197010868.2861</v>
          </cell>
        </row>
        <row r="125">
          <cell r="V125">
            <v>2075061187.8281281</v>
          </cell>
          <cell r="AC125">
            <v>578823351616.33728</v>
          </cell>
          <cell r="AP125">
            <v>11401057779.705015</v>
          </cell>
          <cell r="AX125">
            <v>1251581642175.6353</v>
          </cell>
        </row>
        <row r="126">
          <cell r="V126">
            <v>2138302920.9613047</v>
          </cell>
          <cell r="AC126">
            <v>599217912409.85498</v>
          </cell>
          <cell r="AP126">
            <v>11880091718.469656</v>
          </cell>
          <cell r="AX126">
            <v>1309666754834.0461</v>
          </cell>
        </row>
        <row r="127">
          <cell r="V127">
            <v>2202933974.6565409</v>
          </cell>
          <cell r="AC127">
            <v>620158514152.82031</v>
          </cell>
          <cell r="AP127">
            <v>12373520179.679565</v>
          </cell>
          <cell r="AX127">
            <v>1369764602013.563</v>
          </cell>
        </row>
        <row r="128">
          <cell r="V128">
            <v>2268679230.120563</v>
          </cell>
          <cell r="AC128">
            <v>641559649440.70996</v>
          </cell>
          <cell r="AP128">
            <v>12888040427.26709</v>
          </cell>
          <cell r="AX128">
            <v>1432403827325.3123</v>
          </cell>
        </row>
        <row r="129">
          <cell r="V129">
            <v>2339592368.4461555</v>
          </cell>
          <cell r="AC129">
            <v>664264140879.78186</v>
          </cell>
          <cell r="AP129">
            <v>13442280627.800652</v>
          </cell>
          <cell r="AX129">
            <v>1499420371419.8062</v>
          </cell>
        </row>
        <row r="130">
          <cell r="V130">
            <v>2412720193.4053545</v>
          </cell>
          <cell r="AC130">
            <v>687552831823.31128</v>
          </cell>
          <cell r="AP130">
            <v>14020715662.559109</v>
          </cell>
          <cell r="AX130">
            <v>1569281009577.3247</v>
          </cell>
        </row>
        <row r="131">
          <cell r="V131">
            <v>2486198293.4445505</v>
          </cell>
          <cell r="AC131">
            <v>713031965445.23218</v>
          </cell>
          <cell r="AP131">
            <v>14599138324.650188</v>
          </cell>
          <cell r="AX131">
            <v>1644042272363.0347</v>
          </cell>
        </row>
        <row r="132">
          <cell r="V132">
            <v>2560980245.2170248</v>
          </cell>
          <cell r="AC132">
            <v>739598733261.51392</v>
          </cell>
          <cell r="AP132">
            <v>15202240112.015118</v>
          </cell>
          <cell r="AX132">
            <v>1722972819576.6387</v>
          </cell>
        </row>
        <row r="133">
          <cell r="V133">
            <v>2637493386.6094389</v>
          </cell>
          <cell r="AC133">
            <v>766969683803.19495</v>
          </cell>
          <cell r="AP133">
            <v>15826181771.57321</v>
          </cell>
          <cell r="AX133">
            <v>1805136368199.0264</v>
          </cell>
        </row>
        <row r="134">
          <cell r="V134">
            <v>2720123941.46347</v>
          </cell>
          <cell r="AC134">
            <v>796435629417.42322</v>
          </cell>
          <cell r="AP134">
            <v>16503432286.826975</v>
          </cell>
          <cell r="AX134">
            <v>1894303307068.9307</v>
          </cell>
        </row>
        <row r="135">
          <cell r="V135">
            <v>2808865175.6544008</v>
          </cell>
          <cell r="AC135">
            <v>828031079646.43213</v>
          </cell>
          <cell r="AP135">
            <v>17238886690.158577</v>
          </cell>
          <cell r="AX135">
            <v>1991152332640.0613</v>
          </cell>
        </row>
        <row r="136">
          <cell r="V136">
            <v>2899901479.9499073</v>
          </cell>
          <cell r="AC136">
            <v>860660028131.2738</v>
          </cell>
          <cell r="AP136">
            <v>18002660375.01516</v>
          </cell>
          <cell r="AX136">
            <v>2092333679639.688</v>
          </cell>
        </row>
        <row r="137">
          <cell r="V137">
            <v>2987797579.5516491</v>
          </cell>
          <cell r="AC137">
            <v>892712034321.31348</v>
          </cell>
          <cell r="AP137">
            <v>18756408381.321331</v>
          </cell>
          <cell r="AX137">
            <v>2193421888393.3118</v>
          </cell>
        </row>
        <row r="138">
          <cell r="V138">
            <v>3070159928.9335818</v>
          </cell>
          <cell r="AC138">
            <v>923448153649.80798</v>
          </cell>
          <cell r="AP138">
            <v>19483456314.972668</v>
          </cell>
          <cell r="AX138">
            <v>2292430982961.9844</v>
          </cell>
        </row>
        <row r="139">
          <cell r="V139">
            <v>3154108137.476747</v>
          </cell>
          <cell r="AC139">
            <v>954990719028.62231</v>
          </cell>
          <cell r="AP139">
            <v>20234133217.150089</v>
          </cell>
          <cell r="AX139">
            <v>2395258929825.8594</v>
          </cell>
        </row>
        <row r="140">
          <cell r="V140">
            <v>3239441542.2357359</v>
          </cell>
          <cell r="AC140">
            <v>987287875801.49561</v>
          </cell>
          <cell r="AP140">
            <v>21004131733.602394</v>
          </cell>
          <cell r="AX140">
            <v>2501441151095.3701</v>
          </cell>
        </row>
        <row r="141">
          <cell r="V141">
            <v>3327537433.6483617</v>
          </cell>
          <cell r="AC141">
            <v>1020350049633.3533</v>
          </cell>
          <cell r="AP141">
            <v>21815536647.410469</v>
          </cell>
          <cell r="AX141">
            <v>2612586737990.5024</v>
          </cell>
        </row>
        <row r="142">
          <cell r="V142">
            <v>3416934468.8843031</v>
          </cell>
          <cell r="AC142">
            <v>1049637902693.8855</v>
          </cell>
          <cell r="AP142">
            <v>22645790263.867687</v>
          </cell>
          <cell r="AX142">
            <v>2715411527856.001</v>
          </cell>
        </row>
        <row r="143">
          <cell r="V143">
            <v>3507878367.6430421</v>
          </cell>
          <cell r="AC143">
            <v>1079499428295.4578</v>
          </cell>
          <cell r="AP143">
            <v>23502059979.173088</v>
          </cell>
          <cell r="AX143">
            <v>2821603302590.5273</v>
          </cell>
        </row>
        <row r="144">
          <cell r="V144">
            <v>3599036579.4594221</v>
          </cell>
          <cell r="AC144">
            <v>1109526332499.2292</v>
          </cell>
          <cell r="AP144">
            <v>24359528545.803024</v>
          </cell>
          <cell r="AX144">
            <v>2928189956162.1646</v>
          </cell>
        </row>
        <row r="145">
          <cell r="V145">
            <v>3692729992.2178955</v>
          </cell>
          <cell r="AC145">
            <v>1140435698218.6221</v>
          </cell>
          <cell r="AP145">
            <v>25256163634.181911</v>
          </cell>
          <cell r="AX145">
            <v>3039717437215.3813</v>
          </cell>
        </row>
        <row r="146">
          <cell r="V146">
            <v>3790207305.0206189</v>
          </cell>
          <cell r="AC146">
            <v>1172617983549.7466</v>
          </cell>
          <cell r="AP146">
            <v>26213406372.723167</v>
          </cell>
          <cell r="AX146">
            <v>3158338488147.0605</v>
          </cell>
        </row>
        <row r="147">
          <cell r="V147">
            <v>3891160178.7651625</v>
          </cell>
          <cell r="AC147">
            <v>1205983811095.2256</v>
          </cell>
          <cell r="AP147">
            <v>27220888293.520172</v>
          </cell>
          <cell r="AX147">
            <v>3283261806171.2666</v>
          </cell>
        </row>
        <row r="148">
          <cell r="V148">
            <v>3994507393.4680634</v>
          </cell>
          <cell r="AC148">
            <v>1240203162815.5</v>
          </cell>
          <cell r="AP148">
            <v>28265439205.907536</v>
          </cell>
          <cell r="AX148">
            <v>3412916025997.8862</v>
          </cell>
        </row>
        <row r="149">
          <cell r="V149">
            <v>4100302805.2391634</v>
          </cell>
          <cell r="AC149">
            <v>1275296685554.1733</v>
          </cell>
          <cell r="AP149">
            <v>29350378510.847824</v>
          </cell>
          <cell r="AX149">
            <v>3547716067505.9019</v>
          </cell>
        </row>
        <row r="150">
          <cell r="V150">
            <v>4206945885.9593191</v>
          </cell>
          <cell r="AC150">
            <v>1310769681346.1917</v>
          </cell>
          <cell r="AP150">
            <v>30448521392.808174</v>
          </cell>
          <cell r="AX150">
            <v>3684387388787.6924</v>
          </cell>
        </row>
        <row r="151">
          <cell r="V151">
            <v>4314822870.3047295</v>
          </cell>
          <cell r="AC151">
            <v>1346744053668.6421</v>
          </cell>
          <cell r="AP151">
            <v>31571890896.075283</v>
          </cell>
          <cell r="AX151">
            <v>3824390727398.6602</v>
          </cell>
        </row>
        <row r="152">
          <cell r="V152">
            <v>4423889358.3121681</v>
          </cell>
          <cell r="AC152">
            <v>1384168249458.2783</v>
          </cell>
          <cell r="AP152">
            <v>32718801275.965263</v>
          </cell>
          <cell r="AX152">
            <v>3970285253311.8232</v>
          </cell>
        </row>
        <row r="153">
          <cell r="V153">
            <v>4534910993.7084589</v>
          </cell>
          <cell r="AC153">
            <v>1423502382020.1826</v>
          </cell>
          <cell r="AP153">
            <v>33898745821.49334</v>
          </cell>
          <cell r="AX153">
            <v>4123946990163.3638</v>
          </cell>
        </row>
        <row r="154">
          <cell r="V154">
            <v>4646974286.2765522</v>
          </cell>
          <cell r="AC154">
            <v>1463388081432.9417</v>
          </cell>
          <cell r="AP154">
            <v>35119856469.297768</v>
          </cell>
          <cell r="AX154">
            <v>4283339348564.501</v>
          </cell>
        </row>
        <row r="155">
          <cell r="V155">
            <v>4772772230.875186</v>
          </cell>
          <cell r="AC155">
            <v>1507931388659.5146</v>
          </cell>
          <cell r="AP155">
            <v>36489270513.708542</v>
          </cell>
          <cell r="AX155">
            <v>4461873295251.6416</v>
          </cell>
        </row>
        <row r="156">
          <cell r="V156">
            <v>4939979857.2879219</v>
          </cell>
          <cell r="AC156">
            <v>1565882757598.5845</v>
          </cell>
          <cell r="AP156">
            <v>38312514979.247116</v>
          </cell>
          <cell r="AX156">
            <v>4696958896058.0732</v>
          </cell>
        </row>
        <row r="157">
          <cell r="V157">
            <v>5105485911.2312241</v>
          </cell>
          <cell r="AC157">
            <v>1623638056039.6128</v>
          </cell>
          <cell r="AP157">
            <v>40191977515.103561</v>
          </cell>
          <cell r="AX157">
            <v>4940086837159.6279</v>
          </cell>
        </row>
        <row r="158">
          <cell r="V158">
            <v>5153424439.7069263</v>
          </cell>
          <cell r="AC158">
            <v>1642318956294.3711</v>
          </cell>
          <cell r="AP158">
            <v>40840240336.216995</v>
          </cell>
          <cell r="AX158">
            <v>5026829610846.874</v>
          </cell>
        </row>
        <row r="159">
          <cell r="V159">
            <v>5182821576.353054</v>
          </cell>
          <cell r="AC159">
            <v>1654972647696.6348</v>
          </cell>
          <cell r="AP159">
            <v>41219661609.096634</v>
          </cell>
          <cell r="AX159">
            <v>5080128071565.2432</v>
          </cell>
        </row>
        <row r="160">
          <cell r="V160">
            <v>5193969015.8164454</v>
          </cell>
          <cell r="AC160">
            <v>1661823701600.6055</v>
          </cell>
          <cell r="AP160">
            <v>41255965235.520882</v>
          </cell>
          <cell r="AX160">
            <v>5095484708056.6289</v>
          </cell>
        </row>
        <row r="161">
          <cell r="V161">
            <v>5203508366.1650639</v>
          </cell>
          <cell r="AC161">
            <v>1668172488312.8447</v>
          </cell>
          <cell r="AP161">
            <v>41261899817.138618</v>
          </cell>
          <cell r="AX161">
            <v>5107479896169.7354</v>
          </cell>
        </row>
        <row r="162">
          <cell r="V162">
            <v>5213054062.8702202</v>
          </cell>
          <cell r="AC162">
            <v>1674534537374.54</v>
          </cell>
          <cell r="AP162">
            <v>41267837126.177094</v>
          </cell>
          <cell r="AX162">
            <v>5119478886768.6592</v>
          </cell>
        </row>
        <row r="163">
          <cell r="V163">
            <v>5222606104.995841</v>
          </cell>
          <cell r="AC163">
            <v>1680909858342.9414</v>
          </cell>
          <cell r="AP163">
            <v>41273777156.273079</v>
          </cell>
          <cell r="AX163">
            <v>5131481680886.3027</v>
          </cell>
        </row>
        <row r="164">
          <cell r="V164">
            <v>5232164491.6092167</v>
          </cell>
          <cell r="AC164">
            <v>1687298460776.3467</v>
          </cell>
          <cell r="AP164">
            <v>41279719901.083168</v>
          </cell>
          <cell r="AX164">
            <v>5143488279552.4023</v>
          </cell>
        </row>
        <row r="165">
          <cell r="V165">
            <v>5241729221.7809801</v>
          </cell>
          <cell r="AC165">
            <v>1693700354234.0923</v>
          </cell>
          <cell r="AP165">
            <v>41285665354.283569</v>
          </cell>
          <cell r="AX165">
            <v>5155498683793.5342</v>
          </cell>
        </row>
        <row r="166">
          <cell r="V166">
            <v>5251287262.3329983</v>
          </cell>
          <cell r="AC166">
            <v>1700114925521.6865</v>
          </cell>
          <cell r="AP166">
            <v>41291609888.137901</v>
          </cell>
          <cell r="AX166">
            <v>5167512025443.127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G363"/>
  <sheetViews>
    <sheetView topLeftCell="A64" workbookViewId="0">
      <selection activeCell="N103" sqref="N103:S103"/>
    </sheetView>
  </sheetViews>
  <sheetFormatPr defaultColWidth="6.625" defaultRowHeight="11.25"/>
  <cols>
    <col min="1" max="12" width="6.625" style="4"/>
    <col min="13" max="13" width="6.625" style="11"/>
    <col min="14" max="35" width="6.625" style="4"/>
    <col min="36" max="36" width="6.625" style="11"/>
    <col min="37" max="43" width="6.625" style="4"/>
    <col min="44" max="44" width="6.625" style="5"/>
    <col min="45" max="50" width="6.625" style="4"/>
    <col min="51" max="51" width="6.625" style="5"/>
    <col min="52" max="58" width="6.625" style="4"/>
    <col min="59" max="59" width="6.625" style="11"/>
    <col min="60" max="16384" width="6.625" style="4"/>
  </cols>
  <sheetData>
    <row r="1" spans="2:57">
      <c r="F1" s="162" t="s">
        <v>161</v>
      </c>
      <c r="G1" s="162" t="s">
        <v>155</v>
      </c>
      <c r="H1" s="15"/>
      <c r="I1" s="162" t="s">
        <v>150</v>
      </c>
      <c r="J1" s="162" t="s">
        <v>155</v>
      </c>
      <c r="K1" s="162" t="s">
        <v>156</v>
      </c>
      <c r="P1" s="4">
        <v>1</v>
      </c>
      <c r="Q1" s="4">
        <v>0.85</v>
      </c>
      <c r="R1" s="4">
        <v>0.7</v>
      </c>
      <c r="S1" s="4">
        <v>0.5</v>
      </c>
      <c r="T1" s="4">
        <v>0.27500000000000002</v>
      </c>
      <c r="AM1" s="4">
        <v>1</v>
      </c>
      <c r="AN1" s="4">
        <v>0.8</v>
      </c>
      <c r="AO1" s="4">
        <v>0.6</v>
      </c>
      <c r="AP1" s="4">
        <v>0.4</v>
      </c>
      <c r="AQ1" s="4">
        <v>0.2</v>
      </c>
    </row>
    <row r="2" spans="2:57">
      <c r="F2" s="162"/>
      <c r="G2" s="162"/>
      <c r="H2" s="15"/>
      <c r="I2" s="162"/>
      <c r="J2" s="162"/>
      <c r="K2" s="162"/>
      <c r="P2" s="161" t="s">
        <v>162</v>
      </c>
      <c r="Q2" s="161"/>
      <c r="R2" s="161"/>
      <c r="S2" s="161"/>
      <c r="T2" s="161"/>
      <c r="W2" s="161" t="s">
        <v>163</v>
      </c>
      <c r="X2" s="161"/>
      <c r="Y2" s="161"/>
      <c r="Z2" s="161"/>
      <c r="AA2" s="161"/>
      <c r="AD2" s="161" t="s">
        <v>164</v>
      </c>
      <c r="AE2" s="161"/>
      <c r="AF2" s="161"/>
      <c r="AG2" s="161"/>
      <c r="AH2" s="161"/>
      <c r="AM2" s="161" t="s">
        <v>151</v>
      </c>
      <c r="AN2" s="161"/>
      <c r="AO2" s="161"/>
      <c r="AP2" s="161"/>
      <c r="AQ2" s="161"/>
      <c r="AT2" s="161" t="s">
        <v>152</v>
      </c>
      <c r="AU2" s="161"/>
      <c r="AV2" s="161"/>
      <c r="AW2" s="161"/>
      <c r="AX2" s="161"/>
      <c r="BA2" s="161" t="s">
        <v>157</v>
      </c>
      <c r="BB2" s="161"/>
      <c r="BC2" s="161"/>
      <c r="BD2" s="161"/>
      <c r="BE2" s="161"/>
    </row>
    <row r="3" spans="2:57">
      <c r="F3" s="4">
        <v>1</v>
      </c>
      <c r="G3" s="4">
        <v>7.1773462536293131E-2</v>
      </c>
      <c r="I3" s="4">
        <v>1</v>
      </c>
      <c r="J3" s="4">
        <v>7.4349177498517554E-3</v>
      </c>
      <c r="K3" s="12">
        <v>0.1</v>
      </c>
      <c r="N3" s="4" t="str">
        <f>[1]节奏总纲!N3</f>
        <v>对应玩家等级</v>
      </c>
      <c r="O3" s="4" t="s">
        <v>161</v>
      </c>
      <c r="P3" s="4" t="s">
        <v>74</v>
      </c>
      <c r="Q3" s="4" t="s">
        <v>75</v>
      </c>
      <c r="R3" s="4" t="s">
        <v>76</v>
      </c>
      <c r="S3" s="4" t="s">
        <v>77</v>
      </c>
      <c r="T3" s="4" t="s">
        <v>78</v>
      </c>
      <c r="V3" s="4" t="s">
        <v>161</v>
      </c>
      <c r="W3" s="4" t="s">
        <v>74</v>
      </c>
      <c r="X3" s="4" t="s">
        <v>75</v>
      </c>
      <c r="Y3" s="4" t="s">
        <v>76</v>
      </c>
      <c r="Z3" s="4" t="s">
        <v>77</v>
      </c>
      <c r="AA3" s="4" t="s">
        <v>78</v>
      </c>
      <c r="AC3" s="4" t="s">
        <v>158</v>
      </c>
      <c r="AD3" s="4" t="s">
        <v>74</v>
      </c>
      <c r="AE3" s="4" t="s">
        <v>75</v>
      </c>
      <c r="AF3" s="4" t="s">
        <v>76</v>
      </c>
      <c r="AG3" s="4" t="s">
        <v>77</v>
      </c>
      <c r="AH3" s="4" t="s">
        <v>78</v>
      </c>
      <c r="AL3" s="4" t="s">
        <v>150</v>
      </c>
      <c r="AM3" s="4" t="s">
        <v>74</v>
      </c>
      <c r="AN3" s="4" t="s">
        <v>75</v>
      </c>
      <c r="AO3" s="4" t="s">
        <v>76</v>
      </c>
      <c r="AP3" s="4" t="s">
        <v>77</v>
      </c>
      <c r="AQ3" s="4" t="s">
        <v>78</v>
      </c>
      <c r="AS3" s="4" t="s">
        <v>150</v>
      </c>
      <c r="AT3" s="4" t="s">
        <v>74</v>
      </c>
      <c r="AU3" s="4" t="s">
        <v>75</v>
      </c>
      <c r="AV3" s="4" t="s">
        <v>76</v>
      </c>
      <c r="AW3" s="4" t="s">
        <v>77</v>
      </c>
      <c r="AX3" s="4" t="s">
        <v>78</v>
      </c>
      <c r="AZ3" s="4" t="s">
        <v>158</v>
      </c>
      <c r="BA3" s="4" t="s">
        <v>74</v>
      </c>
      <c r="BB3" s="4" t="s">
        <v>75</v>
      </c>
      <c r="BC3" s="4" t="s">
        <v>76</v>
      </c>
      <c r="BD3" s="4" t="s">
        <v>77</v>
      </c>
      <c r="BE3" s="4" t="s">
        <v>78</v>
      </c>
    </row>
    <row r="4" spans="2:57">
      <c r="F4" s="4">
        <v>2</v>
      </c>
      <c r="G4" s="4">
        <v>0.1486983549970351</v>
      </c>
      <c r="I4" s="4">
        <v>2</v>
      </c>
      <c r="J4" s="4">
        <v>2.3963093307967063E-2</v>
      </c>
      <c r="K4" s="12">
        <v>0.15</v>
      </c>
      <c r="N4" s="4">
        <f>[1]节奏总纲!N4</f>
        <v>2</v>
      </c>
      <c r="O4" s="4">
        <v>1</v>
      </c>
      <c r="P4" s="4">
        <f>[1]节奏总纲!P4</f>
        <v>7.1773462536293131E-2</v>
      </c>
      <c r="Q4" s="4">
        <f>[1]节奏总纲!Q4</f>
        <v>5.9787294292732177E-2</v>
      </c>
      <c r="R4" s="4">
        <f>[1]节奏总纲!R4</f>
        <v>4.677476553490223E-2</v>
      </c>
      <c r="S4" s="4">
        <f>[1]节奏总纲!S4</f>
        <v>3.2585151991477081E-2</v>
      </c>
      <c r="T4" s="4">
        <f>[1]节奏总纲!T4</f>
        <v>1.7039020006115988E-2</v>
      </c>
      <c r="V4" s="4">
        <v>1</v>
      </c>
      <c r="W4" s="4">
        <f>[1]节奏总纲!W4</f>
        <v>7.1773462536293131E-2</v>
      </c>
      <c r="X4" s="4">
        <f>[1]节奏总纲!X4</f>
        <v>5.9787294292732177E-2</v>
      </c>
      <c r="Y4" s="4">
        <f>[1]节奏总纲!Y4</f>
        <v>4.677476553490223E-2</v>
      </c>
      <c r="Z4" s="4">
        <f>[1]节奏总纲!Z4</f>
        <v>3.2585151991477081E-2</v>
      </c>
      <c r="AA4" s="4">
        <f>[1]节奏总纲!AA4</f>
        <v>1.7039020006115988E-2</v>
      </c>
      <c r="AC4" s="4">
        <v>1</v>
      </c>
      <c r="AD4" s="4">
        <f>[1]节奏总纲!AD4</f>
        <v>10</v>
      </c>
      <c r="AE4" s="4">
        <f>[1]节奏总纲!AE4</f>
        <v>11.148446722089302</v>
      </c>
      <c r="AF4" s="4">
        <f>[1]节奏总纲!AF4</f>
        <v>12.761737853656415</v>
      </c>
      <c r="AG4" s="4">
        <f>[1]节奏总纲!AG4</f>
        <v>15.452231935206081</v>
      </c>
      <c r="AH4" s="4">
        <f>[1]节奏总纲!AH4</f>
        <v>21.291911942729964</v>
      </c>
      <c r="AL4" s="4">
        <v>1</v>
      </c>
      <c r="AM4" s="4">
        <f>[1]节奏总纲!AM4</f>
        <v>7.4349177498517554E-3</v>
      </c>
      <c r="AN4" s="4">
        <f>[1]节奏总纲!AN4</f>
        <v>5.947934199881405E-3</v>
      </c>
      <c r="AO4" s="4">
        <f>[1]节奏总纲!AO4</f>
        <v>4.4609506499110529E-3</v>
      </c>
      <c r="AP4" s="4">
        <f>[1]节奏总纲!AP4</f>
        <v>2.9739670999407025E-3</v>
      </c>
      <c r="AQ4" s="4">
        <f>[1]节奏总纲!AQ4</f>
        <v>1.4869835499703513E-3</v>
      </c>
      <c r="AS4" s="4">
        <v>1</v>
      </c>
      <c r="AT4" s="4">
        <f>[1]节奏总纲!AT4</f>
        <v>7.4349177498517554E-3</v>
      </c>
      <c r="AU4" s="4">
        <f>[1]节奏总纲!AU4</f>
        <v>5.947934199881405E-3</v>
      </c>
      <c r="AV4" s="4">
        <f>[1]节奏总纲!AV4</f>
        <v>4.4609506499110529E-3</v>
      </c>
      <c r="AW4" s="4">
        <f>[1]节奏总纲!AW4</f>
        <v>2.9739670999407025E-3</v>
      </c>
      <c r="AX4" s="4">
        <f>[1]节奏总纲!AX4</f>
        <v>1.4869835499703513E-3</v>
      </c>
      <c r="AY4" s="4"/>
      <c r="AZ4" s="4">
        <v>1</v>
      </c>
      <c r="BA4" s="4">
        <f>[1]节奏总纲!BA4</f>
        <v>11.296493250964016</v>
      </c>
      <c r="BB4" s="4">
        <f>[1]节奏总纲!BB4</f>
        <v>12.361596792946616</v>
      </c>
      <c r="BC4" s="4">
        <f>[1]节奏总纲!BC4</f>
        <v>13.798091195443488</v>
      </c>
      <c r="BD4" s="4">
        <f>[1]节奏总纲!BD4</f>
        <v>15.911635365458322</v>
      </c>
      <c r="BE4" s="4">
        <f>[1]节奏总纲!BE4</f>
        <v>19.707330185578734</v>
      </c>
    </row>
    <row r="5" spans="2:57">
      <c r="F5" s="4">
        <v>3</v>
      </c>
      <c r="G5" s="4">
        <v>0.23114441334491631</v>
      </c>
      <c r="I5" s="4">
        <v>3</v>
      </c>
      <c r="J5" s="4">
        <v>5.1571656651039799E-2</v>
      </c>
      <c r="K5" s="12">
        <v>0.2</v>
      </c>
      <c r="N5" s="4">
        <f>[1]节奏总纲!N5</f>
        <v>4</v>
      </c>
      <c r="O5" s="4">
        <v>2</v>
      </c>
      <c r="P5" s="4">
        <f>[1]节奏总纲!P5</f>
        <v>0.1486983549970351</v>
      </c>
      <c r="Q5" s="4">
        <f>[1]节奏总纲!Q5</f>
        <v>0.12505531655250651</v>
      </c>
      <c r="R5" s="4">
        <f>[1]节奏总纲!R5</f>
        <v>9.883979656652922E-2</v>
      </c>
      <c r="S5" s="4">
        <f>[1]节奏总纲!S5</f>
        <v>6.9828747506607683E-2</v>
      </c>
      <c r="T5" s="4">
        <f>[1]节奏总纲!T5</f>
        <v>3.7085369736260552E-2</v>
      </c>
      <c r="V5" s="4">
        <v>2</v>
      </c>
      <c r="W5" s="4">
        <f>[1]节奏总纲!W5</f>
        <v>7.6924892460741967E-2</v>
      </c>
      <c r="X5" s="4">
        <f>[1]节奏总纲!X5</f>
        <v>6.5268022259774336E-2</v>
      </c>
      <c r="Y5" s="4">
        <f>[1]节奏总纲!Y5</f>
        <v>5.206503103162699E-2</v>
      </c>
      <c r="Z5" s="4">
        <f>[1]节奏总纲!Z5</f>
        <v>3.7243595515130602E-2</v>
      </c>
      <c r="AA5" s="4">
        <f>[1]节奏总纲!AA5</f>
        <v>2.0046349730144564E-2</v>
      </c>
      <c r="AC5" s="4">
        <v>2</v>
      </c>
      <c r="AD5" s="4">
        <f>[1]节奏总纲!AD5</f>
        <v>15.845161563010114</v>
      </c>
      <c r="AE5" s="4">
        <f>[1]节奏总纲!AE5</f>
        <v>17.271997130667014</v>
      </c>
      <c r="AF5" s="4">
        <f>[1]节奏总纲!AF5</f>
        <v>19.263096801323076</v>
      </c>
      <c r="AG5" s="4">
        <f>[1]节奏总纲!AG5</f>
        <v>22.536681597650272</v>
      </c>
      <c r="AH5" s="4">
        <f>[1]节奏总纲!AH5</f>
        <v>29.386000042029625</v>
      </c>
      <c r="AL5" s="4">
        <v>2</v>
      </c>
      <c r="AM5" s="4">
        <f>[1]节奏总纲!AM5</f>
        <v>2.3963093307967063E-2</v>
      </c>
      <c r="AN5" s="4">
        <f>[1]节奏总纲!AN5</f>
        <v>1.9170474646373652E-2</v>
      </c>
      <c r="AO5" s="4">
        <f>[1]节奏总纲!AO5</f>
        <v>1.4377855984780237E-2</v>
      </c>
      <c r="AP5" s="4">
        <f>[1]节奏总纲!AP5</f>
        <v>9.5852373231868262E-3</v>
      </c>
      <c r="AQ5" s="4">
        <f>[1]节奏总纲!AQ5</f>
        <v>4.7926186615934131E-3</v>
      </c>
      <c r="AS5" s="4">
        <v>2</v>
      </c>
      <c r="AT5" s="4">
        <f>[1]节奏总纲!AT5</f>
        <v>1.6528175558115307E-2</v>
      </c>
      <c r="AU5" s="4">
        <f>[1]节奏总纲!AU5</f>
        <v>1.3222540446492247E-2</v>
      </c>
      <c r="AV5" s="4">
        <f>[1]节奏总纲!AV5</f>
        <v>9.9169053348691846E-3</v>
      </c>
      <c r="AW5" s="4">
        <f>[1]节奏总纲!AW5</f>
        <v>6.6112702232461237E-3</v>
      </c>
      <c r="AX5" s="4">
        <f>[1]节奏总纲!AX5</f>
        <v>3.3056351116230618E-3</v>
      </c>
      <c r="AY5" s="4"/>
      <c r="AZ5" s="4">
        <v>2</v>
      </c>
      <c r="BA5" s="4">
        <f>[1]节奏总纲!BA5</f>
        <v>14.729965238833779</v>
      </c>
      <c r="BB5" s="4">
        <f>[1]节奏总纲!BB5</f>
        <v>15.911635365458322</v>
      </c>
      <c r="BC5" s="4">
        <f>[1]节奏总纲!BC5</f>
        <v>17.448850811924295</v>
      </c>
      <c r="BD5" s="4">
        <f>[1]节奏总纲!BD5</f>
        <v>19.707330185578734</v>
      </c>
      <c r="BE5" s="4">
        <f>[1]节奏总纲!BE5</f>
        <v>23.710496742673982</v>
      </c>
    </row>
    <row r="6" spans="2:57">
      <c r="B6" s="161" t="s">
        <v>165</v>
      </c>
      <c r="C6" s="161"/>
      <c r="D6" s="161"/>
      <c r="F6" s="4">
        <v>4</v>
      </c>
      <c r="G6" s="4">
        <v>0.3195079107728942</v>
      </c>
      <c r="I6" s="4">
        <v>4</v>
      </c>
      <c r="J6" s="4">
        <v>9.2637640824031031E-2</v>
      </c>
      <c r="K6" s="12">
        <v>0.25</v>
      </c>
      <c r="N6" s="4">
        <f>[1]节奏总纲!N6</f>
        <v>6</v>
      </c>
      <c r="O6" s="4">
        <v>3</v>
      </c>
      <c r="P6" s="4">
        <f>[1]节奏总纲!P6</f>
        <v>0.23114441334491631</v>
      </c>
      <c r="Q6" s="4">
        <f>[1]节奏总纲!Q6</f>
        <v>0.19582554698581309</v>
      </c>
      <c r="R6" s="4">
        <f>[1]节奏总纲!R6</f>
        <v>0.15616116565582547</v>
      </c>
      <c r="S6" s="4">
        <f>[1]节奏总纲!S6</f>
        <v>0.11120357726023924</v>
      </c>
      <c r="T6" s="4">
        <f>[1]节奏总纲!T6</f>
        <v>5.9380999788309005E-2</v>
      </c>
      <c r="V6" s="4">
        <v>3</v>
      </c>
      <c r="W6" s="4">
        <f>[1]节奏总纲!W6</f>
        <v>8.2446058347881213E-2</v>
      </c>
      <c r="X6" s="4">
        <f>[1]节奏总纲!X6</f>
        <v>7.0770230433306575E-2</v>
      </c>
      <c r="Y6" s="4">
        <f>[1]节奏总纲!Y6</f>
        <v>5.7321369089296248E-2</v>
      </c>
      <c r="Z6" s="4">
        <f>[1]节奏总纲!Z6</f>
        <v>4.1374829753631562E-2</v>
      </c>
      <c r="AA6" s="4">
        <f>[1]节奏总纲!AA6</f>
        <v>2.2295630052048453E-2</v>
      </c>
      <c r="AC6" s="4">
        <v>3</v>
      </c>
      <c r="AD6" s="4">
        <f>[1]节奏总纲!AD6</f>
        <v>20</v>
      </c>
      <c r="AE6" s="4">
        <f>[1]节奏总纲!AE6</f>
        <v>21.543844702365945</v>
      </c>
      <c r="AF6" s="4">
        <f>[1]节奏总纲!AF6</f>
        <v>23.734615677065324</v>
      </c>
      <c r="AG6" s="4">
        <f>[1]节奏总纲!AG6</f>
        <v>27.324610510337703</v>
      </c>
      <c r="AH6" s="4">
        <f>[1]节奏总纲!AH6</f>
        <v>34.517938607173015</v>
      </c>
      <c r="AL6" s="4">
        <v>3</v>
      </c>
      <c r="AM6" s="4">
        <f>[1]节奏总纲!AM6</f>
        <v>5.1571656651039799E-2</v>
      </c>
      <c r="AN6" s="4">
        <f>[1]节奏总纲!AN6</f>
        <v>4.1257325320831845E-2</v>
      </c>
      <c r="AO6" s="4">
        <f>[1]节奏总纲!AO6</f>
        <v>3.0942993990623877E-2</v>
      </c>
      <c r="AP6" s="4">
        <f>[1]节奏总纲!AP6</f>
        <v>2.0628662660415922E-2</v>
      </c>
      <c r="AQ6" s="4">
        <f>[1]节奏总纲!AQ6</f>
        <v>1.0314331330207961E-2</v>
      </c>
      <c r="AS6" s="4">
        <v>3</v>
      </c>
      <c r="AT6" s="4">
        <f>[1]节奏总纲!AT6</f>
        <v>2.7608563343072736E-2</v>
      </c>
      <c r="AU6" s="4">
        <f>[1]节奏总纲!AU6</f>
        <v>2.2086850674458192E-2</v>
      </c>
      <c r="AV6" s="4">
        <f>[1]节奏总纲!AV6</f>
        <v>1.6565138005843638E-2</v>
      </c>
      <c r="AW6" s="4">
        <f>[1]节奏总纲!AW6</f>
        <v>1.1043425337229096E-2</v>
      </c>
      <c r="AX6" s="4">
        <f>[1]节奏总纲!AX6</f>
        <v>5.5217126686145481E-3</v>
      </c>
      <c r="AY6" s="4"/>
      <c r="AZ6" s="4">
        <v>3</v>
      </c>
      <c r="BA6" s="4">
        <f>[1]节奏总纲!BA6</f>
        <v>16.888397947066121</v>
      </c>
      <c r="BB6" s="4">
        <f>[1]节奏总纲!BB6</f>
        <v>18.108391417375849</v>
      </c>
      <c r="BC6" s="4">
        <f>[1]节奏总纲!BC6</f>
        <v>19.707330185578734</v>
      </c>
      <c r="BD6" s="4">
        <f>[1]节奏总纲!BD6</f>
        <v>22.041972908628715</v>
      </c>
      <c r="BE6" s="4">
        <f>[1]节奏总纲!BE6</f>
        <v>26.127796402772656</v>
      </c>
    </row>
    <row r="7" spans="2:57">
      <c r="B7" s="4" t="s">
        <v>161</v>
      </c>
      <c r="C7" s="4" t="s">
        <v>90</v>
      </c>
      <c r="D7" s="4" t="s">
        <v>153</v>
      </c>
      <c r="F7" s="4">
        <v>5</v>
      </c>
      <c r="G7" s="4">
        <v>0.41421356237309515</v>
      </c>
      <c r="I7" s="4">
        <v>5</v>
      </c>
      <c r="J7" s="4">
        <v>0.15</v>
      </c>
      <c r="K7" s="12">
        <v>0.3</v>
      </c>
      <c r="N7" s="4">
        <f>[1]节奏总纲!N7</f>
        <v>8</v>
      </c>
      <c r="O7" s="4">
        <v>4</v>
      </c>
      <c r="P7" s="4">
        <f>[1]节奏总纲!P7</f>
        <v>0.3195079107728942</v>
      </c>
      <c r="Q7" s="4">
        <f>[1]节奏总纲!Q7</f>
        <v>0.2719651336498875</v>
      </c>
      <c r="R7" s="4">
        <f>[1]节奏总纲!R7</f>
        <v>0.21816000147573214</v>
      </c>
      <c r="S7" s="4">
        <f>[1]节奏总纲!S7</f>
        <v>0.15607961441255883</v>
      </c>
      <c r="T7" s="4">
        <f>[1]节奏总纲!T7</f>
        <v>8.4062531324348461E-2</v>
      </c>
      <c r="V7" s="4">
        <v>4</v>
      </c>
      <c r="W7" s="4">
        <f>[1]节奏总纲!W7</f>
        <v>8.8363497427977888E-2</v>
      </c>
      <c r="X7" s="4">
        <f>[1]节奏总纲!X7</f>
        <v>7.6139586664074416E-2</v>
      </c>
      <c r="Y7" s="4">
        <f>[1]节奏总纲!Y7</f>
        <v>6.1998835819906672E-2</v>
      </c>
      <c r="Z7" s="4">
        <f>[1]节奏总纲!Z7</f>
        <v>4.4876037152319581E-2</v>
      </c>
      <c r="AA7" s="4">
        <f>[1]节奏总纲!AA7</f>
        <v>2.4681531536039455E-2</v>
      </c>
      <c r="AC7" s="4">
        <v>4</v>
      </c>
      <c r="AD7" s="4">
        <f>[1]节奏总纲!AD7</f>
        <v>23.213386604241784</v>
      </c>
      <c r="AE7" s="4">
        <f>[1]节奏总纲!AE7</f>
        <v>24.836966034810484</v>
      </c>
      <c r="AF7" s="4">
        <f>[1]节奏总纲!AF7</f>
        <v>27.155717181399513</v>
      </c>
      <c r="AG7" s="4">
        <f>[1]节奏总纲!AG7</f>
        <v>30.831257561377125</v>
      </c>
      <c r="AH7" s="4">
        <f>[1]节奏总纲!AH7</f>
        <v>38.431365705145346</v>
      </c>
      <c r="AL7" s="4">
        <v>4</v>
      </c>
      <c r="AM7" s="4">
        <f>[1]节奏总纲!AM7</f>
        <v>9.2637640824031031E-2</v>
      </c>
      <c r="AN7" s="4">
        <f>[1]节奏总纲!AN7</f>
        <v>7.4110112659224833E-2</v>
      </c>
      <c r="AO7" s="4">
        <f>[1]节奏总纲!AO7</f>
        <v>5.5582584494418615E-2</v>
      </c>
      <c r="AP7" s="4">
        <f>[1]节奏总纲!AP7</f>
        <v>3.7055056329612417E-2</v>
      </c>
      <c r="AQ7" s="4">
        <f>[1]节奏总纲!AQ7</f>
        <v>1.8527528164806208E-2</v>
      </c>
      <c r="AS7" s="4">
        <v>4</v>
      </c>
      <c r="AT7" s="4">
        <f>[1]节奏总纲!AT7</f>
        <v>4.1065984172991232E-2</v>
      </c>
      <c r="AU7" s="4">
        <f>[1]节奏总纲!AU7</f>
        <v>3.2852787338392989E-2</v>
      </c>
      <c r="AV7" s="4">
        <f>[1]节奏总纲!AV7</f>
        <v>2.4639590503794738E-2</v>
      </c>
      <c r="AW7" s="4">
        <f>[1]节奏总纲!AW7</f>
        <v>1.6426393669196494E-2</v>
      </c>
      <c r="AX7" s="4">
        <f>[1]节奏总纲!AX7</f>
        <v>8.2131968345982471E-3</v>
      </c>
      <c r="AY7" s="4"/>
      <c r="AZ7" s="4">
        <v>4</v>
      </c>
      <c r="BA7" s="4">
        <f>[1]节奏总纲!BA7</f>
        <v>18.453550676044042</v>
      </c>
      <c r="BB7" s="4">
        <f>[1]节奏总纲!BB7</f>
        <v>19.707330185578734</v>
      </c>
      <c r="BC7" s="4">
        <f>[1]节奏总纲!BC7</f>
        <v>21.34613466141565</v>
      </c>
      <c r="BD7" s="4">
        <f>[1]节奏总纲!BD7</f>
        <v>23.710496742673982</v>
      </c>
      <c r="BE7" s="4">
        <f>[1]节奏总纲!BE7</f>
        <v>27.863030247590562</v>
      </c>
    </row>
    <row r="8" spans="2:57">
      <c r="B8" s="4">
        <v>10</v>
      </c>
      <c r="C8" s="4">
        <v>1</v>
      </c>
      <c r="D8" s="4">
        <v>1</v>
      </c>
      <c r="F8" s="4">
        <v>6</v>
      </c>
      <c r="G8" s="4">
        <v>0.51571656651039799</v>
      </c>
      <c r="I8" s="4">
        <v>6</v>
      </c>
      <c r="J8" s="4">
        <v>0.22055744069899194</v>
      </c>
      <c r="K8" s="12">
        <v>0.34</v>
      </c>
      <c r="N8" s="4">
        <f>[1]节奏总纲!N8</f>
        <v>10</v>
      </c>
      <c r="O8" s="4">
        <v>5</v>
      </c>
      <c r="P8" s="4">
        <f>[1]节奏总纲!P8</f>
        <v>0.41421356237309515</v>
      </c>
      <c r="Q8" s="4">
        <f>[1]节奏总纲!Q8</f>
        <v>0.35241289886702937</v>
      </c>
      <c r="R8" s="4">
        <f>[1]节奏总纲!R8</f>
        <v>0.28315639123824782</v>
      </c>
      <c r="S8" s="4">
        <f>[1]节奏总纲!S8</f>
        <v>0.20296464556281663</v>
      </c>
      <c r="T8" s="4">
        <f>[1]节奏总纲!T8</f>
        <v>0.10951806589144637</v>
      </c>
      <c r="V8" s="4">
        <v>5</v>
      </c>
      <c r="W8" s="4">
        <f>[1]节奏总纲!W8</f>
        <v>9.4705651600200946E-2</v>
      </c>
      <c r="X8" s="4">
        <f>[1]节奏总纲!X8</f>
        <v>8.0447765217141864E-2</v>
      </c>
      <c r="Y8" s="4">
        <f>[1]节奏总纲!Y8</f>
        <v>6.4996389762515677E-2</v>
      </c>
      <c r="Z8" s="4">
        <f>[1]节奏总纲!Z8</f>
        <v>4.68850311502578E-2</v>
      </c>
      <c r="AA8" s="4">
        <f>[1]节奏总纲!AA8</f>
        <v>2.5455534567097912E-2</v>
      </c>
      <c r="AC8" s="4">
        <v>5</v>
      </c>
      <c r="AD8" s="4">
        <f>[1]节奏总纲!AD8</f>
        <v>25.845161563010112</v>
      </c>
      <c r="AE8" s="4">
        <f>[1]节奏总纲!AE8</f>
        <v>27.525245270311611</v>
      </c>
      <c r="AF8" s="4">
        <f>[1]节奏总纲!AF8</f>
        <v>29.892344464157688</v>
      </c>
      <c r="AG8" s="4">
        <f>[1]节奏总纲!AG8</f>
        <v>33.672145166817529</v>
      </c>
      <c r="AH8" s="4">
        <f>[1]节奏总纲!AH8</f>
        <v>41.359260538726978</v>
      </c>
      <c r="AL8" s="4">
        <v>5</v>
      </c>
      <c r="AM8" s="4">
        <f>[1]节奏总纲!AM8</f>
        <v>0.15</v>
      </c>
      <c r="AN8" s="4">
        <f>[1]节奏总纲!AN8</f>
        <v>0.12</v>
      </c>
      <c r="AO8" s="4">
        <f>[1]节奏总纲!AO8</f>
        <v>0.09</v>
      </c>
      <c r="AP8" s="4">
        <f>[1]节奏总纲!AP8</f>
        <v>0.06</v>
      </c>
      <c r="AQ8" s="4">
        <f>[1]节奏总纲!AQ8</f>
        <v>0.03</v>
      </c>
      <c r="AS8" s="4">
        <v>5</v>
      </c>
      <c r="AT8" s="4">
        <f>[1]节奏总纲!AT8</f>
        <v>5.7362359175968963E-2</v>
      </c>
      <c r="AU8" s="4">
        <f>[1]节奏总纲!AU8</f>
        <v>4.5889887340775162E-2</v>
      </c>
      <c r="AV8" s="4">
        <f>[1]节奏总纲!AV8</f>
        <v>3.4417415505581382E-2</v>
      </c>
      <c r="AW8" s="4">
        <f>[1]节奏总纲!AW8</f>
        <v>2.2944943670387581E-2</v>
      </c>
      <c r="AX8" s="4">
        <f>[1]节奏总纲!AX8</f>
        <v>1.1472471835193791E-2</v>
      </c>
      <c r="AY8" s="4"/>
      <c r="AZ8" s="4">
        <v>5</v>
      </c>
      <c r="BA8" s="4">
        <f>[1]节奏总纲!BA8</f>
        <v>19.707330185578734</v>
      </c>
      <c r="BB8" s="4">
        <f>[1]节奏总纲!BB8</f>
        <v>20.993539484876777</v>
      </c>
      <c r="BC8" s="4">
        <f>[1]节奏总纲!BC8</f>
        <v>22.639743033177162</v>
      </c>
      <c r="BD8" s="4">
        <f>[1]节奏总纲!BD8</f>
        <v>25.044229735272328</v>
      </c>
      <c r="BE8" s="4">
        <f>[1]节奏总纲!BE8</f>
        <v>29.216428548527322</v>
      </c>
    </row>
    <row r="9" spans="2:57">
      <c r="B9" s="4">
        <v>20</v>
      </c>
      <c r="C9" s="4">
        <v>3</v>
      </c>
      <c r="D9" s="4">
        <v>2</v>
      </c>
      <c r="F9" s="4">
        <v>7</v>
      </c>
      <c r="G9" s="4">
        <v>0.62450479271247095</v>
      </c>
      <c r="I9" s="4">
        <v>7</v>
      </c>
      <c r="J9" s="4">
        <v>0.31141300609369982</v>
      </c>
      <c r="K9" s="12">
        <v>0.38</v>
      </c>
      <c r="N9" s="4">
        <f>[1]节奏总纲!N9</f>
        <v>12</v>
      </c>
      <c r="O9" s="4">
        <v>6</v>
      </c>
      <c r="P9" s="4">
        <f>[1]节奏总纲!P9</f>
        <v>0.51571656651039799</v>
      </c>
      <c r="Q9" s="4">
        <f>[1]节奏总纲!Q9</f>
        <v>0.43939051466685908</v>
      </c>
      <c r="R9" s="4">
        <f>[1]节奏总纲!R9</f>
        <v>0.35336899137292471</v>
      </c>
      <c r="S9" s="4">
        <f>[1]节奏总纲!S9</f>
        <v>0.25440298225957936</v>
      </c>
      <c r="T9" s="4">
        <f>[1]节奏总纲!T9</f>
        <v>0.13836675479473978</v>
      </c>
      <c r="V9" s="4">
        <v>6</v>
      </c>
      <c r="W9" s="4">
        <f>[1]节奏总纲!W9</f>
        <v>0.10150300413730284</v>
      </c>
      <c r="X9" s="4">
        <f>[1]节奏总纲!X9</f>
        <v>8.6977615799829711E-2</v>
      </c>
      <c r="Y9" s="4">
        <f>[1]节奏总纲!Y9</f>
        <v>7.0212600134676895E-2</v>
      </c>
      <c r="Z9" s="4">
        <f>[1]节奏总纲!Z9</f>
        <v>5.1438336696762732E-2</v>
      </c>
      <c r="AA9" s="4">
        <f>[1]节奏总纲!AA9</f>
        <v>2.884868890329341E-2</v>
      </c>
      <c r="AC9" s="4">
        <v>6</v>
      </c>
      <c r="AD9" s="4">
        <f>[1]节奏总纲!AD9</f>
        <v>28.071211008105138</v>
      </c>
      <c r="AE9" s="4">
        <f>[1]节奏总纲!AE9</f>
        <v>29.78183527117605</v>
      </c>
      <c r="AF9" s="4">
        <f>[1]节奏总纲!AF9</f>
        <v>32.202183458664891</v>
      </c>
      <c r="AG9" s="4">
        <f>[1]节奏总纲!AG9</f>
        <v>36.067019846099676</v>
      </c>
      <c r="AH9" s="4">
        <f>[1]节奏总纲!AH9</f>
        <v>43.870275262019007</v>
      </c>
      <c r="AL9" s="4">
        <v>6</v>
      </c>
      <c r="AM9" s="4">
        <f>[1]节奏总纲!AM9</f>
        <v>0.22055744069899194</v>
      </c>
      <c r="AN9" s="4">
        <f>[1]节奏总纲!AN9</f>
        <v>0.17644595255919357</v>
      </c>
      <c r="AO9" s="4">
        <f>[1]节奏总纲!AO9</f>
        <v>0.13233446441939517</v>
      </c>
      <c r="AP9" s="4">
        <f>[1]节奏总纲!AP9</f>
        <v>8.8222976279596785E-2</v>
      </c>
      <c r="AQ9" s="4">
        <f>[1]节奏总纲!AQ9</f>
        <v>4.4111488139798392E-2</v>
      </c>
      <c r="AS9" s="4">
        <v>6</v>
      </c>
      <c r="AT9" s="4">
        <f>[1]节奏总纲!AT9</f>
        <v>7.0557440698991947E-2</v>
      </c>
      <c r="AU9" s="4">
        <f>[1]节奏总纲!AU9</f>
        <v>5.6445952559193574E-2</v>
      </c>
      <c r="AV9" s="4">
        <f>[1]节奏总纲!AV9</f>
        <v>4.2334464419395174E-2</v>
      </c>
      <c r="AW9" s="4">
        <f>[1]节奏总纲!AW9</f>
        <v>2.8222976279596787E-2</v>
      </c>
      <c r="AX9" s="4">
        <f>[1]节奏总纲!AX9</f>
        <v>1.4111488139798394E-2</v>
      </c>
      <c r="AY9" s="4"/>
      <c r="AZ9" s="4">
        <v>6</v>
      </c>
      <c r="BA9" s="4">
        <f>[1]节奏总纲!BA9</f>
        <v>20.745154613657583</v>
      </c>
      <c r="BB9" s="4">
        <f>[1]节奏总纲!BB9</f>
        <v>22.041972908628715</v>
      </c>
      <c r="BC9" s="4">
        <f>[1]节奏总纲!BC9</f>
        <v>23.710496742673982</v>
      </c>
      <c r="BD9" s="4">
        <f>[1]节奏总纲!BD9</f>
        <v>26.127796402772656</v>
      </c>
      <c r="BE9" s="4">
        <f>[1]节奏总纲!BE9</f>
        <v>30.329493925593439</v>
      </c>
    </row>
    <row r="10" spans="2:57">
      <c r="B10" s="4">
        <v>30</v>
      </c>
      <c r="C10" s="4">
        <v>7</v>
      </c>
      <c r="D10" s="4">
        <v>4</v>
      </c>
      <c r="F10" s="4">
        <v>8</v>
      </c>
      <c r="G10" s="4">
        <v>0.74110112659224825</v>
      </c>
      <c r="I10" s="4">
        <v>8</v>
      </c>
      <c r="J10" s="4">
        <v>0.42660095793436714</v>
      </c>
      <c r="K10" s="12">
        <v>0.42</v>
      </c>
      <c r="N10" s="4">
        <f>[1]节奏总纲!N10</f>
        <v>14</v>
      </c>
      <c r="O10" s="4">
        <v>7</v>
      </c>
      <c r="P10" s="4">
        <f>[1]节奏总纲!P10</f>
        <v>0.62450479271247095</v>
      </c>
      <c r="Q10" s="4">
        <f>[1]节奏总纲!Q10</f>
        <v>0.53413894920697635</v>
      </c>
      <c r="R10" s="4">
        <f>[1]节奏总纲!R10</f>
        <v>0.43072095553379119</v>
      </c>
      <c r="S10" s="4">
        <f>[1]节奏总纲!S10</f>
        <v>0.30950457526830061</v>
      </c>
      <c r="T10" s="4">
        <f>[1]节奏总纲!T10</f>
        <v>0.16699258157131475</v>
      </c>
      <c r="V10" s="4">
        <v>7</v>
      </c>
      <c r="W10" s="4">
        <f>[1]节奏总纲!W10</f>
        <v>0.10878822620207296</v>
      </c>
      <c r="X10" s="4">
        <f>[1]节奏总纲!X10</f>
        <v>9.4748434540117277E-2</v>
      </c>
      <c r="Y10" s="4">
        <f>[1]节奏总纲!Y10</f>
        <v>7.7351964160866482E-2</v>
      </c>
      <c r="Z10" s="4">
        <f>[1]节奏总纲!Z10</f>
        <v>5.510159300872125E-2</v>
      </c>
      <c r="AA10" s="4">
        <f>[1]节奏总纲!AA10</f>
        <v>2.8625826776574964E-2</v>
      </c>
      <c r="AC10" s="4">
        <v>7</v>
      </c>
      <c r="AD10" s="4">
        <f>[1]节奏总纲!AD10</f>
        <v>30</v>
      </c>
      <c r="AE10" s="4">
        <f>[1]节奏总纲!AE10</f>
        <v>31.718819483847451</v>
      </c>
      <c r="AF10" s="4">
        <f>[1]节奏总纲!AF10</f>
        <v>34.192155176139416</v>
      </c>
      <c r="AG10" s="4">
        <f>[1]节奏总纲!AG10</f>
        <v>38.19822972207853</v>
      </c>
      <c r="AH10" s="4">
        <f>[1]节奏总纲!AH10</f>
        <v>46.093186357957826</v>
      </c>
      <c r="AL10" s="4">
        <v>7</v>
      </c>
      <c r="AM10" s="4">
        <f>[1]节奏总纲!AM10</f>
        <v>0.31141300609369982</v>
      </c>
      <c r="AN10" s="4">
        <f>[1]节奏总纲!AN10</f>
        <v>0.24913040487495985</v>
      </c>
      <c r="AO10" s="4">
        <f>[1]节奏总纲!AO10</f>
        <v>0.18684780365621989</v>
      </c>
      <c r="AP10" s="4">
        <f>[1]节奏总纲!AP10</f>
        <v>0.12456520243747993</v>
      </c>
      <c r="AQ10" s="4">
        <f>[1]节奏总纲!AQ10</f>
        <v>6.2282601218739964E-2</v>
      </c>
      <c r="AS10" s="4">
        <v>7</v>
      </c>
      <c r="AT10" s="4">
        <f>[1]节奏总纲!AT10</f>
        <v>9.0855565394707877E-2</v>
      </c>
      <c r="AU10" s="4">
        <f>[1]节奏总纲!AU10</f>
        <v>7.2684452315766285E-2</v>
      </c>
      <c r="AV10" s="4">
        <f>[1]节奏总纲!AV10</f>
        <v>5.451333923682472E-2</v>
      </c>
      <c r="AW10" s="4">
        <f>[1]节奏总纲!AW10</f>
        <v>3.6342226157883142E-2</v>
      </c>
      <c r="AX10" s="4">
        <f>[1]节奏总纲!AX10</f>
        <v>1.8171113078941571E-2</v>
      </c>
      <c r="AY10" s="4"/>
      <c r="AZ10" s="4">
        <v>7</v>
      </c>
      <c r="BA10" s="4">
        <f>[1]节奏总纲!BA10</f>
        <v>21.627432338833255</v>
      </c>
      <c r="BB10" s="4">
        <f>[1]节奏总纲!BB10</f>
        <v>22.938628095451385</v>
      </c>
      <c r="BC10" s="4">
        <f>[1]节奏总纲!BC10</f>
        <v>24.619152272059132</v>
      </c>
      <c r="BD10" s="4">
        <f>[1]节奏总纲!BD10</f>
        <v>27.059707353051884</v>
      </c>
      <c r="BE10" s="4">
        <f>[1]节奏总纲!BE10</f>
        <v>31.280110398778046</v>
      </c>
    </row>
    <row r="11" spans="2:57">
      <c r="B11" s="4">
        <v>40</v>
      </c>
      <c r="C11" s="4">
        <v>15</v>
      </c>
      <c r="D11" s="4">
        <v>8</v>
      </c>
      <c r="F11" s="4">
        <v>9</v>
      </c>
      <c r="G11" s="4">
        <v>0.86606598307361482</v>
      </c>
      <c r="I11" s="4">
        <v>9</v>
      </c>
      <c r="J11" s="4">
        <v>0.57090651823243421</v>
      </c>
      <c r="K11" s="12">
        <v>0.46</v>
      </c>
      <c r="N11" s="4">
        <f>[1]节奏总纲!N11</f>
        <v>16</v>
      </c>
      <c r="O11" s="4">
        <v>8</v>
      </c>
      <c r="P11" s="4">
        <f>[1]节奏总纲!P11</f>
        <v>0.74110112659224825</v>
      </c>
      <c r="Q11" s="4">
        <f>[1]节奏总纲!Q11</f>
        <v>0.63089938906798093</v>
      </c>
      <c r="R11" s="4">
        <f>[1]节奏总纲!R11</f>
        <v>0.50550507844857251</v>
      </c>
      <c r="S11" s="4">
        <f>[1]节奏总纲!S11</f>
        <v>0.36195379022765406</v>
      </c>
      <c r="T11" s="4">
        <f>[1]节奏总纲!T11</f>
        <v>0.19579891764567198</v>
      </c>
      <c r="V11" s="4">
        <v>8</v>
      </c>
      <c r="W11" s="4">
        <f>[1]节奏总纲!W11</f>
        <v>0.1165963338797773</v>
      </c>
      <c r="X11" s="4">
        <f>[1]节奏总纲!X11</f>
        <v>9.6760439861004577E-2</v>
      </c>
      <c r="Y11" s="4">
        <f>[1]节奏总纲!Y11</f>
        <v>7.4784122914781315E-2</v>
      </c>
      <c r="Z11" s="4">
        <f>[1]节奏总纲!Z11</f>
        <v>5.2449214959353452E-2</v>
      </c>
      <c r="AA11" s="4">
        <f>[1]节奏总纲!AA11</f>
        <v>2.8806336074357231E-2</v>
      </c>
      <c r="AC11" s="4">
        <v>8</v>
      </c>
      <c r="AD11" s="4">
        <f>[1]节奏总纲!AD11</f>
        <v>31.691928656135214</v>
      </c>
      <c r="AE11" s="4">
        <f>[1]节奏总纲!AE11</f>
        <v>33.465251056098396</v>
      </c>
      <c r="AF11" s="4">
        <f>[1]节奏总纲!AF11</f>
        <v>35.930751746472978</v>
      </c>
      <c r="AG11" s="4">
        <f>[1]节奏总纲!AG11</f>
        <v>39.998279638578282</v>
      </c>
      <c r="AH11" s="4">
        <f>[1]节奏总纲!AH11</f>
        <v>48.067140183443534</v>
      </c>
      <c r="AL11" s="4">
        <v>8</v>
      </c>
      <c r="AM11" s="4">
        <f>[1]节奏总纲!AM11</f>
        <v>0.42660095793436714</v>
      </c>
      <c r="AN11" s="4">
        <f>[1]节奏总纲!AN11</f>
        <v>0.34128076634749371</v>
      </c>
      <c r="AO11" s="4">
        <f>[1]节奏总纲!AO11</f>
        <v>0.25596057476062029</v>
      </c>
      <c r="AP11" s="4">
        <f>[1]节奏总纲!AP11</f>
        <v>0.17064038317374686</v>
      </c>
      <c r="AQ11" s="4">
        <f>[1]节奏总纲!AQ11</f>
        <v>8.5320191586873428E-2</v>
      </c>
      <c r="AS11" s="4">
        <v>8</v>
      </c>
      <c r="AT11" s="4">
        <f>[1]节奏总纲!AT11</f>
        <v>0.11518795184066732</v>
      </c>
      <c r="AU11" s="4">
        <f>[1]节奏总纲!AU11</f>
        <v>9.2150361472533859E-2</v>
      </c>
      <c r="AV11" s="4">
        <f>[1]节奏总纲!AV11</f>
        <v>6.9112771104400395E-2</v>
      </c>
      <c r="AW11" s="4">
        <f>[1]节奏总纲!AW11</f>
        <v>4.607518073626693E-2</v>
      </c>
      <c r="AX11" s="4">
        <f>[1]节奏总纲!AX11</f>
        <v>2.3037590368133465E-2</v>
      </c>
      <c r="AY11" s="4"/>
      <c r="AZ11" s="4">
        <v>8</v>
      </c>
      <c r="BA11" s="4">
        <f>[1]节奏总纲!BA11</f>
        <v>22.400634983357783</v>
      </c>
      <c r="BB11" s="4">
        <f>[1]节奏总纲!BB11</f>
        <v>23.710496742673982</v>
      </c>
      <c r="BC11" s="4">
        <f>[1]节奏总纲!BC11</f>
        <v>25.412810862541733</v>
      </c>
      <c r="BD11" s="4">
        <f>[1]节奏总纲!BD11</f>
        <v>27.863030247590562</v>
      </c>
      <c r="BE11" s="4">
        <f>[1]节奏总纲!BE11</f>
        <v>32.113552950216736</v>
      </c>
    </row>
    <row r="12" spans="2:57">
      <c r="B12" s="4">
        <v>50</v>
      </c>
      <c r="C12" s="4">
        <v>31</v>
      </c>
      <c r="D12" s="4">
        <v>16</v>
      </c>
      <c r="F12" s="4">
        <v>10</v>
      </c>
      <c r="G12" s="4">
        <v>1</v>
      </c>
      <c r="I12" s="4">
        <v>10</v>
      </c>
      <c r="J12" s="4">
        <v>0.75</v>
      </c>
      <c r="K12" s="12">
        <v>0.5</v>
      </c>
      <c r="N12" s="4">
        <f>[1]节奏总纲!N12</f>
        <v>18</v>
      </c>
      <c r="O12" s="4">
        <v>9</v>
      </c>
      <c r="P12" s="4">
        <f>[1]节奏总纲!P12</f>
        <v>0.86606598307361482</v>
      </c>
      <c r="Q12" s="4">
        <f>[1]节奏总纲!Q12</f>
        <v>0.73702215159564621</v>
      </c>
      <c r="R12" s="4">
        <f>[1]节奏总纲!R12</f>
        <v>0.59282216541388932</v>
      </c>
      <c r="S12" s="4">
        <f>[1]节奏总纲!S12</f>
        <v>0.42766338244175101</v>
      </c>
      <c r="T12" s="4">
        <f>[1]节奏总纲!T12</f>
        <v>0.23193247026711403</v>
      </c>
      <c r="V12" s="4">
        <v>9</v>
      </c>
      <c r="W12" s="4">
        <f>[1]节奏总纲!W12</f>
        <v>0.12496485648136657</v>
      </c>
      <c r="X12" s="4">
        <f>[1]节奏总纲!X12</f>
        <v>0.10612276252766528</v>
      </c>
      <c r="Y12" s="4">
        <f>[1]节奏总纲!Y12</f>
        <v>8.7317086965316815E-2</v>
      </c>
      <c r="Z12" s="4">
        <f>[1]节奏总纲!Z12</f>
        <v>6.5709592214096946E-2</v>
      </c>
      <c r="AA12" s="4">
        <f>[1]节奏总纲!AA12</f>
        <v>3.613355262144205E-2</v>
      </c>
      <c r="AC12" s="4">
        <v>9</v>
      </c>
      <c r="AD12" s="4">
        <f>[1]节奏总纲!AD12</f>
        <v>33.213386604241784</v>
      </c>
      <c r="AE12" s="4">
        <f>[1]节奏总纲!AE12</f>
        <v>34.992730785174565</v>
      </c>
      <c r="AF12" s="4">
        <f>[1]节奏总纲!AF12</f>
        <v>37.510565846691456</v>
      </c>
      <c r="AG12" s="4">
        <f>[1]节奏总纲!AG12</f>
        <v>41.534743419557365</v>
      </c>
      <c r="AH12" s="4">
        <f>[1]节奏总纲!AH12</f>
        <v>49.706056771838036</v>
      </c>
      <c r="AL12" s="4">
        <v>9</v>
      </c>
      <c r="AM12" s="4">
        <f>[1]节奏总纲!AM12</f>
        <v>0.57090651823243421</v>
      </c>
      <c r="AN12" s="4">
        <f>[1]节奏总纲!AN12</f>
        <v>0.45672521458594739</v>
      </c>
      <c r="AO12" s="4">
        <f>[1]节奏总纲!AO12</f>
        <v>0.34254391093946052</v>
      </c>
      <c r="AP12" s="4">
        <f>[1]节奏总纲!AP12</f>
        <v>0.2283626072929737</v>
      </c>
      <c r="AQ12" s="4">
        <f>[1]节奏总纲!AQ12</f>
        <v>0.11418130364648685</v>
      </c>
      <c r="AS12" s="4">
        <v>9</v>
      </c>
      <c r="AT12" s="4">
        <f>[1]节奏总纲!AT12</f>
        <v>0.14430556029806707</v>
      </c>
      <c r="AU12" s="4">
        <f>[1]节奏总纲!AU12</f>
        <v>0.11544444823845368</v>
      </c>
      <c r="AV12" s="4">
        <f>[1]节奏总纲!AV12</f>
        <v>8.6583336178840231E-2</v>
      </c>
      <c r="AW12" s="4">
        <f>[1]节奏总纲!AW12</f>
        <v>5.7722224119226839E-2</v>
      </c>
      <c r="AX12" s="4">
        <f>[1]节奏总纲!AX12</f>
        <v>2.886111205961342E-2</v>
      </c>
      <c r="AY12" s="4"/>
      <c r="AZ12" s="4">
        <v>9</v>
      </c>
      <c r="BA12" s="4">
        <f>[1]节奏总纲!BA12</f>
        <v>23.100336713798686</v>
      </c>
      <c r="BB12" s="4">
        <f>[1]节奏总纲!BB12</f>
        <v>24.402761517547276</v>
      </c>
      <c r="BC12" s="4">
        <f>[1]节奏总纲!BC12</f>
        <v>26.127796402772656</v>
      </c>
      <c r="BD12" s="4">
        <f>[1]节奏总纲!BD12</f>
        <v>28.568390277483555</v>
      </c>
      <c r="BE12" s="4">
        <f>[1]节奏总纲!BE12</f>
        <v>32.842201900114915</v>
      </c>
    </row>
    <row r="13" spans="2:57">
      <c r="B13" s="4">
        <v>60</v>
      </c>
      <c r="C13" s="4">
        <v>63</v>
      </c>
      <c r="D13" s="4">
        <v>32</v>
      </c>
      <c r="F13" s="4">
        <v>11</v>
      </c>
      <c r="G13" s="4">
        <v>1.1435469250725863</v>
      </c>
      <c r="I13" s="4">
        <v>11</v>
      </c>
      <c r="J13" s="4">
        <v>0.93464628919691628</v>
      </c>
      <c r="K13" s="12">
        <v>0.52</v>
      </c>
      <c r="N13" s="4">
        <f>[1]节奏总纲!N13</f>
        <v>20</v>
      </c>
      <c r="O13" s="4">
        <v>10</v>
      </c>
      <c r="P13" s="4">
        <f>[1]节奏总纲!P13</f>
        <v>1</v>
      </c>
      <c r="Q13" s="4">
        <f>[1]节奏总纲!Q13</f>
        <v>0.8548</v>
      </c>
      <c r="R13" s="4">
        <f>[1]节奏总纲!R13</f>
        <v>0.6895</v>
      </c>
      <c r="S13" s="4">
        <f>[1]节奏总纲!S13</f>
        <v>0.49980000000000002</v>
      </c>
      <c r="T13" s="4">
        <f>[1]节奏总纲!T13</f>
        <v>0.2732</v>
      </c>
      <c r="V13" s="4">
        <v>10</v>
      </c>
      <c r="W13" s="4">
        <f>[1]节奏总纲!W13</f>
        <v>0.13393401692638518</v>
      </c>
      <c r="X13" s="4">
        <f>[1]节奏总纲!X13</f>
        <v>0.11777784840435379</v>
      </c>
      <c r="Y13" s="4">
        <f>[1]节奏总纲!Y13</f>
        <v>9.6677834586110678E-2</v>
      </c>
      <c r="Z13" s="4">
        <f>[1]节奏总纲!Z13</f>
        <v>7.2136617558249017E-2</v>
      </c>
      <c r="AA13" s="4">
        <f>[1]节奏总纲!AA13</f>
        <v>4.1267529732885971E-2</v>
      </c>
      <c r="AC13" s="4">
        <v>10</v>
      </c>
      <c r="AD13" s="4">
        <f>[1]节奏总纲!AD13</f>
        <v>34.585942742481357</v>
      </c>
      <c r="AE13" s="4">
        <f>[1]节奏总纲!AE13</f>
        <v>36.36169634498642</v>
      </c>
      <c r="AF13" s="4">
        <f>[1]节奏总纲!AF13</f>
        <v>38.977035507933373</v>
      </c>
      <c r="AG13" s="4">
        <f>[1]节奏总纲!AG13</f>
        <v>42.970748198558951</v>
      </c>
      <c r="AH13" s="4">
        <f>[1]节奏总纲!AH13</f>
        <v>51.212821897464167</v>
      </c>
      <c r="AL13" s="4">
        <v>10</v>
      </c>
      <c r="AM13" s="4">
        <f>[1]节奏总纲!AM13</f>
        <v>0.75</v>
      </c>
      <c r="AN13" s="4">
        <f>[1]节奏总纲!AN13</f>
        <v>0.60000000000000009</v>
      </c>
      <c r="AO13" s="4">
        <f>[1]节奏总纲!AO13</f>
        <v>0.44999999999999996</v>
      </c>
      <c r="AP13" s="4">
        <f>[1]节奏总纲!AP13</f>
        <v>0.30000000000000004</v>
      </c>
      <c r="AQ13" s="4">
        <f>[1]节奏总纲!AQ13</f>
        <v>0.15000000000000002</v>
      </c>
      <c r="AS13" s="4">
        <v>10</v>
      </c>
      <c r="AT13" s="4">
        <f>[1]节奏总纲!AT13</f>
        <v>0.17909348176756579</v>
      </c>
      <c r="AU13" s="4">
        <f>[1]节奏总纲!AU13</f>
        <v>0.1432747854140527</v>
      </c>
      <c r="AV13" s="4">
        <f>[1]节奏总纲!AV13</f>
        <v>0.10745608906053944</v>
      </c>
      <c r="AW13" s="4">
        <f>[1]节奏总纲!AW13</f>
        <v>7.1637392707026348E-2</v>
      </c>
      <c r="AX13" s="4">
        <f>[1]节奏总纲!AX13</f>
        <v>3.5818696353513174E-2</v>
      </c>
      <c r="AY13" s="4"/>
      <c r="AZ13" s="4">
        <v>10</v>
      </c>
      <c r="BA13" s="4">
        <f>[1]节奏总纲!BA13</f>
        <v>23.710496742673982</v>
      </c>
      <c r="BB13" s="4">
        <f>[1]节奏总纲!BB13</f>
        <v>25.044229735272328</v>
      </c>
      <c r="BC13" s="4">
        <f>[1]节奏总纲!BC13</f>
        <v>26.755953543357073</v>
      </c>
      <c r="BD13" s="4">
        <f>[1]节奏总纲!BD13</f>
        <v>29.216428548527322</v>
      </c>
      <c r="BE13" s="4">
        <f>[1]节奏总纲!BE13</f>
        <v>33.487933395889513</v>
      </c>
    </row>
    <row r="14" spans="2:57">
      <c r="B14" s="4">
        <v>70</v>
      </c>
      <c r="C14" s="4">
        <v>127</v>
      </c>
      <c r="D14" s="4">
        <v>64</v>
      </c>
      <c r="F14" s="4">
        <v>12</v>
      </c>
      <c r="G14" s="4">
        <v>1.2973967099940702</v>
      </c>
      <c r="I14" s="4">
        <v>12</v>
      </c>
      <c r="J14" s="4">
        <v>1.1550685436347259</v>
      </c>
      <c r="K14" s="12">
        <v>0.54</v>
      </c>
      <c r="N14" s="4">
        <f>[1]节奏总纲!N14</f>
        <v>21</v>
      </c>
      <c r="O14" s="4">
        <v>11</v>
      </c>
      <c r="P14" s="4">
        <f>[1]节奏总纲!P14</f>
        <v>1.1435469250725863</v>
      </c>
      <c r="Q14" s="4">
        <f>[1]节奏总纲!Q14</f>
        <v>0.98036277886472811</v>
      </c>
      <c r="R14" s="4">
        <f>[1]节奏总纲!R14</f>
        <v>0.79453640354043287</v>
      </c>
      <c r="S14" s="4">
        <f>[1]节奏总纲!S14</f>
        <v>0.57577587677404707</v>
      </c>
      <c r="T14" s="4">
        <f>[1]节奏总纲!T14</f>
        <v>0.31767733578516444</v>
      </c>
      <c r="V14" s="4">
        <v>11</v>
      </c>
      <c r="W14" s="4">
        <f>[1]节奏总纲!W14</f>
        <v>0.14354692507258626</v>
      </c>
      <c r="X14" s="4">
        <f>[1]节奏总纲!X14</f>
        <v>0.12556277886472811</v>
      </c>
      <c r="Y14" s="4">
        <f>[1]节奏总纲!Y14</f>
        <v>0.10503640354043287</v>
      </c>
      <c r="Z14" s="4">
        <f>[1]节奏总纲!Z14</f>
        <v>7.5975876774047046E-2</v>
      </c>
      <c r="AA14" s="4">
        <f>[1]节奏总纲!AA14</f>
        <v>4.447733578516444E-2</v>
      </c>
      <c r="AC14" s="4">
        <v>11</v>
      </c>
      <c r="AD14" s="4">
        <f>[1]节奏总纲!AD14</f>
        <v>35.845161563010116</v>
      </c>
      <c r="AE14" s="4">
        <f>[1]节奏总纲!AE14</f>
        <v>37.6388925299823</v>
      </c>
      <c r="AF14" s="4">
        <f>[1]节奏总纲!AF14</f>
        <v>40.259528204263837</v>
      </c>
      <c r="AG14" s="4">
        <f>[1]节奏总纲!AG14</f>
        <v>44.288230531994081</v>
      </c>
      <c r="AH14" s="4">
        <f>[1]节奏总纲!AH14</f>
        <v>52.559419343629337</v>
      </c>
      <c r="AL14" s="4">
        <v>11</v>
      </c>
      <c r="AM14" s="4">
        <f>[1]节奏总纲!AM14</f>
        <v>0.93464628919691628</v>
      </c>
      <c r="AN14" s="4">
        <f>[1]节奏总纲!AN14</f>
        <v>0.74771703135753309</v>
      </c>
      <c r="AO14" s="4">
        <f>[1]节奏总纲!AO14</f>
        <v>0.56078777351814979</v>
      </c>
      <c r="AP14" s="4">
        <f>[1]节奏总纲!AP14</f>
        <v>0.37385851567876655</v>
      </c>
      <c r="AQ14" s="4">
        <f>[1]节奏总纲!AQ14</f>
        <v>0.18692925783938327</v>
      </c>
      <c r="AS14" s="4">
        <v>11</v>
      </c>
      <c r="AT14" s="4">
        <f>[1]节奏总纲!AT14</f>
        <v>0.18464628919691628</v>
      </c>
      <c r="AU14" s="4">
        <f>[1]节奏总纲!AU14</f>
        <v>0.147717031357533</v>
      </c>
      <c r="AV14" s="4">
        <f>[1]节奏总纲!AV14</f>
        <v>0.11078777351814983</v>
      </c>
      <c r="AW14" s="4">
        <f>[1]节奏总纲!AW14</f>
        <v>7.3858515678766501E-2</v>
      </c>
      <c r="AX14" s="4">
        <f>[1]节奏总纲!AX14</f>
        <v>3.692925783938325E-2</v>
      </c>
      <c r="AY14" s="4"/>
      <c r="AZ14" s="4">
        <v>11</v>
      </c>
      <c r="BA14" s="4">
        <f>[1]节奏总纲!BA14</f>
        <v>24.272927064840161</v>
      </c>
      <c r="BB14" s="4">
        <f>[1]节奏总纲!BB14</f>
        <v>25.597101426176433</v>
      </c>
      <c r="BC14" s="4">
        <f>[1]节奏总纲!BC14</f>
        <v>27.327481651231444</v>
      </c>
      <c r="BD14" s="4">
        <f>[1]节奏总纲!BD14</f>
        <v>29.80118336305917</v>
      </c>
      <c r="BE14" s="4">
        <f>[1]节奏总纲!BE14</f>
        <v>34.09469189131628</v>
      </c>
    </row>
    <row r="15" spans="2:57">
      <c r="B15" s="4">
        <v>80</v>
      </c>
      <c r="C15" s="4">
        <v>255</v>
      </c>
      <c r="D15" s="4">
        <v>128</v>
      </c>
      <c r="F15" s="4">
        <v>13</v>
      </c>
      <c r="G15" s="4">
        <v>1.4622888266898326</v>
      </c>
      <c r="I15" s="4">
        <v>13</v>
      </c>
      <c r="J15" s="4">
        <v>1.417602554491646</v>
      </c>
      <c r="K15" s="12">
        <v>0.56000000000000005</v>
      </c>
      <c r="N15" s="4">
        <f>[1]节奏总纲!N15</f>
        <v>22</v>
      </c>
      <c r="O15" s="4">
        <v>12</v>
      </c>
      <c r="P15" s="4">
        <f>[1]节奏总纲!P15</f>
        <v>1.2973967099940702</v>
      </c>
      <c r="Q15" s="4">
        <f>[1]节奏总纲!Q15</f>
        <v>1.1126474184909145</v>
      </c>
      <c r="R15" s="4">
        <f>[1]节奏总纲!R15</f>
        <v>0.9058423829178599</v>
      </c>
      <c r="S15" s="4">
        <f>[1]节奏总纲!S15</f>
        <v>0.66219128078097333</v>
      </c>
      <c r="T15" s="4">
        <f>[1]节奏总纲!T15</f>
        <v>0.36560639287632896</v>
      </c>
      <c r="V15" s="4">
        <v>12</v>
      </c>
      <c r="W15" s="4">
        <f>[1]节奏总纲!W15</f>
        <v>0.15384978492148393</v>
      </c>
      <c r="X15" s="4">
        <f>[1]节奏总纲!X15</f>
        <v>0.13228463962618642</v>
      </c>
      <c r="Y15" s="4">
        <f>[1]节奏总纲!Y15</f>
        <v>0.11130597937742703</v>
      </c>
      <c r="Z15" s="4">
        <f>[1]节奏总纲!Z15</f>
        <v>8.6415404006926266E-2</v>
      </c>
      <c r="AA15" s="4">
        <f>[1]节奏总纲!AA15</f>
        <v>4.7929057091164518E-2</v>
      </c>
      <c r="AC15" s="4">
        <v>12</v>
      </c>
      <c r="AD15" s="4">
        <f>[1]节奏总纲!AD15</f>
        <v>37.004247194324648</v>
      </c>
      <c r="AE15" s="4">
        <f>[1]节奏总纲!AE15</f>
        <v>38.827998824669805</v>
      </c>
      <c r="AF15" s="4">
        <f>[1]节奏总纲!AF15</f>
        <v>41.408320762540754</v>
      </c>
      <c r="AG15" s="4">
        <f>[1]节奏总纲!AG15</f>
        <v>45.500930067545958</v>
      </c>
      <c r="AH15" s="4">
        <f>[1]节奏总纲!AH15</f>
        <v>53.855547243088772</v>
      </c>
      <c r="AL15" s="4">
        <v>12</v>
      </c>
      <c r="AM15" s="4">
        <f>[1]节奏总纲!AM15</f>
        <v>1.1550685436347259</v>
      </c>
      <c r="AN15" s="4">
        <f>[1]节奏总纲!AN15</f>
        <v>0.92405483490778073</v>
      </c>
      <c r="AO15" s="4">
        <f>[1]节奏总纲!AO15</f>
        <v>0.69304112618083547</v>
      </c>
      <c r="AP15" s="4">
        <f>[1]节奏总纲!AP15</f>
        <v>0.46202741745389037</v>
      </c>
      <c r="AQ15" s="4">
        <f>[1]节奏总纲!AQ15</f>
        <v>0.23101370872694518</v>
      </c>
      <c r="AS15" s="4">
        <v>12</v>
      </c>
      <c r="AT15" s="4">
        <f>[1]节奏总纲!AT15</f>
        <v>0.22042225443780961</v>
      </c>
      <c r="AU15" s="4">
        <f>[1]节奏总纲!AU15</f>
        <v>0.17633780355024764</v>
      </c>
      <c r="AV15" s="4">
        <f>[1]节奏总纲!AV15</f>
        <v>0.13225335266268567</v>
      </c>
      <c r="AW15" s="4">
        <f>[1]节奏总纲!AW15</f>
        <v>8.816890177512382E-2</v>
      </c>
      <c r="AX15" s="4">
        <f>[1]节奏总纲!AX15</f>
        <v>4.408445088756191E-2</v>
      </c>
      <c r="AY15" s="4"/>
      <c r="AZ15" s="4">
        <v>12</v>
      </c>
      <c r="BA15" s="4">
        <f>[1]节奏总纲!BA15</f>
        <v>24.792264875668618</v>
      </c>
      <c r="BB15" s="4">
        <f>[1]节奏总纲!BB15</f>
        <v>26.127796402772656</v>
      </c>
      <c r="BC15" s="4">
        <f>[1]节奏总纲!BC15</f>
        <v>27.863030247590562</v>
      </c>
      <c r="BD15" s="4">
        <f>[1]节奏总纲!BD15</f>
        <v>30.329493925593439</v>
      </c>
      <c r="BE15" s="4">
        <f>[1]节奏总纲!BE15</f>
        <v>34.627226072894942</v>
      </c>
    </row>
    <row r="16" spans="2:57">
      <c r="B16" s="4">
        <v>90</v>
      </c>
      <c r="C16" s="4">
        <v>511</v>
      </c>
      <c r="D16" s="4">
        <v>256</v>
      </c>
      <c r="F16" s="4">
        <v>14</v>
      </c>
      <c r="G16" s="4">
        <v>1.6390158215457884</v>
      </c>
      <c r="I16" s="4">
        <v>14</v>
      </c>
      <c r="J16" s="4">
        <v>1.7296773068470075</v>
      </c>
      <c r="K16" s="12">
        <v>0.57999999999999996</v>
      </c>
      <c r="N16" s="4">
        <f>[1]节奏总纲!N16</f>
        <v>23</v>
      </c>
      <c r="O16" s="4">
        <v>13</v>
      </c>
      <c r="P16" s="4">
        <f>[1]节奏总纲!P16</f>
        <v>1.4622888266898326</v>
      </c>
      <c r="Q16" s="4">
        <f>[1]节奏总纲!Q16</f>
        <v>1.2628326307293396</v>
      </c>
      <c r="R16" s="4">
        <f>[1]节奏总纲!R16</f>
        <v>1.0294513339896421</v>
      </c>
      <c r="S16" s="4">
        <f>[1]节奏总纲!S16</f>
        <v>0.75556463675063656</v>
      </c>
      <c r="T16" s="4">
        <f>[1]节奏总纲!T16</f>
        <v>0.41865329108129906</v>
      </c>
      <c r="V16" s="4">
        <v>13</v>
      </c>
      <c r="W16" s="4">
        <f>[1]节奏总纲!W16</f>
        <v>0.16489211669576243</v>
      </c>
      <c r="X16" s="4">
        <f>[1]节奏总纲!X16</f>
        <v>0.15018521223842507</v>
      </c>
      <c r="Y16" s="4">
        <f>[1]节奏总纲!Y16</f>
        <v>0.12360895107178216</v>
      </c>
      <c r="Z16" s="4">
        <f>[1]节奏总纲!Z16</f>
        <v>9.337335596966323E-2</v>
      </c>
      <c r="AA16" s="4">
        <f>[1]节奏总纲!AA16</f>
        <v>5.3046898204970105E-2</v>
      </c>
      <c r="AC16" s="4">
        <v>13</v>
      </c>
      <c r="AD16" s="4">
        <f>[1]节奏总纲!AD16</f>
        <v>38.071211008105138</v>
      </c>
      <c r="AE16" s="4">
        <f>[1]节奏总纲!AE16</f>
        <v>39.935302111946527</v>
      </c>
      <c r="AF16" s="4">
        <f>[1]节奏总纲!AF16</f>
        <v>42.470214785133983</v>
      </c>
      <c r="AG16" s="4">
        <f>[1]节奏总纲!AG16</f>
        <v>46.631096344914496</v>
      </c>
      <c r="AH16" s="4">
        <f>[1]节奏总纲!AH16</f>
        <v>55.062101953238496</v>
      </c>
      <c r="AL16" s="4">
        <v>13</v>
      </c>
      <c r="AM16" s="4">
        <f>[1]节奏总纲!AM16</f>
        <v>1.417602554491646</v>
      </c>
      <c r="AN16" s="4">
        <f>[1]节奏总纲!AN16</f>
        <v>1.1340820435933168</v>
      </c>
      <c r="AO16" s="4">
        <f>[1]节奏总纲!AO16</f>
        <v>0.85056153269498758</v>
      </c>
      <c r="AP16" s="4">
        <f>[1]节奏总纲!AP16</f>
        <v>0.56704102179665838</v>
      </c>
      <c r="AQ16" s="4">
        <f>[1]节奏总纲!AQ16</f>
        <v>0.28352051089832919</v>
      </c>
      <c r="AS16" s="4">
        <v>13</v>
      </c>
      <c r="AT16" s="4">
        <f>[1]节奏总纲!AT16</f>
        <v>0.26253401085692007</v>
      </c>
      <c r="AU16" s="4">
        <f>[1]节奏总纲!AU16</f>
        <v>0.21002720868553604</v>
      </c>
      <c r="AV16" s="4">
        <f>[1]节奏总纲!AV16</f>
        <v>0.15752040651415211</v>
      </c>
      <c r="AW16" s="4">
        <f>[1]节奏总纲!AW16</f>
        <v>0.10501360434276802</v>
      </c>
      <c r="AX16" s="4">
        <f>[1]节奏总纲!AX16</f>
        <v>5.2506802171384009E-2</v>
      </c>
      <c r="AY16" s="4"/>
      <c r="AZ16" s="4">
        <v>13</v>
      </c>
      <c r="BA16" s="4">
        <f>[1]节奏总纲!BA16</f>
        <v>25.265378411633971</v>
      </c>
      <c r="BB16" s="4">
        <f>[1]节奏总纲!BB16</f>
        <v>26.598914258210968</v>
      </c>
      <c r="BC16" s="4">
        <f>[1]节奏总纲!BC16</f>
        <v>28.339982398803929</v>
      </c>
      <c r="BD16" s="4">
        <f>[1]节奏总纲!BD16</f>
        <v>30.828727146189561</v>
      </c>
      <c r="BE16" s="4">
        <f>[1]节奏总纲!BE16</f>
        <v>35.146386283795508</v>
      </c>
    </row>
    <row r="17" spans="2:57">
      <c r="B17" s="4">
        <v>100</v>
      </c>
      <c r="C17" s="4">
        <v>1023</v>
      </c>
      <c r="D17" s="4">
        <v>512</v>
      </c>
      <c r="F17" s="4">
        <v>15</v>
      </c>
      <c r="G17" s="4">
        <v>1.8284271247461898</v>
      </c>
      <c r="I17" s="4">
        <v>15</v>
      </c>
      <c r="J17" s="4">
        <v>2.1</v>
      </c>
      <c r="K17" s="12">
        <v>0.6</v>
      </c>
      <c r="N17" s="4">
        <f>[1]节奏总纲!N17</f>
        <v>24</v>
      </c>
      <c r="O17" s="4">
        <v>14</v>
      </c>
      <c r="P17" s="4">
        <f>[1]节奏总纲!P17</f>
        <v>1.6390158215457884</v>
      </c>
      <c r="Q17" s="4">
        <f>[1]节奏总纲!Q17</f>
        <v>1.4136511460832426</v>
      </c>
      <c r="R17" s="4">
        <f>[1]节奏总纲!R17</f>
        <v>1.1545227446968533</v>
      </c>
      <c r="S17" s="4">
        <f>[1]节奏总纲!S17</f>
        <v>0.84605996708193598</v>
      </c>
      <c r="T17" s="4">
        <f>[1]节奏总纲!T17</f>
        <v>0.46810291863347719</v>
      </c>
      <c r="V17" s="4">
        <v>14</v>
      </c>
      <c r="W17" s="4">
        <f>[1]节奏总纲!W17</f>
        <v>0.17672699485595578</v>
      </c>
      <c r="X17" s="4">
        <f>[1]节奏总纲!X17</f>
        <v>0.150818515353903</v>
      </c>
      <c r="Y17" s="4">
        <f>[1]节奏总纲!Y17</f>
        <v>0.12507141070721128</v>
      </c>
      <c r="Z17" s="4">
        <f>[1]节奏总纲!Z17</f>
        <v>9.0495330331299417E-2</v>
      </c>
      <c r="AA17" s="4">
        <f>[1]节奏总纲!AA17</f>
        <v>4.9449627552178133E-2</v>
      </c>
      <c r="AC17" s="4">
        <v>14</v>
      </c>
      <c r="AD17" s="4">
        <f>[1]节奏总纲!AD17</f>
        <v>39.066704614192943</v>
      </c>
      <c r="AE17" s="4">
        <f>[1]节奏总纲!AE17</f>
        <v>40.935169244165145</v>
      </c>
      <c r="AF17" s="4">
        <f>[1]节奏总纲!AF17</f>
        <v>43.484929789964411</v>
      </c>
      <c r="AG17" s="4">
        <f>[1]节奏总纲!AG17</f>
        <v>47.711408234944486</v>
      </c>
      <c r="AH17" s="4">
        <f>[1]节奏总纲!AH17</f>
        <v>56.165983112651688</v>
      </c>
      <c r="AL17" s="4">
        <v>14</v>
      </c>
      <c r="AM17" s="4">
        <f>[1]节奏总纲!AM17</f>
        <v>1.7296773068470075</v>
      </c>
      <c r="AN17" s="4">
        <f>[1]节奏总纲!AN17</f>
        <v>1.383741845477606</v>
      </c>
      <c r="AO17" s="4">
        <f>[1]节奏总纲!AO17</f>
        <v>1.0378063841082044</v>
      </c>
      <c r="AP17" s="4">
        <f>[1]节奏总纲!AP17</f>
        <v>0.69187092273880302</v>
      </c>
      <c r="AQ17" s="4">
        <f>[1]节奏总纲!AQ17</f>
        <v>0.34593546136940151</v>
      </c>
      <c r="AS17" s="4">
        <v>14</v>
      </c>
      <c r="AT17" s="4">
        <f>[1]节奏总纲!AT17</f>
        <v>0.31207475235536153</v>
      </c>
      <c r="AU17" s="4">
        <f>[1]节奏总纲!AU17</f>
        <v>0.24965980188428927</v>
      </c>
      <c r="AV17" s="4">
        <f>[1]节奏总纲!AV17</f>
        <v>0.18724485141321678</v>
      </c>
      <c r="AW17" s="4">
        <f>[1]节奏总纲!AW17</f>
        <v>0.12482990094214463</v>
      </c>
      <c r="AX17" s="4">
        <f>[1]节奏总纲!AX17</f>
        <v>6.2414950471072317E-2</v>
      </c>
      <c r="AY17" s="4"/>
      <c r="AZ17" s="4">
        <v>14</v>
      </c>
      <c r="BA17" s="4">
        <f>[1]节奏总纲!BA17</f>
        <v>25.707675764357255</v>
      </c>
      <c r="BB17" s="4">
        <f>[1]节奏总纲!BB17</f>
        <v>27.059707353051884</v>
      </c>
      <c r="BC17" s="4">
        <f>[1]节奏总纲!BC17</f>
        <v>28.796798156163181</v>
      </c>
      <c r="BD17" s="4">
        <f>[1]节奏总纲!BD17</f>
        <v>31.280110398778046</v>
      </c>
      <c r="BE17" s="4">
        <f>[1]节奏总纲!BE17</f>
        <v>35.634340563113874</v>
      </c>
    </row>
    <row r="18" spans="2:57">
      <c r="F18" s="4">
        <v>16</v>
      </c>
      <c r="G18" s="4">
        <v>2.031433133020796</v>
      </c>
      <c r="I18" s="4">
        <v>16</v>
      </c>
      <c r="J18" s="4">
        <v>2.5387719203926467</v>
      </c>
      <c r="K18" s="12">
        <v>0.62</v>
      </c>
      <c r="N18" s="4">
        <f>[1]节奏总纲!N18</f>
        <v>25</v>
      </c>
      <c r="O18" s="4">
        <v>15</v>
      </c>
      <c r="P18" s="4">
        <f>[1]节奏总纲!P18</f>
        <v>1.8284271247461898</v>
      </c>
      <c r="Q18" s="4">
        <f>[1]节奏总纲!Q18</f>
        <v>1.5793953503557587</v>
      </c>
      <c r="R18" s="4">
        <f>[1]节奏总纲!R18</f>
        <v>1.2928808199080308</v>
      </c>
      <c r="S18" s="4">
        <f>[1]节奏总纲!S18</f>
        <v>0.94895367774327255</v>
      </c>
      <c r="T18" s="4">
        <f>[1]节奏总纲!T18</f>
        <v>0.5271355400643265</v>
      </c>
      <c r="V18" s="4">
        <v>15</v>
      </c>
      <c r="W18" s="4">
        <f>[1]节奏总纲!W18</f>
        <v>0.18941130320040145</v>
      </c>
      <c r="X18" s="4">
        <f>[1]节奏总纲!X18</f>
        <v>0.16574420427251613</v>
      </c>
      <c r="Y18" s="4">
        <f>[1]节奏总纲!Y18</f>
        <v>0.13835807521117749</v>
      </c>
      <c r="Z18" s="4">
        <f>[1]节奏总纲!Z18</f>
        <v>0.10289371066133657</v>
      </c>
      <c r="AA18" s="4">
        <f>[1]节奏总纲!AA18</f>
        <v>5.9032621430849308E-2</v>
      </c>
      <c r="AC18" s="4">
        <v>15</v>
      </c>
      <c r="AD18" s="4">
        <f>[1]节奏总纲!AD18</f>
        <v>40</v>
      </c>
      <c r="AE18" s="4">
        <f>[1]节奏总纲!AE18</f>
        <v>41.83669503626701</v>
      </c>
      <c r="AF18" s="4">
        <f>[1]节奏总纲!AF18</f>
        <v>44.442238853326032</v>
      </c>
      <c r="AG18" s="4">
        <f>[1]节奏总纲!AG18</f>
        <v>48.731413734867289</v>
      </c>
      <c r="AH18" s="4">
        <f>[1]节奏总纲!AH18</f>
        <v>57.176846218996921</v>
      </c>
      <c r="AL18" s="4">
        <v>15</v>
      </c>
      <c r="AM18" s="4">
        <f>[1]节奏总纲!AM18</f>
        <v>2.1</v>
      </c>
      <c r="AN18" s="4">
        <f>[1]节奏总纲!AN18</f>
        <v>1.6800000000000002</v>
      </c>
      <c r="AO18" s="4">
        <f>[1]节奏总纲!AO18</f>
        <v>1.26</v>
      </c>
      <c r="AP18" s="4">
        <f>[1]节奏总纲!AP18</f>
        <v>0.84000000000000008</v>
      </c>
      <c r="AQ18" s="4">
        <f>[1]节奏总纲!AQ18</f>
        <v>0.42000000000000004</v>
      </c>
      <c r="AS18" s="4">
        <v>15</v>
      </c>
      <c r="AT18" s="4">
        <f>[1]节奏总纲!AT18</f>
        <v>0.3703226931529926</v>
      </c>
      <c r="AU18" s="4">
        <f>[1]节奏总纲!AU18</f>
        <v>0.29625815452239412</v>
      </c>
      <c r="AV18" s="4">
        <f>[1]节奏总纲!AV18</f>
        <v>0.22219361589179565</v>
      </c>
      <c r="AW18" s="4">
        <f>[1]节奏总纲!AW18</f>
        <v>0.14812907726119706</v>
      </c>
      <c r="AX18" s="4">
        <f>[1]节奏总纲!AX18</f>
        <v>7.4064538630598531E-2</v>
      </c>
      <c r="AY18" s="4"/>
      <c r="AZ18" s="4">
        <v>15</v>
      </c>
      <c r="BA18" s="4">
        <f>[1]节奏总纲!BA18</f>
        <v>26.127796402772656</v>
      </c>
      <c r="BB18" s="4">
        <f>[1]节奏总纲!BB18</f>
        <v>27.461368800321225</v>
      </c>
      <c r="BC18" s="4">
        <f>[1]节奏总纲!BC18</f>
        <v>29.216428548527322</v>
      </c>
      <c r="BD18" s="4">
        <f>[1]节奏总纲!BD18</f>
        <v>31.706504654507764</v>
      </c>
      <c r="BE18" s="4">
        <f>[1]节奏总纲!BE18</f>
        <v>36.105477566569242</v>
      </c>
    </row>
    <row r="19" spans="2:57">
      <c r="F19" s="4">
        <v>17</v>
      </c>
      <c r="G19" s="4">
        <v>2.2490095854249419</v>
      </c>
      <c r="I19" s="4">
        <v>17</v>
      </c>
      <c r="J19" s="4">
        <v>3.0579402515786085</v>
      </c>
      <c r="K19" s="12">
        <v>0.64</v>
      </c>
      <c r="N19" s="4">
        <f>[1]节奏总纲!N19</f>
        <v>26</v>
      </c>
      <c r="O19" s="4">
        <v>16</v>
      </c>
      <c r="P19" s="4">
        <f>[1]节奏总纲!P19</f>
        <v>2.031433133020796</v>
      </c>
      <c r="Q19" s="4">
        <f>[1]节奏总纲!Q19</f>
        <v>1.7586116632561031</v>
      </c>
      <c r="R19" s="4">
        <f>[1]节奏总纲!R19</f>
        <v>1.4398798046851402</v>
      </c>
      <c r="S19" s="4">
        <f>[1]节奏总纲!S19</f>
        <v>1.0618300986299702</v>
      </c>
      <c r="T19" s="4">
        <f>[1]节奏总纲!T19</f>
        <v>0.59460047803518701</v>
      </c>
      <c r="V19" s="4">
        <v>16</v>
      </c>
      <c r="W19" s="4">
        <f>[1]节奏总纲!W19</f>
        <v>0.20300600827460613</v>
      </c>
      <c r="X19" s="4">
        <f>[1]节奏总纲!X19</f>
        <v>0.17921631290034434</v>
      </c>
      <c r="Y19" s="4">
        <f>[1]节奏总纲!Y19</f>
        <v>0.14699898477710938</v>
      </c>
      <c r="Z19" s="4">
        <f>[1]节奏总纲!Z19</f>
        <v>0.11287642088669769</v>
      </c>
      <c r="AA19" s="4">
        <f>[1]节奏总纲!AA19</f>
        <v>6.7464937970860506E-2</v>
      </c>
      <c r="AC19" s="4">
        <v>16</v>
      </c>
      <c r="AD19" s="4">
        <f>[1]节奏总纲!AD19</f>
        <v>40.870795385807064</v>
      </c>
      <c r="AE19" s="4">
        <f>[1]节奏总纲!AE19</f>
        <v>42.707142308553742</v>
      </c>
      <c r="AF19" s="4">
        <f>[1]节奏总纲!AF19</f>
        <v>45.343250058486468</v>
      </c>
      <c r="AG19" s="4">
        <f>[1]节奏总纲!AG19</f>
        <v>49.654306534727205</v>
      </c>
      <c r="AH19" s="4">
        <f>[1]节奏总纲!AH19</f>
        <v>58.12511610143563</v>
      </c>
      <c r="AL19" s="4">
        <v>16</v>
      </c>
      <c r="AM19" s="4">
        <f>[1]节奏总纲!AM19</f>
        <v>2.5387719203926467</v>
      </c>
      <c r="AN19" s="4">
        <f>[1]节奏总纲!AN19</f>
        <v>2.0310175363141174</v>
      </c>
      <c r="AO19" s="4">
        <f>[1]节奏总纲!AO19</f>
        <v>1.5232631522355879</v>
      </c>
      <c r="AP19" s="4">
        <f>[1]节奏总纲!AP19</f>
        <v>1.0155087681570587</v>
      </c>
      <c r="AQ19" s="4">
        <f>[1]节奏总纲!AQ19</f>
        <v>0.50775438407852935</v>
      </c>
      <c r="AS19" s="4">
        <v>16</v>
      </c>
      <c r="AT19" s="4">
        <f>[1]节奏总纲!AT19</f>
        <v>0.43877192039264656</v>
      </c>
      <c r="AU19" s="4">
        <f>[1]节奏总纲!AU19</f>
        <v>0.35101753631411725</v>
      </c>
      <c r="AV19" s="4">
        <f>[1]节奏总纲!AV19</f>
        <v>0.26326315223558794</v>
      </c>
      <c r="AW19" s="4">
        <f>[1]节奏总纲!AW19</f>
        <v>0.17550876815705863</v>
      </c>
      <c r="AX19" s="4">
        <f>[1]节奏总纲!AX19</f>
        <v>8.7754384078529313E-2</v>
      </c>
      <c r="AY19" s="4"/>
      <c r="AZ19" s="4">
        <v>16</v>
      </c>
      <c r="BA19" s="4">
        <f>[1]节奏总纲!BA19</f>
        <v>26.504690687123308</v>
      </c>
      <c r="BB19" s="4">
        <f>[1]节奏总纲!BB19</f>
        <v>27.863030247590562</v>
      </c>
      <c r="BC19" s="4">
        <f>[1]节奏总纲!BC19</f>
        <v>29.606265091548554</v>
      </c>
      <c r="BD19" s="4">
        <f>[1]节奏总纲!BD19</f>
        <v>32.113552950216736</v>
      </c>
      <c r="BE19" s="4">
        <f>[1]节奏总纲!BE19</f>
        <v>36.526331209747774</v>
      </c>
    </row>
    <row r="20" spans="2:57">
      <c r="F20" s="4">
        <v>18</v>
      </c>
      <c r="G20" s="4">
        <v>2.4822022531844965</v>
      </c>
      <c r="I20" s="4">
        <v>18</v>
      </c>
      <c r="J20" s="4">
        <v>3.671491735587451</v>
      </c>
      <c r="K20" s="12">
        <v>0.66</v>
      </c>
      <c r="N20" s="4">
        <f>[1]节奏总纲!N20</f>
        <v>27</v>
      </c>
      <c r="O20" s="4">
        <v>17</v>
      </c>
      <c r="P20" s="4">
        <f>[1]节奏总纲!P20</f>
        <v>2.2490095854249419</v>
      </c>
      <c r="Q20" s="4">
        <f>[1]节奏总纲!Q20</f>
        <v>1.9433691827656923</v>
      </c>
      <c r="R20" s="4">
        <f>[1]节奏总纲!R20</f>
        <v>1.5904995788125189</v>
      </c>
      <c r="S20" s="4">
        <f>[1]节奏总纲!S20</f>
        <v>1.1742079045503622</v>
      </c>
      <c r="T20" s="4">
        <f>[1]节奏总纲!T20</f>
        <v>0.65311238360740309</v>
      </c>
      <c r="V20" s="4">
        <v>17</v>
      </c>
      <c r="W20" s="4">
        <f>[1]节奏总纲!W20</f>
        <v>0.21757645240414591</v>
      </c>
      <c r="X20" s="4">
        <f>[1]节奏总纲!X20</f>
        <v>0.18475751950958919</v>
      </c>
      <c r="Y20" s="4">
        <f>[1]节奏总纲!Y20</f>
        <v>0.1506197741273787</v>
      </c>
      <c r="Z20" s="4">
        <f>[1]节奏总纲!Z20</f>
        <v>0.11237780592039193</v>
      </c>
      <c r="AA20" s="4">
        <f>[1]节奏总纲!AA20</f>
        <v>5.8511905572216083E-2</v>
      </c>
      <c r="AC20" s="4">
        <v>17</v>
      </c>
      <c r="AD20" s="4">
        <f>[1]节奏总纲!AD20</f>
        <v>41.691928656135218</v>
      </c>
      <c r="AE20" s="4">
        <f>[1]节奏总纲!AE20</f>
        <v>43.535389560453282</v>
      </c>
      <c r="AF20" s="4">
        <f>[1]节奏总纲!AF20</f>
        <v>46.195785611164197</v>
      </c>
      <c r="AG20" s="4">
        <f>[1]节奏总纲!AG20</f>
        <v>50.510850036206186</v>
      </c>
      <c r="AH20" s="4">
        <f>[1]节奏总纲!AH20</f>
        <v>58.996855914896834</v>
      </c>
      <c r="AL20" s="4">
        <v>17</v>
      </c>
      <c r="AM20" s="4">
        <f>[1]节奏总纲!AM20</f>
        <v>3.0579402515786085</v>
      </c>
      <c r="AN20" s="4">
        <f>[1]节奏总纲!AN20</f>
        <v>2.4463522012628869</v>
      </c>
      <c r="AO20" s="4">
        <f>[1]节奏总纲!AO20</f>
        <v>1.8347641509471651</v>
      </c>
      <c r="AP20" s="4">
        <f>[1]节奏总纲!AP20</f>
        <v>1.2231761006314434</v>
      </c>
      <c r="AQ20" s="4">
        <f>[1]节奏总纲!AQ20</f>
        <v>0.61158805031572172</v>
      </c>
      <c r="AS20" s="4">
        <v>17</v>
      </c>
      <c r="AT20" s="4">
        <f>[1]节奏总纲!AT20</f>
        <v>0.51916833118596184</v>
      </c>
      <c r="AU20" s="4">
        <f>[1]节奏总纲!AU20</f>
        <v>0.41533466494876947</v>
      </c>
      <c r="AV20" s="4">
        <f>[1]节奏总纲!AV20</f>
        <v>0.3115009987115771</v>
      </c>
      <c r="AW20" s="4">
        <f>[1]节奏总纲!AW20</f>
        <v>0.20766733247438474</v>
      </c>
      <c r="AX20" s="4">
        <f>[1]节奏总纲!AX20</f>
        <v>0.10383366623719237</v>
      </c>
      <c r="AY20" s="4"/>
      <c r="AZ20" s="4">
        <v>17</v>
      </c>
      <c r="BA20" s="4">
        <f>[1]节奏总纲!BA20</f>
        <v>26.881584971473956</v>
      </c>
      <c r="BB20" s="4">
        <f>[1]节奏总纲!BB20</f>
        <v>28.225778459464117</v>
      </c>
      <c r="BC20" s="4">
        <f>[1]节奏总纲!BC20</f>
        <v>29.996101634569786</v>
      </c>
      <c r="BD20" s="4">
        <f>[1]节奏总纲!BD20</f>
        <v>32.477877425165822</v>
      </c>
      <c r="BE20" s="4">
        <f>[1]节奏总纲!BE20</f>
        <v>36.947184852926306</v>
      </c>
    </row>
    <row r="21" spans="2:57">
      <c r="F21" s="4">
        <v>19</v>
      </c>
      <c r="G21" s="4">
        <v>2.7321319661472296</v>
      </c>
      <c r="I21" s="4">
        <v>19</v>
      </c>
      <c r="J21" s="4">
        <v>4.3957950643309154</v>
      </c>
      <c r="K21" s="12">
        <v>0.68</v>
      </c>
      <c r="N21" s="4">
        <f>[1]节奏总纲!N21</f>
        <v>28</v>
      </c>
      <c r="O21" s="4">
        <v>18</v>
      </c>
      <c r="P21" s="4">
        <f>[1]节奏总纲!P21</f>
        <v>2.4822022531844965</v>
      </c>
      <c r="Q21" s="4">
        <f>[1]节奏总纲!Q21</f>
        <v>2.1515729130603214</v>
      </c>
      <c r="R21" s="4">
        <f>[1]节奏总纲!R21</f>
        <v>1.7690655458445907</v>
      </c>
      <c r="S21" s="4">
        <f>[1]节奏总纲!S21</f>
        <v>1.3066312660763189</v>
      </c>
      <c r="T21" s="4">
        <f>[1]节奏总纲!T21</f>
        <v>0.72554771860582834</v>
      </c>
      <c r="V21" s="4">
        <v>18</v>
      </c>
      <c r="W21" s="4">
        <f>[1]节奏总纲!W21</f>
        <v>0.23319266775955461</v>
      </c>
      <c r="X21" s="4">
        <f>[1]节奏总纲!X21</f>
        <v>0.20820373029462913</v>
      </c>
      <c r="Y21" s="4">
        <f>[1]节奏总纲!Y21</f>
        <v>0.17856596703207184</v>
      </c>
      <c r="Z21" s="4">
        <f>[1]节奏总纲!Z21</f>
        <v>0.13242336152595668</v>
      </c>
      <c r="AA21" s="4">
        <f>[1]节奏总纲!AA21</f>
        <v>7.2435334998425249E-2</v>
      </c>
      <c r="AC21" s="4">
        <v>18</v>
      </c>
      <c r="AD21" s="4">
        <f>[1]节奏总纲!AD21</f>
        <v>42.470630686057078</v>
      </c>
      <c r="AE21" s="4">
        <f>[1]节奏总纲!AE21</f>
        <v>44.32123076997032</v>
      </c>
      <c r="AF21" s="4">
        <f>[1]节奏总纲!AF21</f>
        <v>47.002405448181747</v>
      </c>
      <c r="AG21" s="4">
        <f>[1]节奏总纲!AG21</f>
        <v>51.307235833425089</v>
      </c>
      <c r="AH21" s="4">
        <f>[1]节奏总纲!AH21</f>
        <v>59.782901351568675</v>
      </c>
      <c r="AL21" s="4">
        <v>18</v>
      </c>
      <c r="AM21" s="4">
        <f>[1]节奏总纲!AM21</f>
        <v>3.671491735587451</v>
      </c>
      <c r="AN21" s="4">
        <f>[1]节奏总纲!AN21</f>
        <v>2.9371933884699608</v>
      </c>
      <c r="AO21" s="4">
        <f>[1]节奏总纲!AO21</f>
        <v>2.2028950413524706</v>
      </c>
      <c r="AP21" s="4">
        <f>[1]节奏总纲!AP21</f>
        <v>1.4685966942349804</v>
      </c>
      <c r="AQ21" s="4">
        <f>[1]节奏总纲!AQ21</f>
        <v>0.7342983471174902</v>
      </c>
      <c r="AS21" s="4">
        <v>18</v>
      </c>
      <c r="AT21" s="4">
        <f>[1]节奏总纲!AT21</f>
        <v>0.61355148400884252</v>
      </c>
      <c r="AU21" s="4">
        <f>[1]节奏总纲!AU21</f>
        <v>0.49084118720707393</v>
      </c>
      <c r="AV21" s="4">
        <f>[1]节奏总纲!AV21</f>
        <v>0.36813089040530556</v>
      </c>
      <c r="AW21" s="4">
        <f>[1]节奏总纲!AW21</f>
        <v>0.24542059360353696</v>
      </c>
      <c r="AX21" s="4">
        <f>[1]节奏总纲!AX21</f>
        <v>0.12271029680176848</v>
      </c>
      <c r="AY21" s="4"/>
      <c r="AZ21" s="4">
        <v>18</v>
      </c>
      <c r="BA21" s="4">
        <f>[1]节奏总纲!BA21</f>
        <v>27.220371931959619</v>
      </c>
      <c r="BB21" s="4">
        <f>[1]节奏总纲!BB21</f>
        <v>28.568390277483555</v>
      </c>
      <c r="BC21" s="4">
        <f>[1]节奏总纲!BC21</f>
        <v>30.329493925593439</v>
      </c>
      <c r="BD21" s="4">
        <f>[1]节奏总纲!BD21</f>
        <v>32.842201900114915</v>
      </c>
      <c r="BE21" s="4">
        <f>[1]节奏总纲!BE21</f>
        <v>37.317457773889828</v>
      </c>
    </row>
    <row r="22" spans="2:57">
      <c r="B22" s="161" t="s">
        <v>154</v>
      </c>
      <c r="C22" s="161"/>
      <c r="D22" s="161"/>
      <c r="F22" s="4">
        <v>20</v>
      </c>
      <c r="G22" s="4">
        <v>3</v>
      </c>
      <c r="I22" s="4">
        <v>20</v>
      </c>
      <c r="J22" s="4">
        <v>5.25</v>
      </c>
      <c r="K22" s="12">
        <v>0.7</v>
      </c>
      <c r="N22" s="4">
        <f>[1]节奏总纲!N22</f>
        <v>29</v>
      </c>
      <c r="O22" s="4">
        <v>19</v>
      </c>
      <c r="P22" s="4">
        <f>[1]节奏总纲!P22</f>
        <v>2.7321319661472296</v>
      </c>
      <c r="Q22" s="4">
        <f>[1]节奏总纲!Q22</f>
        <v>2.3734030389920986</v>
      </c>
      <c r="R22" s="4">
        <f>[1]节奏总纲!R22</f>
        <v>1.9510154370257367</v>
      </c>
      <c r="S22" s="4">
        <f>[1]节奏总纲!S22</f>
        <v>1.4395603329629754</v>
      </c>
      <c r="T22" s="4">
        <f>[1]节奏总纲!T22</f>
        <v>0.80270037165405606</v>
      </c>
      <c r="V22" s="4">
        <v>19</v>
      </c>
      <c r="W22" s="4">
        <f>[1]节奏总纲!W22</f>
        <v>0.24992971296273314</v>
      </c>
      <c r="X22" s="4">
        <f>[1]节奏总纲!X22</f>
        <v>0.2218301259317772</v>
      </c>
      <c r="Y22" s="4">
        <f>[1]节奏总纲!Y22</f>
        <v>0.18194989118114591</v>
      </c>
      <c r="Z22" s="4">
        <f>[1]节奏总纲!Z22</f>
        <v>0.13292906688665651</v>
      </c>
      <c r="AA22" s="4">
        <f>[1]节奏总纲!AA22</f>
        <v>7.7152653048227715E-2</v>
      </c>
      <c r="AC22" s="4">
        <v>19</v>
      </c>
      <c r="AD22" s="4">
        <f>[1]节奏总纲!AD22</f>
        <v>43.213386604241784</v>
      </c>
      <c r="AE22" s="4">
        <f>[1]节奏总纲!AE22</f>
        <v>45.070782602372333</v>
      </c>
      <c r="AF22" s="4">
        <f>[1]节奏总纲!AF22</f>
        <v>47.752799438858894</v>
      </c>
      <c r="AG22" s="4">
        <f>[1]节奏总纲!AG22</f>
        <v>52.050057424983954</v>
      </c>
      <c r="AH22" s="4">
        <f>[1]节奏总纲!AH22</f>
        <v>60.54585273688761</v>
      </c>
      <c r="AL22" s="4">
        <v>19</v>
      </c>
      <c r="AM22" s="4">
        <f>[1]节奏总纲!AM22</f>
        <v>4.3957950643309154</v>
      </c>
      <c r="AN22" s="4">
        <f>[1]节奏总纲!AN22</f>
        <v>3.5166360514647326</v>
      </c>
      <c r="AO22" s="4">
        <f>[1]节奏总纲!AO22</f>
        <v>2.6374770385985493</v>
      </c>
      <c r="AP22" s="4">
        <f>[1]节奏总纲!AP22</f>
        <v>1.7583180257323663</v>
      </c>
      <c r="AQ22" s="4">
        <f>[1]节奏总纲!AQ22</f>
        <v>0.87915901286618314</v>
      </c>
      <c r="AS22" s="4">
        <v>19</v>
      </c>
      <c r="AT22" s="4">
        <f>[1]节奏总纲!AT22</f>
        <v>0.72430332874346437</v>
      </c>
      <c r="AU22" s="4">
        <f>[1]节奏总纲!AU22</f>
        <v>0.57944266299477176</v>
      </c>
      <c r="AV22" s="4">
        <f>[1]节奏总纲!AV22</f>
        <v>0.43458199724607871</v>
      </c>
      <c r="AW22" s="4">
        <f>[1]节奏总纲!AW22</f>
        <v>0.28972133149738588</v>
      </c>
      <c r="AX22" s="4">
        <f>[1]节奏总纲!AX22</f>
        <v>0.14486066574869294</v>
      </c>
      <c r="AY22" s="4"/>
      <c r="AZ22" s="4">
        <v>19</v>
      </c>
      <c r="BA22" s="4">
        <f>[1]节奏总纲!BA22</f>
        <v>27.541701089775092</v>
      </c>
      <c r="BB22" s="4">
        <f>[1]节奏总纲!BB22</f>
        <v>28.911002095502997</v>
      </c>
      <c r="BC22" s="4">
        <f>[1]节奏总纲!BC22</f>
        <v>30.662316072657521</v>
      </c>
      <c r="BD22" s="4">
        <f>[1]节奏总纲!BD22</f>
        <v>33.176527924103851</v>
      </c>
      <c r="BE22" s="4">
        <f>[1]节奏总纲!BE22</f>
        <v>37.680472138177471</v>
      </c>
    </row>
    <row r="23" spans="2:57">
      <c r="B23" s="4" t="s">
        <v>161</v>
      </c>
      <c r="C23" s="4" t="s">
        <v>90</v>
      </c>
      <c r="D23" s="4" t="s">
        <v>153</v>
      </c>
      <c r="F23" s="4">
        <v>21</v>
      </c>
      <c r="G23" s="4">
        <v>3.2870938501451725</v>
      </c>
      <c r="I23" s="4">
        <v>21</v>
      </c>
      <c r="J23" s="4">
        <v>6.2565025247829205</v>
      </c>
      <c r="K23" s="12">
        <v>0.72</v>
      </c>
      <c r="N23" s="4">
        <f>[1]节奏总纲!N23</f>
        <v>30</v>
      </c>
      <c r="O23" s="4">
        <v>20</v>
      </c>
      <c r="P23" s="4">
        <f>[1]节奏总纲!P23</f>
        <v>3</v>
      </c>
      <c r="Q23" s="4">
        <f>[1]节奏总纲!Q23</f>
        <v>2.6036999999999999</v>
      </c>
      <c r="R23" s="4">
        <f>[1]节奏总纲!R23</f>
        <v>2.1372</v>
      </c>
      <c r="S23" s="4">
        <f>[1]节奏总纲!S23</f>
        <v>1.5800999999999998</v>
      </c>
      <c r="T23" s="4">
        <f>[1]节奏总纲!T23</f>
        <v>0.87990000000000002</v>
      </c>
      <c r="V23" s="4">
        <v>20</v>
      </c>
      <c r="W23" s="4">
        <f>[1]节奏总纲!W23</f>
        <v>0.26786803385277036</v>
      </c>
      <c r="X23" s="4">
        <f>[1]节奏总纲!X23</f>
        <v>0.23029696100790131</v>
      </c>
      <c r="Y23" s="4">
        <f>[1]节奏总纲!Y23</f>
        <v>0.18618456297426333</v>
      </c>
      <c r="Z23" s="4">
        <f>[1]节奏总纲!Z23</f>
        <v>0.14053966703702447</v>
      </c>
      <c r="AA23" s="4">
        <f>[1]节奏总纲!AA23</f>
        <v>7.719962834594396E-2</v>
      </c>
      <c r="AC23" s="4">
        <v>20</v>
      </c>
      <c r="AD23" s="4">
        <f>[1]节奏总纲!AD23</f>
        <v>43.920692243099523</v>
      </c>
      <c r="AE23" s="4">
        <f>[1]节奏总纲!AE23</f>
        <v>45.780025086357675</v>
      </c>
      <c r="AF23" s="4">
        <f>[1]节奏总纲!AF23</f>
        <v>48.482447528152484</v>
      </c>
      <c r="AG23" s="4">
        <f>[1]节奏总纲!AG23</f>
        <v>52.769987980532711</v>
      </c>
      <c r="AH23" s="4">
        <f>[1]节奏总纲!AH23</f>
        <v>61.261422558944936</v>
      </c>
      <c r="AL23" s="4">
        <v>20</v>
      </c>
      <c r="AM23" s="4">
        <f>[1]节奏总纲!AM23</f>
        <v>5.25</v>
      </c>
      <c r="AN23" s="4">
        <f>[1]节奏总纲!AN23</f>
        <v>4.2</v>
      </c>
      <c r="AO23" s="4">
        <f>[1]节奏总纲!AO23</f>
        <v>3.15</v>
      </c>
      <c r="AP23" s="4">
        <f>[1]节奏总纲!AP23</f>
        <v>2.1</v>
      </c>
      <c r="AQ23" s="4">
        <f>[1]节奏总纲!AQ23</f>
        <v>1.05</v>
      </c>
      <c r="AS23" s="4">
        <v>20</v>
      </c>
      <c r="AT23" s="4">
        <f>[1]节奏总纲!AT23</f>
        <v>0.85420493566908462</v>
      </c>
      <c r="AU23" s="4">
        <f>[1]节奏总纲!AU23</f>
        <v>0.68336394853526761</v>
      </c>
      <c r="AV23" s="4">
        <f>[1]节奏总纲!AV23</f>
        <v>0.51252296140145059</v>
      </c>
      <c r="AW23" s="4">
        <f>[1]节奏总纲!AW23</f>
        <v>0.3416819742676338</v>
      </c>
      <c r="AX23" s="4">
        <f>[1]节奏总纲!AX23</f>
        <v>0.1708409871338169</v>
      </c>
      <c r="AY23" s="4"/>
      <c r="AZ23" s="4">
        <v>20</v>
      </c>
      <c r="BA23" s="4">
        <f>[1]节奏总纲!BA23</f>
        <v>27.863030247590562</v>
      </c>
      <c r="BB23" s="4">
        <f>[1]节奏总纲!BB23</f>
        <v>29.216428548527322</v>
      </c>
      <c r="BC23" s="4">
        <f>[1]节奏总纲!BC23</f>
        <v>30.995138219721603</v>
      </c>
      <c r="BD23" s="4">
        <f>[1]节奏总纲!BD23</f>
        <v>33.487933395889513</v>
      </c>
      <c r="BE23" s="4">
        <f>[1]节奏总纲!BE23</f>
        <v>38.037513426486328</v>
      </c>
    </row>
    <row r="24" spans="2:57">
      <c r="B24" s="4">
        <v>5</v>
      </c>
      <c r="C24" s="4">
        <v>0.5</v>
      </c>
      <c r="D24" s="4">
        <v>0.5</v>
      </c>
      <c r="F24" s="4">
        <v>22</v>
      </c>
      <c r="G24" s="4">
        <v>3.5947934199881395</v>
      </c>
      <c r="I24" s="4">
        <v>22</v>
      </c>
      <c r="J24" s="4">
        <v>7.4414868317755332</v>
      </c>
      <c r="K24" s="12">
        <v>0.74</v>
      </c>
      <c r="N24" s="4">
        <f>[1]节奏总纲!N24</f>
        <v>31</v>
      </c>
      <c r="O24" s="4">
        <v>21</v>
      </c>
      <c r="P24" s="4">
        <f>[1]节奏总纲!P24</f>
        <v>3.2870938501451725</v>
      </c>
      <c r="Q24" s="4">
        <f>[1]节奏总纲!Q24</f>
        <v>2.8518826243859516</v>
      </c>
      <c r="R24" s="4">
        <f>[1]节奏总纲!R24</f>
        <v>2.3466562996186386</v>
      </c>
      <c r="S24" s="4">
        <f>[1]节奏总纲!S24</f>
        <v>1.7365716810316947</v>
      </c>
      <c r="T24" s="4">
        <f>[1]节奏总纲!T24</f>
        <v>0.97166494210291288</v>
      </c>
      <c r="V24" s="4">
        <v>21</v>
      </c>
      <c r="W24" s="4">
        <f>[1]节奏总纲!W24</f>
        <v>0.28709385014517252</v>
      </c>
      <c r="X24" s="4">
        <f>[1]节奏总纲!X24</f>
        <v>0.24818262438595173</v>
      </c>
      <c r="Y24" s="4">
        <f>[1]节奏总纲!Y24</f>
        <v>0.20945629961863865</v>
      </c>
      <c r="Z24" s="4">
        <f>[1]节奏总纲!Z24</f>
        <v>0.15647168103169484</v>
      </c>
      <c r="AA24" s="4">
        <f>[1]节奏总纲!AA24</f>
        <v>9.1764942102912861E-2</v>
      </c>
      <c r="AC24" s="4">
        <v>21</v>
      </c>
      <c r="AD24" s="4">
        <f>[1]节奏总纲!AD24</f>
        <v>44.585942742481357</v>
      </c>
      <c r="AE24" s="4">
        <f>[1]节奏总纲!AE24</f>
        <v>46.455967430551723</v>
      </c>
      <c r="AF24" s="4">
        <f>[1]节奏总纲!AF24</f>
        <v>49.18886033229559</v>
      </c>
      <c r="AG24" s="4">
        <f>[1]节奏总纲!AG24</f>
        <v>53.471660769826336</v>
      </c>
      <c r="AH24" s="4">
        <f>[1]节奏总纲!AH24</f>
        <v>61.918453772109508</v>
      </c>
      <c r="AL24" s="4">
        <v>21</v>
      </c>
      <c r="AM24" s="4">
        <f>[1]节奏总纲!AM24</f>
        <v>6.2565025247829205</v>
      </c>
      <c r="AN24" s="4">
        <f>[1]节奏总纲!AN24</f>
        <v>5.0052020198263367</v>
      </c>
      <c r="AO24" s="4">
        <f>[1]节奏总纲!AO24</f>
        <v>3.7539015148697521</v>
      </c>
      <c r="AP24" s="4">
        <f>[1]节奏总纲!AP24</f>
        <v>2.5026010099131684</v>
      </c>
      <c r="AQ24" s="4">
        <f>[1]节奏总纲!AQ24</f>
        <v>1.2513005049565842</v>
      </c>
      <c r="AS24" s="4">
        <v>21</v>
      </c>
      <c r="AT24" s="4">
        <f>[1]节奏总纲!AT24</f>
        <v>1.0065025247829205</v>
      </c>
      <c r="AU24" s="4">
        <f>[1]节奏总纲!AU24</f>
        <v>0.80520201982633655</v>
      </c>
      <c r="AV24" s="4">
        <f>[1]节奏总纲!AV24</f>
        <v>0.60390151486975219</v>
      </c>
      <c r="AW24" s="4">
        <f>[1]节奏总纲!AW24</f>
        <v>0.40260100991316827</v>
      </c>
      <c r="AX24" s="4">
        <f>[1]节奏总纲!AX24</f>
        <v>0.20130050495658414</v>
      </c>
      <c r="AY24" s="4"/>
      <c r="AZ24" s="4">
        <v>21</v>
      </c>
      <c r="BA24" s="4">
        <f>[1]节奏总纲!BA24</f>
        <v>28.157256095860227</v>
      </c>
      <c r="BB24" s="4">
        <f>[1]节奏总纲!BB24</f>
        <v>29.508805955793246</v>
      </c>
      <c r="BC24" s="4">
        <f>[1]节奏总纲!BC24</f>
        <v>31.280110398778046</v>
      </c>
      <c r="BD24" s="4">
        <f>[1]节奏总纲!BD24</f>
        <v>33.799338867675175</v>
      </c>
      <c r="BE24" s="4">
        <f>[1]节奏总纲!BE24</f>
        <v>38.35066605767593</v>
      </c>
    </row>
    <row r="25" spans="2:57">
      <c r="B25" s="4">
        <v>10</v>
      </c>
      <c r="C25" s="4">
        <v>1.5</v>
      </c>
      <c r="D25" s="4">
        <v>1</v>
      </c>
      <c r="F25" s="4">
        <v>23</v>
      </c>
      <c r="G25" s="4">
        <v>3.9245776533796644</v>
      </c>
      <c r="I25" s="4">
        <v>23</v>
      </c>
      <c r="J25" s="4">
        <v>8.8355567243832152</v>
      </c>
      <c r="K25" s="12">
        <v>0.76</v>
      </c>
      <c r="N25" s="4">
        <f>[1]节奏总纲!N25</f>
        <v>32</v>
      </c>
      <c r="O25" s="4">
        <v>22</v>
      </c>
      <c r="P25" s="4">
        <f>[1]节奏总纲!P25</f>
        <v>3.5947934199881395</v>
      </c>
      <c r="Q25" s="4">
        <f>[1]节奏总纲!Q25</f>
        <v>3.124234961311692</v>
      </c>
      <c r="R25" s="4">
        <f>[1]节奏总纲!R25</f>
        <v>2.5749505267375046</v>
      </c>
      <c r="S25" s="4">
        <f>[1]节奏总纲!S25</f>
        <v>1.9077568679877055</v>
      </c>
      <c r="T25" s="4">
        <f>[1]节奏总纲!T25</f>
        <v>1.0687320837624739</v>
      </c>
      <c r="V25" s="4">
        <v>22</v>
      </c>
      <c r="W25" s="4">
        <f>[1]节奏总纲!W25</f>
        <v>0.30769956984296698</v>
      </c>
      <c r="X25" s="4">
        <f>[1]节奏总纲!X25</f>
        <v>0.27235233692574035</v>
      </c>
      <c r="Y25" s="4">
        <f>[1]节奏总纲!Y25</f>
        <v>0.22829422711886593</v>
      </c>
      <c r="Z25" s="4">
        <f>[1]节奏总纲!Z25</f>
        <v>0.17118518695601082</v>
      </c>
      <c r="AA25" s="4">
        <f>[1]节奏总纲!AA25</f>
        <v>9.7067141659560985E-2</v>
      </c>
      <c r="AC25" s="4">
        <v>22</v>
      </c>
      <c r="AD25" s="4">
        <f>[1]节奏总纲!AD25</f>
        <v>45.229416240679988</v>
      </c>
      <c r="AE25" s="4">
        <f>[1]节奏总纲!AE25</f>
        <v>47.110426931480873</v>
      </c>
      <c r="AF25" s="4">
        <f>[1]节奏总纲!AF25</f>
        <v>49.861837738505173</v>
      </c>
      <c r="AG25" s="4">
        <f>[1]节奏总纲!AG25</f>
        <v>54.15637358335789</v>
      </c>
      <c r="AH25" s="4">
        <f>[1]节奏总纲!AH25</f>
        <v>62.555781631668886</v>
      </c>
      <c r="AL25" s="4">
        <v>22</v>
      </c>
      <c r="AM25" s="4">
        <f>[1]节奏总纲!AM25</f>
        <v>7.4414868317755332</v>
      </c>
      <c r="AN25" s="4">
        <f>[1]节奏总纲!AN25</f>
        <v>5.9531894654204267</v>
      </c>
      <c r="AO25" s="4">
        <f>[1]节奏总纲!AO25</f>
        <v>4.4648920990653194</v>
      </c>
      <c r="AP25" s="4">
        <f>[1]节奏总纲!AP25</f>
        <v>2.9765947327102134</v>
      </c>
      <c r="AQ25" s="4">
        <f>[1]节奏总纲!AQ25</f>
        <v>1.4882973663551067</v>
      </c>
      <c r="AS25" s="4">
        <v>22</v>
      </c>
      <c r="AT25" s="4">
        <f>[1]节奏总纲!AT25</f>
        <v>1.1849843069926127</v>
      </c>
      <c r="AU25" s="4">
        <f>[1]节奏总纲!AU25</f>
        <v>0.94798744559408998</v>
      </c>
      <c r="AV25" s="4">
        <f>[1]节奏总纲!AV25</f>
        <v>0.71099058419556727</v>
      </c>
      <c r="AW25" s="4">
        <f>[1]节奏总纲!AW25</f>
        <v>0.47399372279704499</v>
      </c>
      <c r="AX25" s="4">
        <f>[1]节奏总纲!AX25</f>
        <v>0.2369968613985225</v>
      </c>
      <c r="AY25" s="4"/>
      <c r="AZ25" s="4">
        <v>22</v>
      </c>
      <c r="BA25" s="4">
        <f>[1]节奏总纲!BA25</f>
        <v>28.431345550275779</v>
      </c>
      <c r="BB25" s="4">
        <f>[1]节奏总纲!BB25</f>
        <v>29.80118336305917</v>
      </c>
      <c r="BC25" s="4">
        <f>[1]节奏总纲!BC25</f>
        <v>31.564373235931193</v>
      </c>
      <c r="BD25" s="4">
        <f>[1]节奏总纲!BD25</f>
        <v>34.09469189131628</v>
      </c>
      <c r="BE25" s="4">
        <f>[1]节奏总纲!BE25</f>
        <v>38.663818688865533</v>
      </c>
    </row>
    <row r="26" spans="2:57">
      <c r="B26" s="4">
        <v>15</v>
      </c>
      <c r="C26" s="4">
        <v>3.5</v>
      </c>
      <c r="D26" s="4">
        <v>2</v>
      </c>
      <c r="F26" s="4">
        <v>24</v>
      </c>
      <c r="G26" s="4">
        <v>4.2780316430915768</v>
      </c>
      <c r="I26" s="4">
        <v>24</v>
      </c>
      <c r="J26" s="4">
        <v>10.47447102993563</v>
      </c>
      <c r="K26" s="12">
        <v>0.78</v>
      </c>
      <c r="N26" s="4">
        <f>[1]节奏总纲!N26</f>
        <v>33</v>
      </c>
      <c r="O26" s="4">
        <v>23</v>
      </c>
      <c r="P26" s="4">
        <f>[1]节奏总纲!P26</f>
        <v>3.9245776533796644</v>
      </c>
      <c r="Q26" s="4">
        <f>[1]节奏总纲!Q26</f>
        <v>3.4081032341949005</v>
      </c>
      <c r="R26" s="4">
        <f>[1]节奏总纲!R26</f>
        <v>2.8064654799317976</v>
      </c>
      <c r="S26" s="4">
        <f>[1]节奏总纲!S26</f>
        <v>2.0796336985258841</v>
      </c>
      <c r="T26" s="4">
        <f>[1]节奏总纲!T26</f>
        <v>1.1608900698697047</v>
      </c>
      <c r="V26" s="4">
        <v>23</v>
      </c>
      <c r="W26" s="4">
        <f>[1]节奏总纲!W26</f>
        <v>0.32978423339152485</v>
      </c>
      <c r="X26" s="4">
        <f>[1]节奏总纲!X26</f>
        <v>0.28386827288320848</v>
      </c>
      <c r="Y26" s="4">
        <f>[1]节奏总纲!Y26</f>
        <v>0.23151495319429305</v>
      </c>
      <c r="Z26" s="4">
        <f>[1]节奏总纲!Z26</f>
        <v>0.17187683053817859</v>
      </c>
      <c r="AA26" s="4">
        <f>[1]节奏总纲!AA26</f>
        <v>9.2157986107230805E-2</v>
      </c>
      <c r="AC26" s="4">
        <v>23</v>
      </c>
      <c r="AD26" s="4">
        <f>[1]节奏总纲!AD26</f>
        <v>45.845161563010116</v>
      </c>
      <c r="AE26" s="4">
        <f>[1]节奏总纲!AE26</f>
        <v>47.734594805743399</v>
      </c>
      <c r="AF26" s="4">
        <f>[1]节奏总纲!AF26</f>
        <v>50.503430607741265</v>
      </c>
      <c r="AG26" s="4">
        <f>[1]节奏总纲!AG26</f>
        <v>54.814188287451351</v>
      </c>
      <c r="AH26" s="4">
        <f>[1]节奏总纲!AH26</f>
        <v>63.182677965405439</v>
      </c>
      <c r="AL26" s="4">
        <v>23</v>
      </c>
      <c r="AM26" s="4">
        <f>[1]节奏总纲!AM26</f>
        <v>8.8355567243832152</v>
      </c>
      <c r="AN26" s="4">
        <f>[1]节奏总纲!AN26</f>
        <v>7.0684453795065725</v>
      </c>
      <c r="AO26" s="4">
        <f>[1]节奏总纲!AO26</f>
        <v>5.3013340346299289</v>
      </c>
      <c r="AP26" s="4">
        <f>[1]节奏总纲!AP26</f>
        <v>3.5342226897532862</v>
      </c>
      <c r="AQ26" s="4">
        <f>[1]节奏总纲!AQ26</f>
        <v>1.7671113448766431</v>
      </c>
      <c r="AS26" s="4">
        <v>23</v>
      </c>
      <c r="AT26" s="4">
        <f>[1]节奏总纲!AT26</f>
        <v>1.394069892607682</v>
      </c>
      <c r="AU26" s="4">
        <f>[1]节奏总纲!AU26</f>
        <v>1.1152559140861458</v>
      </c>
      <c r="AV26" s="4">
        <f>[1]节奏总纲!AV26</f>
        <v>0.83644193556460955</v>
      </c>
      <c r="AW26" s="4">
        <f>[1]节奏总纲!AW26</f>
        <v>0.55762795704307289</v>
      </c>
      <c r="AX26" s="4">
        <f>[1]节奏总纲!AX26</f>
        <v>0.27881397852153644</v>
      </c>
      <c r="AY26" s="4"/>
      <c r="AZ26" s="4">
        <v>23</v>
      </c>
      <c r="BA26" s="4">
        <f>[1]节奏总纲!BA26</f>
        <v>28.705435004691331</v>
      </c>
      <c r="BB26" s="4">
        <f>[1]节奏总纲!BB26</f>
        <v>30.079877315295377</v>
      </c>
      <c r="BC26" s="4">
        <f>[1]节奏总纲!BC26</f>
        <v>31.848636073084339</v>
      </c>
      <c r="BD26" s="4">
        <f>[1]节奏总纲!BD26</f>
        <v>34.360958982105608</v>
      </c>
      <c r="BE26" s="4">
        <f>[1]节奏总纲!BE26</f>
        <v>38.976971320055128</v>
      </c>
    </row>
    <row r="27" spans="2:57">
      <c r="B27" s="4">
        <v>20</v>
      </c>
      <c r="C27" s="4">
        <v>7.5</v>
      </c>
      <c r="D27" s="4">
        <v>4</v>
      </c>
      <c r="F27" s="4">
        <v>25</v>
      </c>
      <c r="G27" s="4">
        <v>4.6568542494923806</v>
      </c>
      <c r="I27" s="4">
        <v>25</v>
      </c>
      <c r="J27" s="4">
        <v>12.4</v>
      </c>
      <c r="K27" s="12">
        <v>0.8</v>
      </c>
      <c r="N27" s="4">
        <f>[1]节奏总纲!N27</f>
        <v>34</v>
      </c>
      <c r="O27" s="4">
        <v>24</v>
      </c>
      <c r="P27" s="4">
        <f>[1]节奏总纲!P27</f>
        <v>4.2780316430915768</v>
      </c>
      <c r="Q27" s="4">
        <f>[1]节奏总纲!Q27</f>
        <v>3.7214597263253628</v>
      </c>
      <c r="R27" s="4">
        <f>[1]节奏总纲!R27</f>
        <v>3.0699155070825155</v>
      </c>
      <c r="S27" s="4">
        <f>[1]节奏总纲!S27</f>
        <v>2.2742016214674821</v>
      </c>
      <c r="T27" s="4">
        <f>[1]节奏总纲!T27</f>
        <v>1.2692919885052709</v>
      </c>
      <c r="V27" s="4">
        <v>24</v>
      </c>
      <c r="W27" s="4">
        <f>[1]节奏总纲!W27</f>
        <v>0.35345398971191244</v>
      </c>
      <c r="X27" s="4">
        <f>[1]节奏总纲!X27</f>
        <v>0.31335649213046235</v>
      </c>
      <c r="Y27" s="4">
        <f>[1]节奏总纲!Y27</f>
        <v>0.26345002715071786</v>
      </c>
      <c r="Z27" s="4">
        <f>[1]节奏总纲!Z27</f>
        <v>0.19456792294159797</v>
      </c>
      <c r="AA27" s="4">
        <f>[1]节奏总纲!AA27</f>
        <v>0.10840191863556625</v>
      </c>
      <c r="AC27" s="4">
        <v>24</v>
      </c>
      <c r="AD27" s="4">
        <f>[1]节奏总纲!AD27</f>
        <v>46.430041330048923</v>
      </c>
      <c r="AE27" s="4">
        <f>[1]节奏总纲!AE27</f>
        <v>48.330142263709867</v>
      </c>
      <c r="AF27" s="4">
        <f>[1]节奏总纲!AF27</f>
        <v>51.118578408701396</v>
      </c>
      <c r="AG27" s="4">
        <f>[1]节奏总纲!AG27</f>
        <v>55.44072585486321</v>
      </c>
      <c r="AH27" s="4">
        <f>[1]节奏总纲!AH27</f>
        <v>63.791742872142052</v>
      </c>
      <c r="AL27" s="4">
        <v>24</v>
      </c>
      <c r="AM27" s="4">
        <f>[1]节奏总纲!AM27</f>
        <v>10.47447102993563</v>
      </c>
      <c r="AN27" s="4">
        <f>[1]节奏总纲!AN27</f>
        <v>8.3795768239485042</v>
      </c>
      <c r="AO27" s="4">
        <f>[1]节奏总纲!AO27</f>
        <v>6.2846826179613782</v>
      </c>
      <c r="AP27" s="4">
        <f>[1]节奏总纲!AP27</f>
        <v>4.1897884119742521</v>
      </c>
      <c r="AQ27" s="4">
        <f>[1]节奏总纲!AQ27</f>
        <v>2.0948942059871261</v>
      </c>
      <c r="AS27" s="4">
        <v>24</v>
      </c>
      <c r="AT27" s="4">
        <f>[1]节奏总纲!AT27</f>
        <v>1.6389143055524151</v>
      </c>
      <c r="AU27" s="4">
        <f>[1]节奏总纲!AU27</f>
        <v>1.3111314444419317</v>
      </c>
      <c r="AV27" s="4">
        <f>[1]节奏总纲!AV27</f>
        <v>0.98334858333144926</v>
      </c>
      <c r="AW27" s="4">
        <f>[1]节奏总纲!AW27</f>
        <v>0.65556572222096587</v>
      </c>
      <c r="AX27" s="4">
        <f>[1]节奏总纲!AX27</f>
        <v>0.32778286111048294</v>
      </c>
      <c r="AY27" s="4"/>
      <c r="AZ27" s="4">
        <v>24</v>
      </c>
      <c r="BA27" s="4">
        <f>[1]节奏总纲!BA27</f>
        <v>28.979524459106884</v>
      </c>
      <c r="BB27" s="4">
        <f>[1]节奏总纲!BB27</f>
        <v>30.329493925593439</v>
      </c>
      <c r="BC27" s="4">
        <f>[1]节奏总纲!BC27</f>
        <v>32.113552950216736</v>
      </c>
      <c r="BD27" s="4">
        <f>[1]节奏总纲!BD27</f>
        <v>34.627226072894942</v>
      </c>
      <c r="BE27" s="4">
        <f>[1]节奏总纲!BE27</f>
        <v>39.250296194358178</v>
      </c>
    </row>
    <row r="28" spans="2:57">
      <c r="B28" s="4">
        <v>25</v>
      </c>
      <c r="C28" s="4">
        <v>15.5</v>
      </c>
      <c r="D28" s="4">
        <v>8</v>
      </c>
      <c r="F28" s="4">
        <v>26</v>
      </c>
      <c r="G28" s="4">
        <v>5.062866266041592</v>
      </c>
      <c r="I28" s="4">
        <v>26</v>
      </c>
      <c r="J28" s="4">
        <v>14.6609224175611</v>
      </c>
      <c r="K28" s="12">
        <v>0.82</v>
      </c>
      <c r="N28" s="4">
        <f>[1]节奏总纲!N28</f>
        <v>35</v>
      </c>
      <c r="O28" s="4">
        <v>25</v>
      </c>
      <c r="P28" s="4">
        <f>[1]节奏总纲!P28</f>
        <v>4.6568542494923806</v>
      </c>
      <c r="Q28" s="4">
        <f>[1]节奏总纲!Q28</f>
        <v>4.054257309608067</v>
      </c>
      <c r="R28" s="4">
        <f>[1]节奏总纲!R28</f>
        <v>3.3445527219854276</v>
      </c>
      <c r="S28" s="4">
        <f>[1]节奏总纲!S28</f>
        <v>2.478377831579845</v>
      </c>
      <c r="T28" s="4">
        <f>[1]节奏总纲!T28</f>
        <v>1.3802915995495415</v>
      </c>
      <c r="V28" s="4">
        <v>25</v>
      </c>
      <c r="W28" s="4">
        <f>[1]节奏总纲!W28</f>
        <v>0.37882260640080379</v>
      </c>
      <c r="X28" s="4">
        <f>[1]节奏总纲!X28</f>
        <v>0.33279758328270415</v>
      </c>
      <c r="Y28" s="4">
        <f>[1]节奏总纲!Y28</f>
        <v>0.27463721490291215</v>
      </c>
      <c r="Z28" s="4">
        <f>[1]节奏总纲!Z28</f>
        <v>0.20417621011236298</v>
      </c>
      <c r="AA28" s="4">
        <f>[1]节奏总纲!AA28</f>
        <v>0.11099961104427059</v>
      </c>
      <c r="AC28" s="4">
        <v>25</v>
      </c>
      <c r="AD28" s="4">
        <f>[1]节奏总纲!AD28</f>
        <v>47.004247194324648</v>
      </c>
      <c r="AE28" s="4">
        <f>[1]节奏总纲!AE28</f>
        <v>48.904516930942819</v>
      </c>
      <c r="AF28" s="4">
        <f>[1]节奏总纲!AF28</f>
        <v>51.667220029142385</v>
      </c>
      <c r="AG28" s="4">
        <f>[1]节奏总纲!AG28</f>
        <v>56.05100027504308</v>
      </c>
      <c r="AH28" s="4">
        <f>[1]节奏总纲!AH28</f>
        <v>64.398425477456215</v>
      </c>
      <c r="AL28" s="4">
        <v>25</v>
      </c>
      <c r="AM28" s="4">
        <f>[1]节奏总纲!AM28</f>
        <v>12.4</v>
      </c>
      <c r="AN28" s="4">
        <f>[1]节奏总纲!AN28</f>
        <v>9.9200000000000017</v>
      </c>
      <c r="AO28" s="4">
        <f>[1]节奏总纲!AO28</f>
        <v>7.4399999999999995</v>
      </c>
      <c r="AP28" s="4">
        <f>[1]节奏总纲!AP28</f>
        <v>4.9600000000000009</v>
      </c>
      <c r="AQ28" s="4">
        <f>[1]节奏总纲!AQ28</f>
        <v>2.4800000000000004</v>
      </c>
      <c r="AS28" s="4">
        <v>25</v>
      </c>
      <c r="AT28" s="4">
        <f>[1]节奏总纲!AT28</f>
        <v>1.9255289700643701</v>
      </c>
      <c r="AU28" s="4">
        <f>[1]节奏总纲!AU28</f>
        <v>1.5404231760514975</v>
      </c>
      <c r="AV28" s="4">
        <f>[1]节奏总纲!AV28</f>
        <v>1.1553173820386213</v>
      </c>
      <c r="AW28" s="4">
        <f>[1]节奏总纲!AW28</f>
        <v>0.77021158802574874</v>
      </c>
      <c r="AX28" s="4">
        <f>[1]节奏总纲!AX28</f>
        <v>0.38510579401287437</v>
      </c>
      <c r="AY28" s="4"/>
      <c r="AZ28" s="4">
        <v>25</v>
      </c>
      <c r="BA28" s="4">
        <f>[1]节奏总纲!BA28</f>
        <v>29.216428548527322</v>
      </c>
      <c r="BB28" s="4">
        <f>[1]节奏总纲!BB28</f>
        <v>30.579110535891502</v>
      </c>
      <c r="BC28" s="4">
        <f>[1]节奏总纲!BC28</f>
        <v>32.356435933516131</v>
      </c>
      <c r="BD28" s="4">
        <f>[1]节奏总纲!BD28</f>
        <v>34.893493163684269</v>
      </c>
      <c r="BE28" s="4">
        <f>[1]节奏总纲!BE28</f>
        <v>39.520459727922798</v>
      </c>
    </row>
    <row r="29" spans="2:57">
      <c r="B29" s="4">
        <v>30</v>
      </c>
      <c r="C29" s="4">
        <v>31.5</v>
      </c>
      <c r="D29" s="4">
        <v>16</v>
      </c>
      <c r="F29" s="4">
        <v>27</v>
      </c>
      <c r="G29" s="4">
        <v>5.4980191708498847</v>
      </c>
      <c r="I29" s="4">
        <v>27</v>
      </c>
      <c r="J29" s="4">
        <v>17.314186320787698</v>
      </c>
      <c r="K29" s="12">
        <v>0.84</v>
      </c>
      <c r="N29" s="4">
        <f>[1]节奏总纲!N29</f>
        <v>36</v>
      </c>
      <c r="O29" s="4">
        <v>26</v>
      </c>
      <c r="P29" s="4">
        <f>[1]节奏总纲!P29</f>
        <v>5.062866266041592</v>
      </c>
      <c r="Q29" s="4">
        <f>[1]节奏总纲!Q29</f>
        <v>4.408743944469018</v>
      </c>
      <c r="R29" s="4">
        <f>[1]节奏总纲!R29</f>
        <v>3.63716312552428</v>
      </c>
      <c r="S29" s="4">
        <f>[1]节奏总纲!S29</f>
        <v>2.6914197070277099</v>
      </c>
      <c r="T29" s="4">
        <f>[1]节奏总纲!T29</f>
        <v>1.4996209880015197</v>
      </c>
      <c r="V29" s="4">
        <v>26</v>
      </c>
      <c r="W29" s="4">
        <f>[1]节奏总纲!W29</f>
        <v>0.40601201654921137</v>
      </c>
      <c r="X29" s="4">
        <f>[1]节奏总纲!X29</f>
        <v>0.354486634860951</v>
      </c>
      <c r="Y29" s="4">
        <f>[1]节奏总纲!Y29</f>
        <v>0.29261040353885237</v>
      </c>
      <c r="Z29" s="4">
        <f>[1]节奏总纲!Z29</f>
        <v>0.2130418754478649</v>
      </c>
      <c r="AA29" s="4">
        <f>[1]节奏总纲!AA29</f>
        <v>0.11932938845197816</v>
      </c>
      <c r="AC29" s="4">
        <v>26</v>
      </c>
      <c r="AD29" s="4">
        <f>[1]节奏总纲!AD29</f>
        <v>47.540284631526092</v>
      </c>
      <c r="AE29" s="4">
        <f>[1]节奏总纲!AE29</f>
        <v>49.446133440059114</v>
      </c>
      <c r="AF29" s="4">
        <f>[1]节奏总纲!AF29</f>
        <v>52.199341027338768</v>
      </c>
      <c r="AG29" s="4">
        <f>[1]节奏总纲!AG29</f>
        <v>56.621068614050692</v>
      </c>
      <c r="AH29" s="4">
        <f>[1]节奏总纲!AH29</f>
        <v>65.00344105132713</v>
      </c>
      <c r="AL29" s="4">
        <v>26</v>
      </c>
      <c r="AM29" s="4">
        <f>[1]节奏总纲!AM29</f>
        <v>14.6609224175611</v>
      </c>
      <c r="AN29" s="4">
        <f>[1]节奏总纲!AN29</f>
        <v>11.72873793404888</v>
      </c>
      <c r="AO29" s="4">
        <f>[1]节奏总纲!AO29</f>
        <v>8.7965534505366598</v>
      </c>
      <c r="AP29" s="4">
        <f>[1]节奏总纲!AP29</f>
        <v>5.8643689670244399</v>
      </c>
      <c r="AQ29" s="4">
        <f>[1]节奏总纲!AQ29</f>
        <v>2.9321844835122199</v>
      </c>
      <c r="AS29" s="4">
        <v>26</v>
      </c>
      <c r="AT29" s="4">
        <f>[1]节奏总纲!AT29</f>
        <v>2.2609224175610994</v>
      </c>
      <c r="AU29" s="4">
        <f>[1]节奏总纲!AU29</f>
        <v>1.8087379340488781</v>
      </c>
      <c r="AV29" s="4">
        <f>[1]节奏总纲!AV29</f>
        <v>1.3565534505366603</v>
      </c>
      <c r="AW29" s="4">
        <f>[1]节奏总纲!AW29</f>
        <v>0.90436896702443903</v>
      </c>
      <c r="AX29" s="4">
        <f>[1]节奏总纲!AX29</f>
        <v>0.45218448351221951</v>
      </c>
      <c r="AY29" s="4"/>
      <c r="AZ29" s="4">
        <v>26</v>
      </c>
      <c r="BA29" s="4">
        <f>[1]节奏总纲!BA29</f>
        <v>29.45033047434006</v>
      </c>
      <c r="BB29" s="4">
        <f>[1]节奏总纲!BB29</f>
        <v>30.828727146189561</v>
      </c>
      <c r="BC29" s="4">
        <f>[1]节奏总纲!BC29</f>
        <v>32.59931891681552</v>
      </c>
      <c r="BD29" s="4">
        <f>[1]节奏总纲!BD29</f>
        <v>35.146386283795508</v>
      </c>
      <c r="BE29" s="4">
        <f>[1]节奏总纲!BE29</f>
        <v>39.790623261487418</v>
      </c>
    </row>
    <row r="30" spans="2:57">
      <c r="B30" s="4">
        <v>35</v>
      </c>
      <c r="C30" s="4">
        <v>63.5</v>
      </c>
      <c r="D30" s="4">
        <v>32</v>
      </c>
      <c r="F30" s="4">
        <v>28</v>
      </c>
      <c r="G30" s="4">
        <v>5.9644045063689921</v>
      </c>
      <c r="I30" s="4">
        <v>28</v>
      </c>
      <c r="J30" s="4">
        <v>20.42625995518307</v>
      </c>
      <c r="K30" s="12">
        <v>0.86</v>
      </c>
      <c r="N30" s="4">
        <f>[1]节奏总纲!N30</f>
        <v>37</v>
      </c>
      <c r="O30" s="4">
        <v>27</v>
      </c>
      <c r="P30" s="4">
        <f>[1]节奏总纲!P30</f>
        <v>5.4980191708498847</v>
      </c>
      <c r="Q30" s="4">
        <f>[1]节奏总纲!Q30</f>
        <v>4.7882248958931646</v>
      </c>
      <c r="R30" s="4">
        <f>[1]节奏总纲!R30</f>
        <v>3.9492271704214725</v>
      </c>
      <c r="S30" s="4">
        <f>[1]节奏总纲!S30</f>
        <v>2.9205477835554587</v>
      </c>
      <c r="T30" s="4">
        <f>[1]节奏总纲!T30</f>
        <v>1.6290630803228208</v>
      </c>
      <c r="V30" s="4">
        <v>27</v>
      </c>
      <c r="W30" s="4">
        <f>[1]节奏总纲!W30</f>
        <v>0.43515290480829272</v>
      </c>
      <c r="X30" s="4">
        <f>[1]节奏总纲!X30</f>
        <v>0.37948095142414662</v>
      </c>
      <c r="Y30" s="4">
        <f>[1]节奏总纲!Y30</f>
        <v>0.31206404489719253</v>
      </c>
      <c r="Z30" s="4">
        <f>[1]节奏总纲!Z30</f>
        <v>0.2291280765277488</v>
      </c>
      <c r="AA30" s="4">
        <f>[1]节奏总纲!AA30</f>
        <v>0.12944209232130111</v>
      </c>
      <c r="AC30" s="4">
        <v>27</v>
      </c>
      <c r="AD30" s="4">
        <f>[1]节奏总纲!AD30</f>
        <v>48.071211008105138</v>
      </c>
      <c r="AE30" s="4">
        <f>[1]节奏总纲!AE30</f>
        <v>49.981218513907905</v>
      </c>
      <c r="AF30" s="4">
        <f>[1]节奏总纲!AF30</f>
        <v>52.705993248660157</v>
      </c>
      <c r="AG30" s="4">
        <f>[1]节奏总纲!AG30</f>
        <v>57.175765669822162</v>
      </c>
      <c r="AH30" s="4">
        <f>[1]节奏总纲!AH30</f>
        <v>65.541743280100334</v>
      </c>
      <c r="AL30" s="4">
        <v>27</v>
      </c>
      <c r="AM30" s="4">
        <f>[1]节奏总纲!AM30</f>
        <v>17.314186320787698</v>
      </c>
      <c r="AN30" s="4">
        <f>[1]节奏总纲!AN30</f>
        <v>13.851349056630159</v>
      </c>
      <c r="AO30" s="4">
        <f>[1]节奏总纲!AO30</f>
        <v>10.388511792472618</v>
      </c>
      <c r="AP30" s="4">
        <f>[1]节奏总纲!AP30</f>
        <v>6.9256745283150796</v>
      </c>
      <c r="AQ30" s="4">
        <f>[1]节奏总纲!AQ30</f>
        <v>3.4628372641575398</v>
      </c>
      <c r="AS30" s="4">
        <v>27</v>
      </c>
      <c r="AT30" s="4">
        <f>[1]节奏总纲!AT30</f>
        <v>2.6532639032265983</v>
      </c>
      <c r="AU30" s="4">
        <f>[1]节奏总纲!AU30</f>
        <v>2.1226111225812794</v>
      </c>
      <c r="AV30" s="4">
        <f>[1]节奏总纲!AV30</f>
        <v>1.5919583419359586</v>
      </c>
      <c r="AW30" s="4">
        <f>[1]节奏总纲!AW30</f>
        <v>1.0613055612906397</v>
      </c>
      <c r="AX30" s="4">
        <f>[1]节奏总纲!AX30</f>
        <v>0.53065278064531984</v>
      </c>
      <c r="AY30" s="4"/>
      <c r="AZ30" s="4">
        <v>27</v>
      </c>
      <c r="BA30" s="4">
        <f>[1]节奏总纲!BA30</f>
        <v>29.684232400152801</v>
      </c>
      <c r="BB30" s="4">
        <f>[1]节奏总纲!BB30</f>
        <v>31.066913270913183</v>
      </c>
      <c r="BC30" s="4">
        <f>[1]节奏总纲!BC30</f>
        <v>32.842201900114915</v>
      </c>
      <c r="BD30" s="4">
        <f>[1]节奏总纲!BD30</f>
        <v>35.390363423454687</v>
      </c>
      <c r="BE30" s="4">
        <f>[1]节奏总纲!BE30</f>
        <v>40.052446592012309</v>
      </c>
    </row>
    <row r="31" spans="2:57">
      <c r="B31" s="4">
        <v>40</v>
      </c>
      <c r="C31" s="4">
        <v>127.5</v>
      </c>
      <c r="D31" s="4">
        <v>64</v>
      </c>
      <c r="F31" s="4">
        <v>29</v>
      </c>
      <c r="G31" s="4">
        <v>6.4642639322944575</v>
      </c>
      <c r="I31" s="4">
        <v>29</v>
      </c>
      <c r="J31" s="4">
        <v>24.074703862418847</v>
      </c>
      <c r="K31" s="12">
        <v>0.88</v>
      </c>
      <c r="N31" s="4">
        <f>[1]节奏总纲!N31</f>
        <v>38</v>
      </c>
      <c r="O31" s="4">
        <v>28</v>
      </c>
      <c r="P31" s="4">
        <f>[1]节奏总纲!P31</f>
        <v>5.9644045063689921</v>
      </c>
      <c r="Q31" s="4">
        <f>[1]节奏总纲!Q31</f>
        <v>5.1914176823435705</v>
      </c>
      <c r="R31" s="4">
        <f>[1]节奏总纲!R31</f>
        <v>4.2752851501652938</v>
      </c>
      <c r="S31" s="4">
        <f>[1]节奏总纲!S31</f>
        <v>3.1653094715300236</v>
      </c>
      <c r="T31" s="4">
        <f>[1]节奏总纲!T31</f>
        <v>1.7738139001941382</v>
      </c>
      <c r="V31" s="4">
        <v>28</v>
      </c>
      <c r="W31" s="4">
        <f>[1]节奏总纲!W31</f>
        <v>0.46638533551910744</v>
      </c>
      <c r="X31" s="4">
        <f>[1]节奏总纲!X31</f>
        <v>0.4031927864504059</v>
      </c>
      <c r="Y31" s="4">
        <f>[1]节奏总纲!Y31</f>
        <v>0.32605797974382122</v>
      </c>
      <c r="Z31" s="4">
        <f>[1]节奏总纲!Z31</f>
        <v>0.24476168797456488</v>
      </c>
      <c r="AA31" s="4">
        <f>[1]节奏总纲!AA31</f>
        <v>0.14475081987131744</v>
      </c>
      <c r="AC31" s="4">
        <v>28</v>
      </c>
      <c r="AD31" s="4">
        <f>[1]节奏总纲!AD31</f>
        <v>48.571351621712928</v>
      </c>
      <c r="AE31" s="4">
        <f>[1]节奏总纲!AE31</f>
        <v>50.509688493127967</v>
      </c>
      <c r="AF31" s="4">
        <f>[1]节奏总纲!AF31</f>
        <v>53.212684955585161</v>
      </c>
      <c r="AG31" s="4">
        <f>[1]节奏总纲!AG31</f>
        <v>57.699988965458331</v>
      </c>
      <c r="AH31" s="4">
        <f>[1]节奏总纲!AH31</f>
        <v>66.076345334947405</v>
      </c>
      <c r="AL31" s="4">
        <v>28</v>
      </c>
      <c r="AM31" s="4">
        <f>[1]节奏总纲!AM31</f>
        <v>20.42625995518307</v>
      </c>
      <c r="AN31" s="4">
        <f>[1]节奏总纲!AN31</f>
        <v>16.341007964146456</v>
      </c>
      <c r="AO31" s="4">
        <f>[1]节奏总纲!AO31</f>
        <v>12.255755973109842</v>
      </c>
      <c r="AP31" s="4">
        <f>[1]节奏总纲!AP31</f>
        <v>8.1705039820732281</v>
      </c>
      <c r="AQ31" s="4">
        <f>[1]节奏总纲!AQ31</f>
        <v>4.0852519910366141</v>
      </c>
      <c r="AS31" s="4">
        <v>28</v>
      </c>
      <c r="AT31" s="4">
        <f>[1]节奏总纲!AT31</f>
        <v>3.1120736343953723</v>
      </c>
      <c r="AU31" s="4">
        <f>[1]节奏总纲!AU31</f>
        <v>2.4896589075162971</v>
      </c>
      <c r="AV31" s="4">
        <f>[1]节奏总纲!AV31</f>
        <v>1.8672441806372237</v>
      </c>
      <c r="AW31" s="4">
        <f>[1]节奏总纲!AW31</f>
        <v>1.2448294537581486</v>
      </c>
      <c r="AX31" s="4">
        <f>[1]节奏总纲!AX31</f>
        <v>0.62241472687907429</v>
      </c>
      <c r="AY31" s="4"/>
      <c r="AZ31" s="4">
        <v>28</v>
      </c>
      <c r="BA31" s="4">
        <f>[1]节奏总纲!BA31</f>
        <v>29.918134325965539</v>
      </c>
      <c r="BB31" s="4">
        <f>[1]节奏总纲!BB31</f>
        <v>31.280110398778046</v>
      </c>
      <c r="BC31" s="4">
        <f>[1]节奏总纲!BC31</f>
        <v>33.072726100175295</v>
      </c>
      <c r="BD31" s="4">
        <f>[1]节奏总纲!BD31</f>
        <v>35.634340563113874</v>
      </c>
      <c r="BE31" s="4">
        <f>[1]节奏总纲!BE31</f>
        <v>40.28554255651148</v>
      </c>
    </row>
    <row r="32" spans="2:57">
      <c r="B32" s="4">
        <v>45</v>
      </c>
      <c r="C32" s="4">
        <v>255.5</v>
      </c>
      <c r="D32" s="4">
        <v>128</v>
      </c>
      <c r="F32" s="4">
        <v>30</v>
      </c>
      <c r="G32" s="4">
        <v>7</v>
      </c>
      <c r="I32" s="4">
        <v>30</v>
      </c>
      <c r="J32" s="4">
        <v>28.35</v>
      </c>
      <c r="K32" s="12">
        <v>0.9</v>
      </c>
      <c r="N32" s="4">
        <f>[1]节奏总纲!N32</f>
        <v>39</v>
      </c>
      <c r="O32" s="4">
        <v>29</v>
      </c>
      <c r="P32" s="4">
        <f>[1]节奏总纲!P32</f>
        <v>6.4642639322944575</v>
      </c>
      <c r="Q32" s="4">
        <f>[1]节奏总纲!Q32</f>
        <v>5.6323131642081607</v>
      </c>
      <c r="R32" s="4">
        <f>[1]节奏总纲!R32</f>
        <v>4.6510378992858623</v>
      </c>
      <c r="S32" s="4">
        <f>[1]节奏总纲!S32</f>
        <v>3.4532097926316991</v>
      </c>
      <c r="T32" s="4">
        <f>[1]节奏总纲!T32</f>
        <v>1.9366934741154194</v>
      </c>
      <c r="V32" s="4">
        <v>29</v>
      </c>
      <c r="W32" s="4">
        <f>[1]节奏总纲!W32</f>
        <v>0.49985942592546539</v>
      </c>
      <c r="X32" s="4">
        <f>[1]节奏总纲!X32</f>
        <v>0.44089548186459027</v>
      </c>
      <c r="Y32" s="4">
        <f>[1]节奏总纲!Y32</f>
        <v>0.37575274912056855</v>
      </c>
      <c r="Z32" s="4">
        <f>[1]节奏总纲!Z32</f>
        <v>0.28790032110167552</v>
      </c>
      <c r="AA32" s="4">
        <f>[1]节奏总纲!AA32</f>
        <v>0.16287957392128116</v>
      </c>
      <c r="AC32" s="4">
        <v>29</v>
      </c>
      <c r="AD32" s="4">
        <f>[1]节奏总纲!AD32</f>
        <v>49.066704614192936</v>
      </c>
      <c r="AE32" s="4">
        <f>[1]节奏总纲!AE32</f>
        <v>51.033341828534468</v>
      </c>
      <c r="AF32" s="4">
        <f>[1]节奏总纲!AF32</f>
        <v>53.719431255885922</v>
      </c>
      <c r="AG32" s="4">
        <f>[1]节奏总纲!AG32</f>
        <v>58.210135614815364</v>
      </c>
      <c r="AH32" s="4">
        <f>[1]节奏总纲!AH32</f>
        <v>66.589764070576265</v>
      </c>
      <c r="AL32" s="4">
        <v>29</v>
      </c>
      <c r="AM32" s="4">
        <f>[1]节奏总纲!AM32</f>
        <v>24.074703862418847</v>
      </c>
      <c r="AN32" s="4">
        <f>[1]节奏总纲!AN32</f>
        <v>19.259763089935078</v>
      </c>
      <c r="AO32" s="4">
        <f>[1]节奏总纲!AO32</f>
        <v>14.444822317451308</v>
      </c>
      <c r="AP32" s="4">
        <f>[1]节奏总纲!AP32</f>
        <v>9.6298815449675388</v>
      </c>
      <c r="AQ32" s="4">
        <f>[1]节奏总纲!AQ32</f>
        <v>4.8149407724837694</v>
      </c>
      <c r="AS32" s="4">
        <v>29</v>
      </c>
      <c r="AT32" s="4">
        <f>[1]节奏总纲!AT32</f>
        <v>3.6484439072357766</v>
      </c>
      <c r="AU32" s="4">
        <f>[1]节奏总纲!AU32</f>
        <v>2.9187551257886213</v>
      </c>
      <c r="AV32" s="4">
        <f>[1]节奏总纲!AV32</f>
        <v>2.189066344341466</v>
      </c>
      <c r="AW32" s="4">
        <f>[1]节奏总纲!AW32</f>
        <v>1.4593775628943106</v>
      </c>
      <c r="AX32" s="4">
        <f>[1]节奏总纲!AX32</f>
        <v>0.72968878144715532</v>
      </c>
      <c r="AY32" s="4"/>
      <c r="AZ32" s="4">
        <v>29</v>
      </c>
      <c r="BA32" s="4">
        <f>[1]节奏总纲!BA32</f>
        <v>30.12980063735499</v>
      </c>
      <c r="BB32" s="4">
        <f>[1]节奏总纲!BB32</f>
        <v>31.493307526642905</v>
      </c>
      <c r="BC32" s="4">
        <f>[1]节奏总纲!BC32</f>
        <v>33.280329748032408</v>
      </c>
      <c r="BD32" s="4">
        <f>[1]节奏总纲!BD32</f>
        <v>35.878317702773053</v>
      </c>
      <c r="BE32" s="4">
        <f>[1]节奏总纲!BE32</f>
        <v>40.518638521010644</v>
      </c>
    </row>
    <row r="33" spans="2:57">
      <c r="B33" s="4">
        <v>50</v>
      </c>
      <c r="C33" s="4">
        <v>511.5</v>
      </c>
      <c r="D33" s="4">
        <v>256</v>
      </c>
      <c r="F33" s="4">
        <v>31</v>
      </c>
      <c r="G33" s="4">
        <v>7.5741877002903433</v>
      </c>
      <c r="I33" s="4">
        <v>31</v>
      </c>
      <c r="J33" s="4">
        <v>33.357679571112705</v>
      </c>
      <c r="K33" s="12">
        <v>0.92</v>
      </c>
      <c r="N33" s="4">
        <f>[1]节奏总纲!N33</f>
        <v>40</v>
      </c>
      <c r="O33" s="4">
        <v>30</v>
      </c>
      <c r="P33" s="4">
        <f>[1]节奏总纲!P33</f>
        <v>7</v>
      </c>
      <c r="Q33" s="4">
        <f>[1]节奏总纲!Q33</f>
        <v>6.1025999999999998</v>
      </c>
      <c r="R33" s="4">
        <f>[1]节奏总纲!R33</f>
        <v>5.0421000000000005</v>
      </c>
      <c r="S33" s="4">
        <f>[1]节奏总纲!S33</f>
        <v>3.7428999999999997</v>
      </c>
      <c r="T33" s="4">
        <f>[1]节奏总纲!T33</f>
        <v>2.1006999999999998</v>
      </c>
      <c r="V33" s="4">
        <v>30</v>
      </c>
      <c r="W33" s="4">
        <f>[1]节奏总纲!W33</f>
        <v>0.5357360677055425</v>
      </c>
      <c r="X33" s="4">
        <f>[1]节奏总纲!X33</f>
        <v>0.47028683579183905</v>
      </c>
      <c r="Y33" s="4">
        <f>[1]节奏总纲!Y33</f>
        <v>0.39106210071413816</v>
      </c>
      <c r="Z33" s="4">
        <f>[1]节奏总纲!Z33</f>
        <v>0.28969020736830053</v>
      </c>
      <c r="AA33" s="4">
        <f>[1]节奏总纲!AA33</f>
        <v>0.16400652588458042</v>
      </c>
      <c r="AC33" s="4">
        <v>30</v>
      </c>
      <c r="AD33" s="4">
        <f>[1]节奏总纲!AD33</f>
        <v>49.533352307096472</v>
      </c>
      <c r="AE33" s="4">
        <f>[1]节奏总纲!AE33</f>
        <v>51.497823295559343</v>
      </c>
      <c r="AF33" s="4">
        <f>[1]节奏总纲!AF33</f>
        <v>54.213705787583436</v>
      </c>
      <c r="AG33" s="4">
        <f>[1]节奏总纲!AG33</f>
        <v>58.701446767877648</v>
      </c>
      <c r="AH33" s="4">
        <f>[1]节奏总纲!AH33</f>
        <v>67.097551508592701</v>
      </c>
      <c r="AL33" s="4">
        <v>30</v>
      </c>
      <c r="AM33" s="4">
        <f>[1]节奏总纲!AM33</f>
        <v>28.35</v>
      </c>
      <c r="AN33" s="4">
        <f>[1]节奏总纲!AN33</f>
        <v>22.680000000000003</v>
      </c>
      <c r="AO33" s="4">
        <f>[1]节奏总纲!AO33</f>
        <v>17.010000000000002</v>
      </c>
      <c r="AP33" s="4">
        <f>[1]节奏总纲!AP33</f>
        <v>11.340000000000002</v>
      </c>
      <c r="AQ33" s="4">
        <f>[1]节奏总纲!AQ33</f>
        <v>5.6700000000000008</v>
      </c>
      <c r="AS33" s="4">
        <v>30</v>
      </c>
      <c r="AT33" s="4">
        <f>[1]节奏总纲!AT33</f>
        <v>4.2752961375811545</v>
      </c>
      <c r="AU33" s="4">
        <f>[1]节奏总纲!AU33</f>
        <v>3.4202369100649257</v>
      </c>
      <c r="AV33" s="4">
        <f>[1]节奏总纲!AV33</f>
        <v>2.5651776825486934</v>
      </c>
      <c r="AW33" s="4">
        <f>[1]节奏总纲!AW33</f>
        <v>1.7101184550324628</v>
      </c>
      <c r="AX33" s="4">
        <f>[1]节奏总纲!AX33</f>
        <v>0.85505922751623142</v>
      </c>
      <c r="AY33" s="4"/>
      <c r="AZ33" s="4">
        <v>30</v>
      </c>
      <c r="BA33" s="4">
        <f>[1]节奏总纲!BA33</f>
        <v>30.329493925593439</v>
      </c>
      <c r="BB33" s="4">
        <f>[1]节奏总纲!BB33</f>
        <v>31.706504654507764</v>
      </c>
      <c r="BC33" s="4">
        <f>[1]节奏总纲!BC33</f>
        <v>33.487933395889513</v>
      </c>
      <c r="BD33" s="4">
        <f>[1]节奏总纲!BD33</f>
        <v>36.105477566569242</v>
      </c>
      <c r="BE33" s="4">
        <f>[1]节奏总纲!BE33</f>
        <v>40.751734485509814</v>
      </c>
    </row>
    <row r="34" spans="2:57">
      <c r="B34" s="4">
        <v>55</v>
      </c>
      <c r="C34" s="4">
        <v>1023.5</v>
      </c>
      <c r="D34" s="4">
        <v>512</v>
      </c>
      <c r="F34" s="4">
        <v>32</v>
      </c>
      <c r="G34" s="4">
        <v>8.189586839976279</v>
      </c>
      <c r="I34" s="4">
        <v>32</v>
      </c>
      <c r="J34" s="4">
        <v>39.220797956048642</v>
      </c>
      <c r="K34" s="12">
        <v>0.94</v>
      </c>
      <c r="N34" s="4">
        <f>[1]节奏总纲!N34</f>
        <v>41</v>
      </c>
      <c r="O34" s="4">
        <v>31</v>
      </c>
      <c r="P34" s="4">
        <f>[1]节奏总纲!P34</f>
        <v>7.5741877002903433</v>
      </c>
      <c r="Q34" s="4">
        <f>[1]节奏总纲!Q34</f>
        <v>6.6115084435834408</v>
      </c>
      <c r="R34" s="4">
        <f>[1]节奏总纲!R34</f>
        <v>5.4632615882194253</v>
      </c>
      <c r="S34" s="4">
        <f>[1]节奏总纲!S34</f>
        <v>4.052190419655334</v>
      </c>
      <c r="T34" s="4">
        <f>[1]节奏总纲!T34</f>
        <v>2.2783156602473356</v>
      </c>
      <c r="V34" s="4">
        <v>31</v>
      </c>
      <c r="W34" s="4">
        <f>[1]节奏总纲!W34</f>
        <v>0.57418770029034327</v>
      </c>
      <c r="X34" s="4">
        <f>[1]节奏总纲!X34</f>
        <v>0.50890844358344101</v>
      </c>
      <c r="Y34" s="4">
        <f>[1]节奏总纲!Y34</f>
        <v>0.42116158821942484</v>
      </c>
      <c r="Z34" s="4">
        <f>[1]节奏总纲!Z34</f>
        <v>0.30929041965533433</v>
      </c>
      <c r="AA34" s="4">
        <f>[1]节奏总纲!AA34</f>
        <v>0.17761566024733577</v>
      </c>
      <c r="AC34" s="4">
        <v>31</v>
      </c>
      <c r="AD34" s="4">
        <f>[1]节奏总纲!AD34</f>
        <v>50</v>
      </c>
      <c r="AE34" s="4">
        <f>[1]节奏总纲!AE34</f>
        <v>51.96230476258421</v>
      </c>
      <c r="AF34" s="4">
        <f>[1]节奏总纲!AF34</f>
        <v>54.692509339255828</v>
      </c>
      <c r="AG34" s="4">
        <f>[1]节奏总纲!AG34</f>
        <v>59.178112178215827</v>
      </c>
      <c r="AH34" s="4">
        <f>[1]节奏总纲!AH34</f>
        <v>67.582949939226467</v>
      </c>
      <c r="AL34" s="4">
        <v>31</v>
      </c>
      <c r="AM34" s="4">
        <f>[1]节奏总纲!AM34</f>
        <v>33.357679571112705</v>
      </c>
      <c r="AN34" s="4">
        <f>[1]节奏总纲!AN34</f>
        <v>26.686143656890167</v>
      </c>
      <c r="AO34" s="4">
        <f>[1]节奏总纲!AO34</f>
        <v>20.014607742667621</v>
      </c>
      <c r="AP34" s="4">
        <f>[1]节奏总纲!AP34</f>
        <v>13.343071828445083</v>
      </c>
      <c r="AQ34" s="4">
        <f>[1]节奏总纲!AQ34</f>
        <v>6.6715359142225417</v>
      </c>
      <c r="AS34" s="4">
        <v>31</v>
      </c>
      <c r="AT34" s="4">
        <f>[1]节奏总纲!AT34</f>
        <v>5.0076795711127033</v>
      </c>
      <c r="AU34" s="4">
        <f>[1]节奏总纲!AU34</f>
        <v>4.0061436568901634</v>
      </c>
      <c r="AV34" s="4">
        <f>[1]节奏总纲!AV34</f>
        <v>3.0046077426676199</v>
      </c>
      <c r="AW34" s="4">
        <f>[1]节奏总纲!AW34</f>
        <v>2.0030718284450817</v>
      </c>
      <c r="AX34" s="4">
        <f>[1]节奏总纲!AX34</f>
        <v>1.0015359142225408</v>
      </c>
      <c r="AY34" s="4"/>
      <c r="AZ34" s="4">
        <v>31</v>
      </c>
      <c r="BA34" s="4">
        <f>[1]节奏总纲!BA34</f>
        <v>30.529187213831889</v>
      </c>
      <c r="BB34" s="4">
        <f>[1]节奏总纲!BB34</f>
        <v>31.919701782372627</v>
      </c>
      <c r="BC34" s="4">
        <f>[1]节奏总纲!BC34</f>
        <v>33.695537043746626</v>
      </c>
      <c r="BD34" s="4">
        <f>[1]节奏总纲!BD34</f>
        <v>36.315904388158508</v>
      </c>
      <c r="BE34" s="4">
        <f>[1]节奏总纲!BE34</f>
        <v>40.984830450008978</v>
      </c>
    </row>
    <row r="35" spans="2:57">
      <c r="B35" s="4">
        <v>60</v>
      </c>
      <c r="C35" s="4">
        <v>2047.5</v>
      </c>
      <c r="D35" s="4">
        <v>1024</v>
      </c>
      <c r="F35" s="4">
        <v>33</v>
      </c>
      <c r="G35" s="4">
        <v>8.8491553067593287</v>
      </c>
      <c r="I35" s="4">
        <v>33</v>
      </c>
      <c r="J35" s="4">
        <v>46.082812923199413</v>
      </c>
      <c r="K35" s="12">
        <v>0.96</v>
      </c>
      <c r="N35" s="4">
        <f>[1]节奏总纲!N35</f>
        <v>42</v>
      </c>
      <c r="O35" s="4">
        <v>32</v>
      </c>
      <c r="P35" s="4">
        <f>[1]节奏总纲!P35</f>
        <v>8.189586839976279</v>
      </c>
      <c r="Q35" s="4">
        <f>[1]节奏总纲!Q35</f>
        <v>7.1519661873512845</v>
      </c>
      <c r="R35" s="4">
        <f>[1]节奏总纲!R35</f>
        <v>5.906330028990892</v>
      </c>
      <c r="S35" s="4">
        <f>[1]节奏总纲!S35</f>
        <v>4.3855237528072974</v>
      </c>
      <c r="T35" s="4">
        <f>[1]节奏总纲!T35</f>
        <v>2.46506563883286</v>
      </c>
      <c r="V35" s="4">
        <v>32</v>
      </c>
      <c r="W35" s="4">
        <f>[1]节奏总纲!W35</f>
        <v>0.61539913968593574</v>
      </c>
      <c r="X35" s="4">
        <f>[1]节奏总纲!X35</f>
        <v>0.54045774376784372</v>
      </c>
      <c r="Y35" s="4">
        <f>[1]节奏总纲!Y35</f>
        <v>0.44306844077146668</v>
      </c>
      <c r="Z35" s="4">
        <f>[1]节奏总纲!Z35</f>
        <v>0.33333333315196345</v>
      </c>
      <c r="AA35" s="4">
        <f>[1]节奏总纲!AA35</f>
        <v>0.18674997858552445</v>
      </c>
      <c r="AC35" s="4">
        <v>32</v>
      </c>
      <c r="AD35" s="4">
        <f>[1]节奏总纲!AD35</f>
        <v>50.435397692903535</v>
      </c>
      <c r="AE35" s="4">
        <f>[1]节奏总纲!AE35</f>
        <v>52.391506955233744</v>
      </c>
      <c r="AF35" s="4">
        <f>[1]节奏总纲!AF35</f>
        <v>55.159275389027101</v>
      </c>
      <c r="AG35" s="4">
        <f>[1]节奏总纲!AG35</f>
        <v>59.632093520341421</v>
      </c>
      <c r="AH35" s="4">
        <f>[1]节奏总纲!AH35</f>
        <v>68.063981730538742</v>
      </c>
      <c r="AL35" s="4">
        <v>32</v>
      </c>
      <c r="AM35" s="4">
        <f>[1]节奏总纲!AM35</f>
        <v>39.220797956048642</v>
      </c>
      <c r="AN35" s="4">
        <f>[1]节奏总纲!AN35</f>
        <v>31.376638364838914</v>
      </c>
      <c r="AO35" s="4">
        <f>[1]节奏总纲!AO35</f>
        <v>23.532478773629183</v>
      </c>
      <c r="AP35" s="4">
        <f>[1]节奏总纲!AP35</f>
        <v>15.688319182419457</v>
      </c>
      <c r="AQ35" s="4">
        <f>[1]节奏总纲!AQ35</f>
        <v>7.8441595912097286</v>
      </c>
      <c r="AS35" s="4">
        <v>32</v>
      </c>
      <c r="AT35" s="4">
        <f>[1]节奏总纲!AT35</f>
        <v>5.8631183849359374</v>
      </c>
      <c r="AU35" s="4">
        <f>[1]节奏总纲!AU35</f>
        <v>4.6904947079487478</v>
      </c>
      <c r="AV35" s="4">
        <f>[1]节奏总纲!AV35</f>
        <v>3.5178710309615617</v>
      </c>
      <c r="AW35" s="4">
        <f>[1]节奏总纲!AW35</f>
        <v>2.3452473539743739</v>
      </c>
      <c r="AX35" s="4">
        <f>[1]节奏总纲!AX35</f>
        <v>1.1726236769871869</v>
      </c>
      <c r="AY35" s="4"/>
      <c r="AZ35" s="4">
        <v>32</v>
      </c>
      <c r="BA35" s="4">
        <f>[1]节奏总纲!BA35</f>
        <v>30.728880502070336</v>
      </c>
      <c r="BB35" s="4">
        <f>[1]节奏总纲!BB35</f>
        <v>32.113552950216736</v>
      </c>
      <c r="BC35" s="4">
        <f>[1]节奏总纲!BC35</f>
        <v>33.903140691603731</v>
      </c>
      <c r="BD35" s="4">
        <f>[1]节奏总纲!BD35</f>
        <v>36.526331209747774</v>
      </c>
      <c r="BE35" s="4">
        <f>[1]节奏总纲!BE35</f>
        <v>41.188041754455355</v>
      </c>
    </row>
    <row r="36" spans="2:57">
      <c r="F36" s="4">
        <v>34</v>
      </c>
      <c r="G36" s="4">
        <v>9.5560632861831518</v>
      </c>
      <c r="I36" s="4">
        <v>34</v>
      </c>
      <c r="J36" s="4">
        <v>54.110931329932889</v>
      </c>
      <c r="K36" s="12">
        <v>0.98</v>
      </c>
      <c r="N36" s="4">
        <f>[1]节奏总纲!N36</f>
        <v>43</v>
      </c>
      <c r="O36" s="4">
        <v>33</v>
      </c>
      <c r="P36" s="4">
        <f>[1]节奏总纲!P36</f>
        <v>8.8491553067593287</v>
      </c>
      <c r="Q36" s="4">
        <f>[1]节奏总纲!Q36</f>
        <v>7.7120388498407557</v>
      </c>
      <c r="R36" s="4">
        <f>[1]节奏总纲!R36</f>
        <v>6.3696219898053652</v>
      </c>
      <c r="S36" s="4">
        <f>[1]节奏总纲!S36</f>
        <v>4.736067920177593</v>
      </c>
      <c r="T36" s="4">
        <f>[1]节奏总纲!T36</f>
        <v>2.6627108318038819</v>
      </c>
      <c r="V36" s="4">
        <v>33</v>
      </c>
      <c r="W36" s="4">
        <f>[1]节奏总纲!W36</f>
        <v>0.6595684667830497</v>
      </c>
      <c r="X36" s="4">
        <f>[1]节奏总纲!X36</f>
        <v>0.56007266248947118</v>
      </c>
      <c r="Y36" s="4">
        <f>[1]节奏总纲!Y36</f>
        <v>0.46329196081447321</v>
      </c>
      <c r="Z36" s="4">
        <f>[1]节奏总纲!Z36</f>
        <v>0.35054416737029559</v>
      </c>
      <c r="AA36" s="4">
        <f>[1]节奏总纲!AA36</f>
        <v>0.1976451929710219</v>
      </c>
      <c r="AC36" s="4">
        <v>33</v>
      </c>
      <c r="AD36" s="4">
        <f>[1]节奏总纲!AD36</f>
        <v>50.870795385807064</v>
      </c>
      <c r="AE36" s="4">
        <f>[1]节奏总纲!AE36</f>
        <v>52.81759316022675</v>
      </c>
      <c r="AF36" s="4">
        <f>[1]节奏总纲!AF36</f>
        <v>55.604435245632025</v>
      </c>
      <c r="AG36" s="4">
        <f>[1]节奏总纲!AG36</f>
        <v>60.078368706270226</v>
      </c>
      <c r="AH36" s="4">
        <f>[1]节奏总纲!AH36</f>
        <v>68.518369035696878</v>
      </c>
      <c r="AL36" s="4">
        <v>33</v>
      </c>
      <c r="AM36" s="4">
        <f>[1]节奏总纲!AM36</f>
        <v>46.082812923199413</v>
      </c>
      <c r="AN36" s="4">
        <f>[1]节奏总纲!AN36</f>
        <v>36.866250338559531</v>
      </c>
      <c r="AO36" s="4">
        <f>[1]节奏总纲!AO36</f>
        <v>27.649687753919647</v>
      </c>
      <c r="AP36" s="4">
        <f>[1]节奏总纲!AP36</f>
        <v>18.433125169279766</v>
      </c>
      <c r="AQ36" s="4">
        <f>[1]节奏总纲!AQ36</f>
        <v>9.2165625846398829</v>
      </c>
      <c r="AS36" s="4">
        <v>33</v>
      </c>
      <c r="AT36" s="4">
        <f>[1]节奏总纲!AT36</f>
        <v>6.8620149671507704</v>
      </c>
      <c r="AU36" s="4">
        <f>[1]节奏总纲!AU36</f>
        <v>5.489611973720617</v>
      </c>
      <c r="AV36" s="4">
        <f>[1]节奏总纲!AV36</f>
        <v>4.1172089802904637</v>
      </c>
      <c r="AW36" s="4">
        <f>[1]节奏总纲!AW36</f>
        <v>2.7448059868603085</v>
      </c>
      <c r="AX36" s="4">
        <f>[1]节奏总纲!AX36</f>
        <v>1.3724029934301543</v>
      </c>
      <c r="AY36" s="4"/>
      <c r="AZ36" s="4">
        <v>33</v>
      </c>
      <c r="BA36" s="4">
        <f>[1]节奏总纲!BA36</f>
        <v>30.928573790308786</v>
      </c>
      <c r="BB36" s="4">
        <f>[1]节奏总纲!BB36</f>
        <v>32.295715187691279</v>
      </c>
      <c r="BC36" s="4">
        <f>[1]节奏总纲!BC36</f>
        <v>34.09469189131628</v>
      </c>
      <c r="BD36" s="4">
        <f>[1]节奏总纲!BD36</f>
        <v>36.73675803133704</v>
      </c>
      <c r="BE36" s="4">
        <f>[1]节奏总纲!BE36</f>
        <v>41.389172829914081</v>
      </c>
    </row>
    <row r="37" spans="2:57">
      <c r="F37" s="4">
        <v>35</v>
      </c>
      <c r="G37" s="4">
        <v>10.313708498984759</v>
      </c>
      <c r="I37" s="4">
        <v>35</v>
      </c>
      <c r="J37" s="4">
        <v>63.5</v>
      </c>
      <c r="K37" s="12">
        <v>1</v>
      </c>
      <c r="N37" s="4">
        <f>[1]节奏总纲!N37</f>
        <v>44</v>
      </c>
      <c r="O37" s="4">
        <v>34</v>
      </c>
      <c r="P37" s="4">
        <f>[1]节奏总纲!P37</f>
        <v>9.5560632861831518</v>
      </c>
      <c r="Q37" s="4">
        <f>[1]节奏总纲!Q37</f>
        <v>8.3309759728944712</v>
      </c>
      <c r="R37" s="4">
        <f>[1]节奏总纲!R37</f>
        <v>6.8918328419952886</v>
      </c>
      <c r="S37" s="4">
        <f>[1]节奏总纲!S37</f>
        <v>5.1287391656944967</v>
      </c>
      <c r="T37" s="4">
        <f>[1]节奏总纲!T37</f>
        <v>2.8811530807842201</v>
      </c>
      <c r="V37" s="4">
        <v>34</v>
      </c>
      <c r="W37" s="4">
        <f>[1]节奏总纲!W37</f>
        <v>0.70690797942382311</v>
      </c>
      <c r="X37" s="4">
        <f>[1]节奏总纲!X37</f>
        <v>0.61893712305371551</v>
      </c>
      <c r="Y37" s="4">
        <f>[1]节奏总纲!Y37</f>
        <v>0.52221085218992336</v>
      </c>
      <c r="Z37" s="4">
        <f>[1]节奏总纲!Z37</f>
        <v>0.39267124551690369</v>
      </c>
      <c r="AA37" s="4">
        <f>[1]节奏总纲!AA37</f>
        <v>0.21844224898033815</v>
      </c>
      <c r="AC37" s="4">
        <v>34</v>
      </c>
      <c r="AD37" s="4">
        <f>[1]节奏总纲!AD37</f>
        <v>51.285688244217212</v>
      </c>
      <c r="AE37" s="4">
        <f>[1]节奏总纲!AE37</f>
        <v>53.226994578658328</v>
      </c>
      <c r="AF37" s="4">
        <f>[1]节奏总纲!AF37</f>
        <v>56.045896281048073</v>
      </c>
      <c r="AG37" s="4">
        <f>[1]节奏总纲!AG37</f>
        <v>60.491705764657482</v>
      </c>
      <c r="AH37" s="4">
        <f>[1]节奏总纲!AH37</f>
        <v>68.972756340855</v>
      </c>
      <c r="AL37" s="4">
        <v>34</v>
      </c>
      <c r="AM37" s="4">
        <f>[1]节奏总纲!AM37</f>
        <v>54.110931329932889</v>
      </c>
      <c r="AN37" s="4">
        <f>[1]节奏总纲!AN37</f>
        <v>43.288745063946315</v>
      </c>
      <c r="AO37" s="4">
        <f>[1]节奏总纲!AO37</f>
        <v>32.466558797959735</v>
      </c>
      <c r="AP37" s="4">
        <f>[1]节奏总纲!AP37</f>
        <v>21.644372531973158</v>
      </c>
      <c r="AQ37" s="4">
        <f>[1]节奏总纲!AQ37</f>
        <v>10.822186265986579</v>
      </c>
      <c r="AS37" s="4">
        <v>34</v>
      </c>
      <c r="AT37" s="4">
        <f>[1]节奏总纲!AT37</f>
        <v>8.0281184067334763</v>
      </c>
      <c r="AU37" s="4">
        <f>[1]节奏总纲!AU37</f>
        <v>6.4224947253867839</v>
      </c>
      <c r="AV37" s="4">
        <f>[1]节奏总纲!AV37</f>
        <v>4.8168710440400879</v>
      </c>
      <c r="AW37" s="4">
        <f>[1]节奏总纲!AW37</f>
        <v>3.2112473626933919</v>
      </c>
      <c r="AX37" s="4">
        <f>[1]节奏总纲!AX37</f>
        <v>1.605623681346696</v>
      </c>
      <c r="AY37" s="4"/>
      <c r="AZ37" s="4">
        <v>34</v>
      </c>
      <c r="BA37" s="4">
        <f>[1]节奏总纲!BA37</f>
        <v>31.109552696486158</v>
      </c>
      <c r="BB37" s="4">
        <f>[1]节奏总纲!BB37</f>
        <v>32.477877425165822</v>
      </c>
      <c r="BC37" s="4">
        <f>[1]节奏总纲!BC37</f>
        <v>34.272203285175834</v>
      </c>
      <c r="BD37" s="4">
        <f>[1]节奏总纲!BD37</f>
        <v>36.947184852926306</v>
      </c>
      <c r="BE37" s="4">
        <f>[1]节奏总纲!BE37</f>
        <v>41.590303905372799</v>
      </c>
    </row>
    <row r="38" spans="2:57">
      <c r="F38" s="4">
        <v>36</v>
      </c>
      <c r="G38" s="4">
        <v>11.125732532083184</v>
      </c>
      <c r="I38" s="4">
        <v>36</v>
      </c>
      <c r="J38" s="4">
        <v>73.746861667008318</v>
      </c>
      <c r="K38" s="12">
        <v>1.01</v>
      </c>
      <c r="N38" s="4">
        <f>[1]节奏总纲!N38</f>
        <v>45</v>
      </c>
      <c r="O38" s="4">
        <v>35</v>
      </c>
      <c r="P38" s="4">
        <f>[1]节奏总纲!P38</f>
        <v>10.313708498984759</v>
      </c>
      <c r="Q38" s="4">
        <f>[1]节奏总纲!Q38</f>
        <v>9.0048988904635934</v>
      </c>
      <c r="R38" s="4">
        <f>[1]节奏总纲!R38</f>
        <v>7.4547485030661838</v>
      </c>
      <c r="S38" s="4">
        <f>[1]节奏总纲!S38</f>
        <v>5.5405242056546129</v>
      </c>
      <c r="T38" s="4">
        <f>[1]节奏总纲!T38</f>
        <v>3.1106144832938032</v>
      </c>
      <c r="V38" s="4">
        <v>35</v>
      </c>
      <c r="W38" s="4">
        <f>[1]节奏总纲!W38</f>
        <v>0.75764521280160757</v>
      </c>
      <c r="X38" s="4">
        <f>[1]节奏总纲!X38</f>
        <v>0.67392291756912215</v>
      </c>
      <c r="Y38" s="4">
        <f>[1]节奏总纲!Y38</f>
        <v>0.56291566107089519</v>
      </c>
      <c r="Z38" s="4">
        <f>[1]节奏总纲!Z38</f>
        <v>0.41178503996011617</v>
      </c>
      <c r="AA38" s="4">
        <f>[1]节奏总纲!AA38</f>
        <v>0.22946140250958313</v>
      </c>
      <c r="AC38" s="4">
        <v>35</v>
      </c>
      <c r="AD38" s="4">
        <f>[1]节奏总纲!AD38</f>
        <v>51.691928656135211</v>
      </c>
      <c r="AE38" s="4">
        <f>[1]节奏总纲!AE38</f>
        <v>53.623906555539456</v>
      </c>
      <c r="AF38" s="4">
        <f>[1]节奏总纲!AF38</f>
        <v>56.457855949816349</v>
      </c>
      <c r="AG38" s="4">
        <f>[1]节奏总纲!AG38</f>
        <v>60.905042823044738</v>
      </c>
      <c r="AH38" s="4">
        <f>[1]节奏总纲!AH38</f>
        <v>69.385288338144662</v>
      </c>
      <c r="AL38" s="4">
        <v>35</v>
      </c>
      <c r="AM38" s="4">
        <f>[1]节奏总纲!AM38</f>
        <v>63.5</v>
      </c>
      <c r="AN38" s="4">
        <f>[1]节奏总纲!AN38</f>
        <v>50.800000000000004</v>
      </c>
      <c r="AO38" s="4">
        <f>[1]节奏总纲!AO38</f>
        <v>38.1</v>
      </c>
      <c r="AP38" s="4">
        <f>[1]节奏总纲!AP38</f>
        <v>25.400000000000002</v>
      </c>
      <c r="AQ38" s="4">
        <f>[1]节奏总纲!AQ38</f>
        <v>12.700000000000001</v>
      </c>
      <c r="AS38" s="4">
        <v>35</v>
      </c>
      <c r="AT38" s="4">
        <f>[1]节奏总纲!AT38</f>
        <v>9.3890686700671111</v>
      </c>
      <c r="AU38" s="4">
        <f>[1]节奏总纲!AU38</f>
        <v>7.5112549360536889</v>
      </c>
      <c r="AV38" s="4">
        <f>[1]节奏总纲!AV38</f>
        <v>5.6334412020402667</v>
      </c>
      <c r="AW38" s="4">
        <f>[1]节奏总纲!AW38</f>
        <v>3.7556274680268444</v>
      </c>
      <c r="AX38" s="4">
        <f>[1]节奏总纲!AX38</f>
        <v>1.8778137340134222</v>
      </c>
      <c r="AY38" s="4"/>
      <c r="AZ38" s="4">
        <v>35</v>
      </c>
      <c r="BA38" s="4">
        <f>[1]节奏总纲!BA38</f>
        <v>31.280110398778046</v>
      </c>
      <c r="BB38" s="4">
        <f>[1]节奏总纲!BB38</f>
        <v>32.660039662640372</v>
      </c>
      <c r="BC38" s="4">
        <f>[1]节奏总纲!BC38</f>
        <v>34.449714679035388</v>
      </c>
      <c r="BD38" s="4">
        <f>[1]节奏总纲!BD38</f>
        <v>37.135950591746003</v>
      </c>
      <c r="BE38" s="4">
        <f>[1]节奏总纲!BE38</f>
        <v>41.791434980831518</v>
      </c>
    </row>
    <row r="39" spans="2:57">
      <c r="F39" s="4">
        <v>37</v>
      </c>
      <c r="G39" s="4">
        <v>11.996038341699768</v>
      </c>
      <c r="I39" s="4">
        <v>37</v>
      </c>
      <c r="J39" s="4">
        <v>85.62747641525452</v>
      </c>
      <c r="K39" s="12">
        <v>1.02</v>
      </c>
      <c r="N39" s="4">
        <f>[1]节奏总纲!N39</f>
        <v>46</v>
      </c>
      <c r="O39" s="4">
        <v>36</v>
      </c>
      <c r="P39" s="4">
        <f>[1]节奏总纲!P39</f>
        <v>11.125732532083184</v>
      </c>
      <c r="Q39" s="4">
        <f>[1]节奏总纲!Q39</f>
        <v>9.7261153795471191</v>
      </c>
      <c r="R39" s="4">
        <f>[1]节奏总纲!R39</f>
        <v>8.0405669009365166</v>
      </c>
      <c r="S39" s="4">
        <f>[1]节奏总纲!S39</f>
        <v>5.9700680767158358</v>
      </c>
      <c r="T39" s="4">
        <f>[1]节奏总纲!T39</f>
        <v>3.3388323328781633</v>
      </c>
      <c r="V39" s="4">
        <v>36</v>
      </c>
      <c r="W39" s="4">
        <f>[1]节奏总纲!W39</f>
        <v>0.81202403309842452</v>
      </c>
      <c r="X39" s="4">
        <f>[1]节奏总纲!X39</f>
        <v>0.72121648908352576</v>
      </c>
      <c r="Y39" s="4">
        <f>[1]节奏总纲!Y39</f>
        <v>0.58581839787033285</v>
      </c>
      <c r="Z39" s="4">
        <f>[1]节奏总纲!Z39</f>
        <v>0.42954387106122294</v>
      </c>
      <c r="AA39" s="4">
        <f>[1]节奏总纲!AA39</f>
        <v>0.22821784958436009</v>
      </c>
      <c r="AC39" s="4">
        <v>36</v>
      </c>
      <c r="AD39" s="4">
        <f>[1]节奏总纲!AD39</f>
        <v>52.091594979242075</v>
      </c>
      <c r="AE39" s="4">
        <f>[1]节奏总纲!AE39</f>
        <v>54.020289560649204</v>
      </c>
      <c r="AF39" s="4">
        <f>[1]节奏总纲!AF39</f>
        <v>56.869815618584624</v>
      </c>
      <c r="AG39" s="4">
        <f>[1]节奏总纲!AG39</f>
        <v>61.294362422865476</v>
      </c>
      <c r="AH39" s="4">
        <f>[1]节奏总纲!AH39</f>
        <v>69.795150761037945</v>
      </c>
      <c r="AL39" s="4">
        <v>36</v>
      </c>
      <c r="AM39" s="4">
        <f>[1]节奏总纲!AM39</f>
        <v>73.746861667008318</v>
      </c>
      <c r="AN39" s="4">
        <f>[1]节奏总纲!AN39</f>
        <v>58.997489333606659</v>
      </c>
      <c r="AO39" s="4">
        <f>[1]节奏总纲!AO39</f>
        <v>44.248117000204992</v>
      </c>
      <c r="AP39" s="4">
        <f>[1]节奏总纲!AP39</f>
        <v>29.498744666803329</v>
      </c>
      <c r="AQ39" s="4">
        <f>[1]节奏总纲!AQ39</f>
        <v>14.749372333401665</v>
      </c>
      <c r="AS39" s="4">
        <v>36</v>
      </c>
      <c r="AT39" s="4">
        <f>[1]节奏总纲!AT39</f>
        <v>10.246861667008318</v>
      </c>
      <c r="AU39" s="4">
        <f>[1]节奏总纲!AU39</f>
        <v>8.1974893336066543</v>
      </c>
      <c r="AV39" s="4">
        <f>[1]节奏总纲!AV39</f>
        <v>6.1481170002049907</v>
      </c>
      <c r="AW39" s="4">
        <f>[1]节奏总纲!AW39</f>
        <v>4.0987446668033272</v>
      </c>
      <c r="AX39" s="4">
        <f>[1]节奏总纲!AX39</f>
        <v>2.0493723334016636</v>
      </c>
      <c r="AY39" s="4"/>
      <c r="AZ39" s="4">
        <v>36</v>
      </c>
      <c r="BA39" s="4">
        <f>[1]节奏总纲!BA39</f>
        <v>31.450668101069933</v>
      </c>
      <c r="BB39" s="4">
        <f>[1]节奏总纲!BB39</f>
        <v>32.842201900114915</v>
      </c>
      <c r="BC39" s="4">
        <f>[1]节奏总纲!BC39</f>
        <v>34.627226072894942</v>
      </c>
      <c r="BD39" s="4">
        <f>[1]节奏总纲!BD39</f>
        <v>37.317457773889828</v>
      </c>
      <c r="BE39" s="4">
        <f>[1]节奏总纲!BE39</f>
        <v>41.992566056290244</v>
      </c>
    </row>
    <row r="40" spans="2:57">
      <c r="F40" s="4">
        <v>38</v>
      </c>
      <c r="G40" s="4">
        <v>12.928809012737984</v>
      </c>
      <c r="I40" s="4">
        <v>38</v>
      </c>
      <c r="J40" s="4">
        <v>99.401036064365428</v>
      </c>
      <c r="K40" s="12">
        <v>1.03</v>
      </c>
      <c r="N40" s="4">
        <f>[1]节奏总纲!N40</f>
        <v>47</v>
      </c>
      <c r="O40" s="4">
        <v>37</v>
      </c>
      <c r="P40" s="4">
        <f>[1]节奏总纲!P40</f>
        <v>11.996038341699768</v>
      </c>
      <c r="Q40" s="4">
        <f>[1]节奏总纲!Q40</f>
        <v>10.483337906811427</v>
      </c>
      <c r="R40" s="4">
        <f>[1]节奏总纲!R40</f>
        <v>8.6671377018780831</v>
      </c>
      <c r="S40" s="4">
        <f>[1]节奏总纲!S40</f>
        <v>6.4166809089752066</v>
      </c>
      <c r="T40" s="4">
        <f>[1]节奏总纲!T40</f>
        <v>3.6000111063441</v>
      </c>
      <c r="V40" s="4">
        <v>37</v>
      </c>
      <c r="W40" s="4">
        <f>[1]节奏总纲!W40</f>
        <v>0.87030580961658366</v>
      </c>
      <c r="X40" s="4">
        <f>[1]节奏总纲!X40</f>
        <v>0.75722252726430739</v>
      </c>
      <c r="Y40" s="4">
        <f>[1]节奏总纲!Y40</f>
        <v>0.62657080094156647</v>
      </c>
      <c r="Z40" s="4">
        <f>[1]节奏总纲!Z40</f>
        <v>0.44661283225937076</v>
      </c>
      <c r="AA40" s="4">
        <f>[1]节奏总纲!AA40</f>
        <v>0.26117877346593676</v>
      </c>
      <c r="AC40" s="4">
        <v>37</v>
      </c>
      <c r="AD40" s="4">
        <f>[1]节奏总纲!AD40</f>
        <v>52.470630686057078</v>
      </c>
      <c r="AE40" s="4">
        <f>[1]节奏总纲!AE40</f>
        <v>54.407116521581436</v>
      </c>
      <c r="AF40" s="4">
        <f>[1]节奏总纲!AF40</f>
        <v>57.263329041432932</v>
      </c>
      <c r="AG40" s="4">
        <f>[1]节奏总纲!AG40</f>
        <v>61.676518787205197</v>
      </c>
      <c r="AH40" s="4">
        <f>[1]节奏总纲!AH40</f>
        <v>70.190427169053478</v>
      </c>
      <c r="AL40" s="4">
        <v>37</v>
      </c>
      <c r="AM40" s="4">
        <f>[1]节奏总纲!AM40</f>
        <v>85.62747641525452</v>
      </c>
      <c r="AN40" s="4">
        <f>[1]节奏总纲!AN40</f>
        <v>68.501981132203625</v>
      </c>
      <c r="AO40" s="4">
        <f>[1]节奏总纲!AO40</f>
        <v>51.376485849152708</v>
      </c>
      <c r="AP40" s="4">
        <f>[1]节奏总纲!AP40</f>
        <v>34.250990566101812</v>
      </c>
      <c r="AQ40" s="4">
        <f>[1]节奏总纲!AQ40</f>
        <v>17.125495283050906</v>
      </c>
      <c r="AS40" s="4">
        <v>37</v>
      </c>
      <c r="AT40" s="4">
        <f>[1]节奏总纲!AT40</f>
        <v>11.880614748246202</v>
      </c>
      <c r="AU40" s="4">
        <f>[1]节奏总纲!AU40</f>
        <v>9.5044917985969661</v>
      </c>
      <c r="AV40" s="4">
        <f>[1]节奏总纲!AV40</f>
        <v>7.1283688489477157</v>
      </c>
      <c r="AW40" s="4">
        <f>[1]节奏总纲!AW40</f>
        <v>4.7522458992984831</v>
      </c>
      <c r="AX40" s="4">
        <f>[1]节奏总纲!AX40</f>
        <v>2.3761229496492415</v>
      </c>
      <c r="AY40" s="4"/>
      <c r="AZ40" s="4">
        <v>37</v>
      </c>
      <c r="BA40" s="4">
        <f>[1]节奏总纲!BA40</f>
        <v>31.621225803361821</v>
      </c>
      <c r="BB40" s="4">
        <f>[1]节奏总纲!BB40</f>
        <v>33.02082518821102</v>
      </c>
      <c r="BC40" s="4">
        <f>[1]节奏总纲!BC40</f>
        <v>34.804737466754489</v>
      </c>
      <c r="BD40" s="4">
        <f>[1]节奏总纲!BD40</f>
        <v>37.498964956033646</v>
      </c>
      <c r="BE40" s="4">
        <f>[1]节奏总纲!BE40</f>
        <v>42.167148737437564</v>
      </c>
    </row>
    <row r="41" spans="2:57">
      <c r="F41" s="4">
        <v>39</v>
      </c>
      <c r="G41" s="4">
        <v>13.928527864588917</v>
      </c>
      <c r="I41" s="4">
        <v>39</v>
      </c>
      <c r="J41" s="4">
        <v>115.36769098598003</v>
      </c>
      <c r="K41" s="12">
        <v>1.04</v>
      </c>
      <c r="N41" s="4">
        <f>[1]节奏总纲!N41</f>
        <v>48</v>
      </c>
      <c r="O41" s="4">
        <v>38</v>
      </c>
      <c r="P41" s="4">
        <f>[1]节奏总纲!P41</f>
        <v>12.928809012737984</v>
      </c>
      <c r="Q41" s="4">
        <f>[1]节奏总纲!Q41</f>
        <v>11.292021791725356</v>
      </c>
      <c r="R41" s="4">
        <f>[1]节奏总纲!R41</f>
        <v>9.3190855363815395</v>
      </c>
      <c r="S41" s="4">
        <f>[1]节奏总纲!S41</f>
        <v>6.8962267273944402</v>
      </c>
      <c r="T41" s="4">
        <f>[1]节奏总纲!T41</f>
        <v>3.8708854184137524</v>
      </c>
      <c r="V41" s="4">
        <v>38</v>
      </c>
      <c r="W41" s="4">
        <f>[1]节奏总纲!W41</f>
        <v>0.93277067103821665</v>
      </c>
      <c r="X41" s="4">
        <f>[1]节奏总纲!X41</f>
        <v>0.80868388491392906</v>
      </c>
      <c r="Y41" s="4">
        <f>[1]节奏总纲!Y41</f>
        <v>0.65194783450345639</v>
      </c>
      <c r="Z41" s="4">
        <f>[1]节奏总纲!Z41</f>
        <v>0.4795458184192336</v>
      </c>
      <c r="AA41" s="4">
        <f>[1]节奏总纲!AA41</f>
        <v>0.2708743120696524</v>
      </c>
      <c r="AC41" s="4">
        <v>38</v>
      </c>
      <c r="AD41" s="4">
        <f>[1]节奏总纲!AD41</f>
        <v>52.849666392872081</v>
      </c>
      <c r="AE41" s="4">
        <f>[1]节奏总纲!AE41</f>
        <v>54.793943482513676</v>
      </c>
      <c r="AF41" s="4">
        <f>[1]节奏总纲!AF41</f>
        <v>57.64832002380362</v>
      </c>
      <c r="AG41" s="4">
        <f>[1]节奏总纲!AG41</f>
        <v>62.054222259937362</v>
      </c>
      <c r="AH41" s="4">
        <f>[1]节奏总纲!AH41</f>
        <v>70.571129226337533</v>
      </c>
      <c r="AL41" s="4">
        <v>38</v>
      </c>
      <c r="AM41" s="4">
        <f>[1]节奏总纲!AM41</f>
        <v>99.401036064365428</v>
      </c>
      <c r="AN41" s="4">
        <f>[1]节奏总纲!AN41</f>
        <v>79.520828851492354</v>
      </c>
      <c r="AO41" s="4">
        <f>[1]节奏总纲!AO41</f>
        <v>59.640621638619251</v>
      </c>
      <c r="AP41" s="4">
        <f>[1]节奏总纲!AP41</f>
        <v>39.760414425746177</v>
      </c>
      <c r="AQ41" s="4">
        <f>[1]节奏总纲!AQ41</f>
        <v>19.880207212873088</v>
      </c>
      <c r="AS41" s="4">
        <v>38</v>
      </c>
      <c r="AT41" s="4">
        <f>[1]节奏总纲!AT41</f>
        <v>13.773559649110908</v>
      </c>
      <c r="AU41" s="4">
        <f>[1]节奏总纲!AU41</f>
        <v>11.018847719288729</v>
      </c>
      <c r="AV41" s="4">
        <f>[1]节奏总纲!AV41</f>
        <v>8.2641357894665433</v>
      </c>
      <c r="AW41" s="4">
        <f>[1]节奏总纲!AW41</f>
        <v>5.5094238596443645</v>
      </c>
      <c r="AX41" s="4">
        <f>[1]节奏总纲!AX41</f>
        <v>2.7547119298221823</v>
      </c>
      <c r="AY41" s="4"/>
      <c r="AZ41" s="4">
        <v>38</v>
      </c>
      <c r="BA41" s="4">
        <f>[1]节奏总纲!BA41</f>
        <v>31.791783505653711</v>
      </c>
      <c r="BB41" s="4">
        <f>[1]节奏总纲!BB41</f>
        <v>33.176527924103851</v>
      </c>
      <c r="BC41" s="4">
        <f>[1]节奏总纲!BC41</f>
        <v>34.982248860614042</v>
      </c>
      <c r="BD41" s="4">
        <f>[1]节奏总纲!BD41</f>
        <v>37.680472138177471</v>
      </c>
      <c r="BE41" s="4">
        <f>[1]节奏总纲!BE41</f>
        <v>42.340712512072891</v>
      </c>
    </row>
    <row r="42" spans="2:57">
      <c r="F42" s="4">
        <v>40</v>
      </c>
      <c r="G42" s="4">
        <v>15</v>
      </c>
      <c r="I42" s="4">
        <v>40</v>
      </c>
      <c r="J42" s="4">
        <v>133.875</v>
      </c>
      <c r="K42" s="12">
        <v>1.05</v>
      </c>
      <c r="N42" s="4">
        <f>[1]节奏总纲!N42</f>
        <v>49</v>
      </c>
      <c r="O42" s="4">
        <v>39</v>
      </c>
      <c r="P42" s="4">
        <f>[1]节奏总纲!P42</f>
        <v>13.928527864588917</v>
      </c>
      <c r="Q42" s="4">
        <f>[1]节奏总纲!Q42</f>
        <v>12.147069150707994</v>
      </c>
      <c r="R42" s="4">
        <f>[1]节奏总纲!R42</f>
        <v>10.016004387425889</v>
      </c>
      <c r="S42" s="4">
        <f>[1]节奏总纲!S42</f>
        <v>7.4197267934665154</v>
      </c>
      <c r="T42" s="4">
        <f>[1]节奏总纲!T42</f>
        <v>4.1702012426579218</v>
      </c>
      <c r="V42" s="4">
        <v>39</v>
      </c>
      <c r="W42" s="4">
        <f>[1]节奏总纲!W42</f>
        <v>0.99971885185093257</v>
      </c>
      <c r="X42" s="4">
        <f>[1]节奏总纲!X42</f>
        <v>0.85504735898263817</v>
      </c>
      <c r="Y42" s="4">
        <f>[1]节奏总纲!Y42</f>
        <v>0.69691885104434981</v>
      </c>
      <c r="Z42" s="4">
        <f>[1]节奏总纲!Z42</f>
        <v>0.52350006607207522</v>
      </c>
      <c r="AA42" s="4">
        <f>[1]节奏总纲!AA42</f>
        <v>0.29931582424416936</v>
      </c>
      <c r="AC42" s="4">
        <v>39</v>
      </c>
      <c r="AD42" s="4">
        <f>[1]节奏总纲!AD42</f>
        <v>53.213386604241784</v>
      </c>
      <c r="AE42" s="4">
        <f>[1]节奏总纲!AE42</f>
        <v>55.170390866416149</v>
      </c>
      <c r="AF42" s="4">
        <f>[1]节奏总纲!AF42</f>
        <v>58.030740707238266</v>
      </c>
      <c r="AG42" s="4">
        <f>[1]节奏总纲!AG42</f>
        <v>62.407376554018477</v>
      </c>
      <c r="AH42" s="4">
        <f>[1]节奏总纲!AH42</f>
        <v>70.951831283621587</v>
      </c>
      <c r="AL42" s="4">
        <v>39</v>
      </c>
      <c r="AM42" s="4">
        <f>[1]节奏总纲!AM42</f>
        <v>115.36769098598003</v>
      </c>
      <c r="AN42" s="4">
        <f>[1]节奏总纲!AN42</f>
        <v>92.294152788784032</v>
      </c>
      <c r="AO42" s="4">
        <f>[1]节奏总纲!AO42</f>
        <v>69.220614591588017</v>
      </c>
      <c r="AP42" s="4">
        <f>[1]节奏总纲!AP42</f>
        <v>46.147076394392016</v>
      </c>
      <c r="AQ42" s="4">
        <f>[1]节奏总纲!AQ42</f>
        <v>23.073538197196008</v>
      </c>
      <c r="AS42" s="4">
        <v>39</v>
      </c>
      <c r="AT42" s="4">
        <f>[1]节奏总纲!AT42</f>
        <v>15.966654921614605</v>
      </c>
      <c r="AU42" s="4">
        <f>[1]节奏总纲!AU42</f>
        <v>12.773323937291678</v>
      </c>
      <c r="AV42" s="4">
        <f>[1]节奏总纲!AV42</f>
        <v>9.579992952968766</v>
      </c>
      <c r="AW42" s="4">
        <f>[1]节奏总纲!AW42</f>
        <v>6.3866619686458392</v>
      </c>
      <c r="AX42" s="4">
        <f>[1]节奏总纲!AX42</f>
        <v>3.1933309843229196</v>
      </c>
      <c r="AY42" s="4"/>
      <c r="AZ42" s="4">
        <v>39</v>
      </c>
      <c r="BA42" s="4">
        <f>[1]节奏总纲!BA42</f>
        <v>31.962341207945599</v>
      </c>
      <c r="BB42" s="4">
        <f>[1]节奏总纲!BB42</f>
        <v>33.332230659996682</v>
      </c>
      <c r="BC42" s="4">
        <f>[1]节奏总纲!BC42</f>
        <v>35.146386283795508</v>
      </c>
      <c r="BD42" s="4">
        <f>[1]节奏总纲!BD42</f>
        <v>37.861979320321296</v>
      </c>
      <c r="BE42" s="4">
        <f>[1]节奏总纲!BE42</f>
        <v>42.51427628670821</v>
      </c>
    </row>
    <row r="43" spans="2:57">
      <c r="F43" s="4">
        <v>41</v>
      </c>
      <c r="G43" s="4">
        <v>16.148375400580683</v>
      </c>
      <c r="I43" s="4">
        <v>41</v>
      </c>
      <c r="J43" s="4">
        <v>155.32539280599755</v>
      </c>
      <c r="K43" s="12">
        <v>1.06</v>
      </c>
      <c r="N43" s="4">
        <f>[1]节奏总纲!N43</f>
        <v>50</v>
      </c>
      <c r="O43" s="4">
        <v>40</v>
      </c>
      <c r="P43" s="4">
        <f>[1]节奏总纲!P43</f>
        <v>15</v>
      </c>
      <c r="Q43" s="4">
        <f>[1]节奏总纲!Q43</f>
        <v>13.059000000000001</v>
      </c>
      <c r="R43" s="4">
        <f>[1]节奏总纲!R43</f>
        <v>10.782</v>
      </c>
      <c r="S43" s="4">
        <f>[1]节奏总纲!S43</f>
        <v>8.0009999999999994</v>
      </c>
      <c r="T43" s="4">
        <f>[1]节奏总纲!T43</f>
        <v>4.5</v>
      </c>
      <c r="V43" s="4">
        <v>40</v>
      </c>
      <c r="W43" s="4">
        <f>[1]节奏总纲!W43</f>
        <v>1.0714721354110832</v>
      </c>
      <c r="X43" s="4">
        <f>[1]节奏总纲!X43</f>
        <v>0.9119308492920073</v>
      </c>
      <c r="Y43" s="4">
        <f>[1]节奏总纲!Y43</f>
        <v>0.76599561257411075</v>
      </c>
      <c r="Z43" s="4">
        <f>[1]节奏总纲!Z43</f>
        <v>0.58127320653348402</v>
      </c>
      <c r="AA43" s="4">
        <f>[1]节奏总纲!AA43</f>
        <v>0.3297987573420782</v>
      </c>
      <c r="AC43" s="4">
        <v>40</v>
      </c>
      <c r="AD43" s="4">
        <f>[1]节奏总纲!AD43</f>
        <v>53.567039423670657</v>
      </c>
      <c r="AE43" s="4">
        <f>[1]节奏总纲!AE43</f>
        <v>55.535006783542492</v>
      </c>
      <c r="AF43" s="4">
        <f>[1]节奏总纲!AF43</f>
        <v>58.38602553461638</v>
      </c>
      <c r="AG43" s="4">
        <f>[1]节奏总纲!AG43</f>
        <v>62.760530848099599</v>
      </c>
      <c r="AH43" s="4">
        <f>[1]节奏总纲!AH43</f>
        <v>71.315281959371688</v>
      </c>
      <c r="AL43" s="4">
        <v>40</v>
      </c>
      <c r="AM43" s="4">
        <f>[1]节奏总纲!AM43</f>
        <v>133.875</v>
      </c>
      <c r="AN43" s="4">
        <f>[1]节奏总纲!AN43</f>
        <v>107.10000000000001</v>
      </c>
      <c r="AO43" s="4">
        <f>[1]节奏总纲!AO43</f>
        <v>80.325000000000003</v>
      </c>
      <c r="AP43" s="4">
        <f>[1]节奏总纲!AP43</f>
        <v>53.550000000000004</v>
      </c>
      <c r="AQ43" s="4">
        <f>[1]节奏总纲!AQ43</f>
        <v>26.775000000000002</v>
      </c>
      <c r="AS43" s="4">
        <v>40</v>
      </c>
      <c r="AT43" s="4">
        <f>[1]节奏总纲!AT43</f>
        <v>18.507309014019967</v>
      </c>
      <c r="AU43" s="4">
        <f>[1]节奏总纲!AU43</f>
        <v>14.805847211215976</v>
      </c>
      <c r="AV43" s="4">
        <f>[1]节奏总纲!AV43</f>
        <v>11.104385408411986</v>
      </c>
      <c r="AW43" s="4">
        <f>[1]节奏总纲!AW43</f>
        <v>7.4029236056079881</v>
      </c>
      <c r="AX43" s="4">
        <f>[1]节奏总纲!AX43</f>
        <v>3.7014618028039941</v>
      </c>
      <c r="AY43" s="4"/>
      <c r="AZ43" s="4">
        <v>40</v>
      </c>
      <c r="BA43" s="4">
        <f>[1]节奏总纲!BA43</f>
        <v>32.113552950216736</v>
      </c>
      <c r="BB43" s="4">
        <f>[1]节奏总纲!BB43</f>
        <v>33.487933395889513</v>
      </c>
      <c r="BC43" s="4">
        <f>[1]节奏总纲!BC43</f>
        <v>35.309037710234961</v>
      </c>
      <c r="BD43" s="4">
        <f>[1]节奏总纲!BD43</f>
        <v>38.037513426486328</v>
      </c>
      <c r="BE43" s="4">
        <f>[1]节奏总纲!BE43</f>
        <v>42.687840061343536</v>
      </c>
    </row>
    <row r="44" spans="2:57">
      <c r="F44" s="4">
        <v>42</v>
      </c>
      <c r="G44" s="4">
        <v>17.379173679952558</v>
      </c>
      <c r="I44" s="4">
        <v>42</v>
      </c>
      <c r="J44" s="4">
        <v>180.18480345945557</v>
      </c>
      <c r="K44" s="12">
        <v>1.07</v>
      </c>
      <c r="N44" s="4">
        <f>[1]节奏总纲!N44</f>
        <v>51</v>
      </c>
      <c r="O44" s="4">
        <v>41</v>
      </c>
      <c r="P44" s="4">
        <f>[1]节奏总纲!P44</f>
        <v>16.148375400580683</v>
      </c>
      <c r="Q44" s="4">
        <f>[1]节奏总纲!Q44</f>
        <v>14.065234973905774</v>
      </c>
      <c r="R44" s="4">
        <f>[1]节奏总纲!R44</f>
        <v>11.621985775797917</v>
      </c>
      <c r="S44" s="4">
        <f>[1]节奏总纲!S44</f>
        <v>8.6296918140703163</v>
      </c>
      <c r="T44" s="4">
        <f>[1]节奏总纲!T44</f>
        <v>4.8606609955747855</v>
      </c>
      <c r="V44" s="4">
        <v>41</v>
      </c>
      <c r="W44" s="4">
        <f>[1]节奏总纲!W44</f>
        <v>1.148375400580683</v>
      </c>
      <c r="X44" s="4">
        <f>[1]节奏总纲!X44</f>
        <v>1.006234973905773</v>
      </c>
      <c r="Y44" s="4">
        <f>[1]节奏总纲!Y44</f>
        <v>0.839985775797917</v>
      </c>
      <c r="Z44" s="4">
        <f>[1]节奏总纲!Z44</f>
        <v>0.62869181407031682</v>
      </c>
      <c r="AA44" s="4">
        <f>[1]节奏总纲!AA44</f>
        <v>0.36066099557478548</v>
      </c>
      <c r="AC44" s="4">
        <v>41</v>
      </c>
      <c r="AD44" s="4">
        <f>[1]节奏总纲!AD44</f>
        <v>53.920692243099523</v>
      </c>
      <c r="AE44" s="4">
        <f>[1]节奏总纲!AE44</f>
        <v>55.899622700668843</v>
      </c>
      <c r="AF44" s="4">
        <f>[1]节奏总纲!AF44</f>
        <v>58.741310361994486</v>
      </c>
      <c r="AG44" s="4">
        <f>[1]节奏总纲!AG44</f>
        <v>63.10587219844583</v>
      </c>
      <c r="AH44" s="4">
        <f>[1]节奏总纲!AH44</f>
        <v>71.676233707038421</v>
      </c>
      <c r="AL44" s="4">
        <v>41</v>
      </c>
      <c r="AM44" s="4">
        <f>[1]节奏总纲!AM44</f>
        <v>155.32539280599755</v>
      </c>
      <c r="AN44" s="4">
        <f>[1]节奏总纲!AN44</f>
        <v>124.26031424479805</v>
      </c>
      <c r="AO44" s="4">
        <f>[1]节奏总纲!AO44</f>
        <v>93.195235683598526</v>
      </c>
      <c r="AP44" s="4">
        <f>[1]节奏总纲!AP44</f>
        <v>62.130157122399027</v>
      </c>
      <c r="AQ44" s="4">
        <f>[1]节奏总纲!AQ44</f>
        <v>31.065078561199513</v>
      </c>
      <c r="AS44" s="4">
        <v>41</v>
      </c>
      <c r="AT44" s="4">
        <f>[1]节奏总纲!AT44</f>
        <v>21.450392805997552</v>
      </c>
      <c r="AU44" s="4">
        <f>[1]节奏总纲!AU44</f>
        <v>17.160314244798045</v>
      </c>
      <c r="AV44" s="4">
        <f>[1]节奏总纲!AV44</f>
        <v>12.870235683598523</v>
      </c>
      <c r="AW44" s="4">
        <f>[1]节奏总纲!AW44</f>
        <v>8.5801571223990223</v>
      </c>
      <c r="AX44" s="4">
        <f>[1]节奏总纲!AX44</f>
        <v>4.2900785611995111</v>
      </c>
      <c r="AY44" s="4"/>
      <c r="AZ44" s="4">
        <v>41</v>
      </c>
      <c r="BA44" s="4">
        <f>[1]节奏总纲!BA44</f>
        <v>32.259282740196369</v>
      </c>
      <c r="BB44" s="4">
        <f>[1]节奏总纲!BB44</f>
        <v>33.643636131782344</v>
      </c>
      <c r="BC44" s="4">
        <f>[1]节奏总纲!BC44</f>
        <v>35.471689136674414</v>
      </c>
      <c r="BD44" s="4">
        <f>[1]节奏总纲!BD44</f>
        <v>38.194089742081125</v>
      </c>
      <c r="BE44" s="4">
        <f>[1]节奏总纲!BE44</f>
        <v>42.861403835978855</v>
      </c>
    </row>
    <row r="45" spans="2:57">
      <c r="F45" s="4">
        <v>43</v>
      </c>
      <c r="G45" s="4">
        <v>18.698310613518661</v>
      </c>
      <c r="I45" s="4">
        <v>43</v>
      </c>
      <c r="J45" s="4">
        <v>208.99265815439742</v>
      </c>
      <c r="K45" s="12">
        <v>1.08</v>
      </c>
      <c r="N45" s="4">
        <f>[1]节奏总纲!N45</f>
        <v>52</v>
      </c>
      <c r="O45" s="4">
        <v>42</v>
      </c>
      <c r="P45" s="4">
        <f>[1]节奏总纲!P45</f>
        <v>17.379173679952558</v>
      </c>
      <c r="Q45" s="4">
        <f>[1]节奏总纲!Q45</f>
        <v>15.182446126806555</v>
      </c>
      <c r="R45" s="4">
        <f>[1]节奏总纲!R45</f>
        <v>12.547763396925747</v>
      </c>
      <c r="S45" s="4">
        <f>[1]节奏总纲!S45</f>
        <v>9.3221887619265527</v>
      </c>
      <c r="T45" s="4">
        <f>[1]节奏总纲!T45</f>
        <v>5.2485104513456724</v>
      </c>
      <c r="V45" s="4">
        <v>42</v>
      </c>
      <c r="W45" s="4">
        <f>[1]节奏总纲!W45</f>
        <v>1.230798279371875</v>
      </c>
      <c r="X45" s="4">
        <f>[1]节奏总纲!X45</f>
        <v>1.1172111529007811</v>
      </c>
      <c r="Y45" s="4">
        <f>[1]节奏总纲!Y45</f>
        <v>0.92577762112783013</v>
      </c>
      <c r="Z45" s="4">
        <f>[1]节奏总纲!Z45</f>
        <v>0.69249694785623639</v>
      </c>
      <c r="AA45" s="4">
        <f>[1]节奏总纲!AA45</f>
        <v>0.38784945577088692</v>
      </c>
      <c r="AC45" s="4">
        <v>42</v>
      </c>
      <c r="AD45" s="4">
        <f>[1]节奏总纲!AD45</f>
        <v>54.255972994404218</v>
      </c>
      <c r="AE45" s="4">
        <f>[1]节奏总纲!AE45</f>
        <v>56.238779717153008</v>
      </c>
      <c r="AF45" s="4">
        <f>[1]节奏总纲!AF45</f>
        <v>59.09095196730258</v>
      </c>
      <c r="AG45" s="4">
        <f>[1]节奏总纲!AG45</f>
        <v>63.434756173851497</v>
      </c>
      <c r="AH45" s="4">
        <f>[1]节奏总纲!AH45</f>
        <v>72.034562459436771</v>
      </c>
      <c r="AL45" s="4">
        <v>42</v>
      </c>
      <c r="AM45" s="4">
        <f>[1]节奏总纲!AM45</f>
        <v>180.18480345945557</v>
      </c>
      <c r="AN45" s="4">
        <f>[1]节奏总纲!AN45</f>
        <v>144.14784276756447</v>
      </c>
      <c r="AO45" s="4">
        <f>[1]节奏总纲!AO45</f>
        <v>108.11088207567333</v>
      </c>
      <c r="AP45" s="4">
        <f>[1]节奏总纲!AP45</f>
        <v>72.073921383782235</v>
      </c>
      <c r="AQ45" s="4">
        <f>[1]节奏总纲!AQ45</f>
        <v>36.036960691891117</v>
      </c>
      <c r="AS45" s="4">
        <v>42</v>
      </c>
      <c r="AT45" s="4">
        <f>[1]节奏总纲!AT45</f>
        <v>24.859410653458013</v>
      </c>
      <c r="AU45" s="4">
        <f>[1]节奏总纲!AU45</f>
        <v>19.887528522766416</v>
      </c>
      <c r="AV45" s="4">
        <f>[1]节奏总纲!AV45</f>
        <v>14.915646392074805</v>
      </c>
      <c r="AW45" s="4">
        <f>[1]节奏总纲!AW45</f>
        <v>9.9437642613832082</v>
      </c>
      <c r="AX45" s="4">
        <f>[1]节奏总纲!AX45</f>
        <v>4.9718821306916041</v>
      </c>
      <c r="AY45" s="4"/>
      <c r="AZ45" s="4">
        <v>42</v>
      </c>
      <c r="BA45" s="4">
        <f>[1]节奏总纲!BA45</f>
        <v>32.405012530176009</v>
      </c>
      <c r="BB45" s="4">
        <f>[1]节奏总纲!BB45</f>
        <v>33.799338867675175</v>
      </c>
      <c r="BC45" s="4">
        <f>[1]节奏总纲!BC45</f>
        <v>35.634340563113874</v>
      </c>
      <c r="BD45" s="4">
        <f>[1]节奏总纲!BD45</f>
        <v>38.35066605767593</v>
      </c>
      <c r="BE45" s="4">
        <f>[1]节奏总纲!BE45</f>
        <v>43.030177309109042</v>
      </c>
    </row>
    <row r="46" spans="2:57">
      <c r="F46" s="4">
        <v>44</v>
      </c>
      <c r="G46" s="4">
        <v>20.112126572366307</v>
      </c>
      <c r="I46" s="4">
        <v>44</v>
      </c>
      <c r="J46" s="4">
        <v>242.37342918215046</v>
      </c>
      <c r="K46" s="12">
        <v>1.0900000000000001</v>
      </c>
      <c r="N46" s="4">
        <f>[1]节奏总纲!N46</f>
        <v>53</v>
      </c>
      <c r="O46" s="4">
        <v>43</v>
      </c>
      <c r="P46" s="4">
        <f>[1]节奏总纲!P46</f>
        <v>18.698310613518661</v>
      </c>
      <c r="Q46" s="4">
        <f>[1]节奏总纲!Q46</f>
        <v>16.338583814092605</v>
      </c>
      <c r="R46" s="4">
        <f>[1]节奏总纲!R46</f>
        <v>13.509529418267233</v>
      </c>
      <c r="S46" s="4">
        <f>[1]节奏总纲!S46</f>
        <v>10.020424657784652</v>
      </c>
      <c r="T46" s="4">
        <f>[1]节奏总纲!T46</f>
        <v>5.6394104810372276</v>
      </c>
      <c r="V46" s="4">
        <v>43</v>
      </c>
      <c r="W46" s="4">
        <f>[1]节奏总纲!W46</f>
        <v>1.319136933566103</v>
      </c>
      <c r="X46" s="4">
        <f>[1]节奏总纲!X46</f>
        <v>1.1561376872860496</v>
      </c>
      <c r="Y46" s="4">
        <f>[1]节奏总纲!Y46</f>
        <v>0.96176602134148581</v>
      </c>
      <c r="Z46" s="4">
        <f>[1]节奏总纲!Z46</f>
        <v>0.6982358958580992</v>
      </c>
      <c r="AA46" s="4">
        <f>[1]节奏总纲!AA46</f>
        <v>0.39090002969155524</v>
      </c>
      <c r="AC46" s="4">
        <v>43</v>
      </c>
      <c r="AD46" s="4">
        <f>[1]节奏总纲!AD46</f>
        <v>54.585942742481357</v>
      </c>
      <c r="AE46" s="4">
        <f>[1]节奏总纲!AE46</f>
        <v>56.568265567054013</v>
      </c>
      <c r="AF46" s="4">
        <f>[1]节奏总纲!AF46</f>
        <v>59.425480572843689</v>
      </c>
      <c r="AG46" s="4">
        <f>[1]节奏总纲!AG46</f>
        <v>63.763640149257171</v>
      </c>
      <c r="AH46" s="4">
        <f>[1]节奏总纲!AH46</f>
        <v>72.370053318329937</v>
      </c>
      <c r="AL46" s="4">
        <v>43</v>
      </c>
      <c r="AM46" s="4">
        <f>[1]节奏总纲!AM46</f>
        <v>208.99265815439742</v>
      </c>
      <c r="AN46" s="4">
        <f>[1]节奏总纲!AN46</f>
        <v>167.19412652351795</v>
      </c>
      <c r="AO46" s="4">
        <f>[1]节奏总纲!AO46</f>
        <v>125.39559489263844</v>
      </c>
      <c r="AP46" s="4">
        <f>[1]节奏总纲!AP46</f>
        <v>83.597063261758976</v>
      </c>
      <c r="AQ46" s="4">
        <f>[1]节奏总纲!AQ46</f>
        <v>41.798531630879488</v>
      </c>
      <c r="AS46" s="4">
        <v>43</v>
      </c>
      <c r="AT46" s="4">
        <f>[1]节奏总纲!AT46</f>
        <v>28.807854694941852</v>
      </c>
      <c r="AU46" s="4">
        <f>[1]节奏总纲!AU46</f>
        <v>23.046283755953482</v>
      </c>
      <c r="AV46" s="4">
        <f>[1]节奏总纲!AV46</f>
        <v>17.284712816965111</v>
      </c>
      <c r="AW46" s="4">
        <f>[1]节奏总纲!AW46</f>
        <v>11.523141877976741</v>
      </c>
      <c r="AX46" s="4">
        <f>[1]节奏总纲!AX46</f>
        <v>5.7615709389883705</v>
      </c>
      <c r="AY46" s="4"/>
      <c r="AZ46" s="4">
        <v>43</v>
      </c>
      <c r="BA46" s="4">
        <f>[1]节奏总纲!BA46</f>
        <v>32.550742320155642</v>
      </c>
      <c r="BB46" s="4">
        <f>[1]节奏总纲!BB46</f>
        <v>33.955041603568006</v>
      </c>
      <c r="BC46" s="4">
        <f>[1]节奏总纲!BC46</f>
        <v>35.796991989553327</v>
      </c>
      <c r="BD46" s="4">
        <f>[1]节奏总纲!BD46</f>
        <v>38.507242373270728</v>
      </c>
      <c r="BE46" s="4">
        <f>[1]节奏总纲!BE46</f>
        <v>43.179964142847631</v>
      </c>
    </row>
    <row r="47" spans="2:57">
      <c r="F47" s="4">
        <v>45</v>
      </c>
      <c r="G47" s="4">
        <v>21.627416997969519</v>
      </c>
      <c r="I47" s="4">
        <v>45</v>
      </c>
      <c r="J47" s="4">
        <v>281.05</v>
      </c>
      <c r="K47" s="12">
        <v>1.1000000000000001</v>
      </c>
      <c r="N47" s="4">
        <f>[1]节奏总纲!N47</f>
        <v>54</v>
      </c>
      <c r="O47" s="4">
        <v>44</v>
      </c>
      <c r="P47" s="4">
        <f>[1]节奏总纲!P47</f>
        <v>20.112126572366307</v>
      </c>
      <c r="Q47" s="4">
        <f>[1]节奏总纲!Q47</f>
        <v>17.573976198933678</v>
      </c>
      <c r="R47" s="4">
        <f>[1]节奏总纲!R47</f>
        <v>14.520955385248474</v>
      </c>
      <c r="S47" s="4">
        <f>[1]节奏总纲!S47</f>
        <v>10.768032566844921</v>
      </c>
      <c r="T47" s="4">
        <f>[1]节奏总纲!T47</f>
        <v>6.0537500982822579</v>
      </c>
      <c r="V47" s="4">
        <v>44</v>
      </c>
      <c r="W47" s="4">
        <f>[1]节奏总纲!W47</f>
        <v>1.4138159588476462</v>
      </c>
      <c r="X47" s="4">
        <f>[1]节奏总纲!X47</f>
        <v>1.2353923848410737</v>
      </c>
      <c r="Y47" s="4">
        <f>[1]节奏总纲!Y47</f>
        <v>1.0114259669812409</v>
      </c>
      <c r="Z47" s="4">
        <f>[1]节奏总纲!Z47</f>
        <v>0.74760790906026919</v>
      </c>
      <c r="AA47" s="4">
        <f>[1]节奏总纲!AA47</f>
        <v>0.41433961724503021</v>
      </c>
      <c r="AC47" s="4">
        <v>44</v>
      </c>
      <c r="AD47" s="4">
        <f>[1]节奏总纲!AD47</f>
        <v>54.915912490558505</v>
      </c>
      <c r="AE47" s="4">
        <f>[1]节奏总纲!AE47</f>
        <v>56.897751416955018</v>
      </c>
      <c r="AF47" s="4">
        <f>[1]节奏总纲!AF47</f>
        <v>59.760009178384806</v>
      </c>
      <c r="AG47" s="4">
        <f>[1]节奏总纲!AG47</f>
        <v>64.08760696397195</v>
      </c>
      <c r="AH47" s="4">
        <f>[1]节奏总纲!AH47</f>
        <v>72.705544177223089</v>
      </c>
      <c r="AL47" s="4">
        <v>44</v>
      </c>
      <c r="AM47" s="4">
        <f>[1]节奏总纲!AM47</f>
        <v>242.37342918215046</v>
      </c>
      <c r="AN47" s="4">
        <f>[1]节奏总纲!AN47</f>
        <v>193.89874334572039</v>
      </c>
      <c r="AO47" s="4">
        <f>[1]节奏总纲!AO47</f>
        <v>145.42405750929026</v>
      </c>
      <c r="AP47" s="4">
        <f>[1]节奏总纲!AP47</f>
        <v>96.949371672860195</v>
      </c>
      <c r="AQ47" s="4">
        <f>[1]节奏总纲!AQ47</f>
        <v>48.474685836430098</v>
      </c>
      <c r="AS47" s="4">
        <v>44</v>
      </c>
      <c r="AT47" s="4">
        <f>[1]节奏总纲!AT47</f>
        <v>33.380771027753042</v>
      </c>
      <c r="AU47" s="4">
        <f>[1]节奏总纲!AU47</f>
        <v>26.704616822202439</v>
      </c>
      <c r="AV47" s="4">
        <f>[1]节奏总纲!AV47</f>
        <v>20.028462616651822</v>
      </c>
      <c r="AW47" s="4">
        <f>[1]节奏总纲!AW47</f>
        <v>13.35230841110122</v>
      </c>
      <c r="AX47" s="4">
        <f>[1]节奏总纲!AX47</f>
        <v>6.6761542055506098</v>
      </c>
      <c r="AY47" s="4"/>
      <c r="AZ47" s="4">
        <v>44</v>
      </c>
      <c r="BA47" s="4">
        <f>[1]节奏总纲!BA47</f>
        <v>32.696472110135275</v>
      </c>
      <c r="BB47" s="4">
        <f>[1]节奏总纲!BB47</f>
        <v>34.09469189131628</v>
      </c>
      <c r="BC47" s="4">
        <f>[1]节奏总纲!BC47</f>
        <v>35.95964341599278</v>
      </c>
      <c r="BD47" s="4">
        <f>[1]节奏总纲!BD47</f>
        <v>38.663818688865533</v>
      </c>
      <c r="BE47" s="4">
        <f>[1]节奏总纲!BE47</f>
        <v>43.329750976586219</v>
      </c>
    </row>
    <row r="48" spans="2:57">
      <c r="F48" s="4">
        <v>46</v>
      </c>
      <c r="G48" s="4">
        <v>23.251465064166357</v>
      </c>
      <c r="I48" s="4">
        <v>46</v>
      </c>
      <c r="J48" s="4">
        <v>325.85912455595718</v>
      </c>
      <c r="K48" s="12">
        <v>1.1100000000000001</v>
      </c>
      <c r="N48" s="4">
        <f>[1]节奏总纲!N48</f>
        <v>55</v>
      </c>
      <c r="O48" s="4">
        <v>45</v>
      </c>
      <c r="P48" s="4">
        <f>[1]节奏总纲!P48</f>
        <v>21.627416997969519</v>
      </c>
      <c r="Q48" s="4">
        <f>[1]节奏总纲!Q48</f>
        <v>18.900199714525563</v>
      </c>
      <c r="R48" s="4">
        <f>[1]节奏总纲!R48</f>
        <v>15.604181364035009</v>
      </c>
      <c r="S48" s="4">
        <f>[1]节奏总纲!S48</f>
        <v>11.572830835613489</v>
      </c>
      <c r="T48" s="4">
        <f>[1]节奏总纲!T48</f>
        <v>6.49903880788984</v>
      </c>
      <c r="V48" s="4">
        <v>45</v>
      </c>
      <c r="W48" s="4">
        <f>[1]节奏总纲!W48</f>
        <v>1.5152904256032116</v>
      </c>
      <c r="X48" s="4">
        <f>[1]节奏总纲!X48</f>
        <v>1.3262235155918844</v>
      </c>
      <c r="Y48" s="4">
        <f>[1]节奏总纲!Y48</f>
        <v>1.083225978786535</v>
      </c>
      <c r="Z48" s="4">
        <f>[1]节奏总纲!Z48</f>
        <v>0.80479826876856819</v>
      </c>
      <c r="AA48" s="4">
        <f>[1]节奏总纲!AA48</f>
        <v>0.44528870960758216</v>
      </c>
      <c r="AC48" s="4">
        <v>45</v>
      </c>
      <c r="AD48" s="4">
        <f>[1]节奏总纲!AD48</f>
        <v>55.229416240679981</v>
      </c>
      <c r="AE48" s="4">
        <f>[1]节奏总纲!AE48</f>
        <v>57.218966664386244</v>
      </c>
      <c r="AF48" s="4">
        <f>[1]节奏总纲!AF48</f>
        <v>60.086674688654931</v>
      </c>
      <c r="AG48" s="4">
        <f>[1]节奏总纲!AG48</f>
        <v>64.399012521055653</v>
      </c>
      <c r="AH48" s="4">
        <f>[1]节奏总纲!AH48</f>
        <v>73.037155126421851</v>
      </c>
      <c r="AL48" s="4">
        <v>45</v>
      </c>
      <c r="AM48" s="4">
        <f>[1]节奏总纲!AM48</f>
        <v>281.05</v>
      </c>
      <c r="AN48" s="4">
        <f>[1]节奏总纲!AN48</f>
        <v>224.84000000000003</v>
      </c>
      <c r="AO48" s="4">
        <f>[1]节奏总纲!AO48</f>
        <v>168.63</v>
      </c>
      <c r="AP48" s="4">
        <f>[1]节奏总纲!AP48</f>
        <v>112.42000000000002</v>
      </c>
      <c r="AQ48" s="4">
        <f>[1]节奏总纲!AQ48</f>
        <v>56.210000000000008</v>
      </c>
      <c r="AS48" s="4">
        <v>45</v>
      </c>
      <c r="AT48" s="4">
        <f>[1]节奏总纲!AT48</f>
        <v>38.676570817849552</v>
      </c>
      <c r="AU48" s="4">
        <f>[1]节奏总纲!AU48</f>
        <v>30.941256654279641</v>
      </c>
      <c r="AV48" s="4">
        <f>[1]节奏总纲!AV48</f>
        <v>23.205942490709731</v>
      </c>
      <c r="AW48" s="4">
        <f>[1]节奏总纲!AW48</f>
        <v>15.470628327139821</v>
      </c>
      <c r="AX48" s="4">
        <f>[1]节奏总纲!AX48</f>
        <v>7.7353141635699103</v>
      </c>
      <c r="AY48" s="4"/>
      <c r="AZ48" s="4">
        <v>45</v>
      </c>
      <c r="BA48" s="4">
        <f>[1]节奏总纲!BA48</f>
        <v>32.842201900114915</v>
      </c>
      <c r="BB48" s="4">
        <f>[1]节奏总纲!BB48</f>
        <v>34.227825436710944</v>
      </c>
      <c r="BC48" s="4">
        <f>[1]节奏总纲!BC48</f>
        <v>36.105477566569242</v>
      </c>
      <c r="BD48" s="4">
        <f>[1]节奏总纲!BD48</f>
        <v>38.82039500446033</v>
      </c>
      <c r="BE48" s="4">
        <f>[1]节奏总纲!BE48</f>
        <v>43.479537810324807</v>
      </c>
    </row>
    <row r="49" spans="6:57">
      <c r="F49" s="4">
        <v>47</v>
      </c>
      <c r="G49" s="4">
        <v>24.992076683399535</v>
      </c>
      <c r="I49" s="4">
        <v>47</v>
      </c>
      <c r="J49" s="4">
        <v>377.76930817680426</v>
      </c>
      <c r="K49" s="12">
        <v>1.1200000000000001</v>
      </c>
      <c r="N49" s="4">
        <f>[1]节奏总纲!N49</f>
        <v>56</v>
      </c>
      <c r="O49" s="4">
        <v>46</v>
      </c>
      <c r="P49" s="4">
        <f>[1]节奏总纲!P49</f>
        <v>23.251465064166357</v>
      </c>
      <c r="Q49" s="4">
        <f>[1]节奏总纲!Q49</f>
        <v>20.310154733549314</v>
      </c>
      <c r="R49" s="4">
        <f>[1]节奏总纲!R49</f>
        <v>16.757330871744692</v>
      </c>
      <c r="S49" s="4">
        <f>[1]节奏总纲!S49</f>
        <v>12.425582930290501</v>
      </c>
      <c r="T49" s="4">
        <f>[1]节奏总纲!T49</f>
        <v>6.9545132006921566</v>
      </c>
      <c r="V49" s="4">
        <v>46</v>
      </c>
      <c r="W49" s="4">
        <f>[1]节奏总纲!W49</f>
        <v>1.6240480661968384</v>
      </c>
      <c r="X49" s="4">
        <f>[1]节奏总纲!X49</f>
        <v>1.4099550190237515</v>
      </c>
      <c r="Y49" s="4">
        <f>[1]节奏总纲!Y49</f>
        <v>1.1531495077096832</v>
      </c>
      <c r="Z49" s="4">
        <f>[1]节奏总纲!Z49</f>
        <v>0.85275209467701174</v>
      </c>
      <c r="AA49" s="4">
        <f>[1]节奏总纲!AA49</f>
        <v>0.45547439280231661</v>
      </c>
      <c r="AC49" s="4">
        <v>46</v>
      </c>
      <c r="AD49" s="4">
        <f>[1]节奏总纲!AD49</f>
        <v>55.537288901845052</v>
      </c>
      <c r="AE49" s="4">
        <f>[1]节奏总纲!AE49</f>
        <v>57.53646043868428</v>
      </c>
      <c r="AF49" s="4">
        <f>[1]节奏总纲!AF49</f>
        <v>60.393379177879737</v>
      </c>
      <c r="AG49" s="4">
        <f>[1]节奏总纲!AG49</f>
        <v>64.710418078139355</v>
      </c>
      <c r="AH49" s="4">
        <f>[1]节奏总纲!AH49</f>
        <v>73.340924940105893</v>
      </c>
      <c r="AL49" s="4">
        <v>46</v>
      </c>
      <c r="AM49" s="4">
        <f>[1]节奏总纲!AM49</f>
        <v>325.85912455595718</v>
      </c>
      <c r="AN49" s="4">
        <f>[1]节奏总纲!AN49</f>
        <v>260.68729964476574</v>
      </c>
      <c r="AO49" s="4">
        <f>[1]节奏总纲!AO49</f>
        <v>195.51547473357431</v>
      </c>
      <c r="AP49" s="4">
        <f>[1]节奏总纲!AP49</f>
        <v>130.34364982238287</v>
      </c>
      <c r="AQ49" s="4">
        <f>[1]节奏总纲!AQ49</f>
        <v>65.171824911191436</v>
      </c>
      <c r="AS49" s="4">
        <v>46</v>
      </c>
      <c r="AT49" s="4">
        <f>[1]节奏总纲!AT49</f>
        <v>44.809124555957169</v>
      </c>
      <c r="AU49" s="4">
        <f>[1]节奏总纲!AU49</f>
        <v>35.847299644765712</v>
      </c>
      <c r="AV49" s="4">
        <f>[1]节奏总纲!AV49</f>
        <v>26.885474733574313</v>
      </c>
      <c r="AW49" s="4">
        <f>[1]节奏总纲!AW49</f>
        <v>17.923649822382856</v>
      </c>
      <c r="AX49" s="4">
        <f>[1]节奏总纲!AX49</f>
        <v>8.9618249111914281</v>
      </c>
      <c r="AY49" s="4"/>
      <c r="AZ49" s="4">
        <v>46</v>
      </c>
      <c r="BA49" s="4">
        <f>[1]节奏总纲!BA49</f>
        <v>32.987931690094548</v>
      </c>
      <c r="BB49" s="4">
        <f>[1]节奏总纲!BB49</f>
        <v>34.360958982105608</v>
      </c>
      <c r="BC49" s="4">
        <f>[1]节奏总纲!BC49</f>
        <v>36.245762114295424</v>
      </c>
      <c r="BD49" s="4">
        <f>[1]节奏总纲!BD49</f>
        <v>38.976971320055128</v>
      </c>
      <c r="BE49" s="4">
        <f>[1]节奏总纲!BE49</f>
        <v>43.629324644063402</v>
      </c>
    </row>
    <row r="50" spans="6:57">
      <c r="F50" s="4">
        <v>48</v>
      </c>
      <c r="G50" s="4">
        <v>26.857618025475972</v>
      </c>
      <c r="I50" s="4">
        <v>48</v>
      </c>
      <c r="J50" s="4">
        <v>437.90148836012787</v>
      </c>
      <c r="K50" s="12">
        <v>1.1299999999999999</v>
      </c>
      <c r="N50" s="4">
        <f>[1]节奏总纲!N50</f>
        <v>57</v>
      </c>
      <c r="O50" s="4">
        <v>47</v>
      </c>
      <c r="P50" s="4">
        <f>[1]节奏总纲!P50</f>
        <v>24.992076683399535</v>
      </c>
      <c r="Q50" s="4">
        <f>[1]节奏总纲!Q50</f>
        <v>21.823081359944474</v>
      </c>
      <c r="R50" s="4">
        <f>[1]节奏总纲!R50</f>
        <v>17.996794419716004</v>
      </c>
      <c r="S50" s="4">
        <f>[1]节奏总纲!S50</f>
        <v>13.335772118261991</v>
      </c>
      <c r="T50" s="4">
        <f>[1]节奏总纲!T50</f>
        <v>7.4426404363163821</v>
      </c>
      <c r="V50" s="4">
        <v>47</v>
      </c>
      <c r="W50" s="4">
        <f>[1]节奏总纲!W50</f>
        <v>1.740611619233178</v>
      </c>
      <c r="X50" s="4">
        <f>[1]节奏总纲!X50</f>
        <v>1.51292662639516</v>
      </c>
      <c r="Y50" s="4">
        <f>[1]节奏总纲!Y50</f>
        <v>1.2394635479713116</v>
      </c>
      <c r="Z50" s="4">
        <f>[1]节奏总纲!Z50</f>
        <v>0.91018918797148984</v>
      </c>
      <c r="AA50" s="4">
        <f>[1]节奏总纲!AA50</f>
        <v>0.48812723562422544</v>
      </c>
      <c r="AC50" s="4">
        <v>47</v>
      </c>
      <c r="AD50" s="4">
        <f>[1]节奏总纲!AD50</f>
        <v>55.845161563010116</v>
      </c>
      <c r="AE50" s="4">
        <f>[1]节奏总纲!AE50</f>
        <v>57.853954212982316</v>
      </c>
      <c r="AF50" s="4">
        <f>[1]节奏总纲!AF50</f>
        <v>60.700083667104536</v>
      </c>
      <c r="AG50" s="4">
        <f>[1]节奏总纲!AG50</f>
        <v>65.021675833900701</v>
      </c>
      <c r="AH50" s="4">
        <f>[1]节奏总纲!AH50</f>
        <v>73.644694753789935</v>
      </c>
      <c r="AL50" s="4">
        <v>47</v>
      </c>
      <c r="AM50" s="4">
        <f>[1]节奏总纲!AM50</f>
        <v>377.76930817680426</v>
      </c>
      <c r="AN50" s="4">
        <f>[1]节奏总纲!AN50</f>
        <v>302.21544654144344</v>
      </c>
      <c r="AO50" s="4">
        <f>[1]节奏总纲!AO50</f>
        <v>226.66158490608254</v>
      </c>
      <c r="AP50" s="4">
        <f>[1]节奏总纲!AP50</f>
        <v>151.10772327072172</v>
      </c>
      <c r="AQ50" s="4">
        <f>[1]节奏总纲!AQ50</f>
        <v>75.55386163536086</v>
      </c>
      <c r="AS50" s="4">
        <v>47</v>
      </c>
      <c r="AT50" s="4">
        <f>[1]节奏总纲!AT50</f>
        <v>51.910183620847079</v>
      </c>
      <c r="AU50" s="4">
        <f>[1]节奏总纲!AU50</f>
        <v>41.528146896677697</v>
      </c>
      <c r="AV50" s="4">
        <f>[1]节奏总纲!AV50</f>
        <v>31.14611017250823</v>
      </c>
      <c r="AW50" s="4">
        <f>[1]节奏总纲!AW50</f>
        <v>20.764073448338848</v>
      </c>
      <c r="AX50" s="4">
        <f>[1]节奏总纲!AX50</f>
        <v>10.382036724169424</v>
      </c>
      <c r="AY50" s="4"/>
      <c r="AZ50" s="4">
        <v>47</v>
      </c>
      <c r="BA50" s="4">
        <f>[1]节奏总纲!BA50</f>
        <v>33.114246829746719</v>
      </c>
      <c r="BB50" s="4">
        <f>[1]节奏总纲!BB50</f>
        <v>34.494092527500278</v>
      </c>
      <c r="BC50" s="4">
        <f>[1]节奏总纲!BC50</f>
        <v>36.386046662021599</v>
      </c>
      <c r="BD50" s="4">
        <f>[1]节奏总纲!BD50</f>
        <v>39.115214427575864</v>
      </c>
      <c r="BE50" s="4">
        <f>[1]节奏总纲!BE50</f>
        <v>43.77911147780199</v>
      </c>
    </row>
    <row r="51" spans="6:57">
      <c r="F51" s="4">
        <v>49</v>
      </c>
      <c r="G51" s="4">
        <v>28.857055729177837</v>
      </c>
      <c r="I51" s="4">
        <v>49</v>
      </c>
      <c r="J51" s="4">
        <v>507.55295278468168</v>
      </c>
      <c r="K51" s="12">
        <v>1.1399999999999999</v>
      </c>
      <c r="N51" s="4">
        <f>[1]节奏总纲!N51</f>
        <v>58</v>
      </c>
      <c r="O51" s="4">
        <v>48</v>
      </c>
      <c r="P51" s="4">
        <f>[1]节奏总纲!P51</f>
        <v>26.857618025475972</v>
      </c>
      <c r="Q51" s="4">
        <f>[1]节奏总纲!Q51</f>
        <v>23.425214441820142</v>
      </c>
      <c r="R51" s="4">
        <f>[1]节奏总纲!R51</f>
        <v>19.329427692935056</v>
      </c>
      <c r="S51" s="4">
        <f>[1]节奏总纲!S51</f>
        <v>14.269452456935383</v>
      </c>
      <c r="T51" s="4">
        <f>[1]节奏总纲!T51</f>
        <v>7.9605979827510778</v>
      </c>
      <c r="V51" s="4">
        <v>48</v>
      </c>
      <c r="W51" s="4">
        <f>[1]节奏总纲!W51</f>
        <v>1.8655413420764368</v>
      </c>
      <c r="X51" s="4">
        <f>[1]节奏总纲!X51</f>
        <v>1.6021330818756674</v>
      </c>
      <c r="Y51" s="4">
        <f>[1]节奏总纲!Y51</f>
        <v>1.3326332732190522</v>
      </c>
      <c r="Z51" s="4">
        <f>[1]节奏总纲!Z51</f>
        <v>0.93368033867339228</v>
      </c>
      <c r="AA51" s="4">
        <f>[1]节奏总纲!AA51</f>
        <v>0.51795754643469571</v>
      </c>
      <c r="AC51" s="4">
        <v>48</v>
      </c>
      <c r="AD51" s="4">
        <f>[1]节奏总纲!AD51</f>
        <v>56.142785979989682</v>
      </c>
      <c r="AE51" s="4">
        <f>[1]节奏总纲!AE51</f>
        <v>58.155157256402767</v>
      </c>
      <c r="AF51" s="4">
        <f>[1]节奏总纲!AF51</f>
        <v>61.006268532239034</v>
      </c>
      <c r="AG51" s="4">
        <f>[1]节奏总纲!AG51</f>
        <v>65.330972386106993</v>
      </c>
      <c r="AH51" s="4">
        <f>[1]节奏总纲!AH51</f>
        <v>73.948464567473962</v>
      </c>
      <c r="AL51" s="4">
        <v>48</v>
      </c>
      <c r="AM51" s="4">
        <f>[1]节奏总纲!AM51</f>
        <v>437.90148836012787</v>
      </c>
      <c r="AN51" s="4">
        <f>[1]节奏总纲!AN51</f>
        <v>350.32119068810232</v>
      </c>
      <c r="AO51" s="4">
        <f>[1]节奏总纲!AO51</f>
        <v>262.74089301607671</v>
      </c>
      <c r="AP51" s="4">
        <f>[1]节奏总纲!AP51</f>
        <v>175.16059534405116</v>
      </c>
      <c r="AQ51" s="4">
        <f>[1]节奏总纲!AQ51</f>
        <v>87.58029767202558</v>
      </c>
      <c r="AS51" s="4">
        <v>48</v>
      </c>
      <c r="AT51" s="4">
        <f>[1]节奏总纲!AT51</f>
        <v>60.132180183323612</v>
      </c>
      <c r="AU51" s="4">
        <f>[1]节奏总纲!AU51</f>
        <v>48.105744146658878</v>
      </c>
      <c r="AV51" s="4">
        <f>[1]节奏总纲!AV51</f>
        <v>36.079308109994173</v>
      </c>
      <c r="AW51" s="4">
        <f>[1]节奏总纲!AW51</f>
        <v>24.052872073329439</v>
      </c>
      <c r="AX51" s="4">
        <f>[1]节奏总纲!AX51</f>
        <v>12.02643603666472</v>
      </c>
      <c r="AY51" s="4"/>
      <c r="AZ51" s="4">
        <v>48</v>
      </c>
      <c r="BA51" s="4">
        <f>[1]节奏总纲!BA51</f>
        <v>33.238809018460984</v>
      </c>
      <c r="BB51" s="4">
        <f>[1]节奏总纲!BB51</f>
        <v>34.627226072894942</v>
      </c>
      <c r="BC51" s="4">
        <f>[1]节奏总纲!BC51</f>
        <v>36.526331209747774</v>
      </c>
      <c r="BD51" s="4">
        <f>[1]节奏总纲!BD51</f>
        <v>39.250296194358178</v>
      </c>
      <c r="BE51" s="4">
        <f>[1]节奏总纲!BE51</f>
        <v>43.928898311540578</v>
      </c>
    </row>
    <row r="52" spans="6:57">
      <c r="F52" s="4">
        <v>50</v>
      </c>
      <c r="G52" s="4">
        <v>31</v>
      </c>
      <c r="I52" s="4">
        <v>50</v>
      </c>
      <c r="J52" s="4">
        <v>588.22499999999991</v>
      </c>
      <c r="K52" s="12">
        <v>1.1499999999999999</v>
      </c>
      <c r="N52" s="4">
        <f>[1]节奏总纲!N52</f>
        <v>59</v>
      </c>
      <c r="O52" s="4">
        <v>49</v>
      </c>
      <c r="P52" s="4">
        <f>[1]节奏总纲!P52</f>
        <v>28.857055729177837</v>
      </c>
      <c r="Q52" s="4">
        <f>[1]节奏总纲!Q52</f>
        <v>25.166238301415991</v>
      </c>
      <c r="R52" s="4">
        <f>[1]节奏总纲!R52</f>
        <v>20.719366013549685</v>
      </c>
      <c r="S52" s="4">
        <f>[1]节奏总纲!S52</f>
        <v>15.268268186307994</v>
      </c>
      <c r="T52" s="4">
        <f>[1]节奏总纲!T52</f>
        <v>8.5474599069824766</v>
      </c>
      <c r="V52" s="4">
        <v>49</v>
      </c>
      <c r="W52" s="4">
        <f>[1]节奏总纲!W52</f>
        <v>1.9994377037018651</v>
      </c>
      <c r="X52" s="4">
        <f>[1]节奏总纲!X52</f>
        <v>1.7410238595958489</v>
      </c>
      <c r="Y52" s="4">
        <f>[1]节奏总纲!Y52</f>
        <v>1.389938320614629</v>
      </c>
      <c r="Z52" s="4">
        <f>[1]节奏总纲!Z52</f>
        <v>0.99881572937261076</v>
      </c>
      <c r="AA52" s="4">
        <f>[1]节奏总纲!AA52</f>
        <v>0.58686192423139882</v>
      </c>
      <c r="AC52" s="4">
        <v>49</v>
      </c>
      <c r="AD52" s="4">
        <f>[1]节奏总纲!AD52</f>
        <v>56.430041330048923</v>
      </c>
      <c r="AE52" s="4">
        <f>[1]节奏总纲!AE52</f>
        <v>58.442483247955479</v>
      </c>
      <c r="AF52" s="4">
        <f>[1]节奏总纲!AF52</f>
        <v>61.289495211956165</v>
      </c>
      <c r="AG52" s="4">
        <f>[1]节奏总纲!AG52</f>
        <v>65.640268938313284</v>
      </c>
      <c r="AH52" s="4">
        <f>[1]节奏总纲!AH52</f>
        <v>74.231558509323534</v>
      </c>
      <c r="AL52" s="4">
        <v>49</v>
      </c>
      <c r="AM52" s="4">
        <f>[1]节奏总纲!AM52</f>
        <v>507.55295278468168</v>
      </c>
      <c r="AN52" s="4">
        <f>[1]节奏总纲!AN52</f>
        <v>406.04236222774534</v>
      </c>
      <c r="AO52" s="4">
        <f>[1]节奏总纲!AO52</f>
        <v>304.53177167080901</v>
      </c>
      <c r="AP52" s="4">
        <f>[1]节奏总纲!AP52</f>
        <v>203.02118111387267</v>
      </c>
      <c r="AQ52" s="4">
        <f>[1]节奏总纲!AQ52</f>
        <v>101.51059055693634</v>
      </c>
      <c r="AS52" s="4">
        <v>49</v>
      </c>
      <c r="AT52" s="4">
        <f>[1]节奏总纲!AT52</f>
        <v>69.651464424553808</v>
      </c>
      <c r="AU52" s="4">
        <f>[1]节奏总纲!AU52</f>
        <v>55.721171539643024</v>
      </c>
      <c r="AV52" s="4">
        <f>[1]节奏总纲!AV52</f>
        <v>41.790878654732296</v>
      </c>
      <c r="AW52" s="4">
        <f>[1]节奏总纲!AW52</f>
        <v>27.860585769821512</v>
      </c>
      <c r="AX52" s="4">
        <f>[1]节奏总纲!AX52</f>
        <v>13.930292884910756</v>
      </c>
      <c r="AY52" s="4"/>
      <c r="AZ52" s="4">
        <v>49</v>
      </c>
      <c r="BA52" s="4">
        <f>[1]节奏总纲!BA52</f>
        <v>33.363371207175248</v>
      </c>
      <c r="BB52" s="4">
        <f>[1]节奏总纲!BB52</f>
        <v>34.760359618289606</v>
      </c>
      <c r="BC52" s="4">
        <f>[1]节奏总纲!BC52</f>
        <v>36.666615757473956</v>
      </c>
      <c r="BD52" s="4">
        <f>[1]节奏总纲!BD52</f>
        <v>39.385377961140485</v>
      </c>
      <c r="BE52" s="4">
        <f>[1]节奏总纲!BE52</f>
        <v>44.067911160744309</v>
      </c>
    </row>
    <row r="53" spans="6:57">
      <c r="F53" s="4">
        <v>51</v>
      </c>
      <c r="G53" s="4">
        <v>33.296750801161366</v>
      </c>
      <c r="K53" s="12"/>
      <c r="N53" s="4">
        <f>[1]节奏总纲!N53</f>
        <v>60</v>
      </c>
      <c r="O53" s="4">
        <v>50</v>
      </c>
      <c r="P53" s="4">
        <f>[1]节奏总纲!P53</f>
        <v>31</v>
      </c>
      <c r="Q53" s="4">
        <f>[1]节奏总纲!Q53</f>
        <v>27.0351</v>
      </c>
      <c r="R53" s="4">
        <f>[1]节奏总纲!R53</f>
        <v>22.205300000000001</v>
      </c>
      <c r="S53" s="4">
        <f>[1]节奏总纲!S53</f>
        <v>16.386599999999998</v>
      </c>
      <c r="T53" s="4">
        <f>[1]节奏总纲!T53</f>
        <v>9.1883999999999997</v>
      </c>
      <c r="V53" s="4">
        <v>50</v>
      </c>
      <c r="W53" s="4">
        <f>[1]节奏总纲!W53</f>
        <v>2.1429442708221629</v>
      </c>
      <c r="X53" s="4">
        <f>[1]节奏总纲!X53</f>
        <v>1.8688616985840092</v>
      </c>
      <c r="Y53" s="4">
        <f>[1]节奏总纲!Y53</f>
        <v>1.4859339864503163</v>
      </c>
      <c r="Z53" s="4">
        <f>[1]节奏总纲!Z53</f>
        <v>1.118331813692004</v>
      </c>
      <c r="AA53" s="4">
        <f>[1]节奏总纲!AA53</f>
        <v>0.64094009301752308</v>
      </c>
      <c r="AC53" s="4">
        <v>50</v>
      </c>
      <c r="AD53" s="4">
        <f>[1]节奏总纲!AD53</f>
        <v>56.717296680108156</v>
      </c>
      <c r="AE53" s="4">
        <f>[1]节奏总纲!AE53</f>
        <v>58.729809239508185</v>
      </c>
      <c r="AF53" s="4">
        <f>[1]节奏总纲!AF53</f>
        <v>61.572721891673297</v>
      </c>
      <c r="AG53" s="4">
        <f>[1]节奏总纲!AG53</f>
        <v>65.949565490519575</v>
      </c>
      <c r="AH53" s="4">
        <f>[1]节奏总纲!AH53</f>
        <v>74.51042804689898</v>
      </c>
      <c r="AL53" s="4">
        <v>50</v>
      </c>
      <c r="AM53" s="4">
        <f>[1]节奏总纲!AM53</f>
        <v>588.22499999999991</v>
      </c>
      <c r="AN53" s="4">
        <f>[1]节奏总纲!AN53</f>
        <v>470.57999999999993</v>
      </c>
      <c r="AO53" s="4">
        <f>[1]节奏总纲!AO53</f>
        <v>352.93499999999995</v>
      </c>
      <c r="AP53" s="4">
        <f>[1]节奏总纲!AP53</f>
        <v>235.28999999999996</v>
      </c>
      <c r="AQ53" s="4">
        <f>[1]节奏总纲!AQ53</f>
        <v>117.64499999999998</v>
      </c>
      <c r="AS53" s="4">
        <v>50</v>
      </c>
      <c r="AT53" s="4">
        <f>[1]节奏总纲!AT53</f>
        <v>80.67204721531823</v>
      </c>
      <c r="AU53" s="4">
        <f>[1]节奏总纲!AU53</f>
        <v>64.537637772254584</v>
      </c>
      <c r="AV53" s="4">
        <f>[1]节奏总纲!AV53</f>
        <v>48.403228329190938</v>
      </c>
      <c r="AW53" s="4">
        <f>[1]节奏总纲!AW53</f>
        <v>32.268818886127292</v>
      </c>
      <c r="AX53" s="4">
        <f>[1]节奏总纲!AX53</f>
        <v>16.134409443063646</v>
      </c>
      <c r="AY53" s="4"/>
      <c r="AZ53" s="4">
        <v>50</v>
      </c>
      <c r="BA53" s="4">
        <f>[1]节奏总纲!BA53</f>
        <v>33.487933395889513</v>
      </c>
      <c r="BB53" s="4">
        <f>[1]节奏总纲!BB53</f>
        <v>34.893493163684269</v>
      </c>
      <c r="BC53" s="4">
        <f>[1]节奏总纲!BC53</f>
        <v>36.806900305200131</v>
      </c>
      <c r="BD53" s="4">
        <f>[1]节奏总纲!BD53</f>
        <v>39.520459727922798</v>
      </c>
      <c r="BE53" s="4">
        <f>[1]节奏总纲!BE53</f>
        <v>44.197188392263818</v>
      </c>
    </row>
    <row r="54" spans="6:57">
      <c r="F54" s="4">
        <v>52</v>
      </c>
      <c r="G54" s="4">
        <v>35.758347359905123</v>
      </c>
      <c r="K54" s="12"/>
      <c r="N54" s="4">
        <f>[1]节奏总纲!N54</f>
        <v>61</v>
      </c>
      <c r="O54" s="4">
        <v>51</v>
      </c>
      <c r="P54" s="4">
        <f>[1]节奏总纲!P54</f>
        <v>33.296750801161366</v>
      </c>
      <c r="Q54" s="4">
        <f>[1]节奏总纲!Q54</f>
        <v>28.928217096048996</v>
      </c>
      <c r="R54" s="4">
        <f>[1]节奏总纲!R54</f>
        <v>23.783869097269566</v>
      </c>
      <c r="S54" s="4">
        <f>[1]节奏总纲!S54</f>
        <v>17.587343773173433</v>
      </c>
      <c r="T54" s="4">
        <f>[1]节奏总纲!T54</f>
        <v>9.8458492119034169</v>
      </c>
      <c r="V54" s="4">
        <v>51</v>
      </c>
      <c r="W54" s="4">
        <f>[1]节奏总纲!W54</f>
        <v>2.296750801161366</v>
      </c>
      <c r="X54" s="4">
        <f>[1]节奏总纲!X54</f>
        <v>1.8931170960489965</v>
      </c>
      <c r="Y54" s="4">
        <f>[1]节奏总纲!Y54</f>
        <v>1.5785690972695647</v>
      </c>
      <c r="Z54" s="4">
        <f>[1]节奏总纲!Z54</f>
        <v>1.2007437731734356</v>
      </c>
      <c r="AA54" s="4">
        <f>[1]节奏总纲!AA54</f>
        <v>0.65744921190341721</v>
      </c>
      <c r="AC54" s="4">
        <v>51</v>
      </c>
      <c r="AD54" s="4">
        <f>[1]节奏总纲!AD54</f>
        <v>57.004247194324648</v>
      </c>
      <c r="AE54" s="4">
        <f>[1]节奏总纲!AE54</f>
        <v>59.016342740868758</v>
      </c>
      <c r="AF54" s="4">
        <f>[1]节奏总纲!AF54</f>
        <v>61.855948571390428</v>
      </c>
      <c r="AG54" s="4">
        <f>[1]节奏总纲!AG54</f>
        <v>66.241691764589476</v>
      </c>
      <c r="AH54" s="4">
        <f>[1]节奏总纲!AH54</f>
        <v>74.789297584474426</v>
      </c>
      <c r="AZ54" s="4">
        <v>51</v>
      </c>
      <c r="BA54" s="4">
        <v>33.612495584603778</v>
      </c>
      <c r="BB54" s="4">
        <v>35.024397713965918</v>
      </c>
      <c r="BC54" s="4">
        <v>36.947184852926306</v>
      </c>
      <c r="BD54" s="4">
        <v>39.655541494705105</v>
      </c>
      <c r="BE54" s="4">
        <v>44.326465623783335</v>
      </c>
    </row>
    <row r="55" spans="6:57">
      <c r="F55" s="4">
        <v>53</v>
      </c>
      <c r="G55" s="4">
        <v>38.396621227037308</v>
      </c>
      <c r="K55" s="12"/>
      <c r="N55" s="4">
        <f>[1]节奏总纲!N55</f>
        <v>62</v>
      </c>
      <c r="O55" s="4">
        <v>52</v>
      </c>
      <c r="P55" s="4">
        <f>[1]节奏总纲!P55</f>
        <v>35.758347359905123</v>
      </c>
      <c r="Q55" s="4">
        <f>[1]节奏总纲!Q55</f>
        <v>31.081155525229534</v>
      </c>
      <c r="R55" s="4">
        <f>[1]节奏总纲!R55</f>
        <v>25.606552544428059</v>
      </c>
      <c r="S55" s="4">
        <f>[1]节奏总纲!S55</f>
        <v>18.930469092333773</v>
      </c>
      <c r="T55" s="4">
        <f>[1]节奏总纲!T55</f>
        <v>10.570167479587953</v>
      </c>
      <c r="V55" s="4">
        <v>52</v>
      </c>
      <c r="W55" s="4">
        <f>[1]节奏总纲!W55</f>
        <v>2.4615965587437572</v>
      </c>
      <c r="X55" s="4">
        <f>[1]节奏总纲!X55</f>
        <v>2.1529384291805371</v>
      </c>
      <c r="Y55" s="4">
        <f>[1]节奏总纲!Y55</f>
        <v>1.822683447158493</v>
      </c>
      <c r="Z55" s="4">
        <f>[1]节奏总纲!Z55</f>
        <v>1.3431253191603396</v>
      </c>
      <c r="AA55" s="4">
        <f>[1]节奏总纲!AA55</f>
        <v>0.72431826768453611</v>
      </c>
      <c r="AC55" s="4">
        <v>52</v>
      </c>
      <c r="AD55" s="4">
        <f>[1]节奏总纲!AD55</f>
        <v>57.27226591292537</v>
      </c>
      <c r="AE55" s="4">
        <f>[1]节奏总纲!AE55</f>
        <v>59.290380144164828</v>
      </c>
      <c r="AF55" s="4">
        <f>[1]节奏总纲!AF55</f>
        <v>62.130298748930763</v>
      </c>
      <c r="AG55" s="4">
        <f>[1]节奏总纲!AG55</f>
        <v>66.530472725664353</v>
      </c>
      <c r="AH55" s="4">
        <f>[1]节奏总纲!AH55</f>
        <v>75.062532510920803</v>
      </c>
      <c r="AZ55" s="4">
        <v>52</v>
      </c>
      <c r="BA55" s="4">
        <v>33.737057773318043</v>
      </c>
      <c r="BB55" s="4">
        <v>35.146386283795508</v>
      </c>
      <c r="BC55" s="4">
        <v>37.075448197698059</v>
      </c>
      <c r="BD55" s="4">
        <v>39.790623261487418</v>
      </c>
      <c r="BE55" s="4">
        <v>44.455742855302844</v>
      </c>
    </row>
    <row r="56" spans="6:57">
      <c r="F56" s="4">
        <v>54</v>
      </c>
      <c r="G56" s="4">
        <v>41.224253144732614</v>
      </c>
      <c r="K56" s="12"/>
      <c r="N56" s="4">
        <f>[1]节奏总纲!N56</f>
        <v>63</v>
      </c>
      <c r="O56" s="4">
        <v>53</v>
      </c>
      <c r="P56" s="4">
        <f>[1]节奏总纲!P56</f>
        <v>38.396621227037308</v>
      </c>
      <c r="Q56" s="4">
        <f>[1]节奏总纲!Q56</f>
        <v>33.42809844025868</v>
      </c>
      <c r="R56" s="4">
        <f>[1]节奏总纲!R56</f>
        <v>27.5802930273809</v>
      </c>
      <c r="S56" s="4">
        <f>[1]节奏总纲!S56</f>
        <v>20.319491953348145</v>
      </c>
      <c r="T56" s="4">
        <f>[1]节奏总纲!T56</f>
        <v>11.338522248344118</v>
      </c>
      <c r="V56" s="4">
        <v>53</v>
      </c>
      <c r="W56" s="4">
        <f>[1]节奏总纲!W56</f>
        <v>2.6382738671321846</v>
      </c>
      <c r="X56" s="4">
        <f>[1]节奏总纲!X56</f>
        <v>2.3469429150291461</v>
      </c>
      <c r="Y56" s="4">
        <f>[1]节奏总纲!Y56</f>
        <v>1.9737404829528415</v>
      </c>
      <c r="Z56" s="4">
        <f>[1]节奏总纲!Z56</f>
        <v>1.3890228610143716</v>
      </c>
      <c r="AA56" s="4">
        <f>[1]节奏总纲!AA56</f>
        <v>0.76835476875616493</v>
      </c>
      <c r="AC56" s="4">
        <v>53</v>
      </c>
      <c r="AD56" s="4">
        <f>[1]节奏总纲!AD56</f>
        <v>57.540284631526099</v>
      </c>
      <c r="AE56" s="4">
        <f>[1]节奏总纲!AE56</f>
        <v>59.564417547460899</v>
      </c>
      <c r="AF56" s="4">
        <f>[1]节奏总纲!AF56</f>
        <v>62.395461425033538</v>
      </c>
      <c r="AG56" s="4">
        <f>[1]节奏总纲!AG56</f>
        <v>66.819253686739231</v>
      </c>
      <c r="AH56" s="4">
        <f>[1]节奏总纲!AH56</f>
        <v>75.318351032805268</v>
      </c>
      <c r="AZ56" s="4">
        <v>53</v>
      </c>
      <c r="BA56" s="4">
        <v>33.861619962032307</v>
      </c>
      <c r="BB56" s="4">
        <v>35.268374853625097</v>
      </c>
      <c r="BC56" s="4">
        <v>37.196452985793947</v>
      </c>
      <c r="BD56" s="4">
        <v>39.925705028269732</v>
      </c>
      <c r="BE56" s="4">
        <v>44.585020086822361</v>
      </c>
    </row>
    <row r="57" spans="6:57">
      <c r="F57" s="4">
        <v>55</v>
      </c>
      <c r="G57" s="4">
        <v>44.254833995939045</v>
      </c>
      <c r="K57" s="12"/>
      <c r="N57" s="4">
        <f>[1]节奏总纲!N57</f>
        <v>64</v>
      </c>
      <c r="O57" s="4">
        <v>54</v>
      </c>
      <c r="P57" s="4">
        <f>[1]节奏总纲!P57</f>
        <v>41.224253144732614</v>
      </c>
      <c r="Q57" s="4">
        <f>[1]节奏总纲!Q57</f>
        <v>35.947548742206841</v>
      </c>
      <c r="R57" s="4">
        <f>[1]节奏总纲!R57</f>
        <v>29.553667079458812</v>
      </c>
      <c r="S57" s="4">
        <f>[1]节奏总纲!S57</f>
        <v>21.762283235104348</v>
      </c>
      <c r="T57" s="4">
        <f>[1]节奏总纲!T57</f>
        <v>12.111685573922442</v>
      </c>
      <c r="V57" s="4">
        <v>54</v>
      </c>
      <c r="W57" s="4">
        <f>[1]节奏总纲!W57</f>
        <v>2.8276319176953066</v>
      </c>
      <c r="X57" s="4">
        <f>[1]节奏总纲!X57</f>
        <v>2.5194503019481616</v>
      </c>
      <c r="Y57" s="4">
        <f>[1]节奏总纲!Y57</f>
        <v>1.9733740520779115</v>
      </c>
      <c r="Z57" s="4">
        <f>[1]节奏总纲!Z57</f>
        <v>1.4427912817562039</v>
      </c>
      <c r="AA57" s="4">
        <f>[1]节奏总纲!AA57</f>
        <v>0.77316332557832368</v>
      </c>
      <c r="AC57" s="4">
        <v>54</v>
      </c>
      <c r="AD57" s="4">
        <f>[1]节奏总纲!AD57</f>
        <v>57.80830335012682</v>
      </c>
      <c r="AE57" s="4">
        <f>[1]节奏总纲!AE57</f>
        <v>59.838454950756969</v>
      </c>
      <c r="AF57" s="4">
        <f>[1]节奏总纲!AF57</f>
        <v>62.660624101136307</v>
      </c>
      <c r="AG57" s="4">
        <f>[1]节奏总纲!AG57</f>
        <v>67.098789255934349</v>
      </c>
      <c r="AH57" s="4">
        <f>[1]节奏总纲!AH57</f>
        <v>75.574169554689718</v>
      </c>
      <c r="AZ57" s="4">
        <v>54</v>
      </c>
      <c r="BA57" s="4">
        <v>33.986182150746572</v>
      </c>
      <c r="BB57" s="4">
        <v>35.390363423454687</v>
      </c>
      <c r="BC57" s="4">
        <v>37.317457773889828</v>
      </c>
      <c r="BD57" s="4">
        <v>40.052446592012309</v>
      </c>
      <c r="BE57" s="4">
        <v>44.71429731834187</v>
      </c>
    </row>
    <row r="58" spans="6:57">
      <c r="F58" s="4">
        <v>56</v>
      </c>
      <c r="G58" s="4">
        <v>47.502930128332721</v>
      </c>
      <c r="K58" s="12"/>
      <c r="N58" s="4">
        <f>[1]节奏总纲!N58</f>
        <v>65</v>
      </c>
      <c r="O58" s="4">
        <v>55</v>
      </c>
      <c r="P58" s="4">
        <f>[1]节奏总纲!P58</f>
        <v>44.254833995939045</v>
      </c>
      <c r="Q58" s="4">
        <f>[1]节奏总纲!Q58</f>
        <v>38.53268396026413</v>
      </c>
      <c r="R58" s="4">
        <f>[1]节奏总纲!R58</f>
        <v>31.642206307096416</v>
      </c>
      <c r="S58" s="4">
        <f>[1]节奏总纲!S58</f>
        <v>23.282468165263531</v>
      </c>
      <c r="T58" s="4">
        <f>[1]节奏总纲!T58</f>
        <v>12.944538943812169</v>
      </c>
      <c r="V58" s="4">
        <v>55</v>
      </c>
      <c r="W58" s="4">
        <f>[1]节奏总纲!W58</f>
        <v>3.0305808512064303</v>
      </c>
      <c r="X58" s="4">
        <f>[1]节奏总纲!X58</f>
        <v>2.5851352180572889</v>
      </c>
      <c r="Y58" s="4">
        <f>[1]节奏总纲!Y58</f>
        <v>2.0885392276376038</v>
      </c>
      <c r="Z58" s="4">
        <f>[1]节奏总纲!Z58</f>
        <v>1.5201849301591821</v>
      </c>
      <c r="AA58" s="4">
        <f>[1]节奏总纲!AA58</f>
        <v>0.8328533698897278</v>
      </c>
      <c r="AC58" s="4">
        <v>55</v>
      </c>
      <c r="AD58" s="4">
        <f>[1]节奏总纲!AD58</f>
        <v>58.071211008105138</v>
      </c>
      <c r="AE58" s="4">
        <f>[1]节奏总纲!AE58</f>
        <v>60.102437883401088</v>
      </c>
      <c r="AF58" s="4">
        <f>[1]节奏总纲!AF58</f>
        <v>62.925786777239075</v>
      </c>
      <c r="AG58" s="4">
        <f>[1]节奏总纲!AG58</f>
        <v>67.36285691246691</v>
      </c>
      <c r="AH58" s="4">
        <f>[1]节奏总纲!AH58</f>
        <v>75.829988076574182</v>
      </c>
      <c r="AZ58" s="4">
        <v>55</v>
      </c>
      <c r="BA58" s="4">
        <v>34.09469189131628</v>
      </c>
      <c r="BB58" s="4">
        <v>35.512351993284277</v>
      </c>
      <c r="BC58" s="4">
        <v>37.438462561985709</v>
      </c>
      <c r="BD58" s="4">
        <v>40.168994574261895</v>
      </c>
      <c r="BE58" s="4">
        <v>44.843574549861387</v>
      </c>
    </row>
    <row r="59" spans="6:57">
      <c r="F59" s="4">
        <v>57</v>
      </c>
      <c r="G59" s="4">
        <v>50.984153366799077</v>
      </c>
      <c r="K59" s="12"/>
      <c r="N59" s="4">
        <f>[1]节奏总纲!N59</f>
        <v>66</v>
      </c>
      <c r="O59" s="4">
        <v>56</v>
      </c>
      <c r="P59" s="4">
        <f>[1]节奏总纲!P59</f>
        <v>47.502930128332721</v>
      </c>
      <c r="Q59" s="4">
        <f>[1]节奏总纲!Q59</f>
        <v>41.275295988508304</v>
      </c>
      <c r="R59" s="4">
        <f>[1]节奏总纲!R59</f>
        <v>33.888590353552566</v>
      </c>
      <c r="S59" s="4">
        <f>[1]节奏总纲!S59</f>
        <v>24.910536559297679</v>
      </c>
      <c r="T59" s="4">
        <f>[1]节奏总纲!T59</f>
        <v>13.837603546383322</v>
      </c>
      <c r="V59" s="4">
        <v>56</v>
      </c>
      <c r="W59" s="4">
        <f>[1]节奏总纲!W59</f>
        <v>3.2480961323936768</v>
      </c>
      <c r="X59" s="4">
        <f>[1]节奏总纲!X59</f>
        <v>2.7426120282441744</v>
      </c>
      <c r="Y59" s="4">
        <f>[1]节奏总纲!Y59</f>
        <v>2.24638404645615</v>
      </c>
      <c r="Z59" s="4">
        <f>[1]节奏总纲!Z59</f>
        <v>1.6280683940341483</v>
      </c>
      <c r="AA59" s="4">
        <f>[1]节奏总纲!AA59</f>
        <v>0.89306460257115283</v>
      </c>
      <c r="AC59" s="4">
        <v>56</v>
      </c>
      <c r="AD59" s="4">
        <f>[1]节奏总纲!AD59</f>
        <v>58.321281314909029</v>
      </c>
      <c r="AE59" s="4">
        <f>[1]节奏总纲!AE59</f>
        <v>60.351982057337977</v>
      </c>
      <c r="AF59" s="4">
        <f>[1]节奏总纲!AF59</f>
        <v>63.17626763611517</v>
      </c>
      <c r="AG59" s="4">
        <f>[1]节奏总纲!AG59</f>
        <v>67.626924568999456</v>
      </c>
      <c r="AH59" s="4">
        <f>[1]节奏总纲!AH59</f>
        <v>76.086647524934079</v>
      </c>
      <c r="AZ59" s="4">
        <v>56</v>
      </c>
      <c r="BA59" s="4">
        <v>34.201198727632011</v>
      </c>
      <c r="BB59" s="4">
        <v>35.634340563113874</v>
      </c>
      <c r="BC59" s="4">
        <v>37.55946735008159</v>
      </c>
      <c r="BD59" s="4">
        <v>40.28554255651148</v>
      </c>
      <c r="BE59" s="4">
        <v>44.972851781380903</v>
      </c>
    </row>
    <row r="60" spans="6:57">
      <c r="F60" s="4">
        <v>58</v>
      </c>
      <c r="G60" s="4">
        <v>54.715236050951923</v>
      </c>
      <c r="K60" s="12"/>
      <c r="N60" s="4">
        <f>[1]节奏总纲!N60</f>
        <v>67</v>
      </c>
      <c r="O60" s="4">
        <v>57</v>
      </c>
      <c r="P60" s="4">
        <f>[1]节奏总纲!P60</f>
        <v>50.984153366799077</v>
      </c>
      <c r="Q60" s="4">
        <f>[1]节奏总纲!Q60</f>
        <v>44.310327691085078</v>
      </c>
      <c r="R60" s="4">
        <f>[1]节奏总纲!R60</f>
        <v>36.316012443170983</v>
      </c>
      <c r="S60" s="4">
        <f>[1]节奏总纲!S60</f>
        <v>26.664712210835919</v>
      </c>
      <c r="T60" s="4">
        <f>[1]节奏总纲!T60</f>
        <v>14.815994968391813</v>
      </c>
      <c r="V60" s="4">
        <v>57</v>
      </c>
      <c r="W60" s="4">
        <f>[1]节奏总纲!W60</f>
        <v>3.481223238466356</v>
      </c>
      <c r="X60" s="4">
        <f>[1]节奏总纲!X60</f>
        <v>3.0350317025767737</v>
      </c>
      <c r="Y60" s="4">
        <f>[1]节奏总纲!Y60</f>
        <v>2.4274220896184175</v>
      </c>
      <c r="Z60" s="4">
        <f>[1]节奏总纲!Z60</f>
        <v>1.7541756515382403</v>
      </c>
      <c r="AA60" s="4">
        <f>[1]节奏总纲!AA60</f>
        <v>0.97839142200849061</v>
      </c>
      <c r="AC60" s="4">
        <v>57</v>
      </c>
      <c r="AD60" s="4">
        <f>[1]节奏总纲!AD60</f>
        <v>58.571351621712921</v>
      </c>
      <c r="AE60" s="4">
        <f>[1]节奏总纲!AE60</f>
        <v>60.60152623127486</v>
      </c>
      <c r="AF60" s="4">
        <f>[1]节奏总纲!AF60</f>
        <v>63.421042351541736</v>
      </c>
      <c r="AG60" s="4">
        <f>[1]节奏总纲!AG60</f>
        <v>67.890992225532017</v>
      </c>
      <c r="AH60" s="4">
        <f>[1]节奏总纲!AH60</f>
        <v>76.344973133357612</v>
      </c>
      <c r="AZ60" s="4">
        <v>57</v>
      </c>
      <c r="BA60" s="4">
        <v>34.307705563947749</v>
      </c>
      <c r="BB60" s="4">
        <v>35.756329132943463</v>
      </c>
      <c r="BC60" s="4">
        <v>37.680472138177478</v>
      </c>
      <c r="BD60" s="4">
        <v>40.402090538761065</v>
      </c>
      <c r="BE60" s="4">
        <v>45.088151688727308</v>
      </c>
    </row>
    <row r="61" spans="6:57">
      <c r="F61" s="4">
        <v>59</v>
      </c>
      <c r="G61" s="4">
        <v>58.714111458355703</v>
      </c>
      <c r="K61" s="12"/>
      <c r="N61" s="4">
        <f>[1]节奏总纲!N61</f>
        <v>68</v>
      </c>
      <c r="O61" s="4">
        <v>58</v>
      </c>
      <c r="P61" s="4">
        <f>[1]节奏总纲!P61</f>
        <v>54.715236050951923</v>
      </c>
      <c r="Q61" s="4">
        <f>[1]节奏总纲!Q61</f>
        <v>47.459995750595695</v>
      </c>
      <c r="R61" s="4">
        <f>[1]节奏总纲!R61</f>
        <v>38.913475879437009</v>
      </c>
      <c r="S61" s="4">
        <f>[1]节奏总纲!S61</f>
        <v>28.572296265807093</v>
      </c>
      <c r="T61" s="4">
        <f>[1]节奏总纲!T61</f>
        <v>15.856475407565867</v>
      </c>
      <c r="V61" s="4">
        <v>58</v>
      </c>
      <c r="W61" s="4">
        <f>[1]节奏总纲!W61</f>
        <v>3.7310826841528453</v>
      </c>
      <c r="X61" s="4">
        <f>[1]节奏总纲!X61</f>
        <v>3.149668059510617</v>
      </c>
      <c r="Y61" s="4">
        <f>[1]节奏总纲!Y61</f>
        <v>2.5974634362660254</v>
      </c>
      <c r="Z61" s="4">
        <f>[1]节奏总纲!Z61</f>
        <v>1.9075840549711742</v>
      </c>
      <c r="AA61" s="4">
        <f>[1]节奏总纲!AA61</f>
        <v>1.0404804391740541</v>
      </c>
      <c r="AC61" s="4">
        <v>58</v>
      </c>
      <c r="AD61" s="4">
        <f>[1]节奏总纲!AD61</f>
        <v>58.821421928516813</v>
      </c>
      <c r="AE61" s="4">
        <f>[1]节奏总纲!AE61</f>
        <v>60.851070405211743</v>
      </c>
      <c r="AF61" s="4">
        <f>[1]节奏总纲!AF61</f>
        <v>63.665817066968295</v>
      </c>
      <c r="AG61" s="4">
        <f>[1]节奏总纲!AG61</f>
        <v>68.142437172458173</v>
      </c>
      <c r="AH61" s="4">
        <f>[1]节奏总纲!AH61</f>
        <v>76.60329874178116</v>
      </c>
      <c r="AZ61" s="4">
        <v>58</v>
      </c>
      <c r="BA61" s="4">
        <v>34.41421240026348</v>
      </c>
      <c r="BB61" s="4">
        <v>35.878317702773053</v>
      </c>
      <c r="BC61" s="4">
        <v>37.801476926273359</v>
      </c>
      <c r="BD61" s="4">
        <v>40.518638521010644</v>
      </c>
      <c r="BE61" s="4">
        <v>45.199736104837825</v>
      </c>
    </row>
    <row r="62" spans="6:57">
      <c r="F62" s="4">
        <v>60</v>
      </c>
      <c r="G62" s="4">
        <v>63</v>
      </c>
      <c r="K62" s="12"/>
      <c r="N62" s="4">
        <f>[1]节奏总纲!N62</f>
        <v>69</v>
      </c>
      <c r="O62" s="4">
        <v>59</v>
      </c>
      <c r="P62" s="4">
        <f>[1]节奏总纲!P62</f>
        <v>58.714111458355703</v>
      </c>
      <c r="Q62" s="4">
        <f>[1]节奏总纲!Q62</f>
        <v>50.940363101269412</v>
      </c>
      <c r="R62" s="4">
        <f>[1]节奏总纲!R62</f>
        <v>41.728119013453394</v>
      </c>
      <c r="S62" s="4">
        <f>[1]节奏总纲!S62</f>
        <v>30.607666303240826</v>
      </c>
      <c r="T62" s="4">
        <f>[1]节奏总纲!T62</f>
        <v>17.003606678339814</v>
      </c>
      <c r="V62" s="4">
        <v>59</v>
      </c>
      <c r="W62" s="4">
        <f>[1]节奏总纲!W62</f>
        <v>3.99887540740378</v>
      </c>
      <c r="X62" s="4">
        <f>[1]节奏总纲!X62</f>
        <v>3.4803673506737169</v>
      </c>
      <c r="Y62" s="4">
        <f>[1]节奏总纲!Y62</f>
        <v>2.8146431340163858</v>
      </c>
      <c r="Z62" s="4">
        <f>[1]节奏总纲!Z62</f>
        <v>2.0353700374337329</v>
      </c>
      <c r="AA62" s="4">
        <f>[1]节奏总纲!AA62</f>
        <v>1.1471312707739472</v>
      </c>
      <c r="AC62" s="4">
        <v>59</v>
      </c>
      <c r="AD62" s="4">
        <f>[1]节奏总纲!AD62</f>
        <v>59.066704614192936</v>
      </c>
      <c r="AE62" s="4">
        <f>[1]节奏总纲!AE62</f>
        <v>61.094954819415335</v>
      </c>
      <c r="AF62" s="4">
        <f>[1]节奏总纲!AF62</f>
        <v>63.91059178239486</v>
      </c>
      <c r="AG62" s="4">
        <f>[1]节奏总纲!AG62</f>
        <v>68.385008299388929</v>
      </c>
      <c r="AH62" s="4">
        <f>[1]节奏总纲!AH62</f>
        <v>76.861624350204693</v>
      </c>
      <c r="AZ62" s="4">
        <v>59</v>
      </c>
      <c r="BA62" s="4">
        <v>34.520719236579211</v>
      </c>
      <c r="BB62" s="4">
        <v>36.000264155774609</v>
      </c>
      <c r="BC62" s="4">
        <v>37.922481714369241</v>
      </c>
      <c r="BD62" s="4">
        <v>40.635186503260229</v>
      </c>
      <c r="BE62" s="4">
        <v>45.31132052094835</v>
      </c>
    </row>
    <row r="63" spans="6:57">
      <c r="F63" s="4">
        <v>61</v>
      </c>
      <c r="G63" s="4">
        <v>67.593501602322732</v>
      </c>
      <c r="N63" s="4">
        <f>[1]节奏总纲!N63</f>
        <v>70</v>
      </c>
      <c r="O63" s="4">
        <v>60</v>
      </c>
      <c r="P63" s="4">
        <f>[1]节奏总纲!P63</f>
        <v>63</v>
      </c>
      <c r="Q63" s="4">
        <f>[1]节奏总纲!Q63</f>
        <v>54.589500000000001</v>
      </c>
      <c r="R63" s="4">
        <f>[1]节奏总纲!R63</f>
        <v>44.717399999999998</v>
      </c>
      <c r="S63" s="4">
        <f>[1]节奏总纲!S63</f>
        <v>32.810400000000001</v>
      </c>
      <c r="T63" s="4">
        <f>[1]节奏总纲!T63</f>
        <v>18.276300000000003</v>
      </c>
      <c r="V63" s="4">
        <v>60</v>
      </c>
      <c r="W63" s="4">
        <f>[1]节奏总纲!W63</f>
        <v>4.2858885416442973</v>
      </c>
      <c r="X63" s="4">
        <f>[1]节奏总纲!X63</f>
        <v>3.649136898730589</v>
      </c>
      <c r="Y63" s="4">
        <f>[1]节奏总纲!Y63</f>
        <v>2.9892809865466035</v>
      </c>
      <c r="Z63" s="4">
        <f>[1]节奏总纲!Z63</f>
        <v>2.2027336967591751</v>
      </c>
      <c r="AA63" s="4">
        <f>[1]节奏总纲!AA63</f>
        <v>1.2726933216601886</v>
      </c>
      <c r="AC63" s="4">
        <v>60</v>
      </c>
      <c r="AD63" s="4">
        <f>[1]节奏总纲!AD63</f>
        <v>59.300028460644697</v>
      </c>
      <c r="AE63" s="4">
        <f>[1]节奏总纲!AE63</f>
        <v>61.330461663183208</v>
      </c>
      <c r="AF63" s="4">
        <f>[1]节奏总纲!AF63</f>
        <v>64.14304723627319</v>
      </c>
      <c r="AG63" s="4">
        <f>[1]节奏总纲!AG63</f>
        <v>68.627579426319684</v>
      </c>
      <c r="AH63" s="4">
        <f>[1]节奏总纲!AH63</f>
        <v>77.112805903056142</v>
      </c>
      <c r="AZ63" s="4">
        <v>60</v>
      </c>
      <c r="BA63" s="4">
        <v>34.627226072894942</v>
      </c>
      <c r="BB63" s="4">
        <v>36.105477566569242</v>
      </c>
      <c r="BC63" s="4">
        <v>38.037513426486328</v>
      </c>
      <c r="BD63" s="4">
        <v>40.751734485509814</v>
      </c>
      <c r="BE63" s="4">
        <v>45.422904937058867</v>
      </c>
    </row>
    <row r="64" spans="6:57">
      <c r="F64" s="4">
        <v>62</v>
      </c>
      <c r="G64" s="4">
        <v>72.516694719810218</v>
      </c>
      <c r="N64" s="4">
        <f>[1]节奏总纲!N64</f>
        <v>71</v>
      </c>
      <c r="O64" s="4">
        <v>61</v>
      </c>
      <c r="P64" s="4">
        <f>[1]节奏总纲!P64</f>
        <v>67.593501602322732</v>
      </c>
      <c r="Q64" s="4">
        <f>[1]节奏总纲!Q64</f>
        <v>58.596806539053574</v>
      </c>
      <c r="R64" s="4">
        <f>[1]节奏总纲!R64</f>
        <v>47.977867437328676</v>
      </c>
      <c r="S64" s="4">
        <f>[1]节奏总纲!S64</f>
        <v>35.229733035130607</v>
      </c>
      <c r="T64" s="4">
        <f>[1]节奏总纲!T64</f>
        <v>19.602115464673592</v>
      </c>
      <c r="V64" s="4">
        <v>61</v>
      </c>
      <c r="W64" s="4">
        <f>[1]节奏总纲!W64</f>
        <v>4.593501602322732</v>
      </c>
      <c r="X64" s="4">
        <f>[1]节奏总纲!X64</f>
        <v>4.0073065390535731</v>
      </c>
      <c r="Y64" s="4">
        <f>[1]节奏总纲!Y64</f>
        <v>3.2604674373286784</v>
      </c>
      <c r="Z64" s="4">
        <f>[1]节奏总纲!Z64</f>
        <v>2.4193330351306059</v>
      </c>
      <c r="AA64" s="4">
        <f>[1]节奏总纲!AA64</f>
        <v>1.3258154646735889</v>
      </c>
      <c r="AC64" s="4">
        <v>61</v>
      </c>
      <c r="AD64" s="4">
        <f>[1]节奏总纲!AD64</f>
        <v>59.533352307096465</v>
      </c>
      <c r="AE64" s="4">
        <f>[1]节奏总纲!AE64</f>
        <v>61.56596850695108</v>
      </c>
      <c r="AF64" s="4">
        <f>[1]节奏总纲!AF64</f>
        <v>64.368413367596901</v>
      </c>
      <c r="AG64" s="4">
        <f>[1]节奏总纲!AG64</f>
        <v>68.870150553250454</v>
      </c>
      <c r="AH64" s="4">
        <f>[1]节奏总纲!AH64</f>
        <v>77.355745991356301</v>
      </c>
      <c r="AZ64" s="4">
        <v>61</v>
      </c>
      <c r="BA64" s="4">
        <v>34.733732909210673</v>
      </c>
      <c r="BB64" s="4">
        <v>36.210690977363875</v>
      </c>
      <c r="BC64" s="4">
        <v>38.14189763688286</v>
      </c>
      <c r="BD64" s="4">
        <v>40.8682824677594</v>
      </c>
      <c r="BE64" s="4">
        <v>45.534489353169384</v>
      </c>
    </row>
    <row r="65" spans="6:57">
      <c r="F65" s="4">
        <v>63</v>
      </c>
      <c r="G65" s="4">
        <v>77.793242454074615</v>
      </c>
      <c r="N65" s="4">
        <f>[1]节奏总纲!N65</f>
        <v>72</v>
      </c>
      <c r="O65" s="4">
        <v>62</v>
      </c>
      <c r="P65" s="4">
        <f>[1]节奏总纲!P65</f>
        <v>72.516694719810218</v>
      </c>
      <c r="Q65" s="4">
        <f>[1]节奏总纲!Q65</f>
        <v>62.842967644187539</v>
      </c>
      <c r="R65" s="4">
        <f>[1]节奏总纲!R65</f>
        <v>51.5086082594812</v>
      </c>
      <c r="S65" s="4">
        <f>[1]节奏总纲!S65</f>
        <v>37.846462974268952</v>
      </c>
      <c r="T65" s="4">
        <f>[1]节奏总纲!T65</f>
        <v>21.124113171880715</v>
      </c>
      <c r="V65" s="4">
        <v>62</v>
      </c>
      <c r="W65" s="4">
        <f>[1]节奏总纲!W65</f>
        <v>4.9231931174874859</v>
      </c>
      <c r="X65" s="4">
        <f>[1]节奏总纲!X65</f>
        <v>4.2461611051339645</v>
      </c>
      <c r="Y65" s="4">
        <f>[1]节奏总纲!Y65</f>
        <v>3.5307408221525236</v>
      </c>
      <c r="Z65" s="4">
        <f>[1]节奏总纲!Z65</f>
        <v>2.6167299391383452</v>
      </c>
      <c r="AA65" s="4">
        <f>[1]节奏总纲!AA65</f>
        <v>1.5219977072071238</v>
      </c>
      <c r="AC65" s="4">
        <v>62</v>
      </c>
      <c r="AD65" s="4">
        <f>[1]节奏总纲!AD65</f>
        <v>59.766676153548232</v>
      </c>
      <c r="AE65" s="4">
        <f>[1]节奏总纲!AE65</f>
        <v>61.801475350718952</v>
      </c>
      <c r="AF65" s="4">
        <f>[1]节奏总纲!AF65</f>
        <v>64.593779498920611</v>
      </c>
      <c r="AG65" s="4">
        <f>[1]节奏总纲!AG65</f>
        <v>69.105843627521551</v>
      </c>
      <c r="AH65" s="4">
        <f>[1]节奏总纲!AH65</f>
        <v>77.59868607965646</v>
      </c>
      <c r="AZ65" s="4">
        <v>62</v>
      </c>
      <c r="BA65" s="4">
        <v>34.840239745526404</v>
      </c>
      <c r="BB65" s="4">
        <v>36.315904388158508</v>
      </c>
      <c r="BC65" s="4">
        <v>38.246281847279398</v>
      </c>
      <c r="BD65" s="4">
        <v>40.984830450008978</v>
      </c>
      <c r="BE65" s="4">
        <v>45.646073769279901</v>
      </c>
    </row>
    <row r="66" spans="6:57">
      <c r="F66" s="4">
        <v>64</v>
      </c>
      <c r="G66" s="4">
        <v>83.4485062894652</v>
      </c>
      <c r="N66" s="4">
        <f>[1]节奏总纲!N66</f>
        <v>73</v>
      </c>
      <c r="O66" s="4">
        <v>63</v>
      </c>
      <c r="P66" s="4">
        <f>[1]节奏总纲!P66</f>
        <v>77.793242454074615</v>
      </c>
      <c r="Q66" s="4">
        <f>[1]节奏总纲!Q66</f>
        <v>67.470079180418907</v>
      </c>
      <c r="R66" s="4">
        <f>[1]节奏总纲!R66</f>
        <v>55.27987808786542</v>
      </c>
      <c r="S66" s="4">
        <f>[1]节奏总纲!S66</f>
        <v>40.678086479235617</v>
      </c>
      <c r="T66" s="4">
        <f>[1]节奏总纲!T66</f>
        <v>22.700068148098975</v>
      </c>
      <c r="V66" s="4">
        <v>63</v>
      </c>
      <c r="W66" s="4">
        <f>[1]节奏总纲!W66</f>
        <v>5.2765477342643976</v>
      </c>
      <c r="X66" s="4">
        <f>[1]节奏总纲!X66</f>
        <v>4.6271115362313679</v>
      </c>
      <c r="Y66" s="4">
        <f>[1]节奏总纲!Y66</f>
        <v>3.7712698283842201</v>
      </c>
      <c r="Z66" s="4">
        <f>[1]节奏总纲!Z66</f>
        <v>2.8316235049666645</v>
      </c>
      <c r="AA66" s="4">
        <f>[1]节奏总纲!AA66</f>
        <v>1.5759549762182594</v>
      </c>
      <c r="AC66" s="4">
        <v>63</v>
      </c>
      <c r="AD66" s="4">
        <f>[1]节奏总纲!AD66</f>
        <v>60</v>
      </c>
      <c r="AE66" s="4">
        <f>[1]节奏总纲!AE66</f>
        <v>62.033937447710706</v>
      </c>
      <c r="AF66" s="4">
        <f>[1]节奏总纲!AF66</f>
        <v>64.819145630244321</v>
      </c>
      <c r="AG66" s="4">
        <f>[1]节奏总纲!AG66</f>
        <v>69.333613546893503</v>
      </c>
      <c r="AH66" s="4">
        <f>[1]节奏总纲!AH66</f>
        <v>77.841626167956619</v>
      </c>
      <c r="AZ66" s="4">
        <v>63</v>
      </c>
      <c r="BA66" s="4">
        <v>34.946746581842135</v>
      </c>
      <c r="BB66" s="4">
        <v>36.421117798953141</v>
      </c>
      <c r="BC66" s="4">
        <v>38.35066605767593</v>
      </c>
      <c r="BD66" s="4">
        <v>41.087476216725996</v>
      </c>
      <c r="BE66" s="4">
        <v>45.757658185390426</v>
      </c>
    </row>
    <row r="67" spans="6:57">
      <c r="F67" s="4">
        <v>65</v>
      </c>
      <c r="G67" s="4">
        <v>89.509667991878061</v>
      </c>
      <c r="N67" s="4">
        <f>[1]节奏总纲!N67</f>
        <v>74</v>
      </c>
      <c r="O67" s="4">
        <v>64</v>
      </c>
      <c r="P67" s="4">
        <f>[1]节奏总纲!P67</f>
        <v>83.4485062894652</v>
      </c>
      <c r="Q67" s="4">
        <f>[1]节奏总纲!Q67</f>
        <v>72.399924056740005</v>
      </c>
      <c r="R67" s="4">
        <f>[1]节奏总纲!R67</f>
        <v>59.365267374325548</v>
      </c>
      <c r="S67" s="4">
        <f>[1]节奏总纲!S67</f>
        <v>43.718672445050821</v>
      </c>
      <c r="T67" s="4">
        <f>[1]节奏总纲!T67</f>
        <v>24.341929284637001</v>
      </c>
      <c r="V67" s="4">
        <v>64</v>
      </c>
      <c r="W67" s="4">
        <f>[1]节奏总纲!W67</f>
        <v>5.6552638353905849</v>
      </c>
      <c r="X67" s="4">
        <f>[1]节奏总纲!X67</f>
        <v>4.9298448763210985</v>
      </c>
      <c r="Y67" s="4">
        <f>[1]节奏总纲!Y67</f>
        <v>4.0853892864601278</v>
      </c>
      <c r="Z67" s="4">
        <f>[1]节奏总纲!Z67</f>
        <v>3.0405859658152039</v>
      </c>
      <c r="AA67" s="4">
        <f>[1]节奏总纲!AA67</f>
        <v>1.6418611365380258</v>
      </c>
      <c r="AC67" s="4">
        <v>64</v>
      </c>
      <c r="AD67" s="4">
        <f>[1]节奏总纲!AD67</f>
        <v>60.217698846451768</v>
      </c>
      <c r="AE67" s="4">
        <f>[1]节奏总纲!AE67</f>
        <v>62.250054995811666</v>
      </c>
      <c r="AF67" s="4">
        <f>[1]节奏总纲!AF67</f>
        <v>65.042129882798193</v>
      </c>
      <c r="AG67" s="4">
        <f>[1]节奏总纲!AG67</f>
        <v>69.56138346626544</v>
      </c>
      <c r="AH67" s="4">
        <f>[1]节奏总纲!AH67</f>
        <v>78.077870469399883</v>
      </c>
      <c r="AZ67" s="4">
        <v>64</v>
      </c>
      <c r="BA67" s="4">
        <v>35.048795427931836</v>
      </c>
      <c r="BB67" s="4">
        <v>36.526331209747774</v>
      </c>
      <c r="BC67" s="4">
        <v>38.455050268072462</v>
      </c>
      <c r="BD67" s="4">
        <v>41.188041754455355</v>
      </c>
      <c r="BE67" s="4">
        <v>45.869242601500943</v>
      </c>
    </row>
    <row r="68" spans="6:57">
      <c r="F68" s="4">
        <v>66</v>
      </c>
      <c r="G68" s="4">
        <v>96.005860256665443</v>
      </c>
      <c r="N68" s="4">
        <f>[1]节奏总纲!N68</f>
        <v>75</v>
      </c>
      <c r="O68" s="4">
        <v>65</v>
      </c>
      <c r="P68" s="4">
        <f>[1]节奏总纲!P68</f>
        <v>89.509667991878061</v>
      </c>
      <c r="Q68" s="4">
        <f>[1]节奏总纲!Q68</f>
        <v>77.64963698295422</v>
      </c>
      <c r="R68" s="4">
        <f>[1]节奏总纲!R68</f>
        <v>63.802491344610679</v>
      </c>
      <c r="S68" s="4">
        <f>[1]节奏总纲!S68</f>
        <v>46.929918928141667</v>
      </c>
      <c r="T68" s="4">
        <f>[1]节奏总纲!T68</f>
        <v>25.993607584841389</v>
      </c>
      <c r="V68" s="4">
        <v>65</v>
      </c>
      <c r="W68" s="4">
        <f>[1]节奏总纲!W68</f>
        <v>6.0611617024128606</v>
      </c>
      <c r="X68" s="4">
        <f>[1]节奏总纲!X68</f>
        <v>5.2497129262142153</v>
      </c>
      <c r="Y68" s="4">
        <f>[1]节奏总纲!Y68</f>
        <v>4.4372239702851317</v>
      </c>
      <c r="Z68" s="4">
        <f>[1]节奏总纲!Z68</f>
        <v>3.2112464830908465</v>
      </c>
      <c r="AA68" s="4">
        <f>[1]节奏总纲!AA68</f>
        <v>1.651678300204388</v>
      </c>
      <c r="AC68" s="4">
        <v>65</v>
      </c>
      <c r="AD68" s="4">
        <f>[1]节奏总纲!AD68</f>
        <v>60.435397692903535</v>
      </c>
      <c r="AE68" s="4">
        <f>[1]节奏总纲!AE68</f>
        <v>62.466172543912634</v>
      </c>
      <c r="AF68" s="4">
        <f>[1]节奏总纲!AF68</f>
        <v>65.255436396961542</v>
      </c>
      <c r="AG68" s="4">
        <f>[1]节奏总纲!AG68</f>
        <v>69.789153385637391</v>
      </c>
      <c r="AH68" s="4">
        <f>[1]节奏总纲!AH68</f>
        <v>78.301575047908599</v>
      </c>
      <c r="AZ68" s="4">
        <v>65</v>
      </c>
      <c r="BA68" s="4">
        <v>35.146386283795508</v>
      </c>
      <c r="BB68" s="4">
        <v>36.631544620542407</v>
      </c>
      <c r="BC68" s="4">
        <v>38.559434478468994</v>
      </c>
      <c r="BD68" s="4">
        <v>41.288607292184714</v>
      </c>
      <c r="BE68" s="4">
        <v>45.98082701761146</v>
      </c>
    </row>
    <row r="69" spans="6:57">
      <c r="F69" s="4">
        <v>67</v>
      </c>
      <c r="G69" s="4">
        <v>102.96830673359811</v>
      </c>
      <c r="N69" s="4">
        <f>[1]节奏总纲!N69</f>
        <v>76</v>
      </c>
      <c r="O69" s="4">
        <v>66</v>
      </c>
      <c r="P69" s="4">
        <f>[1]节奏总纲!P69</f>
        <v>96.005860256665443</v>
      </c>
      <c r="Q69" s="4">
        <f>[1]节奏总纲!Q69</f>
        <v>83.352287874836932</v>
      </c>
      <c r="R69" s="4">
        <f>[1]节奏总纲!R69</f>
        <v>68.490580707105124</v>
      </c>
      <c r="S69" s="4">
        <f>[1]节奏总纲!S69</f>
        <v>50.163061984107692</v>
      </c>
      <c r="T69" s="4">
        <f>[1]节奏总纲!T69</f>
        <v>27.851300060458648</v>
      </c>
      <c r="V69" s="4">
        <v>66</v>
      </c>
      <c r="W69" s="4">
        <f>[1]节奏总纲!W69</f>
        <v>6.496192264787382</v>
      </c>
      <c r="X69" s="4">
        <f>[1]节奏总纲!X69</f>
        <v>5.7026508918827119</v>
      </c>
      <c r="Y69" s="4">
        <f>[1]节奏总纲!Y69</f>
        <v>4.6880893624944449</v>
      </c>
      <c r="Z69" s="4">
        <f>[1]节奏总纲!Z69</f>
        <v>3.2331430559660248</v>
      </c>
      <c r="AA69" s="4">
        <f>[1]节奏总纲!AA69</f>
        <v>1.8576924756172595</v>
      </c>
      <c r="AC69" s="4">
        <v>66</v>
      </c>
      <c r="AD69" s="4">
        <f>[1]节奏总纲!AD69</f>
        <v>60.653096539355303</v>
      </c>
      <c r="AE69" s="4">
        <f>[1]节奏总纲!AE69</f>
        <v>62.682290092013595</v>
      </c>
      <c r="AF69" s="4">
        <f>[1]节奏总纲!AF69</f>
        <v>65.468742911124906</v>
      </c>
      <c r="AG69" s="4">
        <f>[1]节奏总纲!AG69</f>
        <v>70.015851474333999</v>
      </c>
      <c r="AH69" s="4">
        <f>[1]节奏总纲!AH69</f>
        <v>78.525279626417301</v>
      </c>
      <c r="AZ69" s="4">
        <v>66</v>
      </c>
      <c r="BA69" s="4">
        <v>35.243977139659179</v>
      </c>
      <c r="BB69" s="4">
        <v>36.73675803133704</v>
      </c>
      <c r="BC69" s="4">
        <v>38.663818688865533</v>
      </c>
      <c r="BD69" s="4">
        <v>41.389172829914081</v>
      </c>
      <c r="BE69" s="4">
        <v>46.079770001861057</v>
      </c>
    </row>
    <row r="70" spans="6:57">
      <c r="F70" s="4">
        <v>68</v>
      </c>
      <c r="G70" s="4">
        <v>110.43047210190386</v>
      </c>
      <c r="N70" s="4">
        <f>[1]节奏总纲!N70</f>
        <v>77</v>
      </c>
      <c r="O70" s="4">
        <v>67</v>
      </c>
      <c r="P70" s="4">
        <f>[1]节奏总纲!P70</f>
        <v>102.96830673359811</v>
      </c>
      <c r="Q70" s="4">
        <f>[1]节奏总纲!Q70</f>
        <v>89.469161720823394</v>
      </c>
      <c r="R70" s="4">
        <f>[1]节奏总纲!R70</f>
        <v>73.292840732975137</v>
      </c>
      <c r="S70" s="4">
        <f>[1]节奏总纲!S70</f>
        <v>53.625894146857902</v>
      </c>
      <c r="T70" s="4">
        <f>[1]节奏总纲!T70</f>
        <v>29.799027968703292</v>
      </c>
      <c r="V70" s="4">
        <v>67</v>
      </c>
      <c r="W70" s="4">
        <f>[1]节奏总纲!W70</f>
        <v>6.9624464769326693</v>
      </c>
      <c r="X70" s="4">
        <f>[1]节奏总纲!X70</f>
        <v>6.1168738459864613</v>
      </c>
      <c r="Y70" s="4">
        <f>[1]节奏总纲!Y70</f>
        <v>4.8022600258700123</v>
      </c>
      <c r="Z70" s="4">
        <f>[1]节奏总纲!Z70</f>
        <v>3.4628321627502103</v>
      </c>
      <c r="AA70" s="4">
        <f>[1]节奏总纲!AA70</f>
        <v>1.9477279082446444</v>
      </c>
      <c r="AC70" s="4">
        <v>67</v>
      </c>
      <c r="AD70" s="4">
        <f>[1]节奏总纲!AD70</f>
        <v>60.870795385807064</v>
      </c>
      <c r="AE70" s="4">
        <f>[1]节奏总纲!AE70</f>
        <v>62.898407640114556</v>
      </c>
      <c r="AF70" s="4">
        <f>[1]节奏总纲!AF70</f>
        <v>65.682049425288255</v>
      </c>
      <c r="AG70" s="4">
        <f>[1]节奏总纲!AG70</f>
        <v>70.229195678021767</v>
      </c>
      <c r="AH70" s="4">
        <f>[1]节奏总纲!AH70</f>
        <v>78.748984204926018</v>
      </c>
      <c r="AZ70" s="4">
        <v>67</v>
      </c>
      <c r="BA70" s="4">
        <v>35.341567995522851</v>
      </c>
      <c r="BB70" s="4">
        <v>36.841971442131673</v>
      </c>
      <c r="BC70" s="4">
        <v>38.768202899262064</v>
      </c>
      <c r="BD70" s="4">
        <v>41.48973836764344</v>
      </c>
      <c r="BE70" s="4">
        <v>46.176090215954694</v>
      </c>
    </row>
    <row r="71" spans="6:57">
      <c r="F71" s="4">
        <v>69</v>
      </c>
      <c r="G71" s="4">
        <v>118.42822291671132</v>
      </c>
      <c r="N71" s="4">
        <f>[1]节奏总纲!N71</f>
        <v>78</v>
      </c>
      <c r="O71" s="4">
        <v>68</v>
      </c>
      <c r="P71" s="4">
        <f>[1]节奏总纲!P71</f>
        <v>110.43047210190386</v>
      </c>
      <c r="Q71" s="4">
        <f>[1]节奏总纲!Q71</f>
        <v>95.831563690032169</v>
      </c>
      <c r="R71" s="4">
        <f>[1]节奏总纲!R71</f>
        <v>78.251032531409081</v>
      </c>
      <c r="S71" s="4">
        <f>[1]节奏总纲!S71</f>
        <v>57.412802445779818</v>
      </c>
      <c r="T71" s="4">
        <f>[1]节奏总纲!T71</f>
        <v>31.859191201399263</v>
      </c>
      <c r="V71" s="4">
        <v>68</v>
      </c>
      <c r="W71" s="4">
        <f>[1]节奏总纲!W71</f>
        <v>7.4621653683057474</v>
      </c>
      <c r="X71" s="4">
        <f>[1]节奏总纲!X71</f>
        <v>6.3624019692087757</v>
      </c>
      <c r="Y71" s="4">
        <f>[1]节奏总纲!Y71</f>
        <v>4.9581917984339441</v>
      </c>
      <c r="Z71" s="4">
        <f>[1]节奏总纲!Z71</f>
        <v>3.7869082989219152</v>
      </c>
      <c r="AA71" s="4">
        <f>[1]节奏总纲!AA71</f>
        <v>2.0601632326959702</v>
      </c>
      <c r="AC71" s="4">
        <v>68</v>
      </c>
      <c r="AD71" s="4">
        <f>[1]节奏总纲!AD71</f>
        <v>61.082568038258209</v>
      </c>
      <c r="AE71" s="4">
        <f>[1]节奏总纲!AE71</f>
        <v>63.107492392331935</v>
      </c>
      <c r="AF71" s="4">
        <f>[1]节奏总纲!AF71</f>
        <v>65.895355939451605</v>
      </c>
      <c r="AG71" s="4">
        <f>[1]节奏总纲!AG71</f>
        <v>70.442539881709536</v>
      </c>
      <c r="AH71" s="4">
        <f>[1]节奏总纲!AH71</f>
        <v>78.972688783434734</v>
      </c>
      <c r="AZ71" s="4">
        <v>68</v>
      </c>
      <c r="BA71" s="4">
        <v>35.439158851386523</v>
      </c>
      <c r="BB71" s="4">
        <v>36.947184852926306</v>
      </c>
      <c r="BC71" s="4">
        <v>38.872587109658596</v>
      </c>
      <c r="BD71" s="4">
        <v>41.590303905372799</v>
      </c>
      <c r="BE71" s="4">
        <v>46.272410430048332</v>
      </c>
    </row>
    <row r="72" spans="6:57">
      <c r="F72" s="4">
        <v>70</v>
      </c>
      <c r="G72" s="4">
        <v>127</v>
      </c>
      <c r="N72" s="4">
        <f>[1]节奏总纲!N72</f>
        <v>79</v>
      </c>
      <c r="O72" s="4">
        <v>69</v>
      </c>
      <c r="P72" s="4">
        <f>[1]节奏总纲!P72</f>
        <v>118.42822291671132</v>
      </c>
      <c r="Q72" s="4">
        <f>[1]节奏总纲!Q72</f>
        <v>102.51146975670532</v>
      </c>
      <c r="R72" s="4">
        <f>[1]节奏总纲!R72</f>
        <v>83.894553114198303</v>
      </c>
      <c r="S72" s="4">
        <f>[1]节奏总纲!S72</f>
        <v>61.535304627523196</v>
      </c>
      <c r="T72" s="4">
        <f>[1]节奏总纲!T72</f>
        <v>34.059956910846175</v>
      </c>
      <c r="V72" s="4">
        <v>69</v>
      </c>
      <c r="W72" s="4">
        <f>[1]节奏总纲!W72</f>
        <v>7.9977508148074605</v>
      </c>
      <c r="X72" s="4">
        <f>[1]节奏总纲!X72</f>
        <v>6.6799060666731549</v>
      </c>
      <c r="Y72" s="4">
        <f>[1]节奏总纲!Y72</f>
        <v>5.6435205827892219</v>
      </c>
      <c r="Z72" s="4">
        <f>[1]节奏总纲!Z72</f>
        <v>4.1225021817433785</v>
      </c>
      <c r="AA72" s="4">
        <f>[1]节奏总纲!AA72</f>
        <v>2.2007657094469124</v>
      </c>
      <c r="AC72" s="4">
        <v>69</v>
      </c>
      <c r="AD72" s="4">
        <f>[1]节奏总纲!AD72</f>
        <v>61.285688244217212</v>
      </c>
      <c r="AE72" s="4">
        <f>[1]节奏总纲!AE72</f>
        <v>63.310338531528565</v>
      </c>
      <c r="AF72" s="4">
        <f>[1]节奏总纲!AF72</f>
        <v>66.106079073217742</v>
      </c>
      <c r="AG72" s="4">
        <f>[1]节奏总纲!AG72</f>
        <v>70.655884085397304</v>
      </c>
      <c r="AH72" s="4">
        <f>[1]节奏总纲!AH72</f>
        <v>79.188599387584361</v>
      </c>
      <c r="AZ72" s="4">
        <v>69</v>
      </c>
      <c r="BA72" s="4">
        <v>35.536749707250202</v>
      </c>
      <c r="BB72" s="4">
        <v>37.045197000674086</v>
      </c>
      <c r="BC72" s="4">
        <v>38.976971320055128</v>
      </c>
      <c r="BD72" s="4">
        <v>41.690869443102159</v>
      </c>
      <c r="BE72" s="4">
        <v>46.368730644141969</v>
      </c>
    </row>
    <row r="73" spans="6:57">
      <c r="F73" s="4">
        <v>71</v>
      </c>
      <c r="G73" s="4">
        <v>136.18700320464549</v>
      </c>
      <c r="N73" s="4">
        <f>[1]节奏总纲!N73</f>
        <v>80</v>
      </c>
      <c r="O73" s="4">
        <v>70</v>
      </c>
      <c r="P73" s="4">
        <f>[1]节奏总纲!P73</f>
        <v>127</v>
      </c>
      <c r="Q73" s="4">
        <f>[1]节奏总纲!Q73</f>
        <v>109.9693</v>
      </c>
      <c r="R73" s="4">
        <f>[1]节奏总纲!R73</f>
        <v>90.106499999999997</v>
      </c>
      <c r="S73" s="4">
        <f>[1]节奏总纲!S73</f>
        <v>65.925700000000006</v>
      </c>
      <c r="T73" s="4">
        <f>[1]节奏总纲!T73</f>
        <v>36.4998</v>
      </c>
      <c r="V73" s="4">
        <v>70</v>
      </c>
      <c r="W73" s="4">
        <f>[1]节奏总纲!W73</f>
        <v>8.5717770832886799</v>
      </c>
      <c r="X73" s="4">
        <f>[1]节奏总纲!X73</f>
        <v>7.4578302432946799</v>
      </c>
      <c r="Y73" s="4">
        <f>[1]节奏总纲!Y73</f>
        <v>6.2119468858016944</v>
      </c>
      <c r="Z73" s="4">
        <f>[1]节奏总纲!Z73</f>
        <v>4.3903953724768101</v>
      </c>
      <c r="AA73" s="4">
        <f>[1]节奏总纲!AA73</f>
        <v>2.4398430891538254</v>
      </c>
      <c r="AC73" s="4">
        <v>70</v>
      </c>
      <c r="AD73" s="4">
        <f>[1]节奏总纲!AD73</f>
        <v>61.488808450176215</v>
      </c>
      <c r="AE73" s="4">
        <f>[1]节奏总纲!AE73</f>
        <v>63.513184670725188</v>
      </c>
      <c r="AF73" s="4">
        <f>[1]节奏总纲!AF73</f>
        <v>66.314314361313961</v>
      </c>
      <c r="AG73" s="4">
        <f>[1]节奏总纲!AG73</f>
        <v>70.869228289085072</v>
      </c>
      <c r="AH73" s="4">
        <f>[1]节奏总纲!AH73</f>
        <v>79.403426131671111</v>
      </c>
      <c r="AZ73" s="4">
        <v>70</v>
      </c>
      <c r="BA73" s="4">
        <v>35.634340563113874</v>
      </c>
      <c r="BB73" s="4">
        <v>37.135950591746003</v>
      </c>
      <c r="BC73" s="4">
        <v>39.070187171981765</v>
      </c>
      <c r="BD73" s="4">
        <v>41.791434980831518</v>
      </c>
      <c r="BE73" s="4">
        <v>46.465050858235607</v>
      </c>
    </row>
    <row r="74" spans="6:57">
      <c r="F74" s="4">
        <v>72</v>
      </c>
      <c r="G74" s="4">
        <v>146.03338943962044</v>
      </c>
      <c r="N74" s="4">
        <f>[1]节奏总纲!N74</f>
        <v>81</v>
      </c>
      <c r="O74" s="4">
        <v>71</v>
      </c>
      <c r="P74" s="4">
        <f>[1]节奏总纲!P74</f>
        <v>136.18700320464549</v>
      </c>
      <c r="Q74" s="4">
        <f>[1]节奏总纲!Q74</f>
        <v>118.03327567746625</v>
      </c>
      <c r="R74" s="4">
        <f>[1]节奏总纲!R74</f>
        <v>96.583822672734584</v>
      </c>
      <c r="S74" s="4">
        <f>[1]节奏总纲!S74</f>
        <v>70.612961161608681</v>
      </c>
      <c r="T74" s="4">
        <f>[1]节奏总纲!T74</f>
        <v>39.126526020694648</v>
      </c>
      <c r="V74" s="4">
        <v>71</v>
      </c>
      <c r="W74" s="4">
        <f>[1]节奏总纲!W74</f>
        <v>9.1870032046454924</v>
      </c>
      <c r="X74" s="4">
        <f>[1]节奏总纲!X74</f>
        <v>8.0639756774662459</v>
      </c>
      <c r="Y74" s="4">
        <f>[1]节奏总纲!Y74</f>
        <v>6.4773226727345872</v>
      </c>
      <c r="Z74" s="4">
        <f>[1]节奏总纲!Z74</f>
        <v>4.6872611616086743</v>
      </c>
      <c r="AA74" s="4">
        <f>[1]节奏总纲!AA74</f>
        <v>2.6267260206946474</v>
      </c>
      <c r="AC74" s="4">
        <v>71</v>
      </c>
      <c r="AD74" s="4">
        <f>[1]节奏总纲!AD74</f>
        <v>61.691928656135218</v>
      </c>
      <c r="AE74" s="4">
        <f>[1]节奏总纲!AE74</f>
        <v>63.716030809921811</v>
      </c>
      <c r="AF74" s="4">
        <f>[1]节奏总纲!AF74</f>
        <v>66.52254964941018</v>
      </c>
      <c r="AG74" s="4">
        <f>[1]节奏总纲!AG74</f>
        <v>71.07781362467729</v>
      </c>
      <c r="AH74" s="4">
        <f>[1]节奏总纲!AH74</f>
        <v>79.618252875757847</v>
      </c>
      <c r="AZ74" s="4">
        <v>71</v>
      </c>
      <c r="BA74" s="4">
        <v>35.731931418977545</v>
      </c>
      <c r="BB74" s="4">
        <v>37.226704182817912</v>
      </c>
      <c r="BC74" s="4">
        <v>39.160241683169971</v>
      </c>
      <c r="BD74" s="4">
        <v>41.892000518560877</v>
      </c>
      <c r="BE74" s="4">
        <v>46.561371072329244</v>
      </c>
    </row>
    <row r="75" spans="6:57">
      <c r="F75" s="4">
        <v>73</v>
      </c>
      <c r="G75" s="4">
        <v>156.58648490814926</v>
      </c>
      <c r="N75" s="4">
        <f>[1]节奏总纲!N75</f>
        <v>82</v>
      </c>
      <c r="O75" s="4">
        <v>72</v>
      </c>
      <c r="P75" s="4">
        <f>[1]节奏总纲!P75</f>
        <v>146.03338943962044</v>
      </c>
      <c r="Q75" s="4">
        <f>[1]节奏总纲!Q75</f>
        <v>126.581741966263</v>
      </c>
      <c r="R75" s="4">
        <f>[1]节奏总纲!R75</f>
        <v>103.31862302853146</v>
      </c>
      <c r="S75" s="4">
        <f>[1]节奏总纲!S75</f>
        <v>75.586882373947532</v>
      </c>
      <c r="T75" s="4">
        <f>[1]节奏总纲!T75</f>
        <v>41.896979430227098</v>
      </c>
      <c r="V75" s="4">
        <v>72</v>
      </c>
      <c r="W75" s="4">
        <f>[1]节奏总纲!W75</f>
        <v>9.8463862349749434</v>
      </c>
      <c r="X75" s="4">
        <f>[1]节奏总纲!X75</f>
        <v>8.548466288796746</v>
      </c>
      <c r="Y75" s="4">
        <f>[1]节奏总纲!Y75</f>
        <v>6.7348003557968781</v>
      </c>
      <c r="Z75" s="4">
        <f>[1]节奏总纲!Z75</f>
        <v>4.9739212123388512</v>
      </c>
      <c r="AA75" s="4">
        <f>[1]节奏总纲!AA75</f>
        <v>2.7704534095324505</v>
      </c>
      <c r="AC75" s="4">
        <v>72</v>
      </c>
      <c r="AD75" s="4">
        <f>[1]节奏总纲!AD75</f>
        <v>61.895048862094221</v>
      </c>
      <c r="AE75" s="4">
        <f>[1]节奏总纲!AE75</f>
        <v>63.918876949118435</v>
      </c>
      <c r="AF75" s="4">
        <f>[1]节奏总纲!AF75</f>
        <v>66.7307849375064</v>
      </c>
      <c r="AG75" s="4">
        <f>[1]节奏总纲!AG75</f>
        <v>71.278862245535876</v>
      </c>
      <c r="AH75" s="4">
        <f>[1]节奏总纲!AH75</f>
        <v>79.833079619844597</v>
      </c>
      <c r="AZ75" s="4">
        <v>72</v>
      </c>
      <c r="BA75" s="4">
        <v>35.829522274841217</v>
      </c>
      <c r="BB75" s="4">
        <v>37.317457773889828</v>
      </c>
      <c r="BC75" s="4">
        <v>39.250296194358178</v>
      </c>
      <c r="BD75" s="4">
        <v>41.992566056290244</v>
      </c>
      <c r="BE75" s="4">
        <v>46.657691286422882</v>
      </c>
    </row>
    <row r="76" spans="6:57">
      <c r="F76" s="4">
        <v>74</v>
      </c>
      <c r="G76" s="4">
        <v>167.89701257893043</v>
      </c>
      <c r="N76" s="4">
        <f>[1]节奏总纲!N76</f>
        <v>83</v>
      </c>
      <c r="O76" s="4">
        <v>73</v>
      </c>
      <c r="P76" s="4">
        <f>[1]节奏总纲!P76</f>
        <v>156.58648490814926</v>
      </c>
      <c r="Q76" s="4">
        <f>[1]节奏总纲!Q76</f>
        <v>135.41599214856748</v>
      </c>
      <c r="R76" s="4">
        <f>[1]节奏总纲!R76</f>
        <v>110.58137564213501</v>
      </c>
      <c r="S76" s="4">
        <f>[1]节奏总纲!S76</f>
        <v>80.955212697513176</v>
      </c>
      <c r="T76" s="4">
        <f>[1]节奏总纲!T76</f>
        <v>44.877686574675579</v>
      </c>
      <c r="V76" s="4">
        <v>73</v>
      </c>
      <c r="W76" s="4">
        <f>[1]节奏总纲!W76</f>
        <v>10.553095468528824</v>
      </c>
      <c r="X76" s="4">
        <f>[1]节奏总纲!X76</f>
        <v>8.834250182304487</v>
      </c>
      <c r="Y76" s="4">
        <f>[1]节奏总纲!Y76</f>
        <v>7.2627526136035527</v>
      </c>
      <c r="Z76" s="4">
        <f>[1]节奏总纲!Z76</f>
        <v>5.3683303235656439</v>
      </c>
      <c r="AA76" s="4">
        <f>[1]节奏总纲!AA76</f>
        <v>2.9807071444484805</v>
      </c>
      <c r="AC76" s="4">
        <v>73</v>
      </c>
      <c r="AD76" s="4">
        <f>[1]节奏总纲!AD76</f>
        <v>62.091594979242075</v>
      </c>
      <c r="AE76" s="4">
        <f>[1]节奏总纲!AE76</f>
        <v>64.114306430026588</v>
      </c>
      <c r="AF76" s="4">
        <f>[1]节奏总纲!AF76</f>
        <v>66.939020225602619</v>
      </c>
      <c r="AG76" s="4">
        <f>[1]节奏总纲!AG76</f>
        <v>71.479910866394462</v>
      </c>
      <c r="AH76" s="4">
        <f>[1]节奏总纲!AH76</f>
        <v>80.043898354812981</v>
      </c>
      <c r="AZ76" s="4">
        <v>73</v>
      </c>
      <c r="BA76" s="4">
        <v>35.927113130704889</v>
      </c>
      <c r="BB76" s="4">
        <v>37.408211364961737</v>
      </c>
      <c r="BC76" s="4">
        <v>39.340350705546385</v>
      </c>
      <c r="BD76" s="4">
        <v>42.080366850119908</v>
      </c>
      <c r="BE76" s="4">
        <v>46.754011500516519</v>
      </c>
    </row>
    <row r="77" spans="6:57">
      <c r="F77" s="4">
        <v>75</v>
      </c>
      <c r="G77" s="4">
        <v>180.01933598375612</v>
      </c>
      <c r="N77" s="4">
        <f>[1]节奏总纲!N77</f>
        <v>84</v>
      </c>
      <c r="O77" s="4">
        <v>74</v>
      </c>
      <c r="P77" s="4">
        <f>[1]节奏总纲!P77</f>
        <v>167.89701257893043</v>
      </c>
      <c r="Q77" s="4">
        <f>[1]节奏总纲!Q77</f>
        <v>145.16375707574326</v>
      </c>
      <c r="R77" s="4">
        <f>[1]节奏总纲!R77</f>
        <v>118.70318789330381</v>
      </c>
      <c r="S77" s="4">
        <f>[1]节奏总纲!S77</f>
        <v>86.869914308338593</v>
      </c>
      <c r="T77" s="4">
        <f>[1]节奏总纲!T77</f>
        <v>48.169652908895138</v>
      </c>
      <c r="V77" s="4">
        <v>74</v>
      </c>
      <c r="W77" s="4">
        <f>[1]节奏总纲!W77</f>
        <v>11.31052767078117</v>
      </c>
      <c r="X77" s="4">
        <f>[1]节奏总纲!X77</f>
        <v>9.7477649271757798</v>
      </c>
      <c r="Y77" s="4">
        <f>[1]节奏总纲!Y77</f>
        <v>8.1218122511687909</v>
      </c>
      <c r="Z77" s="4">
        <f>[1]节奏总纲!Z77</f>
        <v>5.9147016108254178</v>
      </c>
      <c r="AA77" s="4">
        <f>[1]节奏总纲!AA77</f>
        <v>3.2919663342195591</v>
      </c>
      <c r="AC77" s="4">
        <v>74</v>
      </c>
      <c r="AD77" s="4">
        <f>[1]节奏总纲!AD77</f>
        <v>62.281112832649576</v>
      </c>
      <c r="AE77" s="4">
        <f>[1]节奏总纲!AE77</f>
        <v>64.304793036447776</v>
      </c>
      <c r="AF77" s="4">
        <f>[1]节奏总纲!AF77</f>
        <v>67.14262442756818</v>
      </c>
      <c r="AG77" s="4">
        <f>[1]节奏总纲!AG77</f>
        <v>71.680959487253048</v>
      </c>
      <c r="AH77" s="4">
        <f>[1]节奏总纲!AH77</f>
        <v>80.24075196383977</v>
      </c>
      <c r="AZ77" s="4">
        <v>74</v>
      </c>
      <c r="BA77" s="4">
        <v>36.021306837933537</v>
      </c>
      <c r="BB77" s="4">
        <v>37.498964956033646</v>
      </c>
      <c r="BC77" s="4">
        <v>39.430405216734592</v>
      </c>
      <c r="BD77" s="4">
        <v>42.167148737437564</v>
      </c>
      <c r="BE77" s="4">
        <v>46.850331714610157</v>
      </c>
    </row>
    <row r="78" spans="6:57">
      <c r="F78" s="4">
        <v>76</v>
      </c>
      <c r="G78" s="4">
        <v>193.01172051333091</v>
      </c>
      <c r="N78" s="4">
        <f>[1]节奏总纲!N78</f>
        <v>85</v>
      </c>
      <c r="O78" s="4">
        <v>75</v>
      </c>
      <c r="P78" s="4">
        <f>[1]节奏总纲!P78</f>
        <v>180.01933598375612</v>
      </c>
      <c r="Q78" s="4">
        <f>[1]节奏总纲!Q78</f>
        <v>155.75272949314578</v>
      </c>
      <c r="R78" s="4">
        <f>[1]节奏总纲!R78</f>
        <v>127.38168214210583</v>
      </c>
      <c r="S78" s="4">
        <f>[1]节奏总纲!S78</f>
        <v>93.214012172388934</v>
      </c>
      <c r="T78" s="4">
        <f>[1]节奏总纲!T78</f>
        <v>51.755559095329879</v>
      </c>
      <c r="V78" s="4">
        <v>75</v>
      </c>
      <c r="W78" s="4">
        <f>[1]节奏总纲!W78</f>
        <v>12.122323404825693</v>
      </c>
      <c r="X78" s="4">
        <f>[1]节奏总纲!X78</f>
        <v>10.588972417402516</v>
      </c>
      <c r="Y78" s="4">
        <f>[1]节奏总纲!Y78</f>
        <v>8.6784942488020249</v>
      </c>
      <c r="Z78" s="4">
        <f>[1]节奏总纲!Z78</f>
        <v>6.3440978640503403</v>
      </c>
      <c r="AA78" s="4">
        <f>[1]节奏总纲!AA78</f>
        <v>3.585906186434741</v>
      </c>
      <c r="AC78" s="4">
        <v>75</v>
      </c>
      <c r="AD78" s="4">
        <f>[1]节奏总纲!AD78</f>
        <v>62.470630686057078</v>
      </c>
      <c r="AE78" s="4">
        <f>[1]节奏总纲!AE78</f>
        <v>64.495279642868965</v>
      </c>
      <c r="AF78" s="4">
        <f>[1]节奏总纲!AF78</f>
        <v>67.344310856946692</v>
      </c>
      <c r="AG78" s="4">
        <f>[1]节奏总纲!AG78</f>
        <v>71.882008108111634</v>
      </c>
      <c r="AH78" s="4">
        <f>[1]节奏总纲!AH78</f>
        <v>80.437605572866573</v>
      </c>
      <c r="AZ78" s="4">
        <v>75</v>
      </c>
      <c r="BA78" s="4">
        <v>36.105477566569242</v>
      </c>
      <c r="BB78" s="4">
        <v>37.589718547105562</v>
      </c>
      <c r="BC78" s="4">
        <v>39.520459727922798</v>
      </c>
      <c r="BD78" s="4">
        <v>42.253930624755228</v>
      </c>
      <c r="BE78" s="4">
        <v>46.946651928703787</v>
      </c>
    </row>
    <row r="79" spans="6:57">
      <c r="F79" s="4">
        <v>77</v>
      </c>
      <c r="G79" s="4">
        <v>206.93661346719625</v>
      </c>
      <c r="N79" s="4">
        <f>[1]节奏总纲!N79</f>
        <v>86</v>
      </c>
      <c r="O79" s="4">
        <v>76</v>
      </c>
      <c r="P79" s="4">
        <f>[1]节奏总纲!P79</f>
        <v>193.01172051333091</v>
      </c>
      <c r="Q79" s="4">
        <f>[1]节奏总纲!Q79</f>
        <v>166.97443941608256</v>
      </c>
      <c r="R79" s="4">
        <f>[1]节奏总纲!R79</f>
        <v>136.51718991907896</v>
      </c>
      <c r="S79" s="4">
        <f>[1]节奏总纲!S79</f>
        <v>100.0379747420594</v>
      </c>
      <c r="T79" s="4">
        <f>[1]节奏总纲!T79</f>
        <v>55.664580196044632</v>
      </c>
      <c r="V79" s="4">
        <v>76</v>
      </c>
      <c r="W79" s="4">
        <f>[1]节奏总纲!W79</f>
        <v>12.992384529574792</v>
      </c>
      <c r="X79" s="4">
        <f>[1]节奏总纲!X79</f>
        <v>11.221709922936782</v>
      </c>
      <c r="Y79" s="4">
        <f>[1]节奏总纲!Y79</f>
        <v>9.1355077769731281</v>
      </c>
      <c r="Z79" s="4">
        <f>[1]节奏总纲!Z79</f>
        <v>6.8239625696704707</v>
      </c>
      <c r="AA79" s="4">
        <f>[1]节奏总纲!AA79</f>
        <v>3.9090211007147531</v>
      </c>
      <c r="AC79" s="4">
        <v>76</v>
      </c>
      <c r="AD79" s="4">
        <f>[1]节奏总纲!AD79</f>
        <v>62.660148539464579</v>
      </c>
      <c r="AE79" s="4">
        <f>[1]节奏总纲!AE79</f>
        <v>64.685766249290154</v>
      </c>
      <c r="AF79" s="4">
        <f>[1]节奏总纲!AF79</f>
        <v>67.545997286325218</v>
      </c>
      <c r="AG79" s="4">
        <f>[1]节奏总纲!AG79</f>
        <v>72.076954583856178</v>
      </c>
      <c r="AH79" s="4">
        <f>[1]节奏总纲!AH79</f>
        <v>80.634459181893376</v>
      </c>
      <c r="AZ79" s="4">
        <v>76</v>
      </c>
      <c r="BA79" s="4">
        <v>36.189648295204947</v>
      </c>
      <c r="BB79" s="4">
        <v>37.680472138177471</v>
      </c>
      <c r="BC79" s="4">
        <v>39.610514239111005</v>
      </c>
      <c r="BD79" s="4">
        <v>42.340712512072891</v>
      </c>
      <c r="BE79" s="4">
        <v>47.037096473408994</v>
      </c>
    </row>
    <row r="80" spans="6:57">
      <c r="F80" s="4">
        <v>78</v>
      </c>
      <c r="G80" s="4">
        <v>221.86094420380775</v>
      </c>
      <c r="N80" s="4">
        <f>[1]节奏总纲!N80</f>
        <v>87</v>
      </c>
      <c r="O80" s="4">
        <v>77</v>
      </c>
      <c r="P80" s="4">
        <f>[1]节奏总纲!P80</f>
        <v>206.93661346719625</v>
      </c>
      <c r="Q80" s="4">
        <f>[1]节奏总纲!Q80</f>
        <v>179.12433261720508</v>
      </c>
      <c r="R80" s="4">
        <f>[1]节奏总纲!R80</f>
        <v>146.53181599612165</v>
      </c>
      <c r="S80" s="4">
        <f>[1]节奏总纲!S80</f>
        <v>107.42079605082158</v>
      </c>
      <c r="T80" s="4">
        <f>[1]节奏总纲!T80</f>
        <v>59.535663694512365</v>
      </c>
      <c r="V80" s="4">
        <v>77</v>
      </c>
      <c r="W80" s="4">
        <f>[1]节奏总纲!W80</f>
        <v>13.924892953865339</v>
      </c>
      <c r="X80" s="4">
        <f>[1]节奏总纲!X80</f>
        <v>12.149893201122524</v>
      </c>
      <c r="Y80" s="4">
        <f>[1]节奏总纲!Y80</f>
        <v>10.014626077042692</v>
      </c>
      <c r="Z80" s="4">
        <f>[1]节奏总纲!Z80</f>
        <v>7.3828213087621748</v>
      </c>
      <c r="AA80" s="4">
        <f>[1]节奏总纲!AA80</f>
        <v>3.8710834984677334</v>
      </c>
      <c r="AC80" s="4">
        <v>77</v>
      </c>
      <c r="AD80" s="4">
        <f>[1]节奏总纲!AD80</f>
        <v>62.849666392872081</v>
      </c>
      <c r="AE80" s="4">
        <f>[1]节奏总纲!AE80</f>
        <v>64.876252855711357</v>
      </c>
      <c r="AF80" s="4">
        <f>[1]节奏总纲!AF80</f>
        <v>67.747683715703729</v>
      </c>
      <c r="AG80" s="4">
        <f>[1]节奏总纲!AG80</f>
        <v>72.263232241847945</v>
      </c>
      <c r="AH80" s="4">
        <f>[1]节奏总纲!AH80</f>
        <v>80.83131279092018</v>
      </c>
      <c r="AZ80" s="4">
        <v>77</v>
      </c>
      <c r="BA80" s="4">
        <v>36.273819023840659</v>
      </c>
      <c r="BB80" s="4">
        <v>37.771225729249387</v>
      </c>
      <c r="BC80" s="4">
        <v>39.700568750299212</v>
      </c>
      <c r="BD80" s="4">
        <v>42.427494399390554</v>
      </c>
      <c r="BE80" s="4">
        <v>47.12024662670057</v>
      </c>
    </row>
    <row r="81" spans="6:57">
      <c r="F81" s="4">
        <v>79</v>
      </c>
      <c r="G81" s="4">
        <v>237.85644583342264</v>
      </c>
      <c r="N81" s="4">
        <f>[1]节奏总纲!N81</f>
        <v>88</v>
      </c>
      <c r="O81" s="4">
        <v>78</v>
      </c>
      <c r="P81" s="4">
        <f>[1]节奏总纲!P81</f>
        <v>221.86094420380775</v>
      </c>
      <c r="Q81" s="4">
        <f>[1]节奏总纲!Q81</f>
        <v>192.04283330281601</v>
      </c>
      <c r="R81" s="4">
        <f>[1]节奏总纲!R81</f>
        <v>157.23285115723854</v>
      </c>
      <c r="S81" s="4">
        <f>[1]节奏总纲!S81</f>
        <v>115.1680161361966</v>
      </c>
      <c r="T81" s="4">
        <f>[1]节奏总纲!T81</f>
        <v>63.651904892072437</v>
      </c>
      <c r="V81" s="4">
        <v>78</v>
      </c>
      <c r="W81" s="4">
        <f>[1]节奏总纲!W81</f>
        <v>14.924330736611495</v>
      </c>
      <c r="X81" s="4">
        <f>[1]节奏总纲!X81</f>
        <v>12.918500685610923</v>
      </c>
      <c r="Y81" s="4">
        <f>[1]节奏总纲!Y81</f>
        <v>10.701035161116891</v>
      </c>
      <c r="Z81" s="4">
        <f>[1]节奏总纲!Z81</f>
        <v>7.7472200853750195</v>
      </c>
      <c r="AA81" s="4">
        <f>[1]节奏总纲!AA81</f>
        <v>4.1162411975600719</v>
      </c>
      <c r="AC81" s="4">
        <v>78</v>
      </c>
      <c r="AD81" s="4">
        <f>[1]节奏总纲!AD81</f>
        <v>63.036560194527354</v>
      </c>
      <c r="AE81" s="4">
        <f>[1]节奏总纲!AE81</f>
        <v>65.061438622789353</v>
      </c>
      <c r="AF81" s="4">
        <f>[1]节奏总纲!AF81</f>
        <v>67.949370145082256</v>
      </c>
      <c r="AG81" s="4">
        <f>[1]节奏总纲!AG81</f>
        <v>72.449509899839711</v>
      </c>
      <c r="AH81" s="4">
        <f>[1]节奏总纲!AH81</f>
        <v>81.026624803116562</v>
      </c>
      <c r="AZ81" s="4">
        <v>78</v>
      </c>
      <c r="BA81" s="4">
        <v>36.357989752476364</v>
      </c>
      <c r="BB81" s="4">
        <v>37.861979320321296</v>
      </c>
      <c r="BC81" s="4">
        <v>39.790623261487418</v>
      </c>
      <c r="BD81" s="4">
        <v>42.51427628670821</v>
      </c>
      <c r="BE81" s="4">
        <v>47.203396779992147</v>
      </c>
    </row>
    <row r="82" spans="6:57">
      <c r="F82" s="4">
        <v>80</v>
      </c>
      <c r="G82" s="4">
        <v>255</v>
      </c>
      <c r="N82" s="4">
        <f>[1]节奏总纲!N82</f>
        <v>89</v>
      </c>
      <c r="O82" s="4">
        <v>79</v>
      </c>
      <c r="P82" s="4">
        <f>[1]节奏总纲!P82</f>
        <v>237.85644583342264</v>
      </c>
      <c r="Q82" s="4">
        <f>[1]节奏总纲!Q82</f>
        <v>206.07882467007735</v>
      </c>
      <c r="R82" s="4">
        <f>[1]节奏总纲!R82</f>
        <v>168.73536267423003</v>
      </c>
      <c r="S82" s="4">
        <f>[1]节奏总纲!S82</f>
        <v>123.11449636337954</v>
      </c>
      <c r="T82" s="4">
        <f>[1]节奏总纲!T82</f>
        <v>68.122086086692235</v>
      </c>
      <c r="V82" s="4">
        <v>79</v>
      </c>
      <c r="W82" s="4">
        <f>[1]节奏总纲!W82</f>
        <v>15.995501629614893</v>
      </c>
      <c r="X82" s="4">
        <f>[1]节奏总纲!X82</f>
        <v>14.035991367261346</v>
      </c>
      <c r="Y82" s="4">
        <f>[1]节奏总纲!Y82</f>
        <v>11.50251151699149</v>
      </c>
      <c r="Z82" s="4">
        <f>[1]节奏总纲!Z82</f>
        <v>7.9464802271829456</v>
      </c>
      <c r="AA82" s="4">
        <f>[1]节奏总纲!AA82</f>
        <v>4.4701811946197978</v>
      </c>
      <c r="AC82" s="4">
        <v>79</v>
      </c>
      <c r="AD82" s="4">
        <f>[1]节奏总纲!AD82</f>
        <v>63.213386604241791</v>
      </c>
      <c r="AE82" s="4">
        <f>[1]节奏总纲!AE82</f>
        <v>65.23679566619937</v>
      </c>
      <c r="AF82" s="4">
        <f>[1]节奏总纲!AF82</f>
        <v>68.132712808893615</v>
      </c>
      <c r="AG82" s="4">
        <f>[1]节奏总纲!AG82</f>
        <v>72.635787557831478</v>
      </c>
      <c r="AH82" s="4">
        <f>[1]节奏总纲!AH82</f>
        <v>81.212704266341873</v>
      </c>
      <c r="AZ82" s="4">
        <v>79</v>
      </c>
      <c r="BA82" s="4">
        <v>36.442160481112069</v>
      </c>
      <c r="BB82" s="4">
        <v>37.952732911393213</v>
      </c>
      <c r="BC82" s="4">
        <v>39.880677772675625</v>
      </c>
      <c r="BD82" s="4">
        <v>42.601058174025873</v>
      </c>
      <c r="BE82" s="4">
        <v>47.286546933283724</v>
      </c>
    </row>
    <row r="83" spans="6:57">
      <c r="F83" s="4">
        <v>81</v>
      </c>
      <c r="G83" s="4">
        <v>273.37400640929098</v>
      </c>
      <c r="N83" s="4">
        <f>[1]节奏总纲!N83</f>
        <v>90</v>
      </c>
      <c r="O83" s="4">
        <v>80</v>
      </c>
      <c r="P83" s="4">
        <f>[1]节奏总纲!P83</f>
        <v>255</v>
      </c>
      <c r="Q83" s="4">
        <f>[1]节奏总纲!Q83</f>
        <v>221.08500000000001</v>
      </c>
      <c r="R83" s="4">
        <f>[1]节奏总纲!R83</f>
        <v>180.33600000000001</v>
      </c>
      <c r="S83" s="4">
        <f>[1]节奏总纲!S83</f>
        <v>131.58000000000001</v>
      </c>
      <c r="T83" s="4">
        <f>[1]节奏总纲!T83</f>
        <v>72.777000000000001</v>
      </c>
      <c r="V83" s="4">
        <v>80</v>
      </c>
      <c r="W83" s="4">
        <f>[1]节奏总纲!W83</f>
        <v>17.14355416657736</v>
      </c>
      <c r="X83" s="4">
        <f>[1]节奏总纲!X83</f>
        <v>15.006175329922655</v>
      </c>
      <c r="Y83" s="4">
        <f>[1]节奏总纲!Y83</f>
        <v>11.600637325769981</v>
      </c>
      <c r="Z83" s="4">
        <f>[1]节奏总纲!Z83</f>
        <v>8.4655036366204683</v>
      </c>
      <c r="AA83" s="4">
        <f>[1]节奏总纲!AA83</f>
        <v>4.6549139133077659</v>
      </c>
      <c r="AC83" s="4">
        <v>80</v>
      </c>
      <c r="AD83" s="4">
        <f>[1]节奏总纲!AD83</f>
        <v>63.39021301395622</v>
      </c>
      <c r="AE83" s="4">
        <f>[1]节奏总纲!AE83</f>
        <v>65.412152709609373</v>
      </c>
      <c r="AF83" s="4">
        <f>[1]节奏总纲!AF83</f>
        <v>68.309907165737044</v>
      </c>
      <c r="AG83" s="4">
        <f>[1]节奏总纲!AG83</f>
        <v>72.822065215823244</v>
      </c>
      <c r="AH83" s="4">
        <f>[1]节奏总纲!AH83</f>
        <v>81.398783729567185</v>
      </c>
      <c r="AZ83" s="4">
        <v>80</v>
      </c>
      <c r="BA83" s="4">
        <v>36.526331209747774</v>
      </c>
      <c r="BB83" s="4">
        <v>38.037513426486328</v>
      </c>
      <c r="BC83" s="4">
        <v>39.970732283863832</v>
      </c>
      <c r="BD83" s="4">
        <v>42.687840061343536</v>
      </c>
      <c r="BE83" s="4">
        <v>47.3696970865753</v>
      </c>
    </row>
    <row r="84" spans="6:57">
      <c r="F84" s="4">
        <v>82</v>
      </c>
      <c r="G84" s="4">
        <v>293.06677887924064</v>
      </c>
      <c r="N84" s="4">
        <f>[1]节奏总纲!N84</f>
        <v>91</v>
      </c>
      <c r="O84" s="4">
        <v>81</v>
      </c>
      <c r="P84" s="4">
        <f>[1]节奏总纲!P84</f>
        <v>273.37400640929098</v>
      </c>
      <c r="Q84" s="4">
        <f>[1]节奏总纲!Q84</f>
        <v>236.35916594147301</v>
      </c>
      <c r="R84" s="4">
        <f>[1]节奏总纲!R84</f>
        <v>192.67399971726829</v>
      </c>
      <c r="S84" s="4">
        <f>[1]节奏总纲!S84</f>
        <v>140.76027590014394</v>
      </c>
      <c r="T84" s="4">
        <f>[1]节奏总纲!T84</f>
        <v>77.856917025366073</v>
      </c>
      <c r="V84" s="4">
        <v>81</v>
      </c>
      <c r="W84" s="4">
        <f>[1]节奏总纲!W84</f>
        <v>18.374006409290985</v>
      </c>
      <c r="X84" s="4">
        <f>[1]节奏总纲!X84</f>
        <v>15.274165941473001</v>
      </c>
      <c r="Y84" s="4">
        <f>[1]节奏总纲!Y84</f>
        <v>12.337999717268275</v>
      </c>
      <c r="Z84" s="4">
        <f>[1]节奏总纲!Z84</f>
        <v>9.1802759001439256</v>
      </c>
      <c r="AA84" s="4">
        <f>[1]节奏总纲!AA84</f>
        <v>5.0799170253660719</v>
      </c>
      <c r="AC84" s="4">
        <v>81</v>
      </c>
      <c r="AD84" s="4">
        <f>[1]节奏总纲!AD84</f>
        <v>63.567039423670657</v>
      </c>
      <c r="AE84" s="4">
        <f>[1]节奏总纲!AE84</f>
        <v>65.58750975301939</v>
      </c>
      <c r="AF84" s="4">
        <f>[1]节奏总纲!AF84</f>
        <v>68.487101522580488</v>
      </c>
      <c r="AG84" s="4">
        <f>[1]节奏总纲!AG84</f>
        <v>73.007572199822363</v>
      </c>
      <c r="AH84" s="4">
        <f>[1]节奏总纲!AH84</f>
        <v>81.584863192792497</v>
      </c>
      <c r="AZ84" s="4">
        <v>81</v>
      </c>
      <c r="BA84" s="4">
        <v>36.610501938383479</v>
      </c>
      <c r="BB84" s="4">
        <v>38.11580158428373</v>
      </c>
      <c r="BC84" s="4">
        <v>40.052446592012309</v>
      </c>
      <c r="BD84" s="4">
        <v>42.774621948661192</v>
      </c>
      <c r="BE84" s="4">
        <v>47.452847239866877</v>
      </c>
    </row>
    <row r="85" spans="6:57">
      <c r="F85" s="4">
        <v>83</v>
      </c>
      <c r="G85" s="4">
        <v>314.1729698162988</v>
      </c>
      <c r="N85" s="4">
        <f>[1]节奏总纲!N85</f>
        <v>92</v>
      </c>
      <c r="O85" s="4">
        <v>82</v>
      </c>
      <c r="P85" s="4">
        <f>[1]节奏总纲!P85</f>
        <v>293.06677887924064</v>
      </c>
      <c r="Q85" s="4">
        <f>[1]节奏总纲!Q85</f>
        <v>253.15108359588808</v>
      </c>
      <c r="R85" s="4">
        <f>[1]节奏总纲!R85</f>
        <v>206.37762568676126</v>
      </c>
      <c r="S85" s="4">
        <f>[1]节奏总纲!S85</f>
        <v>150.81216441125721</v>
      </c>
      <c r="T85" s="4">
        <f>[1]节奏总纲!T85</f>
        <v>83.230965201704336</v>
      </c>
      <c r="V85" s="4">
        <v>82</v>
      </c>
      <c r="W85" s="4">
        <f>[1]节奏总纲!W85</f>
        <v>19.692772469949659</v>
      </c>
      <c r="X85" s="4">
        <f>[1]节奏总纲!X85</f>
        <v>16.791917654415073</v>
      </c>
      <c r="Y85" s="4">
        <f>[1]节奏总纲!Y85</f>
        <v>13.703625969492975</v>
      </c>
      <c r="Z85" s="4">
        <f>[1]节奏总纲!Z85</f>
        <v>10.051888511113276</v>
      </c>
      <c r="AA85" s="4">
        <f>[1]节奏总纲!AA85</f>
        <v>5.3740481763382633</v>
      </c>
      <c r="AC85" s="4">
        <v>82</v>
      </c>
      <c r="AD85" s="4">
        <f>[1]节奏总纲!AD85</f>
        <v>63.743865833385094</v>
      </c>
      <c r="AE85" s="4">
        <f>[1]节奏总纲!AE85</f>
        <v>65.762866796429392</v>
      </c>
      <c r="AF85" s="4">
        <f>[1]节奏总纲!AF85</f>
        <v>68.664295879423918</v>
      </c>
      <c r="AG85" s="4">
        <f>[1]节奏总纲!AG85</f>
        <v>73.176642436293761</v>
      </c>
      <c r="AH85" s="4">
        <f>[1]节奏总纲!AH85</f>
        <v>81.770942656017823</v>
      </c>
      <c r="AZ85" s="4">
        <v>82</v>
      </c>
      <c r="BA85" s="4">
        <v>36.694672667019191</v>
      </c>
      <c r="BB85" s="4">
        <v>38.194089742081125</v>
      </c>
      <c r="BC85" s="4">
        <v>40.130145246845366</v>
      </c>
      <c r="BD85" s="4">
        <v>42.861403835978855</v>
      </c>
      <c r="BE85" s="4">
        <v>47.535997393158453</v>
      </c>
    </row>
    <row r="86" spans="6:57">
      <c r="F86" s="4">
        <v>84</v>
      </c>
      <c r="G86" s="4">
        <v>336.79402515786086</v>
      </c>
      <c r="N86" s="4">
        <f>[1]节奏总纲!N86</f>
        <v>93</v>
      </c>
      <c r="O86" s="4">
        <v>83</v>
      </c>
      <c r="P86" s="4">
        <f>[1]节奏总纲!P86</f>
        <v>314.1729698162988</v>
      </c>
      <c r="Q86" s="4">
        <f>[1]节奏总纲!Q86</f>
        <v>271.53969781222702</v>
      </c>
      <c r="R86" s="4">
        <f>[1]节奏总纲!R86</f>
        <v>221.55477831445393</v>
      </c>
      <c r="S86" s="4">
        <f>[1]节奏总纲!S86</f>
        <v>161.57915837652246</v>
      </c>
      <c r="T86" s="4">
        <f>[1]节奏总纲!T86</f>
        <v>89.193706130847232</v>
      </c>
      <c r="V86" s="4">
        <v>83</v>
      </c>
      <c r="W86" s="4">
        <f>[1]节奏总纲!W86</f>
        <v>21.106190937058159</v>
      </c>
      <c r="X86" s="4">
        <f>[1]节奏总纲!X86</f>
        <v>18.388614216338937</v>
      </c>
      <c r="Y86" s="4">
        <f>[1]节奏总纲!Y86</f>
        <v>15.177152627692664</v>
      </c>
      <c r="Z86" s="4">
        <f>[1]节奏总纲!Z86</f>
        <v>10.766993965265243</v>
      </c>
      <c r="AA86" s="4">
        <f>[1]节奏总纲!AA86</f>
        <v>5.9627409291428961</v>
      </c>
      <c r="AC86" s="4">
        <v>83</v>
      </c>
      <c r="AD86" s="4">
        <f>[1]节奏总纲!AD86</f>
        <v>63.920692243099523</v>
      </c>
      <c r="AE86" s="4">
        <f>[1]节奏总纲!AE86</f>
        <v>65.938223839839395</v>
      </c>
      <c r="AF86" s="4">
        <f>[1]节奏总纲!AF86</f>
        <v>68.841490236267347</v>
      </c>
      <c r="AG86" s="4">
        <f>[1]节奏总纲!AG86</f>
        <v>73.34571267276516</v>
      </c>
      <c r="AH86" s="4">
        <f>[1]节奏总纲!AH86</f>
        <v>81.957022119243135</v>
      </c>
      <c r="AZ86" s="4">
        <v>83</v>
      </c>
      <c r="BA86" s="4">
        <v>36.778843395654896</v>
      </c>
      <c r="BB86" s="4">
        <v>38.272377899878528</v>
      </c>
      <c r="BC86" s="4">
        <v>40.207843901678423</v>
      </c>
      <c r="BD86" s="4">
        <v>42.948185723296518</v>
      </c>
      <c r="BE86" s="4">
        <v>47.619147546450023</v>
      </c>
    </row>
    <row r="87" spans="6:57">
      <c r="F87" s="4">
        <v>85</v>
      </c>
      <c r="G87" s="4">
        <v>361.0386719675123</v>
      </c>
      <c r="N87" s="4">
        <f>[1]节奏总纲!N87</f>
        <v>94</v>
      </c>
      <c r="O87" s="4">
        <v>84</v>
      </c>
      <c r="P87" s="4">
        <f>[1]节奏总纲!P87</f>
        <v>336.79402515786086</v>
      </c>
      <c r="Q87" s="4">
        <f>[1]节奏总纲!Q87</f>
        <v>291.2594729565181</v>
      </c>
      <c r="R87" s="4">
        <f>[1]节奏总纲!R87</f>
        <v>237.27139072371298</v>
      </c>
      <c r="S87" s="4">
        <f>[1]节奏总纲!S87</f>
        <v>172.97741132107731</v>
      </c>
      <c r="T87" s="4">
        <f>[1]节奏总纲!T87</f>
        <v>95.64950314483248</v>
      </c>
      <c r="V87" s="4">
        <v>84</v>
      </c>
      <c r="W87" s="4">
        <f>[1]节奏总纲!W87</f>
        <v>22.621055341562055</v>
      </c>
      <c r="X87" s="4">
        <f>[1]节奏总纲!X87</f>
        <v>19.719775144291077</v>
      </c>
      <c r="Y87" s="4">
        <f>[1]节奏总纲!Y87</f>
        <v>15.716612409259056</v>
      </c>
      <c r="Z87" s="4">
        <f>[1]节奏总纲!Z87</f>
        <v>11.398252944554855</v>
      </c>
      <c r="AA87" s="4">
        <f>[1]节奏总纲!AA87</f>
        <v>6.4557970139852472</v>
      </c>
      <c r="AC87" s="4">
        <v>84</v>
      </c>
      <c r="AD87" s="4">
        <f>[1]节奏总纲!AD87</f>
        <v>64.090988120365651</v>
      </c>
      <c r="AE87" s="4">
        <f>[1]节奏总纲!AE87</f>
        <v>66.105889403880397</v>
      </c>
      <c r="AF87" s="4">
        <f>[1]节奏总纲!AF87</f>
        <v>69.01697485309198</v>
      </c>
      <c r="AG87" s="4">
        <f>[1]节奏总纲!AG87</f>
        <v>73.514782909236544</v>
      </c>
      <c r="AH87" s="4">
        <f>[1]节奏总纲!AH87</f>
        <v>82.128973371044353</v>
      </c>
      <c r="AZ87" s="4">
        <v>84</v>
      </c>
      <c r="BA87" s="4">
        <v>36.863014124290601</v>
      </c>
      <c r="BB87" s="4">
        <v>38.35066605767593</v>
      </c>
      <c r="BC87" s="4">
        <v>40.28554255651148</v>
      </c>
      <c r="BD87" s="4">
        <v>43.030177309109042</v>
      </c>
      <c r="BE87" s="4">
        <v>47.7022976997416</v>
      </c>
    </row>
    <row r="88" spans="6:57">
      <c r="F88" s="4">
        <v>86</v>
      </c>
      <c r="G88" s="4">
        <v>387.02344102666189</v>
      </c>
      <c r="N88" s="4">
        <f>[1]节奏总纲!N88</f>
        <v>95</v>
      </c>
      <c r="O88" s="4">
        <v>85</v>
      </c>
      <c r="P88" s="4">
        <f>[1]节奏总纲!P88</f>
        <v>361.0386719675123</v>
      </c>
      <c r="Q88" s="4">
        <f>[1]节奏总纲!Q88</f>
        <v>311.72078937675008</v>
      </c>
      <c r="R88" s="4">
        <f>[1]节奏总纲!R88</f>
        <v>253.91849799475142</v>
      </c>
      <c r="S88" s="4">
        <f>[1]节奏总纲!S88</f>
        <v>185.57387739130132</v>
      </c>
      <c r="T88" s="4">
        <f>[1]节奏总纲!T88</f>
        <v>102.53498283877349</v>
      </c>
      <c r="V88" s="4">
        <v>85</v>
      </c>
      <c r="W88" s="4">
        <f>[1]节奏总纲!W88</f>
        <v>24.244646809651442</v>
      </c>
      <c r="X88" s="4">
        <f>[1]节奏总纲!X88</f>
        <v>20.461316420231981</v>
      </c>
      <c r="Y88" s="4">
        <f>[1]节奏总纲!Y88</f>
        <v>16.647107271038436</v>
      </c>
      <c r="Z88" s="4">
        <f>[1]节奏总纲!Z88</f>
        <v>12.596466070224011</v>
      </c>
      <c r="AA88" s="4">
        <f>[1]节奏总纲!AA88</f>
        <v>6.8854796939410079</v>
      </c>
      <c r="AC88" s="4">
        <v>85</v>
      </c>
      <c r="AD88" s="4">
        <f>[1]节奏总纲!AD88</f>
        <v>64.255972994404218</v>
      </c>
      <c r="AE88" s="4">
        <f>[1]节奏总纲!AE88</f>
        <v>66.269371604948859</v>
      </c>
      <c r="AF88" s="4">
        <f>[1]节奏总纲!AF88</f>
        <v>69.17795498031839</v>
      </c>
      <c r="AG88" s="4">
        <f>[1]节奏总纲!AG88</f>
        <v>73.683853145707943</v>
      </c>
      <c r="AH88" s="4">
        <f>[1]节奏总纲!AH88</f>
        <v>82.296681479091191</v>
      </c>
      <c r="AZ88" s="4">
        <v>85</v>
      </c>
      <c r="BA88" s="4">
        <v>36.947184852926306</v>
      </c>
      <c r="BB88" s="4">
        <v>38.428954215473325</v>
      </c>
      <c r="BC88" s="4">
        <v>40.363241211344537</v>
      </c>
      <c r="BD88" s="4">
        <v>43.105070725978337</v>
      </c>
      <c r="BE88" s="4">
        <v>47.785447853033176</v>
      </c>
    </row>
    <row r="89" spans="6:57">
      <c r="F89" s="4">
        <v>87</v>
      </c>
      <c r="G89" s="4">
        <v>414.87322693439216</v>
      </c>
      <c r="N89" s="4">
        <f>[1]节奏总纲!N89</f>
        <v>96</v>
      </c>
      <c r="O89" s="4">
        <v>86</v>
      </c>
      <c r="P89" s="4">
        <f>[1]节奏总纲!P89</f>
        <v>387.02344102666189</v>
      </c>
      <c r="Q89" s="4">
        <f>[1]节奏总纲!Q89</f>
        <v>334.00122960600919</v>
      </c>
      <c r="R89" s="4">
        <f>[1]节奏总纲!R89</f>
        <v>272.23228841815398</v>
      </c>
      <c r="S89" s="4">
        <f>[1]节奏总纲!S89</f>
        <v>199.39447681693619</v>
      </c>
      <c r="T89" s="4">
        <f>[1]节奏总纲!T89</f>
        <v>108.94709864900531</v>
      </c>
      <c r="V89" s="4">
        <v>86</v>
      </c>
      <c r="W89" s="4">
        <f>[1]节奏总纲!W89</f>
        <v>25.984769059149585</v>
      </c>
      <c r="X89" s="4">
        <f>[1]节奏总纲!X89</f>
        <v>22.280440229259113</v>
      </c>
      <c r="Y89" s="4">
        <f>[1]节奏总纲!Y89</f>
        <v>18.313790423402565</v>
      </c>
      <c r="Z89" s="4">
        <f>[1]节奏总纲!Z89</f>
        <v>13.820599425634867</v>
      </c>
      <c r="AA89" s="4">
        <f>[1]节奏总纲!AA89</f>
        <v>6.4121158102318248</v>
      </c>
      <c r="AC89" s="4">
        <v>86</v>
      </c>
      <c r="AD89" s="4">
        <f>[1]节奏总纲!AD89</f>
        <v>64.420957868442798</v>
      </c>
      <c r="AE89" s="4">
        <f>[1]节奏总纲!AE89</f>
        <v>66.43285380601732</v>
      </c>
      <c r="AF89" s="4">
        <f>[1]节奏总纲!AF89</f>
        <v>69.338935107544785</v>
      </c>
      <c r="AG89" s="4">
        <f>[1]节奏总纲!AG89</f>
        <v>73.852923382179341</v>
      </c>
      <c r="AH89" s="4">
        <f>[1]节奏总纲!AH89</f>
        <v>82.464389587138029</v>
      </c>
      <c r="AZ89" s="4">
        <v>86</v>
      </c>
      <c r="BA89" s="4">
        <v>37.027046282459708</v>
      </c>
      <c r="BB89" s="4">
        <v>38.507242373270728</v>
      </c>
      <c r="BC89" s="4">
        <v>40.440939866177594</v>
      </c>
      <c r="BD89" s="4">
        <v>43.179964142847631</v>
      </c>
      <c r="BE89" s="4">
        <v>47.868598006324753</v>
      </c>
    </row>
    <row r="90" spans="6:57">
      <c r="F90" s="4">
        <v>88</v>
      </c>
      <c r="G90" s="4">
        <v>444.72188840761549</v>
      </c>
      <c r="N90" s="4">
        <f>[1]节奏总纲!N90</f>
        <v>97</v>
      </c>
      <c r="O90" s="4">
        <v>87</v>
      </c>
      <c r="P90" s="4">
        <f>[1]节奏总纲!P90</f>
        <v>414.87322693439216</v>
      </c>
      <c r="Q90" s="4">
        <f>[1]节奏总纲!Q90</f>
        <v>358.28451878054108</v>
      </c>
      <c r="R90" s="4">
        <f>[1]节奏总纲!R90</f>
        <v>292.4026503433596</v>
      </c>
      <c r="S90" s="4">
        <f>[1]节奏总纲!S90</f>
        <v>212.58104148118252</v>
      </c>
      <c r="T90" s="4">
        <f>[1]节奏总纲!T90</f>
        <v>115.74963031469542</v>
      </c>
      <c r="V90" s="4">
        <v>87</v>
      </c>
      <c r="W90" s="4">
        <f>[1]节奏总纲!W90</f>
        <v>27.849785907730279</v>
      </c>
      <c r="X90" s="4">
        <f>[1]节奏总纲!X90</f>
        <v>24.283289174531888</v>
      </c>
      <c r="Y90" s="4">
        <f>[1]节奏总纲!Y90</f>
        <v>20.170361925205611</v>
      </c>
      <c r="Z90" s="4">
        <f>[1]节奏总纲!Z90</f>
        <v>13.186564664246333</v>
      </c>
      <c r="AA90" s="4">
        <f>[1]节奏总纲!AA90</f>
        <v>6.8025316656901111</v>
      </c>
      <c r="AC90" s="4">
        <v>87</v>
      </c>
      <c r="AD90" s="4">
        <f>[1]节奏总纲!AD90</f>
        <v>64.585942742481365</v>
      </c>
      <c r="AE90" s="4">
        <f>[1]节奏总纲!AE90</f>
        <v>66.596336007085796</v>
      </c>
      <c r="AF90" s="4">
        <f>[1]节奏总纲!AF90</f>
        <v>69.49991523477118</v>
      </c>
      <c r="AG90" s="4">
        <f>[1]节奏总纲!AG90</f>
        <v>74.02050499447661</v>
      </c>
      <c r="AH90" s="4">
        <f>[1]节奏总纲!AH90</f>
        <v>82.632097695184868</v>
      </c>
      <c r="AZ90" s="4">
        <v>87</v>
      </c>
      <c r="BA90" s="4">
        <v>37.099649155317238</v>
      </c>
      <c r="BB90" s="4">
        <v>38.58553053106813</v>
      </c>
      <c r="BC90" s="4">
        <v>40.518638521010651</v>
      </c>
      <c r="BD90" s="4">
        <v>43.254857559716925</v>
      </c>
      <c r="BE90" s="4">
        <v>47.951748159616329</v>
      </c>
    </row>
    <row r="91" spans="6:57">
      <c r="F91" s="4">
        <v>89</v>
      </c>
      <c r="G91" s="4">
        <v>476.71289166684534</v>
      </c>
      <c r="N91" s="4">
        <f>[1]节奏总纲!N91</f>
        <v>98</v>
      </c>
      <c r="O91" s="4">
        <v>88</v>
      </c>
      <c r="P91" s="4">
        <f>[1]节奏总纲!P91</f>
        <v>444.72188840761549</v>
      </c>
      <c r="Q91" s="4">
        <f>[1]节奏总纲!Q91</f>
        <v>384.7733778502689</v>
      </c>
      <c r="R91" s="4">
        <f>[1]节奏总纲!R91</f>
        <v>312.90632068359827</v>
      </c>
      <c r="S91" s="4">
        <f>[1]节奏总纲!S91</f>
        <v>226.0076636887502</v>
      </c>
      <c r="T91" s="4">
        <f>[1]节奏总纲!T91</f>
        <v>123.1879630889095</v>
      </c>
      <c r="V91" s="4">
        <v>88</v>
      </c>
      <c r="W91" s="4">
        <f>[1]节奏总纲!W91</f>
        <v>29.848661473223331</v>
      </c>
      <c r="X91" s="4">
        <f>[1]节奏总纲!X91</f>
        <v>26.488859069727823</v>
      </c>
      <c r="Y91" s="4">
        <f>[1]节奏总纲!Y91</f>
        <v>20.503670340238671</v>
      </c>
      <c r="Z91" s="4">
        <f>[1]节奏总纲!Z91</f>
        <v>13.426622207567675</v>
      </c>
      <c r="AA91" s="4">
        <f>[1]节奏总纲!AA91</f>
        <v>7.438332774214075</v>
      </c>
      <c r="AC91" s="4">
        <v>88</v>
      </c>
      <c r="AD91" s="4">
        <f>[1]节奏总纲!AD91</f>
        <v>64.750927616519931</v>
      </c>
      <c r="AE91" s="4">
        <f>[1]节奏总纲!AE91</f>
        <v>66.759818208154257</v>
      </c>
      <c r="AF91" s="4">
        <f>[1]节奏总纲!AF91</f>
        <v>69.660895361997589</v>
      </c>
      <c r="AG91" s="4">
        <f>[1]节奏总纲!AG91</f>
        <v>74.178131818877702</v>
      </c>
      <c r="AH91" s="4">
        <f>[1]节奏总纲!AH91</f>
        <v>82.799805803231706</v>
      </c>
      <c r="AZ91" s="4">
        <v>88</v>
      </c>
      <c r="BA91" s="4">
        <v>37.172252028174768</v>
      </c>
      <c r="BB91" s="4">
        <v>38.663818688865533</v>
      </c>
      <c r="BC91" s="4">
        <v>40.596337175843701</v>
      </c>
      <c r="BD91" s="4">
        <v>43.329750976586219</v>
      </c>
      <c r="BE91" s="4">
        <v>48.030128751164234</v>
      </c>
    </row>
    <row r="92" spans="6:57">
      <c r="F92" s="4">
        <v>90</v>
      </c>
      <c r="G92" s="4">
        <v>511</v>
      </c>
      <c r="N92" s="4">
        <f>[1]节奏总纲!N92</f>
        <v>99</v>
      </c>
      <c r="O92" s="4">
        <v>89</v>
      </c>
      <c r="P92" s="4">
        <f>[1]节奏总纲!P92</f>
        <v>476.71289166684534</v>
      </c>
      <c r="Q92" s="4">
        <f>[1]节奏总纲!Q92</f>
        <v>411.78459582182103</v>
      </c>
      <c r="R92" s="4">
        <f>[1]节奏总纲!R92</f>
        <v>332.60258451595797</v>
      </c>
      <c r="S92" s="4">
        <f>[1]节奏总纲!S92</f>
        <v>240.31096868925673</v>
      </c>
      <c r="T92" s="4">
        <f>[1]节奏总纲!T92</f>
        <v>130.61933231671563</v>
      </c>
      <c r="V92" s="4">
        <v>89</v>
      </c>
      <c r="W92" s="4">
        <f>[1]节奏总纲!W92</f>
        <v>31.991003259229842</v>
      </c>
      <c r="X92" s="4">
        <f>[1]节奏总纲!X92</f>
        <v>27.011217971552128</v>
      </c>
      <c r="Y92" s="4">
        <f>[1]节奏总纲!Y92</f>
        <v>19.696263832359705</v>
      </c>
      <c r="Z92" s="4">
        <f>[1]节奏总纲!Z92</f>
        <v>14.303305000506526</v>
      </c>
      <c r="AA92" s="4">
        <f>[1]节奏总纲!AA92</f>
        <v>7.4313692278061296</v>
      </c>
      <c r="AC92" s="4">
        <v>89</v>
      </c>
      <c r="AD92" s="4">
        <f>[1]节奏总纲!AD92</f>
        <v>64.915912490558512</v>
      </c>
      <c r="AE92" s="4">
        <f>[1]节奏总纲!AE92</f>
        <v>66.923300409222719</v>
      </c>
      <c r="AF92" s="4">
        <f>[1]节奏总纲!AF92</f>
        <v>69.821875489223984</v>
      </c>
      <c r="AG92" s="4">
        <f>[1]节奏总纲!AG92</f>
        <v>74.335758643278794</v>
      </c>
      <c r="AH92" s="4">
        <f>[1]节奏总纲!AH92</f>
        <v>82.967513911278544</v>
      </c>
      <c r="AZ92" s="4">
        <v>89</v>
      </c>
      <c r="BA92" s="4">
        <v>37.244854901032298</v>
      </c>
      <c r="BB92" s="4">
        <v>38.742106846662928</v>
      </c>
      <c r="BC92" s="4">
        <v>40.674035830676758</v>
      </c>
      <c r="BD92" s="4">
        <v>43.404644393455513</v>
      </c>
      <c r="BE92" s="4">
        <v>48.101914750802706</v>
      </c>
    </row>
    <row r="93" spans="6:57">
      <c r="F93" s="4">
        <v>91</v>
      </c>
      <c r="G93" s="4">
        <v>547.74801281858208</v>
      </c>
      <c r="N93" s="4">
        <f>[1]节奏总纲!N93</f>
        <v>100</v>
      </c>
      <c r="O93" s="4">
        <v>90</v>
      </c>
      <c r="P93" s="4">
        <f>[1]节奏总纲!P93</f>
        <v>511</v>
      </c>
      <c r="Q93" s="4">
        <f>[1]节奏总纲!Q93</f>
        <v>438.13140000000004</v>
      </c>
      <c r="R93" s="4">
        <f>[1]节奏总纲!R93</f>
        <v>354.12299999999999</v>
      </c>
      <c r="S93" s="4">
        <f>[1]节奏总纲!S93</f>
        <v>254.88680000000002</v>
      </c>
      <c r="T93" s="4">
        <f>[1]节奏总纲!T93</f>
        <v>138.48100000000002</v>
      </c>
      <c r="V93" s="4">
        <v>90</v>
      </c>
      <c r="W93" s="4">
        <f>[1]节奏总纲!W93</f>
        <v>34.287108333154663</v>
      </c>
      <c r="X93" s="4">
        <f>[1]节奏总纲!X93</f>
        <v>26.346804178179013</v>
      </c>
      <c r="Y93" s="4">
        <f>[1]节奏总纲!Y93</f>
        <v>21.520415484042019</v>
      </c>
      <c r="Z93" s="4">
        <f>[1]节奏总纲!Z93</f>
        <v>14.575831310743297</v>
      </c>
      <c r="AA93" s="4">
        <f>[1]节奏总纲!AA93</f>
        <v>7.861667683284395</v>
      </c>
      <c r="AC93" s="4">
        <v>90</v>
      </c>
      <c r="AD93" s="4">
        <f>[1]节奏总纲!AD93</f>
        <v>65.075479910097457</v>
      </c>
      <c r="AE93" s="4">
        <f>[1]节奏总纲!AE93</f>
        <v>67.083433628014333</v>
      </c>
      <c r="AF93" s="4">
        <f>[1]节奏总纲!AF93</f>
        <v>69.982855616450394</v>
      </c>
      <c r="AG93" s="4">
        <f>[1]节奏总纲!AG93</f>
        <v>74.493385467679886</v>
      </c>
      <c r="AH93" s="4">
        <f>[1]节奏总纲!AH93</f>
        <v>83.124894550960335</v>
      </c>
      <c r="AZ93" s="4">
        <v>90</v>
      </c>
      <c r="BA93" s="4">
        <v>37.317457773889828</v>
      </c>
      <c r="BB93" s="4">
        <v>38.82039500446033</v>
      </c>
      <c r="BC93" s="4">
        <v>40.751734485509814</v>
      </c>
      <c r="BD93" s="4">
        <v>43.479537810324807</v>
      </c>
      <c r="BE93" s="4">
        <v>48.173700750441178</v>
      </c>
    </row>
    <row r="94" spans="6:57">
      <c r="F94" s="4">
        <v>92</v>
      </c>
      <c r="G94" s="4">
        <v>587.1335577584814</v>
      </c>
      <c r="N94" s="4">
        <f>[1]节奏总纲!N94</f>
        <v>101</v>
      </c>
      <c r="O94" s="4">
        <v>91</v>
      </c>
      <c r="P94" s="4">
        <f>[1]节奏总纲!P94</f>
        <v>547.74801281858208</v>
      </c>
      <c r="Q94" s="4">
        <f>[1]节奏总纲!Q94</f>
        <v>469.6391461906523</v>
      </c>
      <c r="R94" s="4">
        <f>[1]节奏总纲!R94</f>
        <v>378.43910205635837</v>
      </c>
      <c r="S94" s="4">
        <f>[1]节奏总纲!S94</f>
        <v>272.61418597980827</v>
      </c>
      <c r="T94" s="4">
        <f>[1]节奏总纲!T94</f>
        <v>147.89196346101718</v>
      </c>
      <c r="V94" s="4">
        <v>91</v>
      </c>
      <c r="W94" s="4">
        <f>[1]节奏总纲!W94</f>
        <v>36.748012818582083</v>
      </c>
      <c r="X94" s="4">
        <f>[1]节奏总纲!X94</f>
        <v>31.507746190652256</v>
      </c>
      <c r="Y94" s="4">
        <f>[1]节奏总纲!Y94</f>
        <v>24.316102056358375</v>
      </c>
      <c r="Z94" s="4">
        <f>[1]节奏总纲!Z94</f>
        <v>17.727385979808247</v>
      </c>
      <c r="AA94" s="4">
        <f>[1]节奏总纲!AA94</f>
        <v>9.4109634610171611</v>
      </c>
      <c r="AC94" s="4">
        <v>91</v>
      </c>
      <c r="AD94" s="4">
        <f>[1]节奏总纲!AD94</f>
        <v>65.229416240679981</v>
      </c>
      <c r="AE94" s="4">
        <f>[1]节奏总纲!AE94</f>
        <v>67.240606973055961</v>
      </c>
      <c r="AF94" s="4">
        <f>[1]节奏总纲!AF94</f>
        <v>70.137942795989005</v>
      </c>
      <c r="AG94" s="4">
        <f>[1]节奏总纲!AG94</f>
        <v>74.651012292080978</v>
      </c>
      <c r="AH94" s="4">
        <f>[1]节奏总纲!AH94</f>
        <v>83.279794092850153</v>
      </c>
      <c r="AZ94" s="4">
        <v>91</v>
      </c>
      <c r="BA94" s="4">
        <v>37.390060646747358</v>
      </c>
      <c r="BB94" s="4">
        <v>38.898683162257733</v>
      </c>
      <c r="BC94" s="4">
        <v>40.829433140342871</v>
      </c>
      <c r="BD94" s="4">
        <v>43.554431227194108</v>
      </c>
      <c r="BE94" s="4">
        <v>48.24548675007965</v>
      </c>
    </row>
    <row r="95" spans="6:57">
      <c r="F95" s="4">
        <v>93</v>
      </c>
      <c r="G95" s="4">
        <v>629.34593963259704</v>
      </c>
      <c r="N95" s="4">
        <f>[1]节奏总纲!N95</f>
        <v>102</v>
      </c>
      <c r="O95" s="4">
        <v>92</v>
      </c>
      <c r="P95" s="4">
        <f>[1]节奏总纲!P95</f>
        <v>587.1335577584814</v>
      </c>
      <c r="Q95" s="4">
        <f>[1]节奏总纲!Q95</f>
        <v>502.29275866238083</v>
      </c>
      <c r="R95" s="4">
        <f>[1]节奏总纲!R95</f>
        <v>405.12215485335213</v>
      </c>
      <c r="S95" s="4">
        <f>[1]节奏总纲!S95</f>
        <v>291.57052478286187</v>
      </c>
      <c r="T95" s="4">
        <f>[1]节奏总纲!T95</f>
        <v>157.64536025815227</v>
      </c>
      <c r="V95" s="4">
        <v>92</v>
      </c>
      <c r="W95" s="4">
        <f>[1]节奏总纲!W95</f>
        <v>39.385544939899319</v>
      </c>
      <c r="X95" s="4">
        <f>[1]节奏总纲!X95</f>
        <v>32.653612471728536</v>
      </c>
      <c r="Y95" s="4">
        <f>[1]节奏总纲!Y95</f>
        <v>26.683052796993763</v>
      </c>
      <c r="Z95" s="4">
        <f>[1]节奏总纲!Z95</f>
        <v>18.956338803053598</v>
      </c>
      <c r="AA95" s="4">
        <f>[1]节奏总纲!AA95</f>
        <v>9.7533967971350819</v>
      </c>
      <c r="AC95" s="4">
        <v>92</v>
      </c>
      <c r="AD95" s="4">
        <f>[1]节奏总纲!AD95</f>
        <v>65.38335257126252</v>
      </c>
      <c r="AE95" s="4">
        <f>[1]节奏总纲!AE95</f>
        <v>67.397780318097588</v>
      </c>
      <c r="AF95" s="4">
        <f>[1]节奏总纲!AF95</f>
        <v>70.292327570459079</v>
      </c>
      <c r="AG95" s="4">
        <f>[1]节奏总纲!AG95</f>
        <v>74.808639116482055</v>
      </c>
      <c r="AH95" s="4">
        <f>[1]节奏总纲!AH95</f>
        <v>83.434693634739986</v>
      </c>
      <c r="AZ95" s="4">
        <v>92</v>
      </c>
      <c r="BA95" s="4">
        <v>37.462663519604888</v>
      </c>
      <c r="BB95" s="4">
        <v>38.976971320055128</v>
      </c>
      <c r="BC95" s="4">
        <v>40.907131795175928</v>
      </c>
      <c r="BD95" s="4">
        <v>43.629324644063402</v>
      </c>
      <c r="BE95" s="4">
        <v>48.317272749718121</v>
      </c>
    </row>
    <row r="96" spans="6:57">
      <c r="F96" s="4">
        <v>94</v>
      </c>
      <c r="G96" s="4">
        <v>674.58805031572183</v>
      </c>
      <c r="N96" s="4">
        <f>[1]节奏总纲!N96</f>
        <v>103</v>
      </c>
      <c r="O96" s="4">
        <v>93</v>
      </c>
      <c r="P96" s="4">
        <f>[1]节奏总纲!P96</f>
        <v>629.34593963259704</v>
      </c>
      <c r="Q96" s="4">
        <f>[1]节奏总纲!Q96</f>
        <v>538.34251676172357</v>
      </c>
      <c r="R96" s="4">
        <f>[1]节奏总纲!R96</f>
        <v>433.68228700082267</v>
      </c>
      <c r="S96" s="4">
        <f>[1]节奏总纲!S96</f>
        <v>311.52624011813555</v>
      </c>
      <c r="T96" s="4">
        <f>[1]节奏总纲!T96</f>
        <v>168.35003885171972</v>
      </c>
      <c r="V96" s="4">
        <v>93</v>
      </c>
      <c r="W96" s="4">
        <f>[1]节奏总纲!W96</f>
        <v>42.212381874115636</v>
      </c>
      <c r="X96" s="4">
        <f>[1]节奏总纲!X96</f>
        <v>36.049758099342739</v>
      </c>
      <c r="Y96" s="4">
        <f>[1]节奏总纲!Y96</f>
        <v>28.56013214747054</v>
      </c>
      <c r="Z96" s="4">
        <f>[1]节奏总纲!Z96</f>
        <v>19.95571533527368</v>
      </c>
      <c r="AA96" s="4">
        <f>[1]节奏总纲!AA96</f>
        <v>10.704678593567451</v>
      </c>
      <c r="AC96" s="4">
        <v>93</v>
      </c>
      <c r="AD96" s="4">
        <f>[1]节奏总纲!AD96</f>
        <v>65.537288901845059</v>
      </c>
      <c r="AE96" s="4">
        <f>[1]节奏总纲!AE96</f>
        <v>67.554953663139216</v>
      </c>
      <c r="AF96" s="4">
        <f>[1]节奏总纲!AF96</f>
        <v>70.446712344929153</v>
      </c>
      <c r="AG96" s="4">
        <f>[1]节奏总纲!AG96</f>
        <v>74.966265940883147</v>
      </c>
      <c r="AH96" s="4">
        <f>[1]节奏总纲!AH96</f>
        <v>83.589593176629805</v>
      </c>
      <c r="AZ96" s="4">
        <v>93</v>
      </c>
      <c r="BA96" s="4">
        <v>37.535266392462418</v>
      </c>
      <c r="BB96" s="4">
        <v>39.047673544184711</v>
      </c>
      <c r="BC96" s="4">
        <v>40.984830450008985</v>
      </c>
      <c r="BD96" s="4">
        <v>43.704218060932696</v>
      </c>
      <c r="BE96" s="4">
        <v>48.389058749356593</v>
      </c>
    </row>
    <row r="97" spans="6:57">
      <c r="F97" s="4">
        <v>95</v>
      </c>
      <c r="G97" s="4">
        <v>723.0773439350246</v>
      </c>
      <c r="N97" s="4">
        <f>[1]节奏总纲!N97</f>
        <v>104</v>
      </c>
      <c r="O97" s="4">
        <v>94</v>
      </c>
      <c r="P97" s="4">
        <f>[1]节奏总纲!P97</f>
        <v>674.58805031572183</v>
      </c>
      <c r="Q97" s="4">
        <f>[1]节奏总纲!Q97</f>
        <v>576.30057138472114</v>
      </c>
      <c r="R97" s="4">
        <f>[1]节奏总纲!R97</f>
        <v>464.04911981218504</v>
      </c>
      <c r="S97" s="4">
        <f>[1]节奏总纲!S97</f>
        <v>332.70682641571403</v>
      </c>
      <c r="T97" s="4">
        <f>[1]节奏总纲!T97</f>
        <v>179.6427977990767</v>
      </c>
      <c r="V97" s="4">
        <v>94</v>
      </c>
      <c r="W97" s="4">
        <f>[1]节奏总纲!W97</f>
        <v>45.242110683124793</v>
      </c>
      <c r="X97" s="4">
        <f>[1]节奏总纲!X97</f>
        <v>37.958054622997565</v>
      </c>
      <c r="Y97" s="4">
        <f>[1]节奏总纲!Y97</f>
        <v>30.366832811362372</v>
      </c>
      <c r="Z97" s="4">
        <f>[1]节奏总纲!Z97</f>
        <v>21.180586297578486</v>
      </c>
      <c r="AA97" s="4">
        <f>[1]节奏总纲!AA97</f>
        <v>11.292758947356987</v>
      </c>
      <c r="AC97" s="4">
        <v>94</v>
      </c>
      <c r="AD97" s="4">
        <f>[1]节奏总纲!AD97</f>
        <v>65.691225232427584</v>
      </c>
      <c r="AE97" s="4">
        <f>[1]节奏总纲!AE97</f>
        <v>67.712127008180858</v>
      </c>
      <c r="AF97" s="4">
        <f>[1]节奏总纲!AF97</f>
        <v>70.601097119399213</v>
      </c>
      <c r="AG97" s="4">
        <f>[1]节奏总纲!AG97</f>
        <v>75.115180559621535</v>
      </c>
      <c r="AH97" s="4">
        <f>[1]节奏总纲!AH97</f>
        <v>83.744492718519624</v>
      </c>
      <c r="AZ97" s="4">
        <v>94</v>
      </c>
      <c r="BA97" s="4">
        <v>37.607869265319941</v>
      </c>
      <c r="BB97" s="4">
        <v>39.115214427575864</v>
      </c>
      <c r="BC97" s="4">
        <v>41.053954370816207</v>
      </c>
      <c r="BD97" s="4">
        <v>43.77911147780199</v>
      </c>
      <c r="BE97" s="4">
        <v>48.460844748995065</v>
      </c>
    </row>
    <row r="98" spans="6:57">
      <c r="F98" s="4">
        <v>96</v>
      </c>
      <c r="G98" s="4">
        <v>775.04688205332377</v>
      </c>
      <c r="N98" s="4">
        <f>[1]节奏总纲!N98</f>
        <v>105</v>
      </c>
      <c r="O98" s="4">
        <v>95</v>
      </c>
      <c r="P98" s="4">
        <f>[1]节奏总纲!P98</f>
        <v>723.0773439350246</v>
      </c>
      <c r="Q98" s="4">
        <f>[1]节奏总纲!Q98</f>
        <v>618.15882133005255</v>
      </c>
      <c r="R98" s="4">
        <f>[1]节奏总纲!R98</f>
        <v>495.95875020503337</v>
      </c>
      <c r="S98" s="4">
        <f>[1]节奏总纲!S98</f>
        <v>355.39251454406457</v>
      </c>
      <c r="T98" s="4">
        <f>[1]节奏总纲!T98</f>
        <v>192.84472762747106</v>
      </c>
      <c r="V98" s="4">
        <v>95</v>
      </c>
      <c r="W98" s="4">
        <f>[1]节奏总纲!W98</f>
        <v>48.489293619302771</v>
      </c>
      <c r="X98" s="4">
        <f>[1]节奏总纲!X98</f>
        <v>41.858249945331409</v>
      </c>
      <c r="Y98" s="4">
        <f>[1]节奏总纲!Y98</f>
        <v>31.909630392848328</v>
      </c>
      <c r="Z98" s="4">
        <f>[1]节奏总纲!Z98</f>
        <v>22.685688128350534</v>
      </c>
      <c r="AA98" s="4">
        <f>[1]节奏总纲!AA98</f>
        <v>13.201929828394356</v>
      </c>
      <c r="AC98" s="4">
        <v>95</v>
      </c>
      <c r="AD98" s="4">
        <f>[1]节奏总纲!AD98</f>
        <v>65.845161563010123</v>
      </c>
      <c r="AE98" s="4">
        <f>[1]节奏总纲!AE98</f>
        <v>67.869300353222485</v>
      </c>
      <c r="AF98" s="4">
        <f>[1]节奏总纲!AF98</f>
        <v>70.755481893869288</v>
      </c>
      <c r="AG98" s="4">
        <f>[1]节奏总纲!AG98</f>
        <v>75.261722981240993</v>
      </c>
      <c r="AH98" s="4">
        <f>[1]节奏总纲!AH98</f>
        <v>83.899392260409456</v>
      </c>
      <c r="AZ98" s="4">
        <v>95</v>
      </c>
      <c r="BA98" s="4">
        <v>37.680472138177471</v>
      </c>
      <c r="BB98" s="4">
        <v>39.182755310967018</v>
      </c>
      <c r="BC98" s="4">
        <v>41.120998062635785</v>
      </c>
      <c r="BD98" s="4">
        <v>43.854004894671284</v>
      </c>
      <c r="BE98" s="4">
        <v>48.532630748633537</v>
      </c>
    </row>
    <row r="99" spans="6:57">
      <c r="F99" s="4">
        <v>97</v>
      </c>
      <c r="G99" s="4">
        <v>830.74645386878444</v>
      </c>
      <c r="N99" s="4">
        <f>[1]节奏总纲!N99</f>
        <v>106</v>
      </c>
      <c r="O99" s="4">
        <v>96</v>
      </c>
      <c r="P99" s="4">
        <f>[1]节奏总纲!P99</f>
        <v>775.04688205332377</v>
      </c>
      <c r="Q99" s="4">
        <f>[1]节奏总纲!Q99</f>
        <v>661.0374857032798</v>
      </c>
      <c r="R99" s="4">
        <f>[1]节奏总纲!R99</f>
        <v>529.97705794806279</v>
      </c>
      <c r="S99" s="4">
        <f>[1]节奏总纲!S99</f>
        <v>380.70302846459265</v>
      </c>
      <c r="T99" s="4">
        <f>[1]节奏总纲!T99</f>
        <v>206.86001282003213</v>
      </c>
      <c r="V99" s="4">
        <v>96</v>
      </c>
      <c r="W99" s="4">
        <f>[1]节奏总纲!W99</f>
        <v>51.96953811829917</v>
      </c>
      <c r="X99" s="4">
        <f>[1]节奏总纲!X99</f>
        <v>42.878664373227252</v>
      </c>
      <c r="Y99" s="4">
        <f>[1]节奏总纲!Y99</f>
        <v>34.018307743029425</v>
      </c>
      <c r="Z99" s="4">
        <f>[1]节奏总纲!Z99</f>
        <v>25.310513920528081</v>
      </c>
      <c r="AA99" s="4">
        <f>[1]节奏总纲!AA99</f>
        <v>14.015285192561066</v>
      </c>
      <c r="AC99" s="4">
        <v>96</v>
      </c>
      <c r="AD99" s="4">
        <f>[1]节奏总纲!AD99</f>
        <v>65.999097893592648</v>
      </c>
      <c r="AE99" s="4">
        <f>[1]节奏总纲!AE99</f>
        <v>68.025215371037646</v>
      </c>
      <c r="AF99" s="4">
        <f>[1]节奏总纲!AF99</f>
        <v>70.909866668339362</v>
      </c>
      <c r="AG99" s="4">
        <f>[1]节奏总纲!AG99</f>
        <v>75.408265402860437</v>
      </c>
      <c r="AH99" s="4">
        <f>[1]节奏总纲!AH99</f>
        <v>84.050903767166133</v>
      </c>
      <c r="AZ99" s="4">
        <v>96</v>
      </c>
      <c r="BA99" s="4">
        <v>37.753075011035001</v>
      </c>
      <c r="BB99" s="4">
        <v>39.250296194358178</v>
      </c>
      <c r="BC99" s="4">
        <v>41.188041754455355</v>
      </c>
      <c r="BD99" s="4">
        <v>43.928898311540578</v>
      </c>
      <c r="BE99" s="4">
        <v>48.604416748272008</v>
      </c>
    </row>
    <row r="100" spans="6:57">
      <c r="F100" s="4">
        <v>98</v>
      </c>
      <c r="G100" s="4">
        <v>890.4437768152311</v>
      </c>
      <c r="N100" s="4">
        <f>[1]节奏总纲!N100</f>
        <v>107</v>
      </c>
      <c r="O100" s="4">
        <v>97</v>
      </c>
      <c r="P100" s="4">
        <f>[1]节奏总纲!P100</f>
        <v>830.74645386878444</v>
      </c>
      <c r="Q100" s="4">
        <f>[1]节奏总纲!Q100</f>
        <v>707.71290405081743</v>
      </c>
      <c r="R100" s="4">
        <f>[1]节奏总纲!R100</f>
        <v>569.31054483627804</v>
      </c>
      <c r="S100" s="4">
        <f>[1]节奏总纲!S100</f>
        <v>409.80722569347137</v>
      </c>
      <c r="T100" s="4">
        <f>[1]节奏总纲!T100</f>
        <v>223.30464679992923</v>
      </c>
      <c r="V100" s="4">
        <v>97</v>
      </c>
      <c r="W100" s="4">
        <f>[1]节奏总纲!W100</f>
        <v>55.699571815460672</v>
      </c>
      <c r="X100" s="4">
        <f>[1]节奏总纲!X100</f>
        <v>46.675418347537629</v>
      </c>
      <c r="Y100" s="4">
        <f>[1]节奏总纲!Y100</f>
        <v>39.333486888215248</v>
      </c>
      <c r="Z100" s="4">
        <f>[1]节奏总纲!Z100</f>
        <v>29.104197228878718</v>
      </c>
      <c r="AA100" s="4">
        <f>[1]节奏总纲!AA100</f>
        <v>16.444633979897105</v>
      </c>
      <c r="AC100" s="4">
        <v>97</v>
      </c>
      <c r="AD100" s="4">
        <f>[1]节奏总纲!AD100</f>
        <v>66.142785979989682</v>
      </c>
      <c r="AE100" s="4">
        <f>[1]节奏总纲!AE100</f>
        <v>68.174918074940805</v>
      </c>
      <c r="AF100" s="4">
        <f>[1]节奏总纲!AF100</f>
        <v>71.061795050376986</v>
      </c>
      <c r="AG100" s="4">
        <f>[1]节奏总纲!AG100</f>
        <v>75.554807824479894</v>
      </c>
      <c r="AH100" s="4">
        <f>[1]节奏总纲!AH100</f>
        <v>84.196136930932482</v>
      </c>
      <c r="AZ100" s="4">
        <v>97</v>
      </c>
      <c r="BA100" s="4">
        <v>37.825677883892531</v>
      </c>
      <c r="BB100" s="4">
        <v>39.317837077749331</v>
      </c>
      <c r="BC100" s="4">
        <v>41.255085446274933</v>
      </c>
      <c r="BD100" s="4">
        <v>44.003272544984547</v>
      </c>
      <c r="BE100" s="4">
        <v>48.67620274791048</v>
      </c>
    </row>
    <row r="101" spans="6:57">
      <c r="F101" s="4">
        <v>99</v>
      </c>
      <c r="G101" s="4">
        <v>954.42578333369079</v>
      </c>
      <c r="N101" s="4">
        <f>[1]节奏总纲!N101</f>
        <v>108</v>
      </c>
      <c r="O101" s="4">
        <v>98</v>
      </c>
      <c r="P101" s="4">
        <f>[1]节奏总纲!P101</f>
        <v>890.4437768152311</v>
      </c>
      <c r="Q101" s="4">
        <f>[1]节奏总纲!Q101</f>
        <v>760.34994102252585</v>
      </c>
      <c r="R101" s="4">
        <f>[1]节奏总纲!R101</f>
        <v>612.98149595960513</v>
      </c>
      <c r="S101" s="4">
        <f>[1]节奏总纲!S101</f>
        <v>441.9272464333992</v>
      </c>
      <c r="T101" s="4">
        <f>[1]节奏总纲!T101</f>
        <v>240.77599725083846</v>
      </c>
      <c r="V101" s="4">
        <v>98</v>
      </c>
      <c r="W101" s="4">
        <f>[1]节奏总纲!W101</f>
        <v>59.697322946446661</v>
      </c>
      <c r="X101" s="4">
        <f>[1]节奏总纲!X101</f>
        <v>52.637036971708426</v>
      </c>
      <c r="Y101" s="4">
        <f>[1]节奏总纲!Y101</f>
        <v>43.670951123327086</v>
      </c>
      <c r="Z101" s="4">
        <f>[1]节奏总纲!Z101</f>
        <v>32.120020739927838</v>
      </c>
      <c r="AA101" s="4">
        <f>[1]节奏总纲!AA101</f>
        <v>17.471350450909227</v>
      </c>
      <c r="AC101" s="4">
        <v>98</v>
      </c>
      <c r="AD101" s="4">
        <f>[1]节奏总纲!AD101</f>
        <v>66.286413655019302</v>
      </c>
      <c r="AE101" s="4">
        <f>[1]节奏总纲!AE101</f>
        <v>68.324620778843951</v>
      </c>
      <c r="AF101" s="4">
        <f>[1]节奏总纲!AF101</f>
        <v>71.210277551293188</v>
      </c>
      <c r="AG101" s="4">
        <f>[1]节奏总纲!AG101</f>
        <v>75.701350246099338</v>
      </c>
      <c r="AH101" s="4">
        <f>[1]节奏总纲!AH101</f>
        <v>84.341370094698831</v>
      </c>
      <c r="AZ101" s="4">
        <v>98</v>
      </c>
      <c r="BA101" s="4">
        <v>37.898280756750061</v>
      </c>
      <c r="BB101" s="4">
        <v>39.385377961140485</v>
      </c>
      <c r="BC101" s="4">
        <v>41.322129138094503</v>
      </c>
      <c r="BD101" s="4">
        <v>44.067911160744309</v>
      </c>
      <c r="BE101" s="4">
        <v>48.747988747548945</v>
      </c>
    </row>
    <row r="102" spans="6:57">
      <c r="F102" s="4">
        <v>100</v>
      </c>
      <c r="G102" s="4">
        <v>1023</v>
      </c>
      <c r="N102" s="4">
        <f>[1]节奏总纲!N102</f>
        <v>109</v>
      </c>
      <c r="O102" s="4">
        <v>99</v>
      </c>
      <c r="P102" s="4">
        <f>[1]节奏总纲!P102</f>
        <v>954.42578333369079</v>
      </c>
      <c r="Q102" s="4">
        <f>[1]节奏总纲!Q102</f>
        <v>816.51125764197252</v>
      </c>
      <c r="R102" s="4">
        <f>[1]节奏总纲!R102</f>
        <v>658.6492330785801</v>
      </c>
      <c r="S102" s="4">
        <f>[1]节奏总纲!S102</f>
        <v>475.39948267851139</v>
      </c>
      <c r="T102" s="4">
        <f>[1]节奏总纲!T102</f>
        <v>257.59951892176309</v>
      </c>
      <c r="V102" s="4">
        <v>99</v>
      </c>
      <c r="W102" s="4">
        <f>[1]节奏总纲!W102</f>
        <v>63.982006518459684</v>
      </c>
      <c r="X102" s="4">
        <f>[1]节奏总纲!X102</f>
        <v>56.161316619446666</v>
      </c>
      <c r="Y102" s="4">
        <f>[1]节奏总纲!Y102</f>
        <v>45.667737118974969</v>
      </c>
      <c r="Z102" s="4">
        <f>[1]节奏总纲!Z102</f>
        <v>33.472236245112185</v>
      </c>
      <c r="AA102" s="4">
        <f>[1]节奏总纲!AA102</f>
        <v>16.823521670924634</v>
      </c>
      <c r="AC102" s="4">
        <v>99</v>
      </c>
      <c r="AD102" s="4">
        <f>[1]节奏总纲!AD102</f>
        <v>66.430041330048923</v>
      </c>
      <c r="AE102" s="4">
        <f>[1]节奏总纲!AE102</f>
        <v>68.474323482747096</v>
      </c>
      <c r="AF102" s="4">
        <f>[1]节奏总纲!AF102</f>
        <v>71.358760052209377</v>
      </c>
      <c r="AG102" s="4">
        <f>[1]节奏总纲!AG102</f>
        <v>75.847892667718796</v>
      </c>
      <c r="AH102" s="4">
        <f>[1]节奏总纲!AH102</f>
        <v>84.48660325846518</v>
      </c>
      <c r="AZ102" s="4">
        <v>99</v>
      </c>
      <c r="BA102" s="4">
        <v>37.970883629607592</v>
      </c>
      <c r="BB102" s="4">
        <v>39.452918844531645</v>
      </c>
      <c r="BC102" s="4">
        <v>41.389172829914081</v>
      </c>
      <c r="BD102" s="4">
        <v>44.132549776504064</v>
      </c>
      <c r="BE102" s="4">
        <v>48.819774747187417</v>
      </c>
    </row>
    <row r="103" spans="6:57">
      <c r="F103" s="4">
        <v>101</v>
      </c>
      <c r="G103" s="4">
        <v>1096.4960256371633</v>
      </c>
      <c r="N103" s="4">
        <f>[1]节奏总纲!N103</f>
        <v>110</v>
      </c>
      <c r="O103" s="4">
        <v>100</v>
      </c>
      <c r="P103" s="4">
        <f>[1]节奏总纲!P103</f>
        <v>1023</v>
      </c>
      <c r="Q103" s="4">
        <f>[1]节奏总纲!Q103</f>
        <v>875.38110000000006</v>
      </c>
      <c r="R103" s="4">
        <f>[1]节奏总纲!R103</f>
        <v>706.6884</v>
      </c>
      <c r="S103" s="4">
        <f>[1]节奏总纲!S103</f>
        <v>508.22640000000001</v>
      </c>
      <c r="T103" s="4">
        <f>[1]节奏总纲!T103</f>
        <v>274.77780000000001</v>
      </c>
      <c r="V103" s="4">
        <v>100</v>
      </c>
      <c r="W103" s="4">
        <f>[1]节奏总纲!W103</f>
        <v>68.574216666309212</v>
      </c>
      <c r="X103" s="4">
        <f>[1]节奏总纲!X103</f>
        <v>58.86984235802754</v>
      </c>
      <c r="Y103" s="4">
        <f>[1]节奏总纲!Y103</f>
        <v>48.039166921419906</v>
      </c>
      <c r="Z103" s="4">
        <f>[1]节奏总纲!Z103</f>
        <v>32.826917321488622</v>
      </c>
      <c r="AA103" s="4">
        <f>[1]节奏总纲!AA103</f>
        <v>17.178281078236921</v>
      </c>
      <c r="AC103" s="4">
        <v>100</v>
      </c>
      <c r="AD103" s="4">
        <f>[1]节奏总纲!AD103</f>
        <v>66.573669005078543</v>
      </c>
      <c r="AE103" s="4">
        <f>[1]节奏总纲!AE103</f>
        <v>68.624026186650241</v>
      </c>
      <c r="AF103" s="4">
        <f>[1]节奏总纲!AF103</f>
        <v>71.507242553125565</v>
      </c>
      <c r="AG103" s="4">
        <f>[1]节奏总纲!AG103</f>
        <v>75.994435089338239</v>
      </c>
      <c r="AH103" s="4">
        <f>[1]节奏总纲!AH103</f>
        <v>84.63183642223153</v>
      </c>
      <c r="AZ103" s="4">
        <v>100</v>
      </c>
      <c r="BA103" s="4">
        <v>38.037513426486328</v>
      </c>
      <c r="BB103" s="4">
        <v>39.520459727922798</v>
      </c>
      <c r="BC103" s="4">
        <v>41.456216521733651</v>
      </c>
      <c r="BD103" s="4">
        <v>44.197188392263818</v>
      </c>
      <c r="BE103" s="4">
        <v>48.891560746825888</v>
      </c>
    </row>
    <row r="104" spans="6:57">
      <c r="F104" s="4">
        <v>102</v>
      </c>
      <c r="G104" s="4">
        <v>1175.2671155169628</v>
      </c>
      <c r="N104" s="4">
        <f>[1]节奏总纲!N104</f>
        <v>111</v>
      </c>
      <c r="O104" s="4">
        <v>101</v>
      </c>
      <c r="P104" s="4">
        <f>[1]节奏总纲!P104</f>
        <v>1096.4960256371633</v>
      </c>
      <c r="Q104" s="4">
        <f>[1]节奏总纲!Q104</f>
        <v>939.14884595823037</v>
      </c>
      <c r="R104" s="4">
        <f>[1]节奏总纲!R104</f>
        <v>756.25330888195151</v>
      </c>
      <c r="S104" s="4">
        <f>[1]节奏总纲!S104</f>
        <v>541.99798547244984</v>
      </c>
      <c r="T104" s="4">
        <f>[1]节奏总纲!T104</f>
        <v>293.42233646050488</v>
      </c>
      <c r="V104" s="4">
        <v>101</v>
      </c>
      <c r="W104" s="4">
        <f>[1]节奏总纲!W104</f>
        <v>73.496025637163257</v>
      </c>
      <c r="X104" s="4">
        <f>[1]节奏总纲!X104</f>
        <v>63.767745958230307</v>
      </c>
      <c r="Y104" s="4">
        <f>[1]节奏总纲!Y104</f>
        <v>49.56490888195151</v>
      </c>
      <c r="Z104" s="4">
        <f>[1]节奏总纲!Z104</f>
        <v>33.771585472449829</v>
      </c>
      <c r="AA104" s="4">
        <f>[1]节奏总纲!AA104</f>
        <v>18.644536460504867</v>
      </c>
      <c r="AC104" s="4">
        <v>101</v>
      </c>
      <c r="AD104" s="4">
        <f>[1]节奏总纲!AD104</f>
        <v>66.717296680108163</v>
      </c>
      <c r="AE104" s="4">
        <f>[1]节奏总纲!AE104</f>
        <v>68.773728890553386</v>
      </c>
      <c r="AF104" s="4">
        <f>[1]节奏总纲!AF104</f>
        <v>71.655725054041767</v>
      </c>
      <c r="AG104" s="4">
        <f>[1]节奏总纲!AG104</f>
        <v>76.130305911210229</v>
      </c>
      <c r="AH104" s="4">
        <f>[1]节奏总纲!AH104</f>
        <v>84.777069585997879</v>
      </c>
      <c r="AZ104" s="4">
        <v>101</v>
      </c>
      <c r="BA104" s="4">
        <v>38.100143952724252</v>
      </c>
      <c r="BB104" s="4">
        <v>39.588000611313952</v>
      </c>
      <c r="BC104" s="4">
        <v>41.523260213553229</v>
      </c>
      <c r="BD104" s="4">
        <v>44.261827008023573</v>
      </c>
      <c r="BE104" s="4">
        <v>48.96334674646436</v>
      </c>
    </row>
    <row r="105" spans="6:57">
      <c r="F105" s="4">
        <v>103</v>
      </c>
      <c r="G105" s="4">
        <v>1259.6918792651943</v>
      </c>
      <c r="N105" s="4">
        <f>[1]节奏总纲!N105</f>
        <v>112</v>
      </c>
      <c r="O105" s="4">
        <v>102</v>
      </c>
      <c r="P105" s="4">
        <f>[1]节奏总纲!P105</f>
        <v>1175.2671155169628</v>
      </c>
      <c r="Q105" s="4">
        <f>[1]节奏总纲!Q105</f>
        <v>1004.2657502092447</v>
      </c>
      <c r="R105" s="4">
        <f>[1]节奏总纲!R105</f>
        <v>806.23324124463659</v>
      </c>
      <c r="S105" s="4">
        <f>[1]节奏总纲!S105</f>
        <v>577.99636741124232</v>
      </c>
      <c r="T105" s="4">
        <f>[1]节奏总纲!T105</f>
        <v>313.56126641992563</v>
      </c>
      <c r="V105" s="4">
        <v>102</v>
      </c>
      <c r="W105" s="4">
        <f>[1]节奏总纲!W105</f>
        <v>78.771089879799547</v>
      </c>
      <c r="X105" s="4">
        <f>[1]节奏总纲!X105</f>
        <v>65.116904251014375</v>
      </c>
      <c r="Y105" s="4">
        <f>[1]节奏总纲!Y105</f>
        <v>49.979932362685076</v>
      </c>
      <c r="Z105" s="4">
        <f>[1]节奏总纲!Z105</f>
        <v>35.998381938792477</v>
      </c>
      <c r="AA105" s="4">
        <f>[1]节奏总纲!AA105</f>
        <v>20.13892995942075</v>
      </c>
      <c r="AC105" s="4">
        <v>102</v>
      </c>
      <c r="AD105" s="4">
        <f>[1]节奏总纲!AD105</f>
        <v>66.860924355137783</v>
      </c>
      <c r="AE105" s="4">
        <f>[1]节奏总纲!AE105</f>
        <v>68.923431594456531</v>
      </c>
      <c r="AF105" s="4">
        <f>[1]节奏总纲!AF105</f>
        <v>71.804207554957955</v>
      </c>
      <c r="AG105" s="4">
        <f>[1]节奏总纲!AG105</f>
        <v>76.265755485049056</v>
      </c>
      <c r="AH105" s="4">
        <f>[1]节奏总纲!AH105</f>
        <v>84.922302749764228</v>
      </c>
      <c r="AZ105" s="4">
        <v>102</v>
      </c>
      <c r="BA105" s="4">
        <v>38.16277447896217</v>
      </c>
      <c r="BB105" s="4">
        <v>39.655541494705105</v>
      </c>
      <c r="BC105" s="4">
        <v>41.590303905372799</v>
      </c>
      <c r="BD105" s="4">
        <v>44.326465623783335</v>
      </c>
      <c r="BE105" s="4">
        <v>49.030333272797542</v>
      </c>
    </row>
    <row r="106" spans="6:57">
      <c r="F106" s="4">
        <v>104</v>
      </c>
      <c r="G106" s="4">
        <v>1350.1761006314437</v>
      </c>
      <c r="N106" s="4">
        <f>[1]节奏总纲!N106</f>
        <v>113</v>
      </c>
      <c r="O106" s="4">
        <v>103</v>
      </c>
      <c r="P106" s="4">
        <f>[1]节奏总纲!P106</f>
        <v>1259.6918792651943</v>
      </c>
      <c r="Q106" s="4">
        <f>[1]节奏总纲!Q106</f>
        <v>1073.383450321872</v>
      </c>
      <c r="R106" s="4">
        <f>[1]节奏总纲!R106</f>
        <v>861.50327622946634</v>
      </c>
      <c r="S106" s="4">
        <f>[1]节奏总纲!S106</f>
        <v>619.01258947091651</v>
      </c>
      <c r="T106" s="4">
        <f>[1]节奏总纲!T106</f>
        <v>335.8338550121008</v>
      </c>
      <c r="V106" s="4">
        <v>103</v>
      </c>
      <c r="W106" s="4">
        <f>[1]节奏总纲!W106</f>
        <v>84.424763748231499</v>
      </c>
      <c r="X106" s="4">
        <f>[1]节奏总纲!X106</f>
        <v>69.11770011262729</v>
      </c>
      <c r="Y106" s="4">
        <f>[1]节奏总纲!Y106</f>
        <v>55.270034984829749</v>
      </c>
      <c r="Z106" s="4">
        <f>[1]节奏总纲!Z106</f>
        <v>41.016222059674192</v>
      </c>
      <c r="AA106" s="4">
        <f>[1]节奏总纲!AA106</f>
        <v>22.272588592175168</v>
      </c>
      <c r="AC106" s="4">
        <v>103</v>
      </c>
      <c r="AD106" s="4">
        <f>[1]节奏总纲!AD106</f>
        <v>67.004247194324648</v>
      </c>
      <c r="AE106" s="4">
        <f>[1]节奏总纲!AE106</f>
        <v>69.0655056802525</v>
      </c>
      <c r="AF106" s="4">
        <f>[1]节奏总纲!AF106</f>
        <v>71.952690055874157</v>
      </c>
      <c r="AG106" s="4">
        <f>[1]节奏总纲!AG106</f>
        <v>76.401205058887882</v>
      </c>
      <c r="AH106" s="4">
        <f>[1]节奏总纲!AH106</f>
        <v>85.072521641060263</v>
      </c>
      <c r="AZ106" s="4">
        <v>103</v>
      </c>
      <c r="BA106" s="4">
        <v>38.225405005200088</v>
      </c>
      <c r="BB106" s="4">
        <v>39.723082378096265</v>
      </c>
      <c r="BC106" s="4">
        <v>41.657347597192377</v>
      </c>
      <c r="BD106" s="4">
        <v>44.39110423954309</v>
      </c>
      <c r="BE106" s="4">
        <v>49.09231260978715</v>
      </c>
    </row>
    <row r="107" spans="6:57">
      <c r="F107" s="4">
        <v>105</v>
      </c>
      <c r="G107" s="4">
        <v>1447.1546878700494</v>
      </c>
      <c r="N107" s="4">
        <f>[1]节奏总纲!N107</f>
        <v>114</v>
      </c>
      <c r="O107" s="4">
        <v>104</v>
      </c>
      <c r="P107" s="4">
        <f>[1]节奏总纲!P107</f>
        <v>1350.1761006314437</v>
      </c>
      <c r="Q107" s="4">
        <f>[1]节奏总纲!Q107</f>
        <v>1150.7550905681794</v>
      </c>
      <c r="R107" s="4">
        <f>[1]节奏总纲!R107</f>
        <v>925.41069937279144</v>
      </c>
      <c r="S107" s="4">
        <f>[1]节奏总纲!S107</f>
        <v>665.09674717104917</v>
      </c>
      <c r="T107" s="4">
        <f>[1]节奏总纲!T107</f>
        <v>360.49701886859549</v>
      </c>
      <c r="V107" s="4">
        <v>104</v>
      </c>
      <c r="W107" s="4">
        <f>[1]节奏总纲!W107</f>
        <v>90.484221366249358</v>
      </c>
      <c r="X107" s="4">
        <f>[1]节奏总纲!X107</f>
        <v>77.371640246307379</v>
      </c>
      <c r="Y107" s="4">
        <f>[1]节奏总纲!Y107</f>
        <v>63.907423143325104</v>
      </c>
      <c r="Z107" s="4">
        <f>[1]节奏总纲!Z107</f>
        <v>46.084157700132664</v>
      </c>
      <c r="AA107" s="4">
        <f>[1]节奏总纲!AA107</f>
        <v>24.663163856494691</v>
      </c>
      <c r="AC107" s="4">
        <v>104</v>
      </c>
      <c r="AD107" s="4">
        <f>[1]节奏总纲!AD107</f>
        <v>67.138256553625013</v>
      </c>
      <c r="AE107" s="4">
        <f>[1]节奏总纲!AE107</f>
        <v>69.199592937186125</v>
      </c>
      <c r="AF107" s="4">
        <f>[1]节奏总纲!AF107</f>
        <v>72.093818006439079</v>
      </c>
      <c r="AG107" s="4">
        <f>[1]节奏总纲!AG107</f>
        <v>76.536654632726695</v>
      </c>
      <c r="AH107" s="4">
        <f>[1]节奏总纲!AH107</f>
        <v>85.228476403824274</v>
      </c>
      <c r="AZ107" s="4">
        <v>104</v>
      </c>
      <c r="BA107" s="4">
        <v>38.288035531438013</v>
      </c>
      <c r="BB107" s="4">
        <v>39.790623261487418</v>
      </c>
      <c r="BC107" s="4">
        <v>41.724391289011947</v>
      </c>
      <c r="BD107" s="4">
        <v>44.455742855302844</v>
      </c>
      <c r="BE107" s="4">
        <v>49.154291946776759</v>
      </c>
    </row>
    <row r="108" spans="6:57">
      <c r="F108" s="4">
        <v>106</v>
      </c>
      <c r="G108" s="4">
        <v>1551.0937641066464</v>
      </c>
      <c r="N108" s="4">
        <f>[1]节奏总纲!N108</f>
        <v>115</v>
      </c>
      <c r="O108" s="4">
        <v>105</v>
      </c>
      <c r="P108" s="4">
        <f>[1]节奏总纲!P108</f>
        <v>1447.1546878700494</v>
      </c>
      <c r="Q108" s="4">
        <f>[1]节奏总纲!Q108</f>
        <v>1234.8570951595132</v>
      </c>
      <c r="R108" s="4">
        <f>[1]节奏总纲!R108</f>
        <v>993.18226228521496</v>
      </c>
      <c r="S108" s="4">
        <f>[1]节奏总纲!S108</f>
        <v>713.59197658872131</v>
      </c>
      <c r="T108" s="4">
        <f>[1]节奏总纲!T108</f>
        <v>386.39030166130323</v>
      </c>
      <c r="V108" s="4">
        <v>105</v>
      </c>
      <c r="W108" s="4">
        <f>[1]节奏总纲!W108</f>
        <v>96.978587238605769</v>
      </c>
      <c r="X108" s="4">
        <f>[1]节奏总纲!X108</f>
        <v>84.102004591333753</v>
      </c>
      <c r="Y108" s="4">
        <f>[1]节奏总纲!Y108</f>
        <v>67.771562912423519</v>
      </c>
      <c r="Z108" s="4">
        <f>[1]节奏总纲!Z108</f>
        <v>48.495229417672135</v>
      </c>
      <c r="AA108" s="4">
        <f>[1]节奏总纲!AA108</f>
        <v>25.893282792707737</v>
      </c>
      <c r="AC108" s="4">
        <v>105</v>
      </c>
      <c r="AD108" s="4">
        <f>[1]节奏总纲!AD108</f>
        <v>67.272265912925377</v>
      </c>
      <c r="AE108" s="4">
        <f>[1]节奏总纲!AE108</f>
        <v>69.333680194119751</v>
      </c>
      <c r="AF108" s="4">
        <f>[1]节奏总纲!AF108</f>
        <v>72.23150684883845</v>
      </c>
      <c r="AG108" s="4">
        <f>[1]节奏总纲!AG108</f>
        <v>76.672104206565521</v>
      </c>
      <c r="AH108" s="4">
        <f>[1]节奏总纲!AH108</f>
        <v>85.384431166588271</v>
      </c>
      <c r="AZ108" s="4">
        <v>105</v>
      </c>
      <c r="BA108" s="4">
        <v>38.35066605767593</v>
      </c>
      <c r="BB108" s="4">
        <v>39.858164144878572</v>
      </c>
      <c r="BC108" s="4">
        <v>41.791434980831518</v>
      </c>
      <c r="BD108" s="4">
        <v>44.520381471062606</v>
      </c>
      <c r="BE108" s="4">
        <v>49.216271283766375</v>
      </c>
    </row>
    <row r="109" spans="6:57">
      <c r="F109" s="4">
        <v>107</v>
      </c>
      <c r="G109" s="4">
        <v>1662.4929077375689</v>
      </c>
      <c r="N109" s="4">
        <f>[1]节奏总纲!N109</f>
        <v>116</v>
      </c>
      <c r="O109" s="4">
        <v>106</v>
      </c>
      <c r="P109" s="4">
        <f>[1]节奏总纲!P109</f>
        <v>1551.0937641066464</v>
      </c>
      <c r="Q109" s="4">
        <f>[1]节奏总纲!Q109</f>
        <v>1324.4789651706653</v>
      </c>
      <c r="R109" s="4">
        <f>[1]节奏总纲!R109</f>
        <v>1064.6707596828021</v>
      </c>
      <c r="S109" s="4">
        <f>[1]节奏总纲!S109</f>
        <v>764.3790069517554</v>
      </c>
      <c r="T109" s="4">
        <f>[1]节奏总纲!T109</f>
        <v>412.59094125236794</v>
      </c>
      <c r="V109" s="4">
        <v>106</v>
      </c>
      <c r="W109" s="4">
        <f>[1]节奏总纲!W109</f>
        <v>103.93907623659697</v>
      </c>
      <c r="X109" s="4">
        <f>[1]节奏总纲!X109</f>
        <v>89.621870011152168</v>
      </c>
      <c r="Y109" s="4">
        <f>[1]节奏总纲!Y109</f>
        <v>71.488497397587139</v>
      </c>
      <c r="Z109" s="4">
        <f>[1]节奏总纲!Z109</f>
        <v>50.787030363034091</v>
      </c>
      <c r="AA109" s="4">
        <f>[1]节奏总纲!AA109</f>
        <v>26.200639591064714</v>
      </c>
      <c r="AC109" s="4">
        <v>106</v>
      </c>
      <c r="AD109" s="4">
        <f>[1]节奏总纲!AD109</f>
        <v>67.406275272225741</v>
      </c>
      <c r="AE109" s="4">
        <f>[1]节奏总纲!AE109</f>
        <v>69.467767451053362</v>
      </c>
      <c r="AF109" s="4">
        <f>[1]节奏总纲!AF109</f>
        <v>72.369195691237806</v>
      </c>
      <c r="AG109" s="4">
        <f>[1]节奏总纲!AG109</f>
        <v>76.807553780404334</v>
      </c>
      <c r="AH109" s="4">
        <f>[1]节奏总纲!AH109</f>
        <v>85.540385929352269</v>
      </c>
      <c r="AZ109" s="4">
        <v>106</v>
      </c>
      <c r="BA109" s="4">
        <v>38.413296583913848</v>
      </c>
      <c r="BB109" s="4">
        <v>39.925705028269732</v>
      </c>
      <c r="BC109" s="4">
        <v>41.858478672651096</v>
      </c>
      <c r="BD109" s="4">
        <v>44.585020086822361</v>
      </c>
      <c r="BE109" s="4">
        <v>49.278250620755983</v>
      </c>
    </row>
    <row r="110" spans="6:57">
      <c r="F110" s="4">
        <v>108</v>
      </c>
      <c r="G110" s="4">
        <v>1781.8875536304624</v>
      </c>
      <c r="N110" s="4">
        <f>[1]节奏总纲!N110</f>
        <v>117</v>
      </c>
      <c r="O110" s="4">
        <v>107</v>
      </c>
      <c r="P110" s="4">
        <f>[1]节奏总纲!P110</f>
        <v>1662.4929077375689</v>
      </c>
      <c r="Q110" s="4">
        <f>[1]节奏总纲!Q110</f>
        <v>1418.9376967540152</v>
      </c>
      <c r="R110" s="4">
        <f>[1]节奏总纲!R110</f>
        <v>1141.6338797433884</v>
      </c>
      <c r="S110" s="4">
        <f>[1]节奏总纲!S110</f>
        <v>816.11776840837263</v>
      </c>
      <c r="T110" s="4">
        <f>[1]节奏总纲!T110</f>
        <v>440.22812196890823</v>
      </c>
      <c r="V110" s="4">
        <v>107</v>
      </c>
      <c r="W110" s="4">
        <f>[1]节奏总纲!W110</f>
        <v>111.39914363092248</v>
      </c>
      <c r="X110" s="4">
        <f>[1]节奏总纲!X110</f>
        <v>94.458731583349845</v>
      </c>
      <c r="Y110" s="4">
        <f>[1]节奏总纲!Y110</f>
        <v>76.963120060586334</v>
      </c>
      <c r="Z110" s="4">
        <f>[1]节奏总纲!Z110</f>
        <v>51.738761456617226</v>
      </c>
      <c r="AA110" s="4">
        <f>[1]节奏总纲!AA110</f>
        <v>27.637180716540286</v>
      </c>
      <c r="AC110" s="4">
        <v>107</v>
      </c>
      <c r="AD110" s="4">
        <f>[1]节奏总纲!AD110</f>
        <v>67.540284631526106</v>
      </c>
      <c r="AE110" s="4">
        <f>[1]节奏总纲!AE110</f>
        <v>69.601854707986988</v>
      </c>
      <c r="AF110" s="4">
        <f>[1]节奏总纲!AF110</f>
        <v>72.506884533637162</v>
      </c>
      <c r="AG110" s="4">
        <f>[1]节奏总纲!AG110</f>
        <v>76.94300335424316</v>
      </c>
      <c r="AH110" s="4">
        <f>[1]节奏总纲!AH110</f>
        <v>85.696340692116266</v>
      </c>
      <c r="AZ110" s="4">
        <v>107</v>
      </c>
      <c r="BA110" s="4">
        <v>38.475927110151773</v>
      </c>
      <c r="BB110" s="4">
        <v>39.993245911660885</v>
      </c>
      <c r="BC110" s="4">
        <v>41.925522364470666</v>
      </c>
      <c r="BD110" s="4">
        <v>44.649658702582116</v>
      </c>
      <c r="BE110" s="4">
        <v>49.340229957745592</v>
      </c>
    </row>
    <row r="111" spans="6:57">
      <c r="F111" s="4">
        <v>109</v>
      </c>
      <c r="G111" s="4">
        <v>1909.8515666673818</v>
      </c>
      <c r="N111" s="4">
        <f>[1]节奏总纲!N111</f>
        <v>118</v>
      </c>
      <c r="O111" s="4">
        <v>108</v>
      </c>
      <c r="P111" s="4">
        <f>[1]节奏总纲!P111</f>
        <v>1781.8875536304624</v>
      </c>
      <c r="Q111" s="4">
        <f>[1]节奏总纲!Q111</f>
        <v>1520.8410270235997</v>
      </c>
      <c r="R111" s="4">
        <f>[1]节奏总纲!R111</f>
        <v>1218.0983316617842</v>
      </c>
      <c r="S111" s="4">
        <f>[1]节奏总纲!S111</f>
        <v>871.69939123602228</v>
      </c>
      <c r="T111" s="4">
        <f>[1]节奏总纲!T111</f>
        <v>471.13106917989433</v>
      </c>
      <c r="V111" s="4">
        <v>108</v>
      </c>
      <c r="W111" s="4">
        <f>[1]节奏总纲!W111</f>
        <v>119.39464589289355</v>
      </c>
      <c r="X111" s="4">
        <f>[1]节奏总纲!X111</f>
        <v>101.90333026958456</v>
      </c>
      <c r="Y111" s="4">
        <f>[1]节奏总纲!Y111</f>
        <v>76.464451918395753</v>
      </c>
      <c r="Z111" s="4">
        <f>[1]节奏总纲!Z111</f>
        <v>55.581622827649653</v>
      </c>
      <c r="AA111" s="4">
        <f>[1]节奏总纲!AA111</f>
        <v>30.902947210986099</v>
      </c>
      <c r="AC111" s="4">
        <v>108</v>
      </c>
      <c r="AD111" s="4">
        <f>[1]节奏总纲!AD111</f>
        <v>67.674293990826456</v>
      </c>
      <c r="AE111" s="4">
        <f>[1]节奏总纲!AE111</f>
        <v>69.735941964920613</v>
      </c>
      <c r="AF111" s="4">
        <f>[1]节奏总纲!AF111</f>
        <v>72.644573376036519</v>
      </c>
      <c r="AG111" s="4">
        <f>[1]节奏总纲!AG111</f>
        <v>77.074762810762508</v>
      </c>
      <c r="AH111" s="4">
        <f>[1]节奏总纲!AH111</f>
        <v>85.852295454880277</v>
      </c>
      <c r="AZ111" s="4">
        <v>108</v>
      </c>
      <c r="BA111" s="4">
        <v>38.53855763638969</v>
      </c>
      <c r="BB111" s="4">
        <v>40.052446592012309</v>
      </c>
      <c r="BC111" s="4">
        <v>41.992566056290244</v>
      </c>
      <c r="BD111" s="4">
        <v>44.71429731834187</v>
      </c>
      <c r="BE111" s="4">
        <v>49.402209294735208</v>
      </c>
    </row>
    <row r="112" spans="6:57">
      <c r="F112" s="4">
        <v>110</v>
      </c>
      <c r="G112" s="4">
        <v>2047</v>
      </c>
      <c r="N112" s="4">
        <f>[1]节奏总纲!N112</f>
        <v>119</v>
      </c>
      <c r="O112" s="4">
        <v>109</v>
      </c>
      <c r="P112" s="4">
        <f>[1]节奏总纲!P112</f>
        <v>1909.8515666673818</v>
      </c>
      <c r="Q112" s="4">
        <f>[1]节奏总纲!Q112</f>
        <v>1624.7107277639418</v>
      </c>
      <c r="R112" s="4">
        <f>[1]节奏总纲!R112</f>
        <v>1301.5638426838207</v>
      </c>
      <c r="S112" s="4">
        <f>[1]节奏总纲!S112</f>
        <v>931.81657937701561</v>
      </c>
      <c r="T112" s="4">
        <f>[1]节奏总纲!T112</f>
        <v>504.58278391352223</v>
      </c>
      <c r="V112" s="4">
        <v>109</v>
      </c>
      <c r="W112" s="4">
        <f>[1]节奏总纲!W112</f>
        <v>127.96401303691937</v>
      </c>
      <c r="X112" s="4">
        <f>[1]节奏总纲!X112</f>
        <v>103.86970074034207</v>
      </c>
      <c r="Y112" s="4">
        <f>[1]节奏总纲!Y112</f>
        <v>83.46551102203648</v>
      </c>
      <c r="Z112" s="4">
        <f>[1]节奏总纲!Z112</f>
        <v>60.117188140993335</v>
      </c>
      <c r="AA112" s="4">
        <f>[1]节奏总纲!AA112</f>
        <v>33.451714733627909</v>
      </c>
      <c r="AC112" s="4">
        <v>109</v>
      </c>
      <c r="AD112" s="4">
        <f>[1]节奏总纲!AD112</f>
        <v>67.80830335012682</v>
      </c>
      <c r="AE112" s="4">
        <f>[1]节奏总纲!AE112</f>
        <v>69.870029221854239</v>
      </c>
      <c r="AF112" s="4">
        <f>[1]节奏总纲!AF112</f>
        <v>72.782262218435889</v>
      </c>
      <c r="AG112" s="4">
        <f>[1]节奏总纲!AG112</f>
        <v>77.203841369133116</v>
      </c>
      <c r="AH112" s="4">
        <f>[1]节奏总纲!AH112</f>
        <v>86.007776715139968</v>
      </c>
      <c r="AZ112" s="4">
        <v>109</v>
      </c>
      <c r="BA112" s="4">
        <v>38.601188162627608</v>
      </c>
      <c r="BB112" s="4">
        <v>40.110720583137102</v>
      </c>
      <c r="BC112" s="4">
        <v>42.051439554347354</v>
      </c>
      <c r="BD112" s="4">
        <v>44.778935934101632</v>
      </c>
      <c r="BE112" s="4">
        <v>49.464188631724817</v>
      </c>
    </row>
    <row r="113" spans="6:57">
      <c r="F113" s="4">
        <v>111</v>
      </c>
      <c r="G113" s="4">
        <v>2193.9920512743265</v>
      </c>
      <c r="N113" s="4">
        <f>[1]节奏总纲!N113</f>
        <v>120</v>
      </c>
      <c r="O113" s="4">
        <v>110</v>
      </c>
      <c r="P113" s="4">
        <f>[1]节奏总纲!P113</f>
        <v>2047</v>
      </c>
      <c r="Q113" s="4">
        <f>[1]节奏总纲!Q113</f>
        <v>1741.3829000000001</v>
      </c>
      <c r="R113" s="4">
        <f>[1]节奏总纲!R113</f>
        <v>1397.2821999999999</v>
      </c>
      <c r="S113" s="4">
        <f>[1]节奏总纲!S113</f>
        <v>1001.3924000000001</v>
      </c>
      <c r="T113" s="4">
        <f>[1]节奏总纲!T113</f>
        <v>542.04559999999992</v>
      </c>
      <c r="V113" s="4">
        <v>110</v>
      </c>
      <c r="W113" s="4">
        <f>[1]节奏总纲!W113</f>
        <v>137.1484333326182</v>
      </c>
      <c r="X113" s="4">
        <f>[1]节奏总纲!X113</f>
        <v>116.67217223605826</v>
      </c>
      <c r="Y113" s="4">
        <f>[1]节奏总纲!Y113</f>
        <v>95.718357316179208</v>
      </c>
      <c r="Z113" s="4">
        <f>[1]节奏总纲!Z113</f>
        <v>69.575820622984452</v>
      </c>
      <c r="AA113" s="4">
        <f>[1]节奏总纲!AA113</f>
        <v>37.462816086477687</v>
      </c>
      <c r="AC113" s="4">
        <v>110</v>
      </c>
      <c r="AD113" s="4">
        <f>[1]节奏总纲!AD113</f>
        <v>67.942312709427185</v>
      </c>
      <c r="AE113" s="4">
        <f>[1]节奏总纲!AE113</f>
        <v>70.003807055133578</v>
      </c>
      <c r="AF113" s="4">
        <f>[1]节奏总纲!AF113</f>
        <v>72.919951060835245</v>
      </c>
      <c r="AG113" s="4">
        <f>[1]节奏总纲!AG113</f>
        <v>77.332919927503724</v>
      </c>
      <c r="AH113" s="4">
        <f>[1]节奏总纲!AH113</f>
        <v>86.154780808490045</v>
      </c>
      <c r="AZ113" s="4">
        <v>110</v>
      </c>
      <c r="BA113" s="4">
        <v>38.663818688865533</v>
      </c>
      <c r="BB113" s="4">
        <v>40.168994574261895</v>
      </c>
      <c r="BC113" s="4">
        <v>42.109294145892463</v>
      </c>
      <c r="BD113" s="4">
        <v>44.843574549861387</v>
      </c>
      <c r="BE113" s="4">
        <v>49.526167968714425</v>
      </c>
    </row>
    <row r="114" spans="6:57">
      <c r="F114" s="4">
        <v>112</v>
      </c>
      <c r="G114" s="4">
        <v>2351.5342310339256</v>
      </c>
      <c r="N114" s="4">
        <f>[1]节奏总纲!N114</f>
        <v>121</v>
      </c>
      <c r="O114" s="4">
        <v>111</v>
      </c>
      <c r="P114" s="4">
        <f>[1]节奏总纲!P114</f>
        <v>2193.9920512743265</v>
      </c>
      <c r="Q114" s="4">
        <f>[1]节奏总纲!Q114</f>
        <v>1869.0618284805987</v>
      </c>
      <c r="R114" s="4">
        <f>[1]节奏总纲!R114</f>
        <v>1500.4711638665117</v>
      </c>
      <c r="S114" s="4">
        <f>[1]节奏总纲!S114</f>
        <v>1076.5918995603122</v>
      </c>
      <c r="T114" s="4">
        <f>[1]节奏总纲!T114</f>
        <v>583.16308722871599</v>
      </c>
      <c r="V114" s="4">
        <v>111</v>
      </c>
      <c r="W114" s="4">
        <f>[1]节奏总纲!W114</f>
        <v>146.99205127432651</v>
      </c>
      <c r="X114" s="4">
        <f>[1]节奏总纲!X114</f>
        <v>127.67892848059864</v>
      </c>
      <c r="Y114" s="4">
        <f>[1]节奏总纲!Y114</f>
        <v>103.18896386651181</v>
      </c>
      <c r="Z114" s="4">
        <f>[1]节奏总纲!Z114</f>
        <v>75.19949956031212</v>
      </c>
      <c r="AA114" s="4">
        <f>[1]节奏总纲!AA114</f>
        <v>41.117487228716072</v>
      </c>
      <c r="AC114" s="4">
        <v>111</v>
      </c>
      <c r="AD114" s="4">
        <f>[1]节奏总纲!AD114</f>
        <v>68.071211008105138</v>
      </c>
      <c r="AE114" s="4">
        <f>[1]节奏总纲!AE114</f>
        <v>70.127815365673797</v>
      </c>
      <c r="AF114" s="4">
        <f>[1]节奏总纲!AF114</f>
        <v>73.051543220271398</v>
      </c>
      <c r="AG114" s="4">
        <f>[1]节奏总纲!AG114</f>
        <v>77.461998485874332</v>
      </c>
      <c r="AH114" s="4">
        <f>[1]节奏总纲!AH114</f>
        <v>86.301784901840136</v>
      </c>
      <c r="AZ114" s="4">
        <v>111</v>
      </c>
      <c r="BA114" s="4">
        <v>38.72644921510345</v>
      </c>
      <c r="BB114" s="4">
        <v>40.227268565386687</v>
      </c>
      <c r="BC114" s="4">
        <v>42.167148737437572</v>
      </c>
      <c r="BD114" s="4">
        <v>44.908213165621142</v>
      </c>
      <c r="BE114" s="4">
        <v>49.588147305704041</v>
      </c>
    </row>
    <row r="115" spans="6:57">
      <c r="F115" s="4">
        <v>113</v>
      </c>
      <c r="G115" s="4">
        <v>2520.3837585303886</v>
      </c>
      <c r="N115" s="4">
        <f>[1]节奏总纲!N115</f>
        <v>122</v>
      </c>
      <c r="O115" s="4">
        <v>112</v>
      </c>
      <c r="P115" s="4">
        <f>[1]节奏总纲!P115</f>
        <v>2351.5342310339256</v>
      </c>
      <c r="Q115" s="4">
        <f>[1]节奏总纲!Q115</f>
        <v>2004.6829319564217</v>
      </c>
      <c r="R115" s="4">
        <f>[1]节奏总纲!R115</f>
        <v>1609.3900277196187</v>
      </c>
      <c r="S115" s="4">
        <f>[1]节奏总纲!S115</f>
        <v>1155.3087677069677</v>
      </c>
      <c r="T115" s="4">
        <f>[1]节奏总纲!T115</f>
        <v>623.15657122399034</v>
      </c>
      <c r="V115" s="4">
        <v>112</v>
      </c>
      <c r="W115" s="4">
        <f>[1]节奏总纲!W115</f>
        <v>157.54217975959909</v>
      </c>
      <c r="X115" s="4">
        <f>[1]节奏总纲!X115</f>
        <v>135.62110347582302</v>
      </c>
      <c r="Y115" s="4">
        <f>[1]节奏总纲!Y115</f>
        <v>108.91886385310704</v>
      </c>
      <c r="Z115" s="4">
        <f>[1]节奏总纲!Z115</f>
        <v>78.716868146655543</v>
      </c>
      <c r="AA115" s="4">
        <f>[1]节奏总纲!AA115</f>
        <v>39.993483995274346</v>
      </c>
      <c r="AC115" s="4">
        <v>112</v>
      </c>
      <c r="AD115" s="4">
        <f>[1]节奏总纲!AD115</f>
        <v>68.196246161507091</v>
      </c>
      <c r="AE115" s="4">
        <f>[1]节奏总纲!AE115</f>
        <v>70.251823676214016</v>
      </c>
      <c r="AF115" s="4">
        <f>[1]节奏总纲!AF115</f>
        <v>73.174668450093861</v>
      </c>
      <c r="AG115" s="4">
        <f>[1]节奏总纲!AG115</f>
        <v>77.591077044244926</v>
      </c>
      <c r="AH115" s="4">
        <f>[1]节奏总纲!AH115</f>
        <v>86.448788995190213</v>
      </c>
      <c r="AZ115" s="4">
        <v>112</v>
      </c>
      <c r="BA115" s="4">
        <v>38.789079741341368</v>
      </c>
      <c r="BB115" s="4">
        <v>40.28554255651148</v>
      </c>
      <c r="BC115" s="4">
        <v>42.225003328982673</v>
      </c>
      <c r="BD115" s="4">
        <v>44.972851781380903</v>
      </c>
      <c r="BE115" s="4">
        <v>49.65012664269365</v>
      </c>
    </row>
    <row r="116" spans="6:57">
      <c r="F116" s="4">
        <v>114</v>
      </c>
      <c r="G116" s="4">
        <v>2701.3522012628878</v>
      </c>
      <c r="N116" s="4">
        <f>[1]节奏总纲!N116</f>
        <v>123</v>
      </c>
      <c r="O116" s="4">
        <v>113</v>
      </c>
      <c r="P116" s="4">
        <f>[1]节奏总纲!P116</f>
        <v>2520.3837585303886</v>
      </c>
      <c r="Q116" s="4">
        <f>[1]节奏总纲!Q116</f>
        <v>2149.6353076505684</v>
      </c>
      <c r="R116" s="4">
        <f>[1]节奏总纲!R116</f>
        <v>1726.7149129691693</v>
      </c>
      <c r="S116" s="4">
        <f>[1]节奏总纲!S116</f>
        <v>1235.7441568074496</v>
      </c>
      <c r="T116" s="4">
        <f>[1]节奏总纲!T116</f>
        <v>665.63335062787564</v>
      </c>
      <c r="V116" s="4">
        <v>113</v>
      </c>
      <c r="W116" s="4">
        <f>[1]节奏总纲!W116</f>
        <v>168.849527496463</v>
      </c>
      <c r="X116" s="4">
        <f>[1]节奏总纲!X116</f>
        <v>144.95237569414667</v>
      </c>
      <c r="Y116" s="4">
        <f>[1]节奏总纲!Y116</f>
        <v>117.32488524955056</v>
      </c>
      <c r="Z116" s="4">
        <f>[1]节奏总纲!Z116</f>
        <v>80.435389100481871</v>
      </c>
      <c r="AA116" s="4">
        <f>[1]节奏总纲!AA116</f>
        <v>42.476779403885303</v>
      </c>
      <c r="AC116" s="4">
        <v>113</v>
      </c>
      <c r="AD116" s="4">
        <f>[1]节奏总纲!AD116</f>
        <v>68.321281314909029</v>
      </c>
      <c r="AE116" s="4">
        <f>[1]节奏总纲!AE116</f>
        <v>70.375831986754235</v>
      </c>
      <c r="AF116" s="4">
        <f>[1]节奏总纲!AF116</f>
        <v>73.297793679916325</v>
      </c>
      <c r="AG116" s="4">
        <f>[1]节奏总纲!AG116</f>
        <v>77.720155602615534</v>
      </c>
      <c r="AH116" s="4">
        <f>[1]节奏总纲!AH116</f>
        <v>86.595793088540304</v>
      </c>
      <c r="AZ116" s="4">
        <v>113</v>
      </c>
      <c r="BA116" s="4">
        <v>38.851710267579293</v>
      </c>
      <c r="BB116" s="4">
        <v>40.343816547636273</v>
      </c>
      <c r="BC116" s="4">
        <v>42.282857920527782</v>
      </c>
      <c r="BD116" s="4">
        <v>45.032359480672049</v>
      </c>
      <c r="BE116" s="4">
        <v>49.712105979683258</v>
      </c>
    </row>
    <row r="117" spans="6:57">
      <c r="F117" s="4">
        <v>115</v>
      </c>
      <c r="G117" s="4">
        <v>2895.3093757400989</v>
      </c>
      <c r="N117" s="4">
        <f>[1]节奏总纲!N117</f>
        <v>124</v>
      </c>
      <c r="O117" s="4">
        <v>114</v>
      </c>
      <c r="P117" s="4">
        <f>[1]节奏总纲!P117</f>
        <v>2701.3522012628878</v>
      </c>
      <c r="Q117" s="4">
        <f>[1]节奏总纲!Q117</f>
        <v>2304.5235628973696</v>
      </c>
      <c r="R117" s="4">
        <f>[1]节奏总纲!R117</f>
        <v>1846.3742295631837</v>
      </c>
      <c r="S117" s="4">
        <f>[1]节奏总纲!S117</f>
        <v>1319.3404150967945</v>
      </c>
      <c r="T117" s="4">
        <f>[1]节奏总纲!T117</f>
        <v>710.99589937239205</v>
      </c>
      <c r="V117" s="4">
        <v>114</v>
      </c>
      <c r="W117" s="4">
        <f>[1]节奏总纲!W117</f>
        <v>180.96844273249917</v>
      </c>
      <c r="X117" s="4">
        <f>[1]节奏总纲!X117</f>
        <v>154.88825524680124</v>
      </c>
      <c r="Y117" s="4">
        <f>[1]节奏总纲!Y117</f>
        <v>119.6593165940144</v>
      </c>
      <c r="Z117" s="4">
        <f>[1]节奏总纲!Z117</f>
        <v>83.59625828934486</v>
      </c>
      <c r="AA117" s="4">
        <f>[1]节奏总纲!AA117</f>
        <v>45.362548744516403</v>
      </c>
      <c r="AC117" s="4">
        <v>114</v>
      </c>
      <c r="AD117" s="4">
        <f>[1]节奏总纲!AD117</f>
        <v>68.446316468310982</v>
      </c>
      <c r="AE117" s="4">
        <f>[1]节奏总纲!AE117</f>
        <v>70.499840297294455</v>
      </c>
      <c r="AF117" s="4">
        <f>[1]节奏总纲!AF117</f>
        <v>73.420918909738774</v>
      </c>
      <c r="AG117" s="4">
        <f>[1]节奏总纲!AG117</f>
        <v>77.849234160986143</v>
      </c>
      <c r="AH117" s="4">
        <f>[1]节奏总纲!AH117</f>
        <v>86.742797181890381</v>
      </c>
      <c r="AZ117" s="4">
        <v>114</v>
      </c>
      <c r="BA117" s="4">
        <v>38.91434079381721</v>
      </c>
      <c r="BB117" s="4">
        <v>40.402090538761065</v>
      </c>
      <c r="BC117" s="4">
        <v>42.340712512072891</v>
      </c>
      <c r="BD117" s="4">
        <v>45.088151688727308</v>
      </c>
      <c r="BE117" s="4">
        <v>49.774085316672867</v>
      </c>
    </row>
    <row r="118" spans="6:57">
      <c r="F118" s="4">
        <v>116</v>
      </c>
      <c r="G118" s="4">
        <v>3103.1875282132928</v>
      </c>
      <c r="N118" s="4">
        <f>[1]节奏总纲!N118</f>
        <v>125</v>
      </c>
      <c r="O118" s="4">
        <v>115</v>
      </c>
      <c r="P118" s="4">
        <f>[1]节奏总纲!P118</f>
        <v>2895.3093757400989</v>
      </c>
      <c r="Q118" s="4">
        <f>[1]节奏总纲!Q118</f>
        <v>2463.0396859421021</v>
      </c>
      <c r="R118" s="4">
        <f>[1]节奏总纲!R118</f>
        <v>1969.9684992535633</v>
      </c>
      <c r="S118" s="4">
        <f>[1]节奏总纲!S118</f>
        <v>1407.1203566096881</v>
      </c>
      <c r="T118" s="4">
        <f>[1]节奏总纲!T118</f>
        <v>758.86058738147995</v>
      </c>
      <c r="V118" s="4">
        <v>115</v>
      </c>
      <c r="W118" s="4">
        <f>[1]节奏总纲!W118</f>
        <v>193.95717447721108</v>
      </c>
      <c r="X118" s="4">
        <f>[1]节奏总纲!X118</f>
        <v>158.51612304473247</v>
      </c>
      <c r="Y118" s="4">
        <f>[1]节奏总纲!Y118</f>
        <v>123.59426969037963</v>
      </c>
      <c r="Z118" s="4">
        <f>[1]节奏总纲!Z118</f>
        <v>87.779941512893629</v>
      </c>
      <c r="AA118" s="4">
        <f>[1]节奏总纲!AA118</f>
        <v>47.864688009087899</v>
      </c>
      <c r="AC118" s="4">
        <v>115</v>
      </c>
      <c r="AD118" s="4">
        <f>[1]节奏总纲!AD118</f>
        <v>68.571351621712935</v>
      </c>
      <c r="AE118" s="4">
        <f>[1]节奏总纲!AE118</f>
        <v>70.623848607834674</v>
      </c>
      <c r="AF118" s="4">
        <f>[1]节奏总纲!AF118</f>
        <v>73.544044139561237</v>
      </c>
      <c r="AG118" s="4">
        <f>[1]节奏总纲!AG118</f>
        <v>77.978312719356751</v>
      </c>
      <c r="AH118" s="4">
        <f>[1]节奏总纲!AH118</f>
        <v>86.889801275240458</v>
      </c>
      <c r="AZ118" s="4">
        <v>115</v>
      </c>
      <c r="BA118" s="4">
        <v>38.976971320055128</v>
      </c>
      <c r="BB118" s="4">
        <v>40.460364529885858</v>
      </c>
      <c r="BC118" s="4">
        <v>42.398567103617999</v>
      </c>
      <c r="BD118" s="4">
        <v>45.143943896782567</v>
      </c>
      <c r="BE118" s="4">
        <v>49.836064653662483</v>
      </c>
    </row>
    <row r="119" spans="6:57">
      <c r="F119" s="4">
        <v>117</v>
      </c>
      <c r="G119" s="4">
        <v>3325.985815475135</v>
      </c>
      <c r="N119" s="4">
        <f>[1]节奏总纲!N119</f>
        <v>126</v>
      </c>
      <c r="O119" s="4">
        <v>116</v>
      </c>
      <c r="P119" s="4">
        <f>[1]节奏总纲!P119</f>
        <v>3103.1875282132928</v>
      </c>
      <c r="Q119" s="4">
        <f>[1]节奏总纲!Q119</f>
        <v>2636.7784427228348</v>
      </c>
      <c r="R119" s="4">
        <f>[1]节奏总纲!R119</f>
        <v>2108.9262441737537</v>
      </c>
      <c r="S119" s="4">
        <f>[1]节奏总纲!S119</f>
        <v>1509.0800949701243</v>
      </c>
      <c r="T119" s="4">
        <f>[1]节奏总纲!T119</f>
        <v>813.34545114470404</v>
      </c>
      <c r="V119" s="4">
        <v>116</v>
      </c>
      <c r="W119" s="4">
        <f>[1]节奏总纲!W119</f>
        <v>207.87815247319395</v>
      </c>
      <c r="X119" s="4">
        <f>[1]节奏总纲!X119</f>
        <v>173.73875678073273</v>
      </c>
      <c r="Y119" s="4">
        <f>[1]节奏总纲!Y119</f>
        <v>138.95774492019041</v>
      </c>
      <c r="Z119" s="4">
        <f>[1]节奏总纲!Z119</f>
        <v>101.95973836043618</v>
      </c>
      <c r="AA119" s="4">
        <f>[1]节奏总纲!AA119</f>
        <v>54.484863763224098</v>
      </c>
      <c r="AC119" s="4">
        <v>116</v>
      </c>
      <c r="AD119" s="4">
        <f>[1]节奏总纲!AD119</f>
        <v>68.696386775114874</v>
      </c>
      <c r="AE119" s="4">
        <f>[1]节奏总纲!AE119</f>
        <v>70.747856918374893</v>
      </c>
      <c r="AF119" s="4">
        <f>[1]节奏总纲!AF119</f>
        <v>73.667169369383686</v>
      </c>
      <c r="AG119" s="4">
        <f>[1]节奏总纲!AG119</f>
        <v>78.10469841238104</v>
      </c>
      <c r="AH119" s="4">
        <f>[1]节奏总纲!AH119</f>
        <v>87.033659382136349</v>
      </c>
      <c r="AZ119" s="4">
        <v>116</v>
      </c>
      <c r="BA119" s="4">
        <v>39.034165367506482</v>
      </c>
      <c r="BB119" s="4">
        <v>40.518638521010644</v>
      </c>
      <c r="BC119" s="4">
        <v>42.456421695163108</v>
      </c>
      <c r="BD119" s="4">
        <v>45.199736104837825</v>
      </c>
      <c r="BE119" s="4">
        <v>49.898043990652091</v>
      </c>
    </row>
    <row r="120" spans="6:57">
      <c r="F120" s="4">
        <v>118</v>
      </c>
      <c r="G120" s="4">
        <v>3564.7751072609281</v>
      </c>
      <c r="N120" s="4">
        <f>[1]节奏总纲!N120</f>
        <v>127</v>
      </c>
      <c r="O120" s="4">
        <v>117</v>
      </c>
      <c r="P120" s="4">
        <f>[1]节奏总纲!P120</f>
        <v>3325.985815475135</v>
      </c>
      <c r="Q120" s="4">
        <f>[1]节奏总纲!Q120</f>
        <v>2826.7553445723174</v>
      </c>
      <c r="R120" s="4">
        <f>[1]节奏总纲!R120</f>
        <v>2262.6681502677343</v>
      </c>
      <c r="S120" s="4">
        <f>[1]节奏总纲!S120</f>
        <v>1618.0920992286531</v>
      </c>
      <c r="T120" s="4">
        <f>[1]节奏总纲!T120</f>
        <v>873.07127656222303</v>
      </c>
      <c r="V120" s="4">
        <v>117</v>
      </c>
      <c r="W120" s="4">
        <f>[1]节奏总纲!W120</f>
        <v>222.79828726184223</v>
      </c>
      <c r="X120" s="4">
        <f>[1]节奏总纲!X120</f>
        <v>189.9769018494826</v>
      </c>
      <c r="Y120" s="4">
        <f>[1]节奏总纲!Y120</f>
        <v>153.74190609398056</v>
      </c>
      <c r="Z120" s="4">
        <f>[1]节奏总纲!Z120</f>
        <v>109.0120042585288</v>
      </c>
      <c r="AA120" s="4">
        <f>[1]节奏总纲!AA120</f>
        <v>59.72582541751899</v>
      </c>
      <c r="AC120" s="4">
        <v>117</v>
      </c>
      <c r="AD120" s="4">
        <f>[1]节奏总纲!AD120</f>
        <v>68.821421928516827</v>
      </c>
      <c r="AE120" s="4">
        <f>[1]节奏总纲!AE120</f>
        <v>70.871865228915112</v>
      </c>
      <c r="AF120" s="4">
        <f>[1]节奏总纲!AF120</f>
        <v>73.790294599206149</v>
      </c>
      <c r="AG120" s="4">
        <f>[1]节奏总纲!AG120</f>
        <v>78.230540290975199</v>
      </c>
      <c r="AH120" s="4">
        <f>[1]节奏总纲!AH120</f>
        <v>87.168098110592624</v>
      </c>
      <c r="AZ120" s="4">
        <v>117</v>
      </c>
      <c r="BA120" s="4">
        <v>39.088198074219406</v>
      </c>
      <c r="BB120" s="4">
        <v>40.576912512135436</v>
      </c>
      <c r="BC120" s="4">
        <v>42.51427628670821</v>
      </c>
      <c r="BD120" s="4">
        <v>45.255528312893091</v>
      </c>
      <c r="BE120" s="4">
        <v>49.9600233276417</v>
      </c>
    </row>
    <row r="121" spans="6:57">
      <c r="F121" s="4">
        <v>119</v>
      </c>
      <c r="G121" s="4">
        <v>3820.7031333347636</v>
      </c>
      <c r="N121" s="4">
        <f>[1]节奏总纲!N121</f>
        <v>128</v>
      </c>
      <c r="O121" s="4">
        <v>118</v>
      </c>
      <c r="P121" s="4">
        <f>[1]节奏总纲!P121</f>
        <v>3564.7751072609281</v>
      </c>
      <c r="Q121" s="4">
        <f>[1]节奏总纲!Q121</f>
        <v>3030.4153186825147</v>
      </c>
      <c r="R121" s="4">
        <f>[1]节奏总纲!R121</f>
        <v>2426.1859380017877</v>
      </c>
      <c r="S121" s="4">
        <f>[1]节奏总纲!S121</f>
        <v>1737.4713872789764</v>
      </c>
      <c r="T121" s="4">
        <f>[1]节奏总纲!T121</f>
        <v>936.10994316671975</v>
      </c>
      <c r="V121" s="4">
        <v>118</v>
      </c>
      <c r="W121" s="4">
        <f>[1]节奏总纲!W121</f>
        <v>238.78929178579301</v>
      </c>
      <c r="X121" s="4">
        <f>[1]节奏总纲!X121</f>
        <v>203.65997411019725</v>
      </c>
      <c r="Y121" s="4">
        <f>[1]节奏总纲!Y121</f>
        <v>163.5177877340534</v>
      </c>
      <c r="Z121" s="4">
        <f>[1]节奏总纲!Z121</f>
        <v>119.37928805032334</v>
      </c>
      <c r="AA121" s="4">
        <f>[1]节奏总纲!AA121</f>
        <v>63.038666604496711</v>
      </c>
      <c r="AC121" s="4">
        <v>118</v>
      </c>
      <c r="AD121" s="4">
        <f>[1]节奏总纲!AD121</f>
        <v>68.946457081918766</v>
      </c>
      <c r="AE121" s="4">
        <f>[1]节奏总纲!AE121</f>
        <v>70.995873539455332</v>
      </c>
      <c r="AF121" s="4">
        <f>[1]节奏总纲!AF121</f>
        <v>73.913419829028598</v>
      </c>
      <c r="AG121" s="4">
        <f>[1]节奏总纲!AG121</f>
        <v>78.356382169569343</v>
      </c>
      <c r="AH121" s="4">
        <f>[1]节奏总纲!AH121</f>
        <v>87.302536839048898</v>
      </c>
      <c r="AZ121" s="4">
        <v>118</v>
      </c>
      <c r="BA121" s="4">
        <v>39.14223078093233</v>
      </c>
      <c r="BB121" s="4">
        <v>40.635186503260229</v>
      </c>
      <c r="BC121" s="4">
        <v>42.572130878253319</v>
      </c>
      <c r="BD121" s="4">
        <v>45.31132052094835</v>
      </c>
      <c r="BE121" s="4">
        <v>50</v>
      </c>
    </row>
    <row r="122" spans="6:57">
      <c r="F122" s="4">
        <v>120</v>
      </c>
      <c r="G122" s="4">
        <v>4095</v>
      </c>
      <c r="N122" s="4">
        <f>[1]节奏总纲!N122</f>
        <v>129</v>
      </c>
      <c r="O122" s="4">
        <v>119</v>
      </c>
      <c r="P122" s="4">
        <f>[1]节奏总纲!P122</f>
        <v>3820.7031333347636</v>
      </c>
      <c r="Q122" s="4">
        <f>[1]节奏总纲!Q122</f>
        <v>3250.2721555278836</v>
      </c>
      <c r="R122" s="4">
        <f>[1]节奏总纲!R122</f>
        <v>2604.5733259943081</v>
      </c>
      <c r="S122" s="4">
        <f>[1]节奏总纲!S122</f>
        <v>1863.3569181273642</v>
      </c>
      <c r="T122" s="4">
        <f>[1]节奏总纲!T122</f>
        <v>1000.260080307041</v>
      </c>
      <c r="V122" s="4">
        <v>119</v>
      </c>
      <c r="W122" s="4">
        <f>[1]节奏总纲!W122</f>
        <v>255.92802607383555</v>
      </c>
      <c r="X122" s="4">
        <f>[1]节奏总纲!X122</f>
        <v>219.85683684536889</v>
      </c>
      <c r="Y122" s="4">
        <f>[1]节奏总纲!Y122</f>
        <v>178.38738799252042</v>
      </c>
      <c r="Z122" s="4">
        <f>[1]节奏总纲!Z122</f>
        <v>125.88553084838782</v>
      </c>
      <c r="AA122" s="4">
        <f>[1]节奏总纲!AA122</f>
        <v>64.150137140321249</v>
      </c>
      <c r="AC122" s="4">
        <v>119</v>
      </c>
      <c r="AD122" s="4">
        <f>[1]节奏总纲!AD122</f>
        <v>69.066704614192943</v>
      </c>
      <c r="AE122" s="4">
        <f>[1]节奏总纲!AE122</f>
        <v>71.113087458015798</v>
      </c>
      <c r="AF122" s="4">
        <f>[1]节奏总纲!AF122</f>
        <v>74.034200876118248</v>
      </c>
      <c r="AG122" s="4">
        <f>[1]节奏总纲!AG122</f>
        <v>78.482224048163502</v>
      </c>
      <c r="AH122" s="4">
        <f>[1]节奏总纲!AH122</f>
        <v>87.436975567505186</v>
      </c>
      <c r="AZ122" s="4">
        <v>119</v>
      </c>
      <c r="BA122" s="4">
        <v>39.196263487645254</v>
      </c>
      <c r="BB122" s="4">
        <v>40.693460494385022</v>
      </c>
      <c r="BC122" s="4">
        <v>42.629985469798427</v>
      </c>
      <c r="BD122" s="4">
        <v>45.367112729003608</v>
      </c>
      <c r="BE122" s="4">
        <v>50</v>
      </c>
    </row>
    <row r="123" spans="6:57">
      <c r="F123" s="4">
        <v>121</v>
      </c>
      <c r="G123" s="4">
        <v>4388.9841025486576</v>
      </c>
      <c r="N123" s="4">
        <f>[1]节奏总纲!N123</f>
        <v>130</v>
      </c>
      <c r="O123" s="4">
        <v>120</v>
      </c>
      <c r="P123" s="4">
        <f>[1]节奏总纲!P123</f>
        <v>4095</v>
      </c>
      <c r="Q123" s="4">
        <f>[1]节奏总纲!Q123</f>
        <v>3486.0735</v>
      </c>
      <c r="R123" s="4">
        <f>[1]节奏总纲!R123</f>
        <v>2791.971</v>
      </c>
      <c r="S123" s="4">
        <f>[1]节奏总纲!S123</f>
        <v>1988.5319999999999</v>
      </c>
      <c r="T123" s="4">
        <f>[1]节奏总纲!T123</f>
        <v>1067.9759999999999</v>
      </c>
      <c r="V123" s="4">
        <v>120</v>
      </c>
      <c r="W123" s="4">
        <f>[1]节奏总纲!W123</f>
        <v>274.29686666523639</v>
      </c>
      <c r="X123" s="4">
        <f>[1]节奏总纲!X123</f>
        <v>235.8013444721164</v>
      </c>
      <c r="Y123" s="4">
        <f>[1]节奏总纲!Y123</f>
        <v>187.3976740056919</v>
      </c>
      <c r="Z123" s="4">
        <f>[1]节奏总纲!Z123</f>
        <v>125.1750818726357</v>
      </c>
      <c r="AA123" s="4">
        <f>[1]节奏总纲!AA123</f>
        <v>67.715919692958892</v>
      </c>
      <c r="AC123" s="4">
        <v>120</v>
      </c>
      <c r="AD123" s="4">
        <f>[1]节奏总纲!AD123</f>
        <v>69.18336653741882</v>
      </c>
      <c r="AE123" s="4">
        <f>[1]节奏总纲!AE123</f>
        <v>71.230067506391322</v>
      </c>
      <c r="AF123" s="4">
        <f>[1]节奏总纲!AF123</f>
        <v>74.149428238300118</v>
      </c>
      <c r="AG123" s="4">
        <f>[1]节奏总纲!AG123</f>
        <v>78.608065926757661</v>
      </c>
      <c r="AH123" s="4">
        <f>[1]节奏总纲!AH123</f>
        <v>87.571414295961461</v>
      </c>
      <c r="AZ123" s="4">
        <v>120</v>
      </c>
      <c r="BA123" s="4">
        <v>39.250296194358178</v>
      </c>
      <c r="BB123" s="4">
        <v>40.751734485509814</v>
      </c>
      <c r="BC123" s="4">
        <v>42.687840061343536</v>
      </c>
      <c r="BD123" s="4">
        <v>45.422904937058867</v>
      </c>
      <c r="BE123" s="4">
        <v>50</v>
      </c>
    </row>
    <row r="124" spans="6:57">
      <c r="F124" s="4">
        <v>122</v>
      </c>
      <c r="G124" s="4">
        <v>4704.0684620678521</v>
      </c>
      <c r="N124" s="4">
        <f>[1]节奏总纲!N124</f>
        <v>131</v>
      </c>
      <c r="O124" s="4">
        <v>121</v>
      </c>
      <c r="P124" s="4">
        <f>[1]节奏总纲!P124</f>
        <v>4388.9841025486576</v>
      </c>
      <c r="Q124" s="4">
        <f>[1]节奏总纲!Q124</f>
        <v>3731.5142839868686</v>
      </c>
      <c r="R124" s="4">
        <f>[1]节奏总纲!R124</f>
        <v>2978.8035103997736</v>
      </c>
      <c r="S124" s="4">
        <f>[1]节奏总纲!S124</f>
        <v>2122.0738135822758</v>
      </c>
      <c r="T124" s="4">
        <f>[1]节奏总纲!T124</f>
        <v>1143.3303587139253</v>
      </c>
      <c r="V124" s="4">
        <v>121</v>
      </c>
      <c r="W124" s="4">
        <f>[1]节奏总纲!W124</f>
        <v>293.98410254865757</v>
      </c>
      <c r="X124" s="4">
        <f>[1]节奏总纲!X124</f>
        <v>245.44078398686861</v>
      </c>
      <c r="Y124" s="4">
        <f>[1]节奏总纲!Y124</f>
        <v>186.83251039977358</v>
      </c>
      <c r="Z124" s="4">
        <f>[1]节奏总纲!Z124</f>
        <v>133.54181358227584</v>
      </c>
      <c r="AA124" s="4">
        <f>[1]节奏总纲!AA124</f>
        <v>75.354358713925421</v>
      </c>
      <c r="AC124" s="4">
        <v>121</v>
      </c>
      <c r="AD124" s="4">
        <f>[1]节奏总纲!AD124</f>
        <v>69.300028460644711</v>
      </c>
      <c r="AE124" s="4">
        <f>[1]节奏总纲!AE124</f>
        <v>71.347047554766846</v>
      </c>
      <c r="AF124" s="4">
        <f>[1]节奏总纲!AF124</f>
        <v>74.264655600481987</v>
      </c>
      <c r="AG124" s="4">
        <f>[1]节奏总纲!AG124</f>
        <v>78.733907805351805</v>
      </c>
      <c r="AH124" s="4">
        <f>[1]节奏总纲!AH124</f>
        <v>87.705853024417735</v>
      </c>
      <c r="AZ124" s="4">
        <v>121</v>
      </c>
      <c r="BA124" s="4">
        <v>39.304328901071102</v>
      </c>
      <c r="BB124" s="4">
        <v>40.810008476634607</v>
      </c>
      <c r="BC124" s="4">
        <v>42.745694652888645</v>
      </c>
      <c r="BD124" s="4">
        <v>45.478697145114126</v>
      </c>
      <c r="BE124" s="4">
        <v>50</v>
      </c>
    </row>
    <row r="125" spans="6:57">
      <c r="F125" s="4">
        <v>123</v>
      </c>
      <c r="G125" s="4">
        <v>5041.7675170607781</v>
      </c>
      <c r="N125" s="4">
        <f>[1]节奏总纲!N125</f>
        <v>132</v>
      </c>
      <c r="O125" s="4">
        <v>122</v>
      </c>
      <c r="P125" s="4">
        <f>[1]节奏总纲!P125</f>
        <v>4704.0684620678521</v>
      </c>
      <c r="Q125" s="4">
        <f>[1]节奏总纲!Q125</f>
        <v>3989.5204626797454</v>
      </c>
      <c r="R125" s="4">
        <f>[1]节奏总纲!R125</f>
        <v>3183.7135351275219</v>
      </c>
      <c r="S125" s="4">
        <f>[1]节奏总纲!S125</f>
        <v>2271.1242534863591</v>
      </c>
      <c r="T125" s="4">
        <f>[1]节奏总纲!T125</f>
        <v>1223.9986138300551</v>
      </c>
      <c r="V125" s="4">
        <v>122</v>
      </c>
      <c r="W125" s="4">
        <f>[1]节奏总纲!W125</f>
        <v>315.08435951919455</v>
      </c>
      <c r="X125" s="4">
        <f>[1]节奏总纲!X125</f>
        <v>258.0061786928768</v>
      </c>
      <c r="Y125" s="4">
        <f>[1]节奏总纲!Y125</f>
        <v>204.91002472774835</v>
      </c>
      <c r="Z125" s="4">
        <f>[1]节奏总纲!Z125</f>
        <v>149.05043990408331</v>
      </c>
      <c r="AA125" s="4">
        <f>[1]节奏总纲!AA125</f>
        <v>80.668255116129785</v>
      </c>
      <c r="AC125" s="4">
        <v>122</v>
      </c>
      <c r="AD125" s="4">
        <f>[1]节奏总纲!AD125</f>
        <v>69.416690383870588</v>
      </c>
      <c r="AE125" s="4">
        <f>[1]节奏总纲!AE125</f>
        <v>71.46402760314237</v>
      </c>
      <c r="AF125" s="4">
        <f>[1]节奏总纲!AF125</f>
        <v>74.379882962663856</v>
      </c>
      <c r="AG125" s="4">
        <f>[1]节奏总纲!AG125</f>
        <v>78.859749683945964</v>
      </c>
      <c r="AH125" s="4">
        <f>[1]节奏总纲!AH125</f>
        <v>87.840291752874009</v>
      </c>
      <c r="AZ125" s="4">
        <v>122</v>
      </c>
      <c r="BA125" s="4">
        <v>39.358361607784026</v>
      </c>
      <c r="BB125" s="4">
        <v>40.8682824677594</v>
      </c>
      <c r="BC125" s="4">
        <v>42.803549244433754</v>
      </c>
      <c r="BD125" s="4">
        <v>45.534489353169384</v>
      </c>
      <c r="BE125" s="4">
        <v>50</v>
      </c>
    </row>
    <row r="126" spans="6:57">
      <c r="F126" s="4">
        <v>124</v>
      </c>
      <c r="G126" s="4">
        <v>5403.704402525771</v>
      </c>
      <c r="N126" s="4">
        <f>[1]节奏总纲!N126</f>
        <v>133</v>
      </c>
      <c r="O126" s="4">
        <v>123</v>
      </c>
      <c r="P126" s="4">
        <f>[1]节奏总纲!P126</f>
        <v>5041.7675170607781</v>
      </c>
      <c r="Q126" s="4">
        <f>[1]节奏总纲!Q126</f>
        <v>4275.9230312192458</v>
      </c>
      <c r="R126" s="4">
        <f>[1]节奏总纲!R126</f>
        <v>3419.8309068223257</v>
      </c>
      <c r="S126" s="4">
        <f>[1]节奏总纲!S126</f>
        <v>2442.7363620159467</v>
      </c>
      <c r="T126" s="4">
        <f>[1]节奏总纲!T126</f>
        <v>1316.4054987045693</v>
      </c>
      <c r="V126" s="4">
        <v>123</v>
      </c>
      <c r="W126" s="4">
        <f>[1]节奏总纲!W126</f>
        <v>337.69905499292599</v>
      </c>
      <c r="X126" s="4">
        <f>[1]节奏总纲!X126</f>
        <v>286.40256853950041</v>
      </c>
      <c r="Y126" s="4">
        <f>[1]节奏总纲!Y126</f>
        <v>236.11737169480375</v>
      </c>
      <c r="Z126" s="4">
        <f>[1]节奏总纲!Z126</f>
        <v>171.61210852958766</v>
      </c>
      <c r="AA126" s="4">
        <f>[1]节奏总纲!AA126</f>
        <v>92.406884874514162</v>
      </c>
      <c r="AC126" s="4">
        <v>123</v>
      </c>
      <c r="AD126" s="4">
        <f>[1]节奏总纲!AD126</f>
        <v>69.533352307096465</v>
      </c>
      <c r="AE126" s="4">
        <f>[1]节奏总纲!AE126</f>
        <v>71.581007651517908</v>
      </c>
      <c r="AF126" s="4">
        <f>[1]节奏总纲!AF126</f>
        <v>74.495110324845726</v>
      </c>
      <c r="AG126" s="4">
        <f>[1]节奏总纲!AG126</f>
        <v>78.985591562540122</v>
      </c>
      <c r="AH126" s="4">
        <f>[1]节奏总纲!AH126</f>
        <v>87.974730481330297</v>
      </c>
      <c r="AZ126" s="4">
        <v>123</v>
      </c>
      <c r="BA126" s="4">
        <v>39.41239431449695</v>
      </c>
      <c r="BB126" s="4">
        <v>40.926556458884193</v>
      </c>
      <c r="BC126" s="4">
        <v>42.861403835978855</v>
      </c>
      <c r="BD126" s="4">
        <v>45.590281561224643</v>
      </c>
      <c r="BE126" s="4">
        <v>50</v>
      </c>
    </row>
    <row r="127" spans="6:57">
      <c r="F127" s="4">
        <v>125</v>
      </c>
      <c r="G127" s="4">
        <v>5791.6187514801986</v>
      </c>
      <c r="N127" s="4">
        <f>[1]节奏总纲!N127</f>
        <v>134</v>
      </c>
      <c r="O127" s="4">
        <v>124</v>
      </c>
      <c r="P127" s="4">
        <f>[1]节奏总纲!P127</f>
        <v>5403.704402525771</v>
      </c>
      <c r="Q127" s="4">
        <f>[1]节奏总纲!Q127</f>
        <v>4591.5276308261473</v>
      </c>
      <c r="R127" s="4">
        <f>[1]节奏总纲!R127</f>
        <v>3671.276771076009</v>
      </c>
      <c r="S127" s="4">
        <f>[1]节奏总纲!S127</f>
        <v>2624.0388578665143</v>
      </c>
      <c r="T127" s="4">
        <f>[1]节奏总纲!T127</f>
        <v>1415.7705534617521</v>
      </c>
      <c r="V127" s="4">
        <v>124</v>
      </c>
      <c r="W127" s="4">
        <f>[1]节奏总纲!W127</f>
        <v>361.93688546499288</v>
      </c>
      <c r="X127" s="4">
        <f>[1]节奏总纲!X127</f>
        <v>315.6045996069015</v>
      </c>
      <c r="Y127" s="4">
        <f>[1]节奏总纲!Y127</f>
        <v>251.44586425368334</v>
      </c>
      <c r="Z127" s="4">
        <f>[1]节奏总纲!Z127</f>
        <v>181.30249585056754</v>
      </c>
      <c r="AA127" s="4">
        <f>[1]节奏总纲!AA127</f>
        <v>99.365054757182861</v>
      </c>
      <c r="AC127" s="4">
        <v>124</v>
      </c>
      <c r="AD127" s="4">
        <f>[1]节奏总纲!AD127</f>
        <v>69.650014230322356</v>
      </c>
      <c r="AE127" s="4">
        <f>[1]节奏总纲!AE127</f>
        <v>71.697987699893432</v>
      </c>
      <c r="AF127" s="4">
        <f>[1]节奏总纲!AF127</f>
        <v>74.610337687027609</v>
      </c>
      <c r="AG127" s="4">
        <f>[1]节奏总纲!AG127</f>
        <v>79.104601412347151</v>
      </c>
      <c r="AH127" s="4">
        <f>[1]节奏总纲!AH127</f>
        <v>88.109271506528316</v>
      </c>
      <c r="AZ127" s="4">
        <v>124</v>
      </c>
      <c r="BA127" s="4">
        <v>39.466427021209874</v>
      </c>
      <c r="BB127" s="4">
        <v>40.984830450008978</v>
      </c>
      <c r="BC127" s="4">
        <v>42.919258427523964</v>
      </c>
      <c r="BD127" s="4">
        <v>45.646073769279901</v>
      </c>
      <c r="BE127" s="4">
        <v>50</v>
      </c>
    </row>
    <row r="128" spans="6:57">
      <c r="F128" s="4">
        <v>126</v>
      </c>
      <c r="G128" s="4">
        <v>6207.3750564265865</v>
      </c>
      <c r="N128" s="4">
        <f>[1]节奏总纲!N128</f>
        <v>135</v>
      </c>
      <c r="O128" s="4">
        <v>125</v>
      </c>
      <c r="P128" s="4">
        <f>[1]节奏总纲!P128</f>
        <v>5791.6187514801986</v>
      </c>
      <c r="Q128" s="4">
        <f>[1]节奏总纲!Q128</f>
        <v>4918.821805632133</v>
      </c>
      <c r="R128" s="4">
        <f>[1]节奏总纲!R128</f>
        <v>3940.0382366319791</v>
      </c>
      <c r="S128" s="4">
        <f>[1]节奏总纲!S128</f>
        <v>2816.4641988448207</v>
      </c>
      <c r="T128" s="4">
        <f>[1]节奏总纲!T128</f>
        <v>1509.8750085108877</v>
      </c>
      <c r="V128" s="4">
        <v>125</v>
      </c>
      <c r="W128" s="4">
        <f>[1]节奏总纲!W128</f>
        <v>387.91434895442762</v>
      </c>
      <c r="X128" s="4">
        <f>[1]节奏总纲!X128</f>
        <v>327.29417480598568</v>
      </c>
      <c r="Y128" s="4">
        <f>[1]节奏总纲!Y128</f>
        <v>268.76146555597006</v>
      </c>
      <c r="Z128" s="4">
        <f>[1]节奏总纲!Z128</f>
        <v>192.42534097830639</v>
      </c>
      <c r="AA128" s="4">
        <f>[1]节奏总纲!AA128</f>
        <v>94.104455049135595</v>
      </c>
      <c r="AC128" s="4">
        <v>125</v>
      </c>
      <c r="AD128" s="4">
        <f>[1]节奏总纲!AD128</f>
        <v>69.766676153548232</v>
      </c>
      <c r="AE128" s="4">
        <f>[1]节奏总纲!AE128</f>
        <v>71.814967748268955</v>
      </c>
      <c r="AF128" s="4">
        <f>[1]节奏总纲!AF128</f>
        <v>74.725565049209479</v>
      </c>
      <c r="AG128" s="4">
        <f>[1]节奏总纲!AG128</f>
        <v>79.222727875098187</v>
      </c>
      <c r="AH128" s="4">
        <f>[1]节奏总纲!AH128</f>
        <v>88.243836210467165</v>
      </c>
      <c r="AZ128" s="4">
        <v>125</v>
      </c>
      <c r="BA128" s="4">
        <v>39.520459727922798</v>
      </c>
      <c r="BB128" s="4">
        <v>41.037193447861313</v>
      </c>
      <c r="BC128" s="4">
        <v>42.977113019069073</v>
      </c>
      <c r="BD128" s="4">
        <v>45.701865977335167</v>
      </c>
      <c r="BE128" s="4">
        <v>50</v>
      </c>
    </row>
    <row r="129" spans="6:57">
      <c r="F129" s="4">
        <v>127</v>
      </c>
      <c r="G129" s="4">
        <v>6652.971630950271</v>
      </c>
      <c r="N129" s="4">
        <f>[1]节奏总纲!N129</f>
        <v>136</v>
      </c>
      <c r="O129" s="4">
        <v>126</v>
      </c>
      <c r="P129" s="4">
        <f>[1]节奏总纲!P129</f>
        <v>6207.3750564265865</v>
      </c>
      <c r="Q129" s="4">
        <f>[1]节奏总纲!Q129</f>
        <v>5279.3724854908123</v>
      </c>
      <c r="R129" s="4">
        <f>[1]节奏总纲!R129</f>
        <v>4225.9809384152195</v>
      </c>
      <c r="S129" s="4">
        <f>[1]节奏总纲!S129</f>
        <v>3006.8524773330387</v>
      </c>
      <c r="T129" s="4">
        <f>[1]节奏总纲!T129</f>
        <v>1610.1930896370566</v>
      </c>
      <c r="V129" s="4">
        <v>126</v>
      </c>
      <c r="W129" s="4">
        <f>[1]节奏总纲!W129</f>
        <v>415.7563049463879</v>
      </c>
      <c r="X129" s="4">
        <f>[1]节奏总纲!X129</f>
        <v>360.55067985867936</v>
      </c>
      <c r="Y129" s="4">
        <f>[1]节奏总纲!Y129</f>
        <v>285.94270178324041</v>
      </c>
      <c r="Z129" s="4">
        <f>[1]节奏总纲!Z129</f>
        <v>190.38827848821802</v>
      </c>
      <c r="AA129" s="4">
        <f>[1]节奏总纲!AA129</f>
        <v>100.31808112616886</v>
      </c>
      <c r="AC129" s="4">
        <v>126</v>
      </c>
      <c r="AD129" s="4">
        <f>[1]节奏总纲!AD129</f>
        <v>69.883338076774123</v>
      </c>
      <c r="AE129" s="4">
        <f>[1]节奏总纲!AE129</f>
        <v>71.931947796644479</v>
      </c>
      <c r="AF129" s="4">
        <f>[1]节奏总纲!AF129</f>
        <v>74.840792411391348</v>
      </c>
      <c r="AG129" s="4">
        <f>[1]节奏总纲!AG129</f>
        <v>79.340854337849223</v>
      </c>
      <c r="AH129" s="4">
        <f>[1]节奏总纲!AH129</f>
        <v>88.378400914406001</v>
      </c>
      <c r="AZ129" s="4">
        <v>126</v>
      </c>
      <c r="BA129" s="4">
        <v>39.574492434635722</v>
      </c>
      <c r="BB129" s="4">
        <v>41.087476216725996</v>
      </c>
      <c r="BC129" s="4">
        <v>43.030177309109042</v>
      </c>
      <c r="BD129" s="4">
        <v>45.757658185390426</v>
      </c>
      <c r="BE129" s="4">
        <v>50</v>
      </c>
    </row>
    <row r="130" spans="6:57">
      <c r="F130" s="4">
        <v>128</v>
      </c>
      <c r="G130" s="4">
        <v>7130.5502145218443</v>
      </c>
      <c r="N130" s="4">
        <f>[1]节奏总纲!N130</f>
        <v>137</v>
      </c>
      <c r="O130" s="4">
        <v>127</v>
      </c>
      <c r="P130" s="4">
        <f>[1]节奏总纲!P130</f>
        <v>6652.971630950271</v>
      </c>
      <c r="Q130" s="4">
        <f>[1]节奏总纲!Q130</f>
        <v>5658.3523721232059</v>
      </c>
      <c r="R130" s="4">
        <f>[1]节奏总纲!R130</f>
        <v>4508.7188742949984</v>
      </c>
      <c r="S130" s="4">
        <f>[1]节奏总纲!S130</f>
        <v>3203.4058403025556</v>
      </c>
      <c r="T130" s="4">
        <f>[1]节奏总纲!T130</f>
        <v>1719.793166600645</v>
      </c>
      <c r="V130" s="4">
        <v>127</v>
      </c>
      <c r="W130" s="4">
        <f>[1]节奏总纲!W130</f>
        <v>445.59657452368447</v>
      </c>
      <c r="X130" s="4">
        <f>[1]节奏总纲!X130</f>
        <v>378.97988663239357</v>
      </c>
      <c r="Y130" s="4">
        <f>[1]节奏总纲!Y130</f>
        <v>282.73793587977889</v>
      </c>
      <c r="Z130" s="4">
        <f>[1]节奏总纲!Z130</f>
        <v>196.55336296951691</v>
      </c>
      <c r="AA130" s="4">
        <f>[1]节奏总纲!AA130</f>
        <v>109.60007696358844</v>
      </c>
      <c r="AC130" s="4">
        <v>127</v>
      </c>
      <c r="AD130" s="4">
        <f>[1]节奏总纲!AD130</f>
        <v>70</v>
      </c>
      <c r="AE130" s="4">
        <f>[1]节奏总纲!AE130</f>
        <v>72.047345051940553</v>
      </c>
      <c r="AF130" s="4">
        <f>[1]节奏总纲!AF130</f>
        <v>74.956019773573217</v>
      </c>
      <c r="AG130" s="4">
        <f>[1]节奏总纲!AG130</f>
        <v>79.458980800600258</v>
      </c>
      <c r="AH130" s="4">
        <f>[1]节奏总纲!AH130</f>
        <v>88.51296561834485</v>
      </c>
      <c r="AZ130" s="4">
        <v>127</v>
      </c>
      <c r="BA130" s="4">
        <v>39.628525141348646</v>
      </c>
      <c r="BB130" s="4">
        <v>41.137758985590679</v>
      </c>
      <c r="BC130" s="4">
        <v>43.080106253688569</v>
      </c>
      <c r="BD130" s="4">
        <v>45.813450393445684</v>
      </c>
      <c r="BE130" s="4">
        <v>50</v>
      </c>
    </row>
    <row r="131" spans="6:57">
      <c r="F131" s="4">
        <v>129</v>
      </c>
      <c r="G131" s="4">
        <v>7642.4062666695281</v>
      </c>
      <c r="N131" s="4">
        <f>[1]节奏总纲!N131</f>
        <v>138</v>
      </c>
      <c r="O131" s="4">
        <v>128</v>
      </c>
      <c r="P131" s="4">
        <f>[1]节奏总纲!P131</f>
        <v>7130.5502145218443</v>
      </c>
      <c r="Q131" s="4">
        <f>[1]节奏总纲!Q131</f>
        <v>6036.010756592741</v>
      </c>
      <c r="R131" s="4">
        <f>[1]节奏总纲!R131</f>
        <v>4805.9908445877236</v>
      </c>
      <c r="S131" s="4">
        <f>[1]节奏总纲!S131</f>
        <v>3419.0988278632244</v>
      </c>
      <c r="T131" s="4">
        <f>[1]节奏总纲!T131</f>
        <v>1838.9689003251838</v>
      </c>
      <c r="V131" s="4">
        <v>128</v>
      </c>
      <c r="W131" s="4">
        <f>[1]节奏总纲!W131</f>
        <v>477.57858357157329</v>
      </c>
      <c r="X131" s="4">
        <f>[1]节奏总纲!X131</f>
        <v>377.65838446953512</v>
      </c>
      <c r="Y131" s="4">
        <f>[1]节奏总纲!Y131</f>
        <v>297.2719702927252</v>
      </c>
      <c r="Z131" s="4">
        <f>[1]节奏总纲!Z131</f>
        <v>215.69298756066883</v>
      </c>
      <c r="AA131" s="4">
        <f>[1]节奏总纲!AA131</f>
        <v>119.17573372453876</v>
      </c>
      <c r="AC131" s="4">
        <v>128</v>
      </c>
      <c r="AD131" s="4">
        <f>[1]节奏总纲!AD131</f>
        <v>70.108849423225877</v>
      </c>
      <c r="AE131" s="4">
        <f>[1]节奏总纲!AE131</f>
        <v>72.160540850040434</v>
      </c>
      <c r="AF131" s="4">
        <f>[1]节奏总纲!AF131</f>
        <v>75.067682921736733</v>
      </c>
      <c r="AG131" s="4">
        <f>[1]节奏总纲!AG131</f>
        <v>79.577107263351294</v>
      </c>
      <c r="AH131" s="4">
        <f>[1]节奏总纲!AH131</f>
        <v>88.6475303222837</v>
      </c>
      <c r="AZ131" s="4">
        <v>128</v>
      </c>
      <c r="BA131" s="4">
        <v>39.68255784806157</v>
      </c>
      <c r="BB131" s="4">
        <v>41.188041754455355</v>
      </c>
      <c r="BC131" s="4">
        <v>43.130035198268104</v>
      </c>
      <c r="BD131" s="4">
        <v>45.869242601500943</v>
      </c>
      <c r="BE131" s="4">
        <v>50</v>
      </c>
    </row>
    <row r="132" spans="6:57">
      <c r="F132" s="4">
        <v>130</v>
      </c>
      <c r="G132" s="4">
        <v>8191</v>
      </c>
      <c r="N132" s="4">
        <f>[1]节奏总纲!N132</f>
        <v>139</v>
      </c>
      <c r="O132" s="4">
        <v>129</v>
      </c>
      <c r="P132" s="4">
        <f>[1]节奏总纲!P132</f>
        <v>7642.4062666695281</v>
      </c>
      <c r="Q132" s="4">
        <f>[1]节奏总纲!Q132</f>
        <v>6469.2969047357556</v>
      </c>
      <c r="R132" s="4">
        <f>[1]节奏总纲!R132</f>
        <v>5159.388470628599</v>
      </c>
      <c r="S132" s="4">
        <f>[1]节奏总纲!S132</f>
        <v>3676.7616548947103</v>
      </c>
      <c r="T132" s="4">
        <f>[1]节奏总纲!T132</f>
        <v>1975.5620199340731</v>
      </c>
      <c r="V132" s="4">
        <v>129</v>
      </c>
      <c r="W132" s="4">
        <f>[1]节奏总纲!W132</f>
        <v>511.85605214768384</v>
      </c>
      <c r="X132" s="4">
        <f>[1]节奏总纲!X132</f>
        <v>433.28614814301454</v>
      </c>
      <c r="Y132" s="4">
        <f>[1]节奏总纲!Y132</f>
        <v>353.39762604087537</v>
      </c>
      <c r="Z132" s="4">
        <f>[1]节奏总纲!Z132</f>
        <v>257.6628270314859</v>
      </c>
      <c r="AA132" s="4">
        <f>[1]节奏总纲!AA132</f>
        <v>136.59311960888931</v>
      </c>
      <c r="AC132" s="4">
        <v>129</v>
      </c>
      <c r="AD132" s="4">
        <f>[1]节奏总纲!AD132</f>
        <v>70.217698846451768</v>
      </c>
      <c r="AE132" s="4">
        <f>[1]节奏总纲!AE132</f>
        <v>72.273736648140314</v>
      </c>
      <c r="AF132" s="4">
        <f>[1]节奏总纲!AF132</f>
        <v>75.177145912126889</v>
      </c>
      <c r="AG132" s="4">
        <f>[1]节奏总纲!AG132</f>
        <v>79.69523372610233</v>
      </c>
      <c r="AH132" s="4">
        <f>[1]节奏总纲!AH132</f>
        <v>88.782095026222549</v>
      </c>
      <c r="AZ132" s="4">
        <v>129</v>
      </c>
      <c r="BA132" s="4">
        <v>39.736590554774494</v>
      </c>
      <c r="BB132" s="4">
        <v>41.238324523320038</v>
      </c>
      <c r="BC132" s="4">
        <v>43.179964142847631</v>
      </c>
      <c r="BD132" s="4">
        <v>45.925034809556202</v>
      </c>
      <c r="BE132" s="4">
        <v>50</v>
      </c>
    </row>
    <row r="133" spans="6:57">
      <c r="F133" s="4">
        <v>131</v>
      </c>
      <c r="G133" s="4">
        <v>8778.9682050973151</v>
      </c>
      <c r="N133" s="4">
        <f>[1]节奏总纲!N133</f>
        <v>140</v>
      </c>
      <c r="O133" s="4">
        <v>130</v>
      </c>
      <c r="P133" s="4">
        <f>[1]节奏总纲!P133</f>
        <v>8191</v>
      </c>
      <c r="Q133" s="4">
        <f>[1]节奏总纲!Q133</f>
        <v>6941.8725000000004</v>
      </c>
      <c r="R133" s="4">
        <f>[1]节奏总纲!R133</f>
        <v>5542.0306</v>
      </c>
      <c r="S133" s="4">
        <f>[1]节奏总纲!S133</f>
        <v>3951.3384000000001</v>
      </c>
      <c r="T133" s="4">
        <f>[1]节奏总纲!T133</f>
        <v>2124.7454000000002</v>
      </c>
      <c r="V133" s="4">
        <v>130</v>
      </c>
      <c r="W133" s="4">
        <f>[1]节奏总纲!W133</f>
        <v>548.59373333047188</v>
      </c>
      <c r="X133" s="4">
        <f>[1]节奏总纲!X133</f>
        <v>472.57559526424484</v>
      </c>
      <c r="Y133" s="4">
        <f>[1]节奏总纲!Y133</f>
        <v>382.6421293714011</v>
      </c>
      <c r="Z133" s="4">
        <f>[1]节奏总纲!Z133</f>
        <v>274.57674510528977</v>
      </c>
      <c r="AA133" s="4">
        <f>[1]节奏总纲!AA133</f>
        <v>149.18338006592717</v>
      </c>
      <c r="AC133" s="4">
        <v>130</v>
      </c>
      <c r="AD133" s="4">
        <f>[1]节奏总纲!AD133</f>
        <v>70.326548269677644</v>
      </c>
      <c r="AE133" s="4">
        <f>[1]节奏总纲!AE133</f>
        <v>72.386932446240195</v>
      </c>
      <c r="AF133" s="4">
        <f>[1]节奏总纲!AF133</f>
        <v>75.286608902517045</v>
      </c>
      <c r="AG133" s="4">
        <f>[1]节奏总纲!AG133</f>
        <v>79.813360188853366</v>
      </c>
      <c r="AH133" s="4">
        <f>[1]节奏总纲!AH133</f>
        <v>88.916659730161399</v>
      </c>
      <c r="AZ133" s="4">
        <v>130</v>
      </c>
      <c r="BA133" s="4">
        <v>39.790623261487418</v>
      </c>
      <c r="BB133" s="4">
        <v>41.288607292184714</v>
      </c>
      <c r="BC133" s="4">
        <v>43.229893087427158</v>
      </c>
      <c r="BD133" s="4">
        <v>45.98082701761146</v>
      </c>
      <c r="BE133" s="4">
        <v>50</v>
      </c>
    </row>
    <row r="134" spans="6:57">
      <c r="F134" s="4">
        <v>132</v>
      </c>
      <c r="G134" s="4">
        <v>9409.1369241357042</v>
      </c>
      <c r="N134" s="4">
        <f>[1]节奏总纲!N134</f>
        <v>141</v>
      </c>
      <c r="O134" s="4">
        <v>131</v>
      </c>
      <c r="P134" s="4">
        <f>[1]节奏总纲!P134</f>
        <v>8778.9682050973151</v>
      </c>
      <c r="Q134" s="4">
        <f>[1]节奏总纲!Q134</f>
        <v>7443.6871411020138</v>
      </c>
      <c r="R134" s="4">
        <f>[1]节奏总纲!R134</f>
        <v>5945.117268491902</v>
      </c>
      <c r="S134" s="4">
        <f>[1]节奏总纲!S134</f>
        <v>4244.6311271645518</v>
      </c>
      <c r="T134" s="4">
        <f>[1]节奏总纲!T134</f>
        <v>2275.5085587612239</v>
      </c>
      <c r="V134" s="4">
        <v>131</v>
      </c>
      <c r="W134" s="4">
        <f>[1]节奏总纲!W134</f>
        <v>587.96820509731515</v>
      </c>
      <c r="X134" s="4">
        <f>[1]节奏总纲!X134</f>
        <v>501.81464110201341</v>
      </c>
      <c r="Y134" s="4">
        <f>[1]节奏总纲!Y134</f>
        <v>403.08666849190195</v>
      </c>
      <c r="Z134" s="4">
        <f>[1]节奏总纲!Z134</f>
        <v>293.29272716455171</v>
      </c>
      <c r="AA134" s="4">
        <f>[1]节奏总纲!AA134</f>
        <v>150.76315876122362</v>
      </c>
      <c r="AC134" s="4">
        <v>131</v>
      </c>
      <c r="AD134" s="4">
        <f>[1]节奏总纲!AD134</f>
        <v>70.435397692903535</v>
      </c>
      <c r="AE134" s="4">
        <f>[1]节奏总纲!AE134</f>
        <v>72.50012824434009</v>
      </c>
      <c r="AF134" s="4">
        <f>[1]节奏总纲!AF134</f>
        <v>75.396071892907202</v>
      </c>
      <c r="AG134" s="4">
        <f>[1]节奏总纲!AG134</f>
        <v>79.931486651604402</v>
      </c>
      <c r="AH134" s="4">
        <f>[1]节奏总纲!AH134</f>
        <v>89.048420729369383</v>
      </c>
      <c r="AZ134" s="4">
        <v>131</v>
      </c>
      <c r="BA134" s="4">
        <v>39.844655968200342</v>
      </c>
      <c r="BB134" s="4">
        <v>41.338890061049398</v>
      </c>
      <c r="BC134" s="4">
        <v>43.279822032006692</v>
      </c>
      <c r="BD134" s="4">
        <v>46.031609894814238</v>
      </c>
      <c r="BE134" s="4">
        <v>50</v>
      </c>
    </row>
    <row r="135" spans="6:57">
      <c r="F135" s="4">
        <v>133</v>
      </c>
      <c r="G135" s="4">
        <v>10084.535034121556</v>
      </c>
      <c r="N135" s="4">
        <f>[1]节奏总纲!N135</f>
        <v>142</v>
      </c>
      <c r="O135" s="4">
        <v>132</v>
      </c>
      <c r="P135" s="4">
        <f>[1]节奏总纲!P135</f>
        <v>9409.1369241357042</v>
      </c>
      <c r="Q135" s="4">
        <f>[1]节奏总纲!Q135</f>
        <v>7983.6526801291457</v>
      </c>
      <c r="R135" s="4">
        <f>[1]节奏总纲!R135</f>
        <v>6385.9812304109018</v>
      </c>
      <c r="S135" s="4">
        <f>[1]节奏总纲!S135</f>
        <v>4544.6131343575453</v>
      </c>
      <c r="T135" s="4">
        <f>[1]节奏总纲!T135</f>
        <v>2431.3209811966663</v>
      </c>
      <c r="V135" s="4">
        <v>132</v>
      </c>
      <c r="W135" s="4">
        <f>[1]节奏总纲!W135</f>
        <v>630.1687190383891</v>
      </c>
      <c r="X135" s="4">
        <f>[1]节奏总纲!X135</f>
        <v>539.96553902713185</v>
      </c>
      <c r="Y135" s="4">
        <f>[1]节奏总纲!Y135</f>
        <v>440.86396191899985</v>
      </c>
      <c r="Z135" s="4">
        <f>[1]节奏总纲!Z135</f>
        <v>299.98200719299348</v>
      </c>
      <c r="AA135" s="4">
        <f>[1]节奏总纲!AA135</f>
        <v>155.81242243544239</v>
      </c>
      <c r="AC135" s="4">
        <v>132</v>
      </c>
      <c r="AD135" s="4">
        <f>[1]节奏总纲!AD135</f>
        <v>70.544247116129412</v>
      </c>
      <c r="AE135" s="4">
        <f>[1]节奏总纲!AE135</f>
        <v>72.61332404243997</v>
      </c>
      <c r="AF135" s="4">
        <f>[1]节奏总纲!AF135</f>
        <v>75.505534883297358</v>
      </c>
      <c r="AG135" s="4">
        <f>[1]节奏总纲!AG135</f>
        <v>80.045750258986601</v>
      </c>
      <c r="AH135" s="4">
        <f>[1]节奏总纲!AH135</f>
        <v>89.175620204122851</v>
      </c>
      <c r="AZ135" s="4">
        <v>132</v>
      </c>
      <c r="BA135" s="4">
        <v>39.898688674913267</v>
      </c>
      <c r="BB135" s="4">
        <v>41.389172829914081</v>
      </c>
      <c r="BC135" s="4">
        <v>43.329750976586219</v>
      </c>
      <c r="BD135" s="4">
        <v>46.079770001861057</v>
      </c>
      <c r="BE135" s="4">
        <v>50</v>
      </c>
    </row>
    <row r="136" spans="6:57">
      <c r="F136" s="4">
        <v>134</v>
      </c>
      <c r="G136" s="4">
        <v>10808.408805051544</v>
      </c>
      <c r="N136" s="4">
        <f>[1]节奏总纲!N136</f>
        <v>143</v>
      </c>
      <c r="O136" s="4">
        <v>133</v>
      </c>
      <c r="P136" s="4">
        <f>[1]节奏总纲!P136</f>
        <v>10084.535034121556</v>
      </c>
      <c r="Q136" s="4">
        <f>[1]节奏总纲!Q136</f>
        <v>8562.7786974726132</v>
      </c>
      <c r="R136" s="4">
        <f>[1]节奏总纲!R136</f>
        <v>6827.2302181002942</v>
      </c>
      <c r="S136" s="4">
        <f>[1]节奏总纲!S136</f>
        <v>4847.6359909022322</v>
      </c>
      <c r="T136" s="4">
        <f>[1]节奏总纲!T136</f>
        <v>2595.759317782889</v>
      </c>
      <c r="V136" s="4">
        <v>133</v>
      </c>
      <c r="W136" s="4">
        <f>[1]节奏总纲!W136</f>
        <v>675.39810998585199</v>
      </c>
      <c r="X136" s="4">
        <f>[1]节奏总纲!X136</f>
        <v>579.12601734346754</v>
      </c>
      <c r="Y136" s="4">
        <f>[1]节奏总纲!Y136</f>
        <v>441.24898768939238</v>
      </c>
      <c r="Z136" s="4">
        <f>[1]节奏总纲!Z136</f>
        <v>303.02285654468687</v>
      </c>
      <c r="AA136" s="4">
        <f>[1]节奏总纲!AA136</f>
        <v>164.4383365862227</v>
      </c>
      <c r="AC136" s="4">
        <v>133</v>
      </c>
      <c r="AD136" s="4">
        <f>[1]节奏总纲!AD136</f>
        <v>70.653096539355303</v>
      </c>
      <c r="AE136" s="4">
        <f>[1]节奏总纲!AE136</f>
        <v>72.726519840539851</v>
      </c>
      <c r="AF136" s="4">
        <f>[1]节奏总纲!AF136</f>
        <v>75.614997873687514</v>
      </c>
      <c r="AG136" s="4">
        <f>[1]节奏总纲!AG136</f>
        <v>80.154679447049915</v>
      </c>
      <c r="AH136" s="4">
        <f>[1]节奏总纲!AH136</f>
        <v>89.302819678876304</v>
      </c>
      <c r="AZ136" s="4">
        <v>133</v>
      </c>
      <c r="BA136" s="4">
        <v>39.952721381626191</v>
      </c>
      <c r="BB136" s="4">
        <v>41.439455598778757</v>
      </c>
      <c r="BC136" s="4">
        <v>43.379679921165753</v>
      </c>
      <c r="BD136" s="4">
        <v>46.127930108907876</v>
      </c>
      <c r="BE136" s="4">
        <v>50</v>
      </c>
    </row>
    <row r="137" spans="6:57">
      <c r="F137" s="4">
        <v>135</v>
      </c>
      <c r="G137" s="4">
        <v>11584.237502960397</v>
      </c>
      <c r="N137" s="4">
        <f>[1]节奏总纲!N137</f>
        <v>144</v>
      </c>
      <c r="O137" s="4">
        <v>134</v>
      </c>
      <c r="P137" s="4">
        <f>[1]节奏总纲!P137</f>
        <v>10808.408805051544</v>
      </c>
      <c r="Q137" s="4">
        <f>[1]节奏总纲!Q137</f>
        <v>9151.4797352371424</v>
      </c>
      <c r="R137" s="4">
        <f>[1]节奏总纲!R137</f>
        <v>7283.7866937242361</v>
      </c>
      <c r="S137" s="4">
        <f>[1]节奏总纲!S137</f>
        <v>5175.0661358586794</v>
      </c>
      <c r="T137" s="4">
        <f>[1]节奏总纲!T137</f>
        <v>2775.5993811372364</v>
      </c>
      <c r="V137" s="4">
        <v>134</v>
      </c>
      <c r="W137" s="4">
        <f>[1]节奏总纲!W137</f>
        <v>723.87377092998759</v>
      </c>
      <c r="X137" s="4">
        <f>[1]节奏总纲!X137</f>
        <v>588.70103776452925</v>
      </c>
      <c r="Y137" s="4">
        <f>[1]节奏总纲!Y137</f>
        <v>456.55647562394188</v>
      </c>
      <c r="Z137" s="4">
        <f>[1]节奏总纲!Z137</f>
        <v>327.43014495644729</v>
      </c>
      <c r="AA137" s="4">
        <f>[1]节奏总纲!AA137</f>
        <v>179.84006335434742</v>
      </c>
      <c r="AC137" s="4">
        <v>134</v>
      </c>
      <c r="AD137" s="4">
        <f>[1]节奏总纲!AD137</f>
        <v>70.76194596258118</v>
      </c>
      <c r="AE137" s="4">
        <f>[1]节奏总纲!AE137</f>
        <v>72.839715638639731</v>
      </c>
      <c r="AF137" s="4">
        <f>[1]节奏总纲!AF137</f>
        <v>75.72446086407767</v>
      </c>
      <c r="AG137" s="4">
        <f>[1]节奏总纲!AG137</f>
        <v>80.263608635113243</v>
      </c>
      <c r="AH137" s="4">
        <f>[1]节奏总纲!AH137</f>
        <v>89.430019153629758</v>
      </c>
      <c r="AZ137" s="4">
        <v>134</v>
      </c>
      <c r="BA137" s="4">
        <v>40.005827399112476</v>
      </c>
      <c r="BB137" s="4">
        <v>41.48973836764344</v>
      </c>
      <c r="BC137" s="4">
        <v>43.42960886574528</v>
      </c>
      <c r="BD137" s="4">
        <v>46.176090215954694</v>
      </c>
      <c r="BE137" s="4">
        <v>50</v>
      </c>
    </row>
    <row r="138" spans="6:57">
      <c r="F138" s="4">
        <v>136</v>
      </c>
      <c r="G138" s="4">
        <v>12415.750112853173</v>
      </c>
      <c r="N138" s="4">
        <f>[1]节奏总纲!N138</f>
        <v>145</v>
      </c>
      <c r="O138" s="4">
        <v>135</v>
      </c>
      <c r="P138" s="4">
        <f>[1]节奏总纲!P138</f>
        <v>11584.237502960397</v>
      </c>
      <c r="Q138" s="4">
        <f>[1]节奏总纲!Q138</f>
        <v>9796.789656253608</v>
      </c>
      <c r="R138" s="4">
        <f>[1]节奏总纲!R138</f>
        <v>7796.1918394923478</v>
      </c>
      <c r="S138" s="4">
        <f>[1]节奏总纲!S138</f>
        <v>5548.8497639180305</v>
      </c>
      <c r="T138" s="4">
        <f>[1]节奏总纲!T138</f>
        <v>2979.465885761414</v>
      </c>
      <c r="V138" s="4">
        <v>135</v>
      </c>
      <c r="W138" s="4">
        <f>[1]节奏总纲!W138</f>
        <v>775.82869790885343</v>
      </c>
      <c r="X138" s="4">
        <f>[1]节奏总纲!X138</f>
        <v>645.30992101646552</v>
      </c>
      <c r="Y138" s="4">
        <f>[1]节奏总纲!Y138</f>
        <v>512.40514576811165</v>
      </c>
      <c r="Z138" s="4">
        <f>[1]节奏总纲!Z138</f>
        <v>373.78362805935103</v>
      </c>
      <c r="AA138" s="4">
        <f>[1]节奏总纲!AA138</f>
        <v>203.86650462417765</v>
      </c>
      <c r="AC138" s="4">
        <v>135</v>
      </c>
      <c r="AD138" s="4">
        <f>[1]节奏总纲!AD138</f>
        <v>70.870795385807057</v>
      </c>
      <c r="AE138" s="4">
        <f>[1]节奏总纲!AE138</f>
        <v>72.952911436739612</v>
      </c>
      <c r="AF138" s="4">
        <f>[1]节奏总纲!AF138</f>
        <v>75.833923854467812</v>
      </c>
      <c r="AG138" s="4">
        <f>[1]节奏总纲!AG138</f>
        <v>80.372537823176572</v>
      </c>
      <c r="AH138" s="4">
        <f>[1]节奏总纲!AH138</f>
        <v>89.557218628383211</v>
      </c>
      <c r="AZ138" s="4">
        <v>135</v>
      </c>
      <c r="BA138" s="4">
        <v>40.052446592012309</v>
      </c>
      <c r="BB138" s="4">
        <v>41.540021136508116</v>
      </c>
      <c r="BC138" s="4">
        <v>43.479537810324814</v>
      </c>
      <c r="BD138" s="4">
        <v>46.224250323001513</v>
      </c>
      <c r="BE138" s="4">
        <v>50</v>
      </c>
    </row>
    <row r="139" spans="6:57">
      <c r="F139" s="4">
        <v>137</v>
      </c>
      <c r="G139" s="4">
        <v>13306.943261900544</v>
      </c>
      <c r="N139" s="4">
        <f>[1]节奏总纲!N139</f>
        <v>146</v>
      </c>
      <c r="O139" s="4">
        <v>136</v>
      </c>
      <c r="P139" s="4">
        <f>[1]节奏总纲!P139</f>
        <v>12415.750112853173</v>
      </c>
      <c r="Q139" s="4">
        <f>[1]节奏总纲!Q139</f>
        <v>10507.449320507641</v>
      </c>
      <c r="R139" s="4">
        <f>[1]节奏总纲!R139</f>
        <v>8384.3560512097483</v>
      </c>
      <c r="S139" s="4">
        <f>[1]节奏总纲!S139</f>
        <v>5967.009504237235</v>
      </c>
      <c r="T139" s="4">
        <f>[1]节奏总纲!T139</f>
        <v>3204.5051041274041</v>
      </c>
      <c r="V139" s="4">
        <v>136</v>
      </c>
      <c r="W139" s="4">
        <f>[1]节奏总纲!W139</f>
        <v>831.5126098927758</v>
      </c>
      <c r="X139" s="4">
        <f>[1]节奏总纲!X139</f>
        <v>710.65966425403349</v>
      </c>
      <c r="Y139" s="4">
        <f>[1]节奏总纲!Y139</f>
        <v>588.16421171740058</v>
      </c>
      <c r="Z139" s="4">
        <f>[1]节奏总纲!Z139</f>
        <v>418.1597403192045</v>
      </c>
      <c r="AA139" s="4">
        <f>[1]节奏总纲!AA139</f>
        <v>225.03921836599011</v>
      </c>
      <c r="AC139" s="4">
        <v>136</v>
      </c>
      <c r="AD139" s="4">
        <f>[1]节奏总纲!AD139</f>
        <v>70.979644809032948</v>
      </c>
      <c r="AE139" s="4">
        <f>[1]节奏总纲!AE139</f>
        <v>73.059911975288244</v>
      </c>
      <c r="AF139" s="4">
        <f>[1]节奏总纲!AF139</f>
        <v>75.943386844857969</v>
      </c>
      <c r="AG139" s="4">
        <f>[1]节奏总纲!AG139</f>
        <v>80.4814670112399</v>
      </c>
      <c r="AH139" s="4">
        <f>[1]节奏总纲!AH139</f>
        <v>89.684418103136665</v>
      </c>
      <c r="AZ139" s="4">
        <v>136</v>
      </c>
      <c r="BA139" s="4">
        <v>40.099065784912149</v>
      </c>
      <c r="BB139" s="4">
        <v>41.590303905372799</v>
      </c>
      <c r="BC139" s="4">
        <v>43.529466754904341</v>
      </c>
      <c r="BD139" s="4">
        <v>46.272410430048332</v>
      </c>
      <c r="BE139" s="4">
        <v>50</v>
      </c>
    </row>
    <row r="140" spans="6:57">
      <c r="F140" s="4">
        <v>138</v>
      </c>
      <c r="G140" s="4">
        <v>14262.10042904369</v>
      </c>
      <c r="N140" s="4">
        <f>[1]节奏总纲!N140</f>
        <v>147</v>
      </c>
      <c r="O140" s="4">
        <v>137</v>
      </c>
      <c r="P140" s="4">
        <f>[1]节奏总纲!P140</f>
        <v>13306.943261900544</v>
      </c>
      <c r="Q140" s="4">
        <f>[1]节奏总纲!Q140</f>
        <v>11274.973025808331</v>
      </c>
      <c r="R140" s="4">
        <f>[1]节奏总纲!R140</f>
        <v>8995.4936450447676</v>
      </c>
      <c r="S140" s="4">
        <f>[1]节奏总纲!S140</f>
        <v>6407.293180605112</v>
      </c>
      <c r="T140" s="4">
        <f>[1]节奏总纲!T140</f>
        <v>3438.5141388751008</v>
      </c>
      <c r="V140" s="4">
        <v>137</v>
      </c>
      <c r="W140" s="4">
        <f>[1]节奏总纲!W140</f>
        <v>891.19314904737075</v>
      </c>
      <c r="X140" s="4">
        <f>[1]节奏总纲!X140</f>
        <v>767.52370530068947</v>
      </c>
      <c r="Y140" s="4">
        <f>[1]节奏总纲!Y140</f>
        <v>611.13759383501929</v>
      </c>
      <c r="Z140" s="4">
        <f>[1]节奏总纲!Z140</f>
        <v>440.28367636787698</v>
      </c>
      <c r="AA140" s="4">
        <f>[1]节奏总纲!AA140</f>
        <v>234.00903474769666</v>
      </c>
      <c r="AC140" s="4">
        <v>137</v>
      </c>
      <c r="AD140" s="4">
        <f>[1]节奏总纲!AD140</f>
        <v>71.082568038258202</v>
      </c>
      <c r="AE140" s="4">
        <f>[1]节奏总纲!AE140</f>
        <v>73.162499594857536</v>
      </c>
      <c r="AF140" s="4">
        <f>[1]节奏总纲!AF140</f>
        <v>76.048210495050611</v>
      </c>
      <c r="AG140" s="4">
        <f>[1]节奏总纲!AG140</f>
        <v>80.590396199303228</v>
      </c>
      <c r="AH140" s="4">
        <f>[1]节奏总纲!AH140</f>
        <v>89.811617577890132</v>
      </c>
      <c r="AZ140" s="4">
        <v>137</v>
      </c>
      <c r="BA140" s="4">
        <v>40.145684977811982</v>
      </c>
      <c r="BB140" s="4">
        <v>41.640586674237483</v>
      </c>
      <c r="BC140" s="4">
        <v>43.579395699483875</v>
      </c>
      <c r="BD140" s="4">
        <v>46.320570537095151</v>
      </c>
      <c r="BE140" s="4">
        <v>50</v>
      </c>
    </row>
    <row r="141" spans="6:57">
      <c r="F141" s="4">
        <v>139</v>
      </c>
      <c r="G141" s="4">
        <v>15285.812533339058</v>
      </c>
      <c r="N141" s="4">
        <f>[1]节奏总纲!N141</f>
        <v>148</v>
      </c>
      <c r="O141" s="4">
        <v>138</v>
      </c>
      <c r="P141" s="4">
        <f>[1]节奏总纲!P141</f>
        <v>14262.10042904369</v>
      </c>
      <c r="Q141" s="4">
        <f>[1]节奏总纲!Q141</f>
        <v>12084.27769352872</v>
      </c>
      <c r="R141" s="4">
        <f>[1]节奏总纲!R141</f>
        <v>9648.3109402480568</v>
      </c>
      <c r="S141" s="4">
        <f>[1]节奏总纲!S141</f>
        <v>6871.4799867132497</v>
      </c>
      <c r="T141" s="4">
        <f>[1]节奏总纲!T141</f>
        <v>3671.064650435846</v>
      </c>
      <c r="V141" s="4">
        <v>138</v>
      </c>
      <c r="W141" s="4">
        <f>[1]节奏总纲!W141</f>
        <v>955.15716714314658</v>
      </c>
      <c r="X141" s="4">
        <f>[1]节奏总纲!X141</f>
        <v>809.30466772038926</v>
      </c>
      <c r="Y141" s="4">
        <f>[1]节奏总纲!Y141</f>
        <v>652.81729520328918</v>
      </c>
      <c r="Z141" s="4">
        <f>[1]节奏总纲!Z141</f>
        <v>464.18680610813772</v>
      </c>
      <c r="AA141" s="4">
        <f>[1]节奏总纲!AA141</f>
        <v>232.55051156074524</v>
      </c>
      <c r="AC141" s="4">
        <v>138</v>
      </c>
      <c r="AD141" s="4">
        <f>[1]节奏总纲!AD141</f>
        <v>71.184128141237707</v>
      </c>
      <c r="AE141" s="4">
        <f>[1]节奏总纲!AE141</f>
        <v>73.265087214426828</v>
      </c>
      <c r="AF141" s="4">
        <f>[1]节奏总纲!AF141</f>
        <v>76.148064447889894</v>
      </c>
      <c r="AG141" s="4">
        <f>[1]节奏总纲!AG141</f>
        <v>80.699325387366557</v>
      </c>
      <c r="AH141" s="4">
        <f>[1]节奏总纲!AH141</f>
        <v>89.938817052643586</v>
      </c>
      <c r="AZ141" s="4">
        <v>138</v>
      </c>
      <c r="BA141" s="4">
        <v>40.192304170711814</v>
      </c>
      <c r="BB141" s="4">
        <v>41.690869443102159</v>
      </c>
      <c r="BC141" s="4">
        <v>43.629324644063402</v>
      </c>
      <c r="BD141" s="4">
        <v>46.368730644141969</v>
      </c>
      <c r="BE141" s="4">
        <v>50</v>
      </c>
    </row>
    <row r="142" spans="6:57">
      <c r="F142" s="4">
        <v>140</v>
      </c>
      <c r="G142" s="4">
        <v>16383</v>
      </c>
      <c r="N142" s="4">
        <f>[1]节奏总纲!N142</f>
        <v>149</v>
      </c>
      <c r="O142" s="4">
        <v>139</v>
      </c>
      <c r="P142" s="4">
        <f>[1]节奏总纲!P142</f>
        <v>15285.812533339058</v>
      </c>
      <c r="Q142" s="4">
        <f>[1]节奏总纲!Q142</f>
        <v>12957.783284511519</v>
      </c>
      <c r="R142" s="4">
        <f>[1]节奏总纲!R142</f>
        <v>10342.380760057207</v>
      </c>
      <c r="S142" s="4">
        <f>[1]节奏总纲!S142</f>
        <v>7335.6614347494142</v>
      </c>
      <c r="T142" s="4">
        <f>[1]节奏总纲!T142</f>
        <v>3920.8109148014687</v>
      </c>
      <c r="V142" s="4">
        <v>139</v>
      </c>
      <c r="W142" s="4">
        <f>[1]节奏总纲!W142</f>
        <v>1023.7121042953677</v>
      </c>
      <c r="X142" s="4">
        <f>[1]节奏总纲!X142</f>
        <v>873.50559098279882</v>
      </c>
      <c r="Y142" s="4">
        <f>[1]节奏总纲!Y142</f>
        <v>694.06981980915043</v>
      </c>
      <c r="Z142" s="4">
        <f>[1]节奏总纲!Z142</f>
        <v>464.18144803616451</v>
      </c>
      <c r="AA142" s="4">
        <f>[1]节奏总纲!AA142</f>
        <v>249.74626436562266</v>
      </c>
      <c r="AC142" s="4">
        <v>139</v>
      </c>
      <c r="AD142" s="4">
        <f>[1]节奏总纲!AD142</f>
        <v>71.285688244217212</v>
      </c>
      <c r="AE142" s="4">
        <f>[1]节奏总纲!AE142</f>
        <v>73.367674833996119</v>
      </c>
      <c r="AF142" s="4">
        <f>[1]节奏总纲!AF142</f>
        <v>76.247918400729162</v>
      </c>
      <c r="AG142" s="4">
        <f>[1]节奏总纲!AG142</f>
        <v>80.808254575429885</v>
      </c>
      <c r="AH142" s="4">
        <f>[1]节奏总纲!AH142</f>
        <v>90.055148444912135</v>
      </c>
      <c r="AZ142" s="4">
        <v>139</v>
      </c>
      <c r="BA142" s="4">
        <v>40.238923363611647</v>
      </c>
      <c r="BB142" s="4">
        <v>41.741152211966842</v>
      </c>
      <c r="BC142" s="4">
        <v>43.679253588642929</v>
      </c>
      <c r="BD142" s="4">
        <v>46.416890751188788</v>
      </c>
      <c r="BE142" s="4">
        <v>50</v>
      </c>
    </row>
    <row r="143" spans="6:57">
      <c r="F143" s="4">
        <v>141</v>
      </c>
      <c r="G143" s="4">
        <v>17558.936410194601</v>
      </c>
      <c r="N143" s="4">
        <f>[1]节奏总纲!N143</f>
        <v>150</v>
      </c>
      <c r="O143" s="4">
        <v>140</v>
      </c>
      <c r="P143" s="4">
        <f>[1]节奏总纲!P143</f>
        <v>16383</v>
      </c>
      <c r="Q143" s="4">
        <f>[1]节奏总纲!Q143</f>
        <v>13881.315900000001</v>
      </c>
      <c r="R143" s="4">
        <f>[1]节奏总纲!R143</f>
        <v>11037.2271</v>
      </c>
      <c r="S143" s="4">
        <f>[1]节奏总纲!S143</f>
        <v>7827.7974000000004</v>
      </c>
      <c r="T143" s="4">
        <f>[1]节奏总纲!T143</f>
        <v>4192.4097000000002</v>
      </c>
      <c r="V143" s="4">
        <v>140</v>
      </c>
      <c r="W143" s="4">
        <f>[1]节奏总纲!W143</f>
        <v>1097.1874666609419</v>
      </c>
      <c r="X143" s="4">
        <f>[1]节奏总纲!X143</f>
        <v>923.53261548848241</v>
      </c>
      <c r="Y143" s="4">
        <f>[1]节奏总纲!Y143</f>
        <v>694.84633994279284</v>
      </c>
      <c r="Z143" s="4">
        <f>[1]节奏总纲!Z143</f>
        <v>492.1359652505862</v>
      </c>
      <c r="AA143" s="4">
        <f>[1]节奏总纲!AA143</f>
        <v>271.59878519853146</v>
      </c>
      <c r="AC143" s="4">
        <v>140</v>
      </c>
      <c r="AD143" s="4">
        <f>[1]节奏总纲!AD143</f>
        <v>71.387248347196717</v>
      </c>
      <c r="AE143" s="4">
        <f>[1]节奏总纲!AE143</f>
        <v>73.470262453565411</v>
      </c>
      <c r="AF143" s="4">
        <f>[1]节奏总纲!AF143</f>
        <v>76.347772353568445</v>
      </c>
      <c r="AG143" s="4">
        <f>[1]节奏总纲!AG143</f>
        <v>80.917183763493213</v>
      </c>
      <c r="AH143" s="4">
        <f>[1]节奏总纲!AH143</f>
        <v>90.16140749098561</v>
      </c>
      <c r="AZ143" s="4">
        <v>140</v>
      </c>
      <c r="BA143" s="4">
        <v>40.28554255651148</v>
      </c>
      <c r="BB143" s="4">
        <v>41.791434980831518</v>
      </c>
      <c r="BC143" s="4">
        <v>43.729182533222463</v>
      </c>
      <c r="BD143" s="4">
        <v>46.465050858235607</v>
      </c>
      <c r="BE143" s="4">
        <v>50</v>
      </c>
    </row>
    <row r="144" spans="6:57">
      <c r="F144" s="4">
        <v>142</v>
      </c>
      <c r="G144" s="4">
        <v>18819.273848271412</v>
      </c>
      <c r="N144" s="4">
        <f>[1]节奏总纲!N144</f>
        <v>151</v>
      </c>
      <c r="O144" s="4">
        <v>141</v>
      </c>
      <c r="P144" s="4">
        <f>[1]节奏总纲!P144</f>
        <v>17558.936410194601</v>
      </c>
      <c r="Q144" s="4">
        <f>[1]节奏总纲!Q144</f>
        <v>14839.057160255457</v>
      </c>
      <c r="R144" s="4">
        <f>[1]节奏总纲!R144</f>
        <v>11789.069905804656</v>
      </c>
      <c r="S144" s="4">
        <f>[1]节奏总纲!S144</f>
        <v>8380.8803485858825</v>
      </c>
      <c r="T144" s="4">
        <f>[1]节奏总纲!T144</f>
        <v>4489.820040086759</v>
      </c>
      <c r="V144" s="4">
        <v>141</v>
      </c>
      <c r="W144" s="4">
        <f>[1]节奏总纲!W144</f>
        <v>1175.9364101946012</v>
      </c>
      <c r="X144" s="4">
        <f>[1]节奏总纲!X144</f>
        <v>957.74126025545593</v>
      </c>
      <c r="Y144" s="4">
        <f>[1]节奏总纲!Y144</f>
        <v>751.84280580465565</v>
      </c>
      <c r="Z144" s="4">
        <f>[1]节奏总纲!Z144</f>
        <v>553.08294858588215</v>
      </c>
      <c r="AA144" s="4">
        <f>[1]节奏总纲!AA144</f>
        <v>297.41034008675888</v>
      </c>
      <c r="AC144" s="4">
        <v>141</v>
      </c>
      <c r="AD144" s="4">
        <f>[1]节奏总纲!AD144</f>
        <v>71.488808450176208</v>
      </c>
      <c r="AE144" s="4">
        <f>[1]节奏总纲!AE144</f>
        <v>73.572850073134703</v>
      </c>
      <c r="AF144" s="4">
        <f>[1]节奏总纲!AF144</f>
        <v>76.447626306407713</v>
      </c>
      <c r="AG144" s="4">
        <f>[1]节奏总纲!AG144</f>
        <v>81.023848662825003</v>
      </c>
      <c r="AH144" s="4">
        <f>[1]节奏总纲!AH144</f>
        <v>90.267666537059071</v>
      </c>
      <c r="AZ144" s="4">
        <v>141</v>
      </c>
      <c r="BA144" s="4">
        <v>40.332161749411313</v>
      </c>
      <c r="BB144" s="4">
        <v>41.841717749696201</v>
      </c>
      <c r="BC144" s="4">
        <v>43.77911147780199</v>
      </c>
      <c r="BD144" s="4">
        <v>46.513210965282425</v>
      </c>
      <c r="BE144" s="4">
        <v>50</v>
      </c>
    </row>
    <row r="145" spans="6:57">
      <c r="F145" s="4">
        <v>143</v>
      </c>
      <c r="G145" s="4">
        <v>20170.070068243116</v>
      </c>
      <c r="N145" s="4">
        <f>[1]节奏总纲!N145</f>
        <v>152</v>
      </c>
      <c r="O145" s="4">
        <v>142</v>
      </c>
      <c r="P145" s="4">
        <f>[1]节奏总纲!P145</f>
        <v>18819.273848271412</v>
      </c>
      <c r="Q145" s="4">
        <f>[1]节奏总纲!Q145</f>
        <v>15904.16832917417</v>
      </c>
      <c r="R145" s="4">
        <f>[1]节奏总纲!R145</f>
        <v>12667.253227271489</v>
      </c>
      <c r="S145" s="4">
        <f>[1]节奏总纲!S145</f>
        <v>9003.140609013044</v>
      </c>
      <c r="T145" s="4">
        <f>[1]节奏总纲!T145</f>
        <v>4823.3798873119622</v>
      </c>
      <c r="V145" s="4">
        <v>142</v>
      </c>
      <c r="W145" s="4">
        <f>[1]节奏总纲!W145</f>
        <v>1260.3374380768109</v>
      </c>
      <c r="X145" s="4">
        <f>[1]节奏总纲!X145</f>
        <v>1065.1111689187128</v>
      </c>
      <c r="Y145" s="4">
        <f>[1]节奏总纲!Y145</f>
        <v>878.18332146683315</v>
      </c>
      <c r="Z145" s="4">
        <f>[1]节奏总纲!Z145</f>
        <v>622.26026042716148</v>
      </c>
      <c r="AA145" s="4">
        <f>[1]节奏总纲!AA145</f>
        <v>333.55984722520316</v>
      </c>
      <c r="AC145" s="4">
        <v>142</v>
      </c>
      <c r="AD145" s="4">
        <f>[1]节奏总纲!AD145</f>
        <v>71.590368553155713</v>
      </c>
      <c r="AE145" s="4">
        <f>[1]节奏总纲!AE145</f>
        <v>73.675437692703994</v>
      </c>
      <c r="AF145" s="4">
        <f>[1]节奏总纲!AF145</f>
        <v>76.547480259246996</v>
      </c>
      <c r="AG145" s="4">
        <f>[1]节奏总纲!AG145</f>
        <v>81.123332456233015</v>
      </c>
      <c r="AH145" s="4">
        <f>[1]节奏总纲!AH145</f>
        <v>90.373925583132547</v>
      </c>
      <c r="AZ145" s="4">
        <v>142</v>
      </c>
      <c r="BA145" s="4">
        <v>40.378780942311145</v>
      </c>
      <c r="BB145" s="4">
        <v>41.892000518560877</v>
      </c>
      <c r="BC145" s="4">
        <v>43.829040422381524</v>
      </c>
      <c r="BD145" s="4">
        <v>46.561371072329244</v>
      </c>
      <c r="BE145" s="4">
        <v>50</v>
      </c>
    </row>
    <row r="146" spans="6:57">
      <c r="F146" s="4">
        <v>144</v>
      </c>
      <c r="G146" s="4">
        <v>21617.817610103088</v>
      </c>
      <c r="N146" s="4">
        <f>[1]节奏总纲!N146</f>
        <v>153</v>
      </c>
      <c r="O146" s="4">
        <v>143</v>
      </c>
      <c r="P146" s="4">
        <f>[1]节奏总纲!P146</f>
        <v>20170.070068243116</v>
      </c>
      <c r="Q146" s="4">
        <f>[1]节奏总纲!Q146</f>
        <v>17065.896284740498</v>
      </c>
      <c r="R146" s="4">
        <f>[1]节奏总纲!R146</f>
        <v>13594.62722599586</v>
      </c>
      <c r="S146" s="4">
        <f>[1]节奏总纲!S146</f>
        <v>9669.5315907157492</v>
      </c>
      <c r="T146" s="4">
        <f>[1]节奏总纲!T146</f>
        <v>5185.7250145453054</v>
      </c>
      <c r="V146" s="4">
        <v>143</v>
      </c>
      <c r="W146" s="4">
        <f>[1]节奏总纲!W146</f>
        <v>1350.796219971704</v>
      </c>
      <c r="X146" s="4">
        <f>[1]节奏总纲!X146</f>
        <v>1161.7279555663281</v>
      </c>
      <c r="Y146" s="4">
        <f>[1]节奏总纲!Y146</f>
        <v>927.37399872437163</v>
      </c>
      <c r="Z146" s="4">
        <f>[1]节奏总纲!Z146</f>
        <v>666.39098170270518</v>
      </c>
      <c r="AA146" s="4">
        <f>[1]节奏总纲!AA146</f>
        <v>362.34512723334319</v>
      </c>
      <c r="AC146" s="4">
        <v>143</v>
      </c>
      <c r="AD146" s="4">
        <f>[1]节奏总纲!AD146</f>
        <v>71.691928656135218</v>
      </c>
      <c r="AE146" s="4">
        <f>[1]节奏总纲!AE146</f>
        <v>73.778025312273286</v>
      </c>
      <c r="AF146" s="4">
        <f>[1]节奏总纲!AF146</f>
        <v>76.647334212086264</v>
      </c>
      <c r="AG146" s="4">
        <f>[1]节奏总纲!AG146</f>
        <v>81.222816249641028</v>
      </c>
      <c r="AH146" s="4">
        <f>[1]节奏总纲!AH146</f>
        <v>90.480184629206022</v>
      </c>
      <c r="AZ146" s="4">
        <v>143</v>
      </c>
      <c r="BA146" s="4">
        <v>40.425400135210978</v>
      </c>
      <c r="BB146" s="4">
        <v>41.94228328742556</v>
      </c>
      <c r="BC146" s="4">
        <v>43.878969366961051</v>
      </c>
      <c r="BD146" s="4">
        <v>46.609531179376063</v>
      </c>
      <c r="BE146" s="4">
        <v>50</v>
      </c>
    </row>
    <row r="147" spans="6:57">
      <c r="F147" s="4">
        <v>145</v>
      </c>
      <c r="G147" s="4">
        <v>23169.475005920798</v>
      </c>
      <c r="N147" s="4">
        <f>[1]节奏总纲!N147</f>
        <v>154</v>
      </c>
      <c r="O147" s="4">
        <v>144</v>
      </c>
      <c r="P147" s="4">
        <f>[1]节奏总纲!P147</f>
        <v>21617.817610103088</v>
      </c>
      <c r="Q147" s="4">
        <f>[1]节奏总纲!Q147</f>
        <v>18290.835479908223</v>
      </c>
      <c r="R147" s="4">
        <f>[1]节奏总纲!R147</f>
        <v>14585.541541536553</v>
      </c>
      <c r="S147" s="4">
        <f>[1]节奏总纲!S147</f>
        <v>10380.876016371503</v>
      </c>
      <c r="T147" s="4">
        <f>[1]节奏总纲!T147</f>
        <v>5547.1319987524521</v>
      </c>
      <c r="V147" s="4">
        <v>144</v>
      </c>
      <c r="W147" s="4">
        <f>[1]节奏总纲!W147</f>
        <v>1447.7475418599715</v>
      </c>
      <c r="X147" s="4">
        <f>[1]节奏总纲!X147</f>
        <v>1224.9391951677244</v>
      </c>
      <c r="Y147" s="4">
        <f>[1]节奏总纲!Y147</f>
        <v>990.91431554069277</v>
      </c>
      <c r="Z147" s="4">
        <f>[1]节奏总纲!Z147</f>
        <v>711.34442565575409</v>
      </c>
      <c r="AA147" s="4">
        <f>[1]节奏总纲!AA147</f>
        <v>361.40698420714671</v>
      </c>
      <c r="AC147" s="4">
        <v>144</v>
      </c>
      <c r="AD147" s="4">
        <f>[1]节奏总纲!AD147</f>
        <v>71.793488759114723</v>
      </c>
      <c r="AE147" s="4">
        <f>[1]节奏总纲!AE147</f>
        <v>73.880612931842577</v>
      </c>
      <c r="AF147" s="4">
        <f>[1]节奏总纲!AF147</f>
        <v>76.747188164925547</v>
      </c>
      <c r="AG147" s="4">
        <f>[1]节奏总纲!AG147</f>
        <v>81.322300043049054</v>
      </c>
      <c r="AH147" s="4">
        <f>[1]节奏总纲!AH147</f>
        <v>90.586443675279497</v>
      </c>
      <c r="AZ147" s="4">
        <v>144</v>
      </c>
      <c r="BA147" s="4">
        <v>40.472019328110811</v>
      </c>
      <c r="BB147" s="4">
        <v>41.992566056290244</v>
      </c>
      <c r="BC147" s="4">
        <v>43.928898311540586</v>
      </c>
      <c r="BD147" s="4">
        <v>46.657691286422882</v>
      </c>
      <c r="BE147" s="4">
        <v>50</v>
      </c>
    </row>
    <row r="148" spans="6:57">
      <c r="F148" s="4">
        <v>146</v>
      </c>
      <c r="G148" s="4">
        <v>24832.50022570635</v>
      </c>
      <c r="N148" s="4">
        <f>[1]节奏总纲!N148</f>
        <v>155</v>
      </c>
      <c r="O148" s="4">
        <v>145</v>
      </c>
      <c r="P148" s="4">
        <f>[1]节奏总纲!P148</f>
        <v>23169.475005920798</v>
      </c>
      <c r="Q148" s="4">
        <f>[1]节奏总纲!Q148</f>
        <v>19631.496172516694</v>
      </c>
      <c r="R148" s="4">
        <f>[1]节奏总纲!R148</f>
        <v>15650.9803664995</v>
      </c>
      <c r="S148" s="4">
        <f>[1]节奏总纲!S148</f>
        <v>11105.129370337838</v>
      </c>
      <c r="T148" s="4">
        <f>[1]节奏总纲!T148</f>
        <v>5926.7517065145412</v>
      </c>
      <c r="V148" s="4">
        <v>145</v>
      </c>
      <c r="W148" s="4">
        <f>[1]节奏总纲!W148</f>
        <v>1551.6573958177105</v>
      </c>
      <c r="X148" s="4">
        <f>[1]节奏总纲!X148</f>
        <v>1340.6606926084714</v>
      </c>
      <c r="Y148" s="4">
        <f>[1]节奏总纲!Y148</f>
        <v>1065.4388249629465</v>
      </c>
      <c r="Z148" s="4">
        <f>[1]节奏总纲!Z148</f>
        <v>724.25335396633454</v>
      </c>
      <c r="AA148" s="4">
        <f>[1]节奏总纲!AA148</f>
        <v>379.61970776208909</v>
      </c>
      <c r="AC148" s="4">
        <v>145</v>
      </c>
      <c r="AD148" s="4">
        <f>[1]节奏总纲!AD148</f>
        <v>71.895048862094214</v>
      </c>
      <c r="AE148" s="4">
        <f>[1]节奏总纲!AE148</f>
        <v>73.983200551411869</v>
      </c>
      <c r="AF148" s="4">
        <f>[1]节奏总纲!AF148</f>
        <v>76.847042117764815</v>
      </c>
      <c r="AG148" s="4">
        <f>[1]节奏总纲!AG148</f>
        <v>81.421783836457067</v>
      </c>
      <c r="AH148" s="4">
        <f>[1]节奏总纲!AH148</f>
        <v>90.692702721352973</v>
      </c>
      <c r="AZ148" s="4">
        <v>145</v>
      </c>
      <c r="BA148" s="4">
        <v>40.518638521010651</v>
      </c>
      <c r="BB148" s="4">
        <v>42.036975906461073</v>
      </c>
      <c r="BC148" s="4">
        <v>43.978827256120113</v>
      </c>
      <c r="BD148" s="4">
        <v>46.7058513934697</v>
      </c>
      <c r="BE148" s="4">
        <v>50</v>
      </c>
    </row>
    <row r="149" spans="6:57">
      <c r="F149" s="4">
        <v>147</v>
      </c>
      <c r="G149" s="4">
        <v>26614.886523801088</v>
      </c>
      <c r="N149" s="4">
        <f>[1]节奏总纲!N149</f>
        <v>156</v>
      </c>
      <c r="O149" s="4">
        <v>146</v>
      </c>
      <c r="P149" s="4">
        <f>[1]节奏总纲!P149</f>
        <v>24832.50022570635</v>
      </c>
      <c r="Q149" s="4">
        <f>[1]节奏总纲!Q149</f>
        <v>21035.61094119585</v>
      </c>
      <c r="R149" s="4">
        <f>[1]节奏总纲!R149</f>
        <v>16719.722401968087</v>
      </c>
      <c r="S149" s="4">
        <f>[1]节奏总纲!S149</f>
        <v>11847.5858576845</v>
      </c>
      <c r="T149" s="4">
        <f>[1]节奏总纲!T149</f>
        <v>6324.8378074874072</v>
      </c>
      <c r="V149" s="4">
        <v>146</v>
      </c>
      <c r="W149" s="4">
        <f>[1]节奏总纲!W149</f>
        <v>1663.0252197855516</v>
      </c>
      <c r="X149" s="4">
        <f>[1]节奏总纲!X149</f>
        <v>1404.1147686791555</v>
      </c>
      <c r="Y149" s="4">
        <f>[1]节奏总纲!Y149</f>
        <v>1068.7420354685873</v>
      </c>
      <c r="Z149" s="4">
        <f>[1]节奏总纲!Z149</f>
        <v>742.45648734666247</v>
      </c>
      <c r="AA149" s="4">
        <f>[1]节奏总纲!AA149</f>
        <v>398.08610097286601</v>
      </c>
      <c r="AC149" s="4">
        <v>146</v>
      </c>
      <c r="AD149" s="4">
        <f>[1]节奏总纲!AD149</f>
        <v>71.996608965073719</v>
      </c>
      <c r="AE149" s="4">
        <f>[1]节奏总纲!AE149</f>
        <v>74.078973000522922</v>
      </c>
      <c r="AF149" s="4">
        <f>[1]节奏总纲!AF149</f>
        <v>76.946896070604097</v>
      </c>
      <c r="AG149" s="4">
        <f>[1]节奏总纲!AG149</f>
        <v>81.521267629865079</v>
      </c>
      <c r="AH149" s="4">
        <f>[1]节奏总纲!AH149</f>
        <v>90.798961767426448</v>
      </c>
      <c r="AZ149" s="4">
        <v>146</v>
      </c>
      <c r="BA149" s="4">
        <v>40.565257713910484</v>
      </c>
      <c r="BB149" s="4">
        <v>42.080366850119908</v>
      </c>
      <c r="BC149" s="4">
        <v>44.024818750237806</v>
      </c>
      <c r="BD149" s="4">
        <v>46.754011500516519</v>
      </c>
      <c r="BE149" s="4">
        <v>50</v>
      </c>
    </row>
    <row r="150" spans="6:57">
      <c r="F150" s="4">
        <v>148</v>
      </c>
      <c r="G150" s="4">
        <v>28525.200858087381</v>
      </c>
      <c r="N150" s="4">
        <f>[1]节奏总纲!N150</f>
        <v>157</v>
      </c>
      <c r="O150" s="4">
        <v>147</v>
      </c>
      <c r="P150" s="4">
        <f>[1]节奏总纲!P150</f>
        <v>26614.886523801088</v>
      </c>
      <c r="Q150" s="4">
        <f>[1]节奏总纲!Q150</f>
        <v>22470.948692045258</v>
      </c>
      <c r="R150" s="4">
        <f>[1]节奏总纲!R150</f>
        <v>17837.296948251489</v>
      </c>
      <c r="S150" s="4">
        <f>[1]节奏总纲!S150</f>
        <v>12631.425144195997</v>
      </c>
      <c r="T150" s="4">
        <f>[1]节奏总纲!T150</f>
        <v>6754.8581997407164</v>
      </c>
      <c r="V150" s="4">
        <v>147</v>
      </c>
      <c r="W150" s="4">
        <f>[1]节奏总纲!W150</f>
        <v>1782.3862980947379</v>
      </c>
      <c r="X150" s="4">
        <f>[1]节奏总纲!X150</f>
        <v>1435.3377508494086</v>
      </c>
      <c r="Y150" s="4">
        <f>[1]节奏总纲!Y150</f>
        <v>1117.574546283402</v>
      </c>
      <c r="Z150" s="4">
        <f>[1]节奏总纲!Z150</f>
        <v>783.83928651149654</v>
      </c>
      <c r="AA150" s="4">
        <f>[1]节奏总纲!AA150</f>
        <v>430.02039225330918</v>
      </c>
      <c r="AC150" s="4">
        <v>147</v>
      </c>
      <c r="AD150" s="4">
        <f>[1]节奏总纲!AD150</f>
        <v>72.091594979242075</v>
      </c>
      <c r="AE150" s="4">
        <f>[1]节奏总纲!AE150</f>
        <v>74.173410870467364</v>
      </c>
      <c r="AF150" s="4">
        <f>[1]节奏总纲!AF150</f>
        <v>77.043751281705866</v>
      </c>
      <c r="AG150" s="4">
        <f>[1]节奏总纲!AG150</f>
        <v>81.620751423273092</v>
      </c>
      <c r="AH150" s="4">
        <f>[1]节奏总纲!AH150</f>
        <v>90.905220813499923</v>
      </c>
      <c r="AZ150" s="4">
        <v>147</v>
      </c>
      <c r="BA150" s="4">
        <v>40.611876906810316</v>
      </c>
      <c r="BB150" s="4">
        <v>42.123757793778736</v>
      </c>
      <c r="BC150" s="4">
        <v>44.067911160744309</v>
      </c>
      <c r="BD150" s="4">
        <v>46.802171607563338</v>
      </c>
      <c r="BE150" s="4">
        <v>50</v>
      </c>
    </row>
    <row r="151" spans="6:57">
      <c r="F151" s="4">
        <v>149</v>
      </c>
      <c r="G151" s="4">
        <v>30572.62506667812</v>
      </c>
      <c r="N151" s="4">
        <f>[1]节奏总纲!N151</f>
        <v>158</v>
      </c>
      <c r="O151" s="4">
        <v>148</v>
      </c>
      <c r="P151" s="4">
        <f>[1]节奏总纲!P151</f>
        <v>28525.200858087381</v>
      </c>
      <c r="Q151" s="4">
        <f>[1]节奏总纲!Q151</f>
        <v>24083.827084483179</v>
      </c>
      <c r="R151" s="4">
        <f>[1]节奏总纲!R151</f>
        <v>19128.999695433398</v>
      </c>
      <c r="S151" s="4">
        <f>[1]节奏总纲!S151</f>
        <v>13566.58552810636</v>
      </c>
      <c r="T151" s="4">
        <f>[1]节奏总纲!T151</f>
        <v>7242.5484978683862</v>
      </c>
      <c r="V151" s="4">
        <v>148</v>
      </c>
      <c r="W151" s="4">
        <f>[1]节奏总纲!W151</f>
        <v>1910.3143342862932</v>
      </c>
      <c r="X151" s="4">
        <f>[1]节奏总纲!X151</f>
        <v>1612.8783924379204</v>
      </c>
      <c r="Y151" s="4">
        <f>[1]节奏总纲!Y151</f>
        <v>1291.7027471819092</v>
      </c>
      <c r="Z151" s="4">
        <f>[1]节奏总纲!Z151</f>
        <v>935.16038391036273</v>
      </c>
      <c r="AA151" s="4">
        <f>[1]节奏总纲!AA151</f>
        <v>487.69029812766985</v>
      </c>
      <c r="AC151" s="4">
        <v>148</v>
      </c>
      <c r="AD151" s="4">
        <f>[1]节奏总纲!AD151</f>
        <v>72.186353905945822</v>
      </c>
      <c r="AE151" s="4">
        <f>[1]节奏总纲!AE151</f>
        <v>74.267848740411821</v>
      </c>
      <c r="AF151" s="4">
        <f>[1]节奏总纲!AF151</f>
        <v>77.137200185007629</v>
      </c>
      <c r="AG151" s="4">
        <f>[1]节奏总纲!AG151</f>
        <v>81.720235216681118</v>
      </c>
      <c r="AH151" s="4">
        <f>[1]节奏总纲!AH151</f>
        <v>91.011076811620597</v>
      </c>
      <c r="AZ151" s="4">
        <v>148</v>
      </c>
      <c r="BA151" s="4">
        <v>40.658496099710149</v>
      </c>
      <c r="BB151" s="4">
        <v>42.167148737437564</v>
      </c>
      <c r="BC151" s="4">
        <v>44.111003571250812</v>
      </c>
      <c r="BD151" s="4">
        <v>46.850331714610157</v>
      </c>
      <c r="BE151" s="4">
        <v>50</v>
      </c>
    </row>
    <row r="152" spans="6:57">
      <c r="F152" s="4">
        <v>150</v>
      </c>
      <c r="G152" s="4">
        <v>32767</v>
      </c>
      <c r="N152" s="4">
        <f>[1]节奏总纲!N152</f>
        <v>159</v>
      </c>
      <c r="O152" s="4">
        <v>149</v>
      </c>
      <c r="P152" s="4">
        <f>[1]节奏总纲!P152</f>
        <v>30572.62506667812</v>
      </c>
      <c r="Q152" s="4">
        <f>[1]节奏总纲!Q152</f>
        <v>25818.581868809673</v>
      </c>
      <c r="R152" s="4">
        <f>[1]节奏总纲!R152</f>
        <v>20520.345944754354</v>
      </c>
      <c r="S152" s="4">
        <f>[1]节奏总纲!S152</f>
        <v>14549.512269232117</v>
      </c>
      <c r="T152" s="4">
        <f>[1]节奏总纲!T152</f>
        <v>7768.50402944291</v>
      </c>
      <c r="V152" s="4">
        <v>149</v>
      </c>
      <c r="W152" s="4">
        <f>[1]节奏总纲!W152</f>
        <v>2047.424208590739</v>
      </c>
      <c r="X152" s="4">
        <f>[1]节奏总纲!X152</f>
        <v>1734.7547843264947</v>
      </c>
      <c r="Y152" s="4">
        <f>[1]节奏总纲!Y152</f>
        <v>1391.3462493209554</v>
      </c>
      <c r="Z152" s="4">
        <f>[1]节奏总纲!Z152</f>
        <v>982.92674112575696</v>
      </c>
      <c r="AA152" s="4">
        <f>[1]节奏总纲!AA152</f>
        <v>525.95553157452377</v>
      </c>
      <c r="AC152" s="4">
        <v>149</v>
      </c>
      <c r="AD152" s="4">
        <f>[1]节奏总纲!AD152</f>
        <v>72.281112832649583</v>
      </c>
      <c r="AE152" s="4">
        <f>[1]节奏总纲!AE152</f>
        <v>74.362286610356264</v>
      </c>
      <c r="AF152" s="4">
        <f>[1]节奏总纲!AF152</f>
        <v>77.230649088309391</v>
      </c>
      <c r="AG152" s="4">
        <f>[1]节奏总纲!AG152</f>
        <v>81.819719010089131</v>
      </c>
      <c r="AH152" s="4">
        <f>[1]节奏总纲!AH152</f>
        <v>91.113605194377854</v>
      </c>
      <c r="AZ152" s="4">
        <v>149</v>
      </c>
      <c r="BA152" s="4">
        <v>40.705115292609982</v>
      </c>
      <c r="BB152" s="4">
        <v>42.2105396810964</v>
      </c>
      <c r="BC152" s="4">
        <v>44.154095981757315</v>
      </c>
      <c r="BD152" s="4">
        <v>46.898491821656968</v>
      </c>
      <c r="BE152" s="4">
        <v>50</v>
      </c>
    </row>
    <row r="153" spans="6:57">
      <c r="N153" s="4">
        <f>[1]节奏总纲!N153</f>
        <v>160</v>
      </c>
      <c r="O153" s="4">
        <v>150</v>
      </c>
      <c r="P153" s="4">
        <f>[1]节奏总纲!P153</f>
        <v>32767</v>
      </c>
      <c r="Q153" s="4">
        <f>[1]节奏总纲!Q153</f>
        <v>27671.731500000002</v>
      </c>
      <c r="R153" s="4">
        <f>[1]节奏总纲!R153</f>
        <v>21996.487099999998</v>
      </c>
      <c r="S153" s="4">
        <f>[1]节奏总纲!S153</f>
        <v>15603.645400000001</v>
      </c>
      <c r="T153" s="4">
        <f>[1]节奏总纲!T153</f>
        <v>8355.5850000000009</v>
      </c>
      <c r="V153" s="4">
        <v>150</v>
      </c>
      <c r="W153" s="4">
        <f>[1]节奏总纲!W153</f>
        <v>2194.3749333218802</v>
      </c>
      <c r="X153" s="4">
        <f>[1]节奏总纲!X153</f>
        <v>1853.1496311903284</v>
      </c>
      <c r="Y153" s="4">
        <f>[1]节奏总纲!Y153</f>
        <v>1476.1411552456448</v>
      </c>
      <c r="Z153" s="4">
        <f>[1]节奏总纲!Z153</f>
        <v>1054.1331307678847</v>
      </c>
      <c r="AA153" s="4">
        <f>[1]节奏总纲!AA153</f>
        <v>587.08097055709095</v>
      </c>
      <c r="AC153" s="4">
        <v>150</v>
      </c>
      <c r="AD153" s="4">
        <f>[1]节奏总纲!AD153</f>
        <v>72.375871759353331</v>
      </c>
      <c r="AE153" s="4">
        <f>[1]节奏总纲!AE153</f>
        <v>74.456724480300707</v>
      </c>
      <c r="AF153" s="4">
        <f>[1]节奏总纲!AF153</f>
        <v>77.324097991611154</v>
      </c>
      <c r="AG153" s="4">
        <f>[1]节奏总纲!AG153</f>
        <v>81.919202803497143</v>
      </c>
      <c r="AH153" s="4">
        <f>[1]节奏总纲!AH153</f>
        <v>91.216133577135096</v>
      </c>
      <c r="AZ153" s="4">
        <v>150</v>
      </c>
      <c r="BA153" s="4">
        <v>40.751734485509814</v>
      </c>
      <c r="BB153" s="4">
        <v>42.253930624755228</v>
      </c>
      <c r="BC153" s="4">
        <v>44.197188392263818</v>
      </c>
      <c r="BD153" s="4">
        <v>46.946651928703787</v>
      </c>
      <c r="BE153" s="4">
        <v>50</v>
      </c>
    </row>
    <row r="154" spans="6:57">
      <c r="N154" s="4">
        <f>[1]节奏总纲!N154</f>
        <v>161</v>
      </c>
      <c r="O154" s="4">
        <v>151</v>
      </c>
      <c r="P154" s="4">
        <f>[1]节奏总纲!P154</f>
        <v>35118.87282038921</v>
      </c>
      <c r="Q154" s="4">
        <f>[1]节奏总纲!Q154</f>
        <v>29671.935645946844</v>
      </c>
      <c r="R154" s="4">
        <f>[1]节奏总纲!R154</f>
        <v>23592.858760737468</v>
      </c>
      <c r="S154" s="4">
        <f>[1]节奏总纲!S154</f>
        <v>16804.380644556237</v>
      </c>
      <c r="T154" s="4">
        <f>[1]节奏总纲!T154</f>
        <v>9095.7880604808051</v>
      </c>
      <c r="V154" s="4">
        <v>151</v>
      </c>
      <c r="W154" s="4">
        <f>[1]节奏总纲!W154</f>
        <v>2351.8728203892097</v>
      </c>
      <c r="X154" s="4">
        <f>[1]节奏总纲!X154</f>
        <v>2000.2041459468419</v>
      </c>
      <c r="Y154" s="4">
        <f>[1]节奏总纲!Y154</f>
        <v>1596.3716607374699</v>
      </c>
      <c r="Z154" s="4">
        <f>[1]节奏总纲!Z154</f>
        <v>1200.7352445562356</v>
      </c>
      <c r="AA154" s="4">
        <f>[1]节奏总纲!AA154</f>
        <v>740.2030604808042</v>
      </c>
      <c r="AC154" s="4">
        <v>151</v>
      </c>
      <c r="AD154" s="4">
        <f>[1]节奏总纲!AD154</f>
        <v>72.470630686057078</v>
      </c>
      <c r="AE154" s="4">
        <f>[1]节奏总纲!AE154</f>
        <v>74.551162350245164</v>
      </c>
      <c r="AF154" s="4">
        <f>[1]节奏总纲!AF154</f>
        <v>77.417546894912917</v>
      </c>
      <c r="AG154" s="4">
        <f>[1]节奏总纲!AG154</f>
        <v>82.01744549958407</v>
      </c>
      <c r="AH154" s="4">
        <f>[1]节奏总纲!AH154</f>
        <v>91.318661959892353</v>
      </c>
      <c r="AZ154" s="4">
        <v>151</v>
      </c>
      <c r="BA154" s="4">
        <v>40.798353678409647</v>
      </c>
      <c r="BB154" s="4">
        <v>42.297321568414056</v>
      </c>
      <c r="BC154" s="4">
        <v>44.240280802770329</v>
      </c>
      <c r="BD154" s="4">
        <v>46.994812035750606</v>
      </c>
      <c r="BE154" s="4">
        <v>50</v>
      </c>
    </row>
    <row r="155" spans="6:57">
      <c r="N155" s="4">
        <f>[1]节奏总纲!N155</f>
        <v>162</v>
      </c>
      <c r="O155" s="4">
        <v>152</v>
      </c>
      <c r="P155" s="4">
        <f>[1]节奏总纲!P155</f>
        <v>37639.547696542824</v>
      </c>
      <c r="Q155" s="4">
        <f>[1]节奏总纲!Q155</f>
        <v>31794.125939269725</v>
      </c>
      <c r="R155" s="4">
        <f>[1]节奏总纲!R155</f>
        <v>25425.514469014677</v>
      </c>
      <c r="S155" s="4">
        <f>[1]节奏总纲!S155</f>
        <v>18255.180632823271</v>
      </c>
      <c r="T155" s="4">
        <f>[1]节奏总纲!T155</f>
        <v>14114.830386203559</v>
      </c>
      <c r="V155" s="4">
        <v>152</v>
      </c>
      <c r="W155" s="4">
        <f>[1]节奏总纲!W155</f>
        <v>2520.6748761536146</v>
      </c>
      <c r="X155" s="4">
        <f>[1]节奏总纲!X155</f>
        <v>2122.1902933228812</v>
      </c>
      <c r="Y155" s="4">
        <f>[1]节奏总纲!Y155</f>
        <v>1832.6557082772088</v>
      </c>
      <c r="Z155" s="4">
        <f>[1]节奏总纲!Z155</f>
        <v>1450.7999882670338</v>
      </c>
      <c r="AA155" s="4">
        <f>[1]节奏总纲!AA155</f>
        <v>5019.042325722754</v>
      </c>
      <c r="AC155" s="4">
        <v>152</v>
      </c>
      <c r="AD155" s="4">
        <f>[1]节奏总纲!AD155</f>
        <v>72.565389612760825</v>
      </c>
      <c r="AE155" s="4">
        <f>[1]节奏总纲!AE155</f>
        <v>74.645600220189607</v>
      </c>
      <c r="AF155" s="4">
        <f>[1]节奏总纲!AF155</f>
        <v>77.51099579821468</v>
      </c>
      <c r="AG155" s="4">
        <f>[1]节奏总纲!AG155</f>
        <v>82.110321933176039</v>
      </c>
      <c r="AH155" s="4">
        <f>[1]节奏总纲!AH155</f>
        <v>91.421190342649595</v>
      </c>
      <c r="AZ155" s="4">
        <v>152</v>
      </c>
      <c r="BA155" s="4">
        <v>40.84497287130948</v>
      </c>
      <c r="BB155" s="4">
        <v>42.340712512072891</v>
      </c>
      <c r="BC155" s="4">
        <v>44.283373213276832</v>
      </c>
      <c r="BD155" s="4">
        <v>47.037096473408994</v>
      </c>
      <c r="BE155" s="4">
        <v>50</v>
      </c>
    </row>
    <row r="156" spans="6:57">
      <c r="N156" s="4">
        <f>[1]节奏总纲!N156</f>
        <v>163</v>
      </c>
      <c r="O156" s="4">
        <v>153</v>
      </c>
      <c r="P156" s="4">
        <f>[1]节奏总纲!P156</f>
        <v>40341.140136486232</v>
      </c>
      <c r="Q156" s="4">
        <f>[1]节奏总纲!Q156</f>
        <v>34330.31025614978</v>
      </c>
      <c r="R156" s="4">
        <f>[1]节奏总纲!R156</f>
        <v>27552.998713220099</v>
      </c>
      <c r="S156" s="4">
        <f>[1]节奏总纲!S156</f>
        <v>24204.684081891737</v>
      </c>
      <c r="T156" s="4">
        <f>[1]节奏总纲!T156</f>
        <v>24204.684081891737</v>
      </c>
      <c r="V156" s="4">
        <v>153</v>
      </c>
      <c r="W156" s="4">
        <f>[1]节奏总纲!W156</f>
        <v>2701.592439943408</v>
      </c>
      <c r="X156" s="4">
        <f>[1]节奏总纲!X156</f>
        <v>2536.1843168800551</v>
      </c>
      <c r="Y156" s="4">
        <f>[1]节奏总纲!Y156</f>
        <v>2127.4842442054214</v>
      </c>
      <c r="Z156" s="4">
        <f>[1]节奏总纲!Z156</f>
        <v>5949.5034490684666</v>
      </c>
      <c r="AA156" s="4">
        <f>[1]节奏总纲!AA156</f>
        <v>10089.853695688178</v>
      </c>
      <c r="AC156" s="4">
        <v>153</v>
      </c>
      <c r="AD156" s="4">
        <f>[1]节奏总纲!AD156</f>
        <v>72.660148539464572</v>
      </c>
      <c r="AE156" s="4">
        <f>[1]节奏总纲!AE156</f>
        <v>74.74003809013405</v>
      </c>
      <c r="AF156" s="4">
        <f>[1]节奏总纲!AF156</f>
        <v>77.604444701516456</v>
      </c>
      <c r="AG156" s="4">
        <f>[1]节奏总纲!AG156</f>
        <v>82.203198366767992</v>
      </c>
      <c r="AH156" s="4">
        <f>[1]节奏总纲!AH156</f>
        <v>91.523718725406852</v>
      </c>
      <c r="AZ156" s="4">
        <v>153</v>
      </c>
      <c r="BA156" s="4">
        <v>40.891592064209313</v>
      </c>
      <c r="BB156" s="4">
        <v>42.384103455731719</v>
      </c>
      <c r="BC156" s="4">
        <v>44.326465623783335</v>
      </c>
      <c r="BD156" s="4">
        <v>47.078671550054786</v>
      </c>
      <c r="BE156" s="4">
        <v>50</v>
      </c>
    </row>
    <row r="157" spans="6:57">
      <c r="N157" s="4">
        <f>[1]节奏总纲!N157</f>
        <v>164</v>
      </c>
      <c r="O157" s="4">
        <v>154</v>
      </c>
      <c r="P157" s="4">
        <f>[1]节奏总纲!P157</f>
        <v>43236.635220206183</v>
      </c>
      <c r="Q157" s="4">
        <f>[1]节奏总纲!Q157</f>
        <v>36967.323113276288</v>
      </c>
      <c r="R157" s="4">
        <f>[1]节奏总纲!R157</f>
        <v>33940.758647861854</v>
      </c>
      <c r="S157" s="4">
        <f>[1]节奏总纲!S157</f>
        <v>34156.941823962887</v>
      </c>
      <c r="T157" s="4">
        <f>[1]节奏总纲!T157</f>
        <v>34156.941823962887</v>
      </c>
      <c r="V157" s="4">
        <v>154</v>
      </c>
      <c r="W157" s="4">
        <f>[1]节奏总纲!W157</f>
        <v>2895.4950837199503</v>
      </c>
      <c r="X157" s="4">
        <f>[1]节奏总纲!X157</f>
        <v>2637.0128571265086</v>
      </c>
      <c r="Y157" s="4">
        <f>[1]节奏总纲!Y157</f>
        <v>6387.7599346417555</v>
      </c>
      <c r="Z157" s="4">
        <f>[1]节奏总纲!Z157</f>
        <v>9952.2577420711496</v>
      </c>
      <c r="AA157" s="4">
        <f>[1]节奏总纲!AA157</f>
        <v>9952.2577420711496</v>
      </c>
      <c r="AC157" s="4">
        <v>154</v>
      </c>
      <c r="AD157" s="4">
        <f>[1]节奏总纲!AD157</f>
        <v>72.754907466168333</v>
      </c>
      <c r="AE157" s="4">
        <f>[1]节奏总纲!AE157</f>
        <v>74.834475960078507</v>
      </c>
      <c r="AF157" s="4">
        <f>[1]节奏总纲!AF157</f>
        <v>77.697893604818219</v>
      </c>
      <c r="AG157" s="4">
        <f>[1]节奏总纲!AG157</f>
        <v>82.29607480035996</v>
      </c>
      <c r="AH157" s="4">
        <f>[1]节奏总纲!AH157</f>
        <v>91.626247108164094</v>
      </c>
      <c r="AZ157" s="4">
        <v>154</v>
      </c>
      <c r="BA157" s="4">
        <v>40.938211257109145</v>
      </c>
      <c r="BB157" s="4">
        <v>42.427494399390554</v>
      </c>
      <c r="BC157" s="4">
        <v>44.369558034289838</v>
      </c>
      <c r="BD157" s="4">
        <v>47.12024662670057</v>
      </c>
      <c r="BE157" s="4">
        <v>50</v>
      </c>
    </row>
    <row r="158" spans="6:57">
      <c r="N158" s="4">
        <f>[1]节奏总纲!N158</f>
        <v>165</v>
      </c>
      <c r="O158" s="4">
        <v>155</v>
      </c>
      <c r="P158" s="4">
        <f>[1]节奏总纲!P158</f>
        <v>46339.950011841604</v>
      </c>
      <c r="Q158" s="4">
        <f>[1]节奏总纲!Q158</f>
        <v>44078.560451263736</v>
      </c>
      <c r="R158" s="4">
        <f>[1]节奏总纲!R158</f>
        <v>44402.940101346627</v>
      </c>
      <c r="S158" s="4">
        <f>[1]节奏总纲!S158</f>
        <v>44402.940101346627</v>
      </c>
      <c r="T158" s="4">
        <f>[1]节奏总纲!T158</f>
        <v>44541.959951382152</v>
      </c>
      <c r="V158" s="4">
        <v>155</v>
      </c>
      <c r="W158" s="4">
        <f>[1]节奏总纲!W158</f>
        <v>3103.314791635421</v>
      </c>
      <c r="X158" s="4">
        <f>[1]节奏总纲!X158</f>
        <v>7111.237337987448</v>
      </c>
      <c r="Y158" s="4">
        <f>[1]节奏总纲!Y158</f>
        <v>10462.181453484773</v>
      </c>
      <c r="Z158" s="4">
        <f>[1]节奏总纲!Z158</f>
        <v>10245.99827738374</v>
      </c>
      <c r="AA158" s="4">
        <f>[1]节奏总纲!AA158</f>
        <v>10385.018127419266</v>
      </c>
      <c r="AC158" s="4">
        <v>155</v>
      </c>
      <c r="AD158" s="4">
        <f>[1]节奏总纲!AD158</f>
        <v>72.849666392872081</v>
      </c>
      <c r="AE158" s="4">
        <f>[1]节奏总纲!AE158</f>
        <v>74.92891383002295</v>
      </c>
      <c r="AF158" s="4">
        <f>[1]节奏总纲!AF158</f>
        <v>77.791342508119982</v>
      </c>
      <c r="AG158" s="4">
        <f>[1]节奏总纲!AG158</f>
        <v>82.388951233951914</v>
      </c>
      <c r="AH158" s="4">
        <f>[1]节奏总纲!AH158</f>
        <v>91.72877549092135</v>
      </c>
      <c r="AZ158" s="4">
        <v>155</v>
      </c>
      <c r="BA158" s="4">
        <v>40.984830450008985</v>
      </c>
      <c r="BB158" s="4">
        <v>42.470885343049382</v>
      </c>
      <c r="BC158" s="4">
        <v>44.412650444796341</v>
      </c>
      <c r="BD158" s="4">
        <v>47.161821703346362</v>
      </c>
      <c r="BE158" s="4">
        <v>50</v>
      </c>
    </row>
    <row r="159" spans="6:57">
      <c r="N159" s="4">
        <f>[1]节奏总纲!N159</f>
        <v>166</v>
      </c>
      <c r="O159" s="4">
        <v>156</v>
      </c>
      <c r="P159" s="4">
        <f>[1]节奏总纲!P159</f>
        <v>49666.000451412707</v>
      </c>
      <c r="Q159" s="4">
        <f>[1]节奏总纲!Q159</f>
        <v>49666.000451412707</v>
      </c>
      <c r="R159" s="4">
        <f>[1]节奏总纲!R159</f>
        <v>50162.660455926831</v>
      </c>
      <c r="S159" s="4">
        <f>[1]节奏总纲!S159</f>
        <v>50162.660455926831</v>
      </c>
      <c r="T159" s="4">
        <f>[1]节奏总纲!T159</f>
        <v>50311.658457281068</v>
      </c>
      <c r="V159" s="4">
        <v>156</v>
      </c>
      <c r="W159" s="4">
        <f>[1]节奏总纲!W159</f>
        <v>3326.0504395711032</v>
      </c>
      <c r="X159" s="4">
        <f>[1]节奏总纲!X159</f>
        <v>5587.4400001489703</v>
      </c>
      <c r="Y159" s="4">
        <f>[1]节奏总纲!Y159</f>
        <v>5759.720354580204</v>
      </c>
      <c r="Z159" s="4">
        <f>[1]节奏总纲!Z159</f>
        <v>5759.720354580204</v>
      </c>
      <c r="AA159" s="4">
        <f>[1]节奏总纲!AA159</f>
        <v>5769.6985058989158</v>
      </c>
      <c r="AC159" s="4">
        <v>156</v>
      </c>
      <c r="AD159" s="4">
        <f>[1]节奏总纲!AD159</f>
        <v>72.944425319575828</v>
      </c>
      <c r="AE159" s="4">
        <f>[1]节奏总纲!AE159</f>
        <v>75.022035011469043</v>
      </c>
      <c r="AF159" s="4">
        <f>[1]节奏总纲!AF159</f>
        <v>77.884791411421745</v>
      </c>
      <c r="AG159" s="4">
        <f>[1]节奏总纲!AG159</f>
        <v>82.481827667543882</v>
      </c>
      <c r="AH159" s="4">
        <f>[1]节奏总纲!AH159</f>
        <v>91.831303873678593</v>
      </c>
      <c r="AZ159" s="4">
        <v>156</v>
      </c>
      <c r="BA159" s="4">
        <v>41.027136894088379</v>
      </c>
      <c r="BB159" s="4">
        <v>42.51427628670821</v>
      </c>
      <c r="BC159" s="4">
        <v>44.455742855302844</v>
      </c>
      <c r="BD159" s="4">
        <v>47.203396779992147</v>
      </c>
      <c r="BE159" s="4">
        <v>50</v>
      </c>
    </row>
    <row r="160" spans="6:57">
      <c r="N160" s="4">
        <f>[1]节奏总纲!N160</f>
        <v>167</v>
      </c>
      <c r="O160" s="4">
        <v>157</v>
      </c>
      <c r="P160" s="4">
        <f>[1]节奏总纲!P160</f>
        <v>53230.773047602182</v>
      </c>
      <c r="Q160" s="4">
        <f>[1]节奏总纲!Q160</f>
        <v>53230.773047602182</v>
      </c>
      <c r="R160" s="4">
        <f>[1]节奏总纲!R160</f>
        <v>53763.080778078205</v>
      </c>
      <c r="S160" s="4">
        <f>[1]节奏总纲!S160</f>
        <v>53763.080778078205</v>
      </c>
      <c r="T160" s="4">
        <f>[1]节奏总纲!T160</f>
        <v>53763.080778078205</v>
      </c>
      <c r="V160" s="4">
        <v>157</v>
      </c>
      <c r="W160" s="4">
        <f>[1]节奏总纲!W160</f>
        <v>3564.7725961894757</v>
      </c>
      <c r="X160" s="4">
        <f>[1]节奏总纲!X160</f>
        <v>3564.7725961894757</v>
      </c>
      <c r="Y160" s="4">
        <f>[1]节奏总纲!Y160</f>
        <v>3600.4203221513744</v>
      </c>
      <c r="Z160" s="4">
        <f>[1]节奏总纲!Z160</f>
        <v>3600.4203221513744</v>
      </c>
      <c r="AA160" s="4">
        <f>[1]节奏总纲!AA160</f>
        <v>3451.4223207971372</v>
      </c>
      <c r="AC160" s="4">
        <v>157</v>
      </c>
      <c r="AD160" s="4">
        <f>[1]节奏总纲!AD160</f>
        <v>73.036560194527354</v>
      </c>
      <c r="AE160" s="4">
        <f>[1]节奏总纲!AE160</f>
        <v>75.111147990406067</v>
      </c>
      <c r="AF160" s="4">
        <f>[1]节奏总纲!AF160</f>
        <v>77.978240314723507</v>
      </c>
      <c r="AG160" s="4">
        <f>[1]节奏总纲!AG160</f>
        <v>82.574704101135836</v>
      </c>
      <c r="AH160" s="4">
        <f>[1]节奏总纲!AH160</f>
        <v>91.933832256435849</v>
      </c>
      <c r="AZ160" s="4">
        <v>157</v>
      </c>
      <c r="BA160" s="4">
        <v>41.067363109180121</v>
      </c>
      <c r="BB160" s="4">
        <v>42.557667230367045</v>
      </c>
      <c r="BC160" s="4">
        <v>44.498835265809355</v>
      </c>
      <c r="BD160" s="4">
        <v>47.244971856637939</v>
      </c>
      <c r="BE160" s="4">
        <v>50</v>
      </c>
    </row>
    <row r="161" spans="14:57">
      <c r="N161" s="4">
        <f>[1]节奏总纲!N161</f>
        <v>168</v>
      </c>
      <c r="O161" s="4">
        <v>158</v>
      </c>
      <c r="P161" s="4">
        <f>[1]节奏总纲!P161</f>
        <v>57051.401716174769</v>
      </c>
      <c r="Q161" s="4">
        <f>[1]节奏总纲!Q161</f>
        <v>57051.401716174769</v>
      </c>
      <c r="R161" s="4">
        <f>[1]节奏总纲!R161</f>
        <v>57621.915733336515</v>
      </c>
      <c r="S161" s="4">
        <f>[1]节奏总纲!S161</f>
        <v>57621.915733336515</v>
      </c>
      <c r="T161" s="4">
        <f>[1]节奏总纲!T161</f>
        <v>57621.915733336515</v>
      </c>
      <c r="V161" s="4">
        <v>158</v>
      </c>
      <c r="W161" s="4">
        <f>[1]节奏总纲!W161</f>
        <v>3820.6286685725863</v>
      </c>
      <c r="X161" s="4">
        <f>[1]节奏总纲!X161</f>
        <v>3820.6286685725863</v>
      </c>
      <c r="Y161" s="4">
        <f>[1]节奏总纲!Y161</f>
        <v>3858.8349552583095</v>
      </c>
      <c r="Z161" s="4">
        <f>[1]节奏总纲!Z161</f>
        <v>3858.8349552583095</v>
      </c>
      <c r="AA161" s="4">
        <f>[1]节奏总纲!AA161</f>
        <v>3858.8349552583095</v>
      </c>
      <c r="AC161" s="4">
        <v>158</v>
      </c>
      <c r="AD161" s="4">
        <f>[1]节奏总纲!AD161</f>
        <v>73.124973399384572</v>
      </c>
      <c r="AE161" s="4">
        <f>[1]节奏总纲!AE161</f>
        <v>75.200260969343077</v>
      </c>
      <c r="AF161" s="4">
        <f>[1]节奏总纲!AF161</f>
        <v>78.066694029528094</v>
      </c>
      <c r="AG161" s="4">
        <f>[1]节奏总纲!AG161</f>
        <v>82.667580534727804</v>
      </c>
      <c r="AH161" s="4">
        <f>[1]节奏总纲!AH161</f>
        <v>92.033129415212969</v>
      </c>
      <c r="AZ161" s="4">
        <v>158</v>
      </c>
      <c r="BA161" s="4">
        <v>41.107589324271871</v>
      </c>
      <c r="BB161" s="4">
        <v>42.601058174025873</v>
      </c>
      <c r="BC161" s="4">
        <v>44.541927676315858</v>
      </c>
      <c r="BD161" s="4">
        <v>47.286546933283724</v>
      </c>
      <c r="BE161" s="4">
        <v>50</v>
      </c>
    </row>
    <row r="162" spans="14:57">
      <c r="N162" s="4">
        <f>[1]节奏总纲!N162</f>
        <v>169</v>
      </c>
      <c r="O162" s="4">
        <v>159</v>
      </c>
      <c r="P162" s="4">
        <f>[1]节奏总纲!P162</f>
        <v>61146.25013335624</v>
      </c>
      <c r="Q162" s="4">
        <f>[1]节奏总纲!Q162</f>
        <v>61146.25013335624</v>
      </c>
      <c r="R162" s="4">
        <f>[1]节奏总纲!R162</f>
        <v>61757.7126346898</v>
      </c>
      <c r="S162" s="4">
        <f>[1]节奏总纲!S162</f>
        <v>61757.7126346898</v>
      </c>
      <c r="T162" s="4">
        <f>[1]节奏总纲!T162</f>
        <v>61757.7126346898</v>
      </c>
      <c r="V162" s="4">
        <v>159</v>
      </c>
      <c r="W162" s="4">
        <f>[1]节奏总纲!W162</f>
        <v>4094.8484171814707</v>
      </c>
      <c r="X162" s="4">
        <f>[1]节奏总纲!X162</f>
        <v>4094.8484171814707</v>
      </c>
      <c r="Y162" s="4">
        <f>[1]节奏总纲!Y162</f>
        <v>4135.7969013532856</v>
      </c>
      <c r="Z162" s="4">
        <f>[1]节奏总纲!Z162</f>
        <v>4135.7969013532856</v>
      </c>
      <c r="AA162" s="4">
        <f>[1]节奏总纲!AA162</f>
        <v>4135.7969013532856</v>
      </c>
      <c r="AC162" s="4">
        <v>159</v>
      </c>
      <c r="AD162" s="4">
        <f>[1]节奏总纲!AD162</f>
        <v>73.213386604241791</v>
      </c>
      <c r="AE162" s="4">
        <f>[1]节奏总纲!AE162</f>
        <v>75.289373948280101</v>
      </c>
      <c r="AF162" s="4">
        <f>[1]节奏总纲!AF162</f>
        <v>78.153631564737054</v>
      </c>
      <c r="AG162" s="4">
        <f>[1]节奏总纲!AG162</f>
        <v>82.760456968319758</v>
      </c>
      <c r="AH162" s="4">
        <f>[1]节奏总纲!AH162</f>
        <v>92.126546512350387</v>
      </c>
      <c r="AZ162" s="4">
        <v>159</v>
      </c>
      <c r="BA162" s="4">
        <v>41.147815539363613</v>
      </c>
      <c r="BB162" s="4">
        <v>42.644449117684701</v>
      </c>
      <c r="BC162" s="4">
        <v>44.585020086822361</v>
      </c>
      <c r="BD162" s="4">
        <v>47.328122009929508</v>
      </c>
      <c r="BE162" s="4">
        <v>50</v>
      </c>
    </row>
    <row r="163" spans="14:57">
      <c r="N163" s="4">
        <f>[1]节奏总纲!N163</f>
        <v>170</v>
      </c>
      <c r="O163" s="4">
        <v>160</v>
      </c>
      <c r="P163" s="4">
        <f>[1]节奏总纲!P163</f>
        <v>65535</v>
      </c>
      <c r="Q163" s="4">
        <f>[1]节奏总纲!Q163</f>
        <v>65535</v>
      </c>
      <c r="R163" s="4">
        <f>[1]节奏总纲!R163</f>
        <v>66190.350000000006</v>
      </c>
      <c r="S163" s="4">
        <f>[1]节奏总纲!S163</f>
        <v>66190.350000000006</v>
      </c>
      <c r="T163" s="4">
        <f>[1]节奏总纲!T163</f>
        <v>66190.350000000006</v>
      </c>
      <c r="V163" s="4">
        <v>160</v>
      </c>
      <c r="W163" s="4">
        <f>[1]节奏总纲!W163</f>
        <v>4388.7498666437605</v>
      </c>
      <c r="X163" s="4">
        <f>[1]节奏总纲!X163</f>
        <v>4388.7498666437605</v>
      </c>
      <c r="Y163" s="4">
        <f>[1]节奏总纲!Y163</f>
        <v>4432.6373653102055</v>
      </c>
      <c r="Z163" s="4">
        <f>[1]节奏总纲!Z163</f>
        <v>4432.6373653102055</v>
      </c>
      <c r="AA163" s="4">
        <f>[1]节奏总纲!AA163</f>
        <v>4432.6373653102055</v>
      </c>
      <c r="AC163" s="4">
        <v>160</v>
      </c>
      <c r="AD163" s="4">
        <f>[1]节奏总纲!AD163</f>
        <v>73.301799809099009</v>
      </c>
      <c r="AE163" s="4">
        <f>[1]节奏总纲!AE163</f>
        <v>75.378486927217125</v>
      </c>
      <c r="AF163" s="4">
        <f>[1]节奏总纲!AF163</f>
        <v>78.240569099946029</v>
      </c>
      <c r="AG163" s="4">
        <f>[1]节奏总纲!AG163</f>
        <v>82.853333401911726</v>
      </c>
      <c r="AH163" s="4">
        <f>[1]节奏总纲!AH163</f>
        <v>92.219963609487792</v>
      </c>
      <c r="AZ163" s="4">
        <v>160</v>
      </c>
      <c r="BA163" s="4">
        <v>41.188041754455355</v>
      </c>
      <c r="BB163" s="4">
        <v>42.687840061343536</v>
      </c>
      <c r="BC163" s="4">
        <v>44.628112497328864</v>
      </c>
      <c r="BD163" s="4">
        <v>47.3696970865753</v>
      </c>
      <c r="BE163" s="4">
        <v>50</v>
      </c>
    </row>
    <row r="164" spans="14:57">
      <c r="AC164" s="4">
        <v>161</v>
      </c>
      <c r="AD164" s="4">
        <f>[1]节奏总纲!AD164</f>
        <v>73.390213013956213</v>
      </c>
      <c r="AE164" s="4">
        <f>[1]节奏总纲!AE164</f>
        <v>75.467599906154135</v>
      </c>
      <c r="AF164" s="4">
        <f>[1]节奏总纲!AF164</f>
        <v>78.32750663515499</v>
      </c>
      <c r="AG164" s="4">
        <f>[1]节奏总纲!AG164</f>
        <v>82.94620983550368</v>
      </c>
      <c r="AH164" s="4">
        <f>[1]节奏总纲!AH164</f>
        <v>92.313380706625196</v>
      </c>
      <c r="AZ164" s="4">
        <v>161</v>
      </c>
      <c r="BA164" s="4">
        <v>41.228267969547105</v>
      </c>
      <c r="BB164" s="4">
        <v>42.731231005002364</v>
      </c>
      <c r="BC164" s="4">
        <v>44.671204907835367</v>
      </c>
      <c r="BD164" s="4">
        <v>47.411272163221085</v>
      </c>
      <c r="BE164" s="4">
        <v>50</v>
      </c>
    </row>
    <row r="165" spans="14:57">
      <c r="AC165" s="4">
        <v>162</v>
      </c>
      <c r="AD165" s="4">
        <f>[1]节奏总纲!AD165</f>
        <v>73.478626218813432</v>
      </c>
      <c r="AE165" s="4">
        <f>[1]节奏总纲!AE165</f>
        <v>75.556712885091159</v>
      </c>
      <c r="AF165" s="4">
        <f>[1]节奏总纲!AF165</f>
        <v>78.414444170363964</v>
      </c>
      <c r="AG165" s="4">
        <f>[1]节奏总纲!AG165</f>
        <v>83.036921590135321</v>
      </c>
      <c r="AH165" s="4">
        <f>[1]节奏总纲!AH165</f>
        <v>92.406797803762601</v>
      </c>
      <c r="AZ165" s="4">
        <v>162</v>
      </c>
      <c r="BA165" s="4">
        <v>41.268494184638847</v>
      </c>
      <c r="BB165" s="4">
        <v>42.774621948661192</v>
      </c>
      <c r="BC165" s="4">
        <v>44.714297318341877</v>
      </c>
      <c r="BD165" s="4">
        <v>47.452847239866877</v>
      </c>
      <c r="BE165" s="4">
        <v>50</v>
      </c>
    </row>
    <row r="166" spans="14:57">
      <c r="AC166" s="4">
        <v>163</v>
      </c>
      <c r="AD166" s="4">
        <f>[1]节奏总纲!AD166</f>
        <v>73.56703942367065</v>
      </c>
      <c r="AE166" s="4">
        <f>[1]节奏总纲!AE166</f>
        <v>75.645825864028183</v>
      </c>
      <c r="AF166" s="4">
        <f>[1]节奏总纲!AF166</f>
        <v>78.501381705572925</v>
      </c>
      <c r="AG166" s="4">
        <f>[1]节奏总纲!AG166</f>
        <v>83.124654333465756</v>
      </c>
      <c r="AH166" s="4">
        <f>[1]节奏总纲!AH166</f>
        <v>92.500214900900005</v>
      </c>
      <c r="AZ166" s="4">
        <v>163</v>
      </c>
      <c r="BA166" s="4">
        <v>41.308720399730589</v>
      </c>
      <c r="BB166" s="4">
        <v>42.818012892320027</v>
      </c>
      <c r="BC166" s="4">
        <v>44.757389728848381</v>
      </c>
      <c r="BD166" s="4">
        <v>47.494422316512662</v>
      </c>
      <c r="BE166" s="4">
        <v>50</v>
      </c>
    </row>
    <row r="167" spans="14:57">
      <c r="AC167" s="4">
        <v>164</v>
      </c>
      <c r="AD167" s="4">
        <f>[1]节奏总纲!AD167</f>
        <v>73.655452628527868</v>
      </c>
      <c r="AE167" s="4">
        <f>[1]节奏总纲!AE167</f>
        <v>75.734938842965192</v>
      </c>
      <c r="AF167" s="4">
        <f>[1]节奏总纲!AF167</f>
        <v>78.5883192407819</v>
      </c>
      <c r="AG167" s="4">
        <f>[1]节奏总纲!AG167</f>
        <v>83.21238707679619</v>
      </c>
      <c r="AH167" s="4">
        <f>[1]节奏总纲!AH167</f>
        <v>92.593631998037409</v>
      </c>
      <c r="AZ167" s="4">
        <v>164</v>
      </c>
      <c r="BA167" s="4">
        <v>41.348946614822331</v>
      </c>
      <c r="BB167" s="4">
        <v>42.861403835978855</v>
      </c>
      <c r="BC167" s="4">
        <v>44.800482139354884</v>
      </c>
      <c r="BD167" s="4">
        <v>47.535997393158453</v>
      </c>
      <c r="BE167" s="4">
        <v>50</v>
      </c>
    </row>
    <row r="168" spans="14:57">
      <c r="AC168" s="4">
        <v>165</v>
      </c>
      <c r="AD168" s="4">
        <f>[1]节奏总纲!AD168</f>
        <v>73.743865833385087</v>
      </c>
      <c r="AE168" s="4">
        <f>[1]节奏总纲!AE168</f>
        <v>75.824051821902216</v>
      </c>
      <c r="AF168" s="4">
        <f>[1]节奏总纲!AF168</f>
        <v>78.67525677599086</v>
      </c>
      <c r="AG168" s="4">
        <f>[1]节奏总纲!AG168</f>
        <v>83.300119820126625</v>
      </c>
      <c r="AH168" s="4">
        <f>[1]节奏总纲!AH168</f>
        <v>92.687049095174814</v>
      </c>
      <c r="AZ168" s="4">
        <v>165</v>
      </c>
      <c r="BA168" s="4">
        <v>41.389172829914081</v>
      </c>
      <c r="BB168" s="4">
        <v>42.904794779637683</v>
      </c>
      <c r="BC168" s="4">
        <v>44.843574549861387</v>
      </c>
      <c r="BD168" s="4">
        <v>47.577572469804238</v>
      </c>
      <c r="BE168" s="4">
        <v>50</v>
      </c>
    </row>
    <row r="169" spans="14:57">
      <c r="AC169" s="4">
        <v>166</v>
      </c>
      <c r="AD169" s="4">
        <f>[1]节奏总纲!AD169</f>
        <v>73.832279038242305</v>
      </c>
      <c r="AE169" s="4">
        <f>[1]节奏总纲!AE169</f>
        <v>75.91316480083924</v>
      </c>
      <c r="AF169" s="4">
        <f>[1]节奏总纲!AF169</f>
        <v>78.762194311199835</v>
      </c>
      <c r="AG169" s="4">
        <f>[1]节奏总纲!AG169</f>
        <v>83.387852563457059</v>
      </c>
      <c r="AH169" s="4">
        <f>[1]节奏总纲!AH169</f>
        <v>92.780466192312218</v>
      </c>
      <c r="AZ169" s="4">
        <v>166</v>
      </c>
      <c r="BA169" s="4">
        <v>41.429399045005823</v>
      </c>
      <c r="BB169" s="4">
        <v>42.948185723296518</v>
      </c>
      <c r="BC169" s="4">
        <v>44.88666696036789</v>
      </c>
      <c r="BD169" s="4">
        <v>47.619147546450023</v>
      </c>
      <c r="BE169" s="4">
        <v>50</v>
      </c>
    </row>
    <row r="170" spans="14:57">
      <c r="AC170" s="4">
        <v>167</v>
      </c>
      <c r="AD170" s="4">
        <f>[1]节奏总纲!AD170</f>
        <v>73.920692243099523</v>
      </c>
      <c r="AE170" s="4">
        <f>[1]节奏总纲!AE170</f>
        <v>76.002103770254962</v>
      </c>
      <c r="AF170" s="4">
        <f>[1]节奏总纲!AF170</f>
        <v>78.849131846408795</v>
      </c>
      <c r="AG170" s="4">
        <f>[1]节奏总纲!AG170</f>
        <v>83.475585306787494</v>
      </c>
      <c r="AH170" s="4">
        <f>[1]节奏总纲!AH170</f>
        <v>92.873883289449623</v>
      </c>
      <c r="AZ170" s="4">
        <v>167</v>
      </c>
      <c r="BA170" s="4">
        <v>41.469625260097565</v>
      </c>
      <c r="BB170" s="4">
        <v>42.991576666955346</v>
      </c>
      <c r="BC170" s="4">
        <v>44.9297593708744</v>
      </c>
      <c r="BD170" s="4">
        <v>47.660722623095815</v>
      </c>
      <c r="BE170" s="4">
        <v>50</v>
      </c>
    </row>
    <row r="171" spans="14:57">
      <c r="AC171" s="4">
        <v>168</v>
      </c>
      <c r="AD171" s="4">
        <f>[1]节奏总纲!AD171</f>
        <v>74.008495683346354</v>
      </c>
      <c r="AE171" s="4">
        <f>[1]节奏总纲!AE171</f>
        <v>76.084409020469636</v>
      </c>
      <c r="AF171" s="4">
        <f>[1]节奏总纲!AF171</f>
        <v>78.93606938161777</v>
      </c>
      <c r="AG171" s="4">
        <f>[1]节奏总纲!AG171</f>
        <v>83.563318050117928</v>
      </c>
      <c r="AH171" s="4">
        <f>[1]节奏总纲!AH171</f>
        <v>92.967300386587027</v>
      </c>
      <c r="AZ171" s="4">
        <v>168</v>
      </c>
      <c r="BA171" s="4">
        <v>41.509851475189308</v>
      </c>
      <c r="BB171" s="4">
        <v>43.030177309109042</v>
      </c>
      <c r="BC171" s="4">
        <v>44.972851781380903</v>
      </c>
      <c r="BD171" s="4">
        <v>47.7022976997416</v>
      </c>
      <c r="BE171" s="4">
        <v>50</v>
      </c>
    </row>
    <row r="172" spans="14:57">
      <c r="AC172" s="4">
        <v>169</v>
      </c>
      <c r="AD172" s="4">
        <f>[1]节奏总纲!AD172</f>
        <v>74.090988120365651</v>
      </c>
      <c r="AE172" s="4">
        <f>[1]节奏总纲!AE172</f>
        <v>76.166714270684309</v>
      </c>
      <c r="AF172" s="4">
        <f>[1]节奏总纲!AF172</f>
        <v>79.022812309215297</v>
      </c>
      <c r="AG172" s="4">
        <f>[1]节奏总纲!AG172</f>
        <v>83.651050793448363</v>
      </c>
      <c r="AH172" s="4">
        <f>[1]节奏总纲!AH172</f>
        <v>93.057555567360481</v>
      </c>
      <c r="AZ172" s="4">
        <v>169</v>
      </c>
      <c r="BA172" s="4">
        <v>41.550077690281057</v>
      </c>
      <c r="BB172" s="4">
        <v>43.067624017543686</v>
      </c>
      <c r="BC172" s="4">
        <v>45.013762077986961</v>
      </c>
      <c r="BD172" s="4">
        <v>47.743872776387391</v>
      </c>
      <c r="BE172" s="4">
        <v>50</v>
      </c>
    </row>
    <row r="173" spans="14:57">
      <c r="AC173" s="4">
        <v>170</v>
      </c>
      <c r="AD173" s="4">
        <f>[1]节奏总纲!AD173</f>
        <v>74.173480557384934</v>
      </c>
      <c r="AE173" s="4">
        <f>[1]节奏总纲!AE173</f>
        <v>76.249019520898997</v>
      </c>
      <c r="AF173" s="4">
        <f>[1]节奏总纲!AF173</f>
        <v>79.109014469658547</v>
      </c>
      <c r="AG173" s="4">
        <f>[1]节奏总纲!AG173</f>
        <v>83.738783536778797</v>
      </c>
      <c r="AH173" s="4">
        <f>[1]节奏总纲!AH173</f>
        <v>93.146107887007233</v>
      </c>
      <c r="AZ173" s="4">
        <v>170</v>
      </c>
      <c r="BA173" s="4">
        <v>41.590303905372799</v>
      </c>
      <c r="BB173" s="4">
        <v>43.105070725978337</v>
      </c>
      <c r="BC173" s="4">
        <v>45.050956883357138</v>
      </c>
      <c r="BD173" s="4">
        <v>47.785447853033176</v>
      </c>
      <c r="BE173" s="4">
        <v>50</v>
      </c>
    </row>
    <row r="174" spans="14:57">
      <c r="AC174" s="4">
        <v>171</v>
      </c>
      <c r="AD174" s="4">
        <f>[1]节奏总纲!AD174</f>
        <v>74.255972994404218</v>
      </c>
      <c r="AE174" s="4">
        <f>[1]节奏总纲!AE174</f>
        <v>76.331324771113671</v>
      </c>
      <c r="AF174" s="4">
        <f>[1]节奏总纲!AF174</f>
        <v>79.195216630101797</v>
      </c>
      <c r="AG174" s="4">
        <f>[1]节奏总纲!AG174</f>
        <v>83.826516280109232</v>
      </c>
      <c r="AH174" s="4">
        <f>[1]节奏总纲!AH174</f>
        <v>93.23466020665397</v>
      </c>
      <c r="AZ174" s="4">
        <v>171</v>
      </c>
      <c r="BA174" s="4">
        <v>41.630530120464542</v>
      </c>
      <c r="BB174" s="4">
        <v>43.14251743441298</v>
      </c>
      <c r="BC174" s="4">
        <v>45.088151688727308</v>
      </c>
      <c r="BD174" s="4">
        <v>47.827022929678968</v>
      </c>
      <c r="BE174" s="4">
        <v>50</v>
      </c>
    </row>
    <row r="175" spans="14:57">
      <c r="AC175" s="4">
        <v>172</v>
      </c>
      <c r="AD175" s="4">
        <f>[1]节奏总纲!AD175</f>
        <v>74.338465431423501</v>
      </c>
      <c r="AE175" s="4">
        <f>[1]节奏总纲!AE175</f>
        <v>76.413630021328345</v>
      </c>
      <c r="AF175" s="4">
        <f>[1]节奏总纲!AF175</f>
        <v>79.281418790545047</v>
      </c>
      <c r="AG175" s="4">
        <f>[1]节奏总纲!AG175</f>
        <v>83.914249023439666</v>
      </c>
      <c r="AH175" s="4">
        <f>[1]节奏总纲!AH175</f>
        <v>93.323212526300722</v>
      </c>
      <c r="AZ175" s="4">
        <v>172</v>
      </c>
      <c r="BA175" s="4">
        <v>41.670756335556291</v>
      </c>
      <c r="BB175" s="4">
        <v>43.179964142847631</v>
      </c>
      <c r="BC175" s="4">
        <v>45.125346494097485</v>
      </c>
      <c r="BD175" s="4">
        <v>47.868598006324753</v>
      </c>
      <c r="BE175" s="4">
        <v>50</v>
      </c>
    </row>
    <row r="176" spans="14:57">
      <c r="AC176" s="4">
        <v>173</v>
      </c>
      <c r="AD176" s="4">
        <f>[1]节奏总纲!AD176</f>
        <v>74.420957868442784</v>
      </c>
      <c r="AE176" s="4">
        <f>[1]节奏总纲!AE176</f>
        <v>76.495935271543019</v>
      </c>
      <c r="AF176" s="4">
        <f>[1]节奏总纲!AF176</f>
        <v>79.367620950988297</v>
      </c>
      <c r="AG176" s="4">
        <f>[1]节奏总纲!AG176</f>
        <v>84.00179325525086</v>
      </c>
      <c r="AH176" s="4">
        <f>[1]节奏总纲!AH176</f>
        <v>93.411764845947459</v>
      </c>
      <c r="AZ176" s="4">
        <v>173</v>
      </c>
      <c r="BA176" s="4">
        <v>41.710982550648033</v>
      </c>
      <c r="BB176" s="4">
        <v>43.217410851282274</v>
      </c>
      <c r="BC176" s="4">
        <v>45.162541299467655</v>
      </c>
      <c r="BD176" s="4">
        <v>47.910173082970537</v>
      </c>
      <c r="BE176" s="4">
        <v>50</v>
      </c>
    </row>
    <row r="177" spans="29:57">
      <c r="AC177" s="4">
        <v>174</v>
      </c>
      <c r="AD177" s="4">
        <f>[1]节奏总纲!AD177</f>
        <v>74.503450305462081</v>
      </c>
      <c r="AE177" s="4">
        <f>[1]节奏总纲!AE177</f>
        <v>76.578240521757706</v>
      </c>
      <c r="AF177" s="4">
        <f>[1]节奏总纲!AF177</f>
        <v>79.453823111431561</v>
      </c>
      <c r="AG177" s="4">
        <f>[1]节奏总纲!AG177</f>
        <v>84.08118060043364</v>
      </c>
      <c r="AH177" s="4">
        <f>[1]节奏总纲!AH177</f>
        <v>93.500317165594211</v>
      </c>
      <c r="AZ177" s="4">
        <v>174</v>
      </c>
      <c r="BA177" s="4">
        <v>41.751208765739776</v>
      </c>
      <c r="BB177" s="4">
        <v>43.254857559716925</v>
      </c>
      <c r="BC177" s="4">
        <v>45.199736104837832</v>
      </c>
      <c r="BD177" s="4">
        <v>47.951748159616329</v>
      </c>
      <c r="BE177" s="4">
        <v>50</v>
      </c>
    </row>
    <row r="178" spans="29:57">
      <c r="AC178" s="4">
        <v>175</v>
      </c>
      <c r="AD178" s="4">
        <f>[1]节奏总纲!AD178</f>
        <v>74.585942742481365</v>
      </c>
      <c r="AE178" s="4">
        <f>[1]节奏总纲!AE178</f>
        <v>76.66054577197238</v>
      </c>
      <c r="AF178" s="4">
        <f>[1]节奏总纲!AF178</f>
        <v>79.540025271874811</v>
      </c>
      <c r="AG178" s="4">
        <f>[1]节奏总纲!AG178</f>
        <v>84.160567945616407</v>
      </c>
      <c r="AH178" s="4">
        <f>[1]节奏总纲!AH178</f>
        <v>93.588869485240949</v>
      </c>
      <c r="AZ178" s="4">
        <v>175</v>
      </c>
      <c r="BA178" s="4">
        <v>41.791434980831518</v>
      </c>
      <c r="BB178" s="4">
        <v>43.292304268151575</v>
      </c>
      <c r="BC178" s="4">
        <v>45.236930910208002</v>
      </c>
      <c r="BD178" s="4">
        <v>47.993323236262114</v>
      </c>
      <c r="BE178" s="4">
        <v>50</v>
      </c>
    </row>
    <row r="179" spans="29:57">
      <c r="AC179" s="4">
        <v>176</v>
      </c>
      <c r="AD179" s="4">
        <f>[1]节奏总纲!AD179</f>
        <v>74.668435179500648</v>
      </c>
      <c r="AE179" s="4">
        <f>[1]节奏总纲!AE179</f>
        <v>76.742851022187054</v>
      </c>
      <c r="AF179" s="4">
        <f>[1]节奏总纲!AF179</f>
        <v>79.626227432318061</v>
      </c>
      <c r="AG179" s="4">
        <f>[1]节奏总纲!AG179</f>
        <v>84.239955290799188</v>
      </c>
      <c r="AH179" s="4">
        <f>[1]节奏总纲!AH179</f>
        <v>93.6774218048877</v>
      </c>
      <c r="AZ179" s="4">
        <v>176</v>
      </c>
      <c r="BA179" s="4">
        <v>41.831661195923267</v>
      </c>
      <c r="BB179" s="4">
        <v>43.329750976586219</v>
      </c>
      <c r="BC179" s="4">
        <v>45.274125715578172</v>
      </c>
      <c r="BD179" s="4">
        <v>48.030128751164234</v>
      </c>
      <c r="BE179" s="4">
        <v>50</v>
      </c>
    </row>
    <row r="180" spans="29:57">
      <c r="AC180" s="4">
        <v>177</v>
      </c>
      <c r="AD180" s="4">
        <f>[1]节奏总纲!AD180</f>
        <v>74.750927616519931</v>
      </c>
      <c r="AE180" s="4">
        <f>[1]节奏总纲!AE180</f>
        <v>76.825156272401728</v>
      </c>
      <c r="AF180" s="4">
        <f>[1]节奏总纲!AF180</f>
        <v>79.71242959276131</v>
      </c>
      <c r="AG180" s="4">
        <f>[1]节奏总纲!AG180</f>
        <v>84.319342635981968</v>
      </c>
      <c r="AH180" s="4">
        <f>[1]节奏总纲!AH180</f>
        <v>93.765974124534438</v>
      </c>
      <c r="AZ180" s="4">
        <v>177</v>
      </c>
      <c r="BA180" s="4">
        <v>41.87188741101501</v>
      </c>
      <c r="BB180" s="4">
        <v>43.367197685020869</v>
      </c>
      <c r="BC180" s="4">
        <v>45.31132052094835</v>
      </c>
      <c r="BD180" s="4">
        <v>48.066021750983474</v>
      </c>
      <c r="BE180" s="4">
        <v>50</v>
      </c>
    </row>
    <row r="181" spans="29:57">
      <c r="AC181" s="4">
        <v>178</v>
      </c>
      <c r="AD181" s="4">
        <f>[1]节奏总纲!AD181</f>
        <v>74.833420053539214</v>
      </c>
      <c r="AE181" s="4">
        <f>[1]节奏总纲!AE181</f>
        <v>76.907461522616416</v>
      </c>
      <c r="AF181" s="4">
        <f>[1]节奏总纲!AF181</f>
        <v>79.79863175320456</v>
      </c>
      <c r="AG181" s="4">
        <f>[1]节奏总纲!AG181</f>
        <v>84.398729981164735</v>
      </c>
      <c r="AH181" s="4">
        <f>[1]节奏总纲!AH181</f>
        <v>93.85452644418119</v>
      </c>
      <c r="AZ181" s="4">
        <v>178</v>
      </c>
      <c r="BA181" s="4">
        <v>41.912113626106752</v>
      </c>
      <c r="BB181" s="4">
        <v>43.404644393455513</v>
      </c>
      <c r="BC181" s="4">
        <v>45.34851532631852</v>
      </c>
      <c r="BD181" s="4">
        <v>48.101914750802706</v>
      </c>
      <c r="BE181" s="4">
        <v>50</v>
      </c>
    </row>
    <row r="182" spans="29:57">
      <c r="AC182" s="4">
        <v>179</v>
      </c>
      <c r="AD182" s="4">
        <f>[1]节奏总纲!AD182</f>
        <v>74.915912490558512</v>
      </c>
      <c r="AE182" s="4">
        <f>[1]节奏总纲!AE182</f>
        <v>76.989766772831089</v>
      </c>
      <c r="AF182" s="4">
        <f>[1]节奏总纲!AF182</f>
        <v>79.88483391364781</v>
      </c>
      <c r="AG182" s="4">
        <f>[1]节奏总纲!AG182</f>
        <v>84.478117326347515</v>
      </c>
      <c r="AH182" s="4">
        <f>[1]节奏总纲!AH182</f>
        <v>93.943078763827941</v>
      </c>
      <c r="AZ182" s="4">
        <v>179</v>
      </c>
      <c r="BA182" s="4">
        <v>41.952339841198494</v>
      </c>
      <c r="BB182" s="4">
        <v>43.442091101890163</v>
      </c>
      <c r="BC182" s="4">
        <v>45.385710131688697</v>
      </c>
      <c r="BD182" s="4">
        <v>48.137807750621946</v>
      </c>
      <c r="BE182" s="4">
        <v>50</v>
      </c>
    </row>
    <row r="183" spans="29:57">
      <c r="AC183" s="4">
        <v>180</v>
      </c>
      <c r="AD183" s="4">
        <f>[1]节奏总纲!AD183</f>
        <v>74.998404927577795</v>
      </c>
      <c r="AE183" s="4">
        <f>[1]节奏总纲!AE183</f>
        <v>77.06778397927944</v>
      </c>
      <c r="AF183" s="4">
        <f>[1]节奏总纲!AF183</f>
        <v>79.97103607409106</v>
      </c>
      <c r="AG183" s="4">
        <f>[1]节奏总纲!AG183</f>
        <v>84.557504671530296</v>
      </c>
      <c r="AH183" s="4">
        <f>[1]节奏总纲!AH183</f>
        <v>94.027056817114342</v>
      </c>
      <c r="AZ183" s="4">
        <v>180</v>
      </c>
      <c r="BA183" s="4">
        <v>41.992566056290244</v>
      </c>
      <c r="BB183" s="4">
        <v>43.479537810324807</v>
      </c>
      <c r="BC183" s="4">
        <v>45.422904937058867</v>
      </c>
      <c r="BD183" s="4">
        <v>48.173700750441178</v>
      </c>
      <c r="BE183" s="4">
        <v>50</v>
      </c>
    </row>
    <row r="184" spans="29:57">
      <c r="AC184" s="4">
        <v>181</v>
      </c>
      <c r="AD184" s="4">
        <f>[1]节奏总纲!AD184</f>
        <v>75.075479910097457</v>
      </c>
      <c r="AE184" s="4">
        <f>[1]节奏总纲!AE184</f>
        <v>77.145192343015793</v>
      </c>
      <c r="AF184" s="4">
        <f>[1]节奏总纲!AF184</f>
        <v>80.053817475702374</v>
      </c>
      <c r="AG184" s="4">
        <f>[1]节奏总纲!AG184</f>
        <v>84.636892016713063</v>
      </c>
      <c r="AH184" s="4">
        <f>[1]节奏总纲!AH184</f>
        <v>94.102803318799971</v>
      </c>
      <c r="AZ184" s="4">
        <v>181</v>
      </c>
      <c r="BA184" s="4">
        <v>42.028297717729309</v>
      </c>
      <c r="BB184" s="4">
        <v>43.516984518759458</v>
      </c>
      <c r="BC184" s="4">
        <v>45.460099742429037</v>
      </c>
      <c r="BD184" s="4">
        <v>48.209593750260417</v>
      </c>
      <c r="BE184" s="4">
        <v>50</v>
      </c>
    </row>
    <row r="185" spans="29:57">
      <c r="AC185" s="4">
        <v>182</v>
      </c>
      <c r="AD185" s="4">
        <f>[1]节奏总纲!AD185</f>
        <v>75.152448075388719</v>
      </c>
      <c r="AE185" s="4">
        <f>[1]节奏总纲!AE185</f>
        <v>77.222600706752132</v>
      </c>
      <c r="AF185" s="4">
        <f>[1]节奏总纲!AF185</f>
        <v>80.134867890916794</v>
      </c>
      <c r="AG185" s="4">
        <f>[1]节奏总纲!AG185</f>
        <v>84.716279361895843</v>
      </c>
      <c r="AH185" s="4">
        <f>[1]节奏总纲!AH185</f>
        <v>94.1785498204856</v>
      </c>
      <c r="AZ185" s="4">
        <v>182</v>
      </c>
      <c r="BA185" s="4">
        <v>42.063010472656373</v>
      </c>
      <c r="BB185" s="4">
        <v>43.554431227194108</v>
      </c>
      <c r="BC185" s="4">
        <v>45.497294547799214</v>
      </c>
      <c r="BD185" s="4">
        <v>48.24548675007965</v>
      </c>
      <c r="BE185" s="4">
        <v>50</v>
      </c>
    </row>
    <row r="186" spans="29:57">
      <c r="AC186" s="4">
        <v>183</v>
      </c>
      <c r="AD186" s="4">
        <f>[1]节奏总纲!AD186</f>
        <v>75.229416240679981</v>
      </c>
      <c r="AE186" s="4">
        <f>[1]节奏总纲!AE186</f>
        <v>77.300009070488485</v>
      </c>
      <c r="AF186" s="4">
        <f>[1]节奏总纲!AF186</f>
        <v>80.215918306131215</v>
      </c>
      <c r="AG186" s="4">
        <f>[1]节奏总纲!AG186</f>
        <v>84.795666707078624</v>
      </c>
      <c r="AH186" s="4">
        <f>[1]节奏总纲!AH186</f>
        <v>94.254296322171228</v>
      </c>
      <c r="AZ186" s="4">
        <v>183</v>
      </c>
      <c r="BA186" s="4">
        <v>42.097723227583437</v>
      </c>
      <c r="BB186" s="4">
        <v>43.591877935628752</v>
      </c>
      <c r="BC186" s="4">
        <v>45.534489353169384</v>
      </c>
      <c r="BD186" s="4">
        <v>48.281379749898889</v>
      </c>
      <c r="BE186" s="4">
        <v>50</v>
      </c>
    </row>
    <row r="187" spans="29:57">
      <c r="AC187" s="4">
        <v>184</v>
      </c>
      <c r="AD187" s="4">
        <f>[1]节奏总纲!AD187</f>
        <v>75.306384405971258</v>
      </c>
      <c r="AE187" s="4">
        <f>[1]节奏总纲!AE187</f>
        <v>77.377417434224824</v>
      </c>
      <c r="AF187" s="4">
        <f>[1]节奏总纲!AF187</f>
        <v>80.296968721345635</v>
      </c>
      <c r="AG187" s="4">
        <f>[1]节奏总纲!AG187</f>
        <v>84.87505405226139</v>
      </c>
      <c r="AH187" s="4">
        <f>[1]节奏总纲!AH187</f>
        <v>94.330042823856857</v>
      </c>
      <c r="AZ187" s="4">
        <v>184</v>
      </c>
      <c r="BA187" s="4">
        <v>42.132435982510501</v>
      </c>
      <c r="BB187" s="4">
        <v>43.629324644063402</v>
      </c>
      <c r="BC187" s="4">
        <v>45.571684158539561</v>
      </c>
      <c r="BD187" s="4">
        <v>48.317272749718121</v>
      </c>
      <c r="BE187" s="4">
        <v>50</v>
      </c>
    </row>
    <row r="188" spans="29:57">
      <c r="AC188" s="4">
        <v>185</v>
      </c>
      <c r="AD188" s="4">
        <f>[1]节奏总纲!AD188</f>
        <v>75.38335257126252</v>
      </c>
      <c r="AE188" s="4">
        <f>[1]节奏总纲!AE188</f>
        <v>77.454825797961163</v>
      </c>
      <c r="AF188" s="4">
        <f>[1]节奏总纲!AF188</f>
        <v>80.378019136560056</v>
      </c>
      <c r="AG188" s="4">
        <f>[1]节奏总纲!AG188</f>
        <v>84.954441397444171</v>
      </c>
      <c r="AH188" s="4">
        <f>[1]节奏总纲!AH188</f>
        <v>94.405789325542486</v>
      </c>
      <c r="AZ188" s="4">
        <v>185</v>
      </c>
      <c r="BA188" s="4">
        <v>42.167148737437564</v>
      </c>
      <c r="BB188" s="4">
        <v>43.666771352498046</v>
      </c>
      <c r="BC188" s="4">
        <v>45.608878963909731</v>
      </c>
      <c r="BD188" s="4">
        <v>48.353165749537354</v>
      </c>
      <c r="BE188" s="4">
        <v>50</v>
      </c>
    </row>
    <row r="189" spans="29:57">
      <c r="AC189" s="4">
        <v>186</v>
      </c>
      <c r="AD189" s="4">
        <f>[1]节奏总纲!AD189</f>
        <v>75.460320736553783</v>
      </c>
      <c r="AE189" s="4">
        <f>[1]节奏总纲!AE189</f>
        <v>77.532234161697517</v>
      </c>
      <c r="AF189" s="4">
        <f>[1]节奏总纲!AF189</f>
        <v>80.459069551774476</v>
      </c>
      <c r="AG189" s="4">
        <f>[1]节奏总纲!AG189</f>
        <v>85.030832425973387</v>
      </c>
      <c r="AH189" s="4">
        <f>[1]节奏总纲!AH189</f>
        <v>94.4815358272281</v>
      </c>
      <c r="AZ189" s="4">
        <v>186</v>
      </c>
      <c r="BA189" s="4">
        <v>42.201861492364635</v>
      </c>
      <c r="BB189" s="4">
        <v>43.704218060932696</v>
      </c>
      <c r="BC189" s="4">
        <v>45.646073769279901</v>
      </c>
      <c r="BD189" s="4">
        <v>48.389058749356593</v>
      </c>
      <c r="BE189" s="4">
        <v>50</v>
      </c>
    </row>
    <row r="190" spans="29:57">
      <c r="AC190" s="4">
        <v>187</v>
      </c>
      <c r="AD190" s="4">
        <f>[1]节奏总纲!AD190</f>
        <v>75.537288901845045</v>
      </c>
      <c r="AE190" s="4">
        <f>[1]节奏总纲!AE190</f>
        <v>77.609642525433856</v>
      </c>
      <c r="AF190" s="4">
        <f>[1]节奏总纲!AF190</f>
        <v>80.540119966988897</v>
      </c>
      <c r="AG190" s="4">
        <f>[1]节奏总纲!AG190</f>
        <v>85.103188187775231</v>
      </c>
      <c r="AH190" s="4">
        <f>[1]节奏总纲!AH190</f>
        <v>94.557282328913729</v>
      </c>
      <c r="AZ190" s="4">
        <v>187</v>
      </c>
      <c r="BA190" s="4">
        <v>42.236574247291699</v>
      </c>
      <c r="BB190" s="4">
        <v>43.741664769367347</v>
      </c>
      <c r="BC190" s="4">
        <v>45.683268574650079</v>
      </c>
      <c r="BD190" s="4">
        <v>48.424951749175825</v>
      </c>
      <c r="BE190" s="4">
        <v>50</v>
      </c>
    </row>
    <row r="191" spans="29:57">
      <c r="AC191" s="4">
        <v>188</v>
      </c>
      <c r="AD191" s="4">
        <f>[1]节奏总纲!AD191</f>
        <v>75.614257067136322</v>
      </c>
      <c r="AE191" s="4">
        <f>[1]节奏总纲!AE191</f>
        <v>77.687050889170209</v>
      </c>
      <c r="AF191" s="4">
        <f>[1]节奏总纲!AF191</f>
        <v>80.621170382203317</v>
      </c>
      <c r="AG191" s="4">
        <f>[1]节奏总纲!AG191</f>
        <v>85.175543949577076</v>
      </c>
      <c r="AH191" s="4">
        <f>[1]节奏总纲!AH191</f>
        <v>94.633028830599358</v>
      </c>
      <c r="AZ191" s="4">
        <v>188</v>
      </c>
      <c r="BA191" s="4">
        <v>42.271287002218763</v>
      </c>
      <c r="BB191" s="4">
        <v>43.77911147780199</v>
      </c>
      <c r="BC191" s="4">
        <v>45.720463380020249</v>
      </c>
      <c r="BD191" s="4">
        <v>48.460844748995065</v>
      </c>
      <c r="BE191" s="4">
        <v>50</v>
      </c>
    </row>
    <row r="192" spans="29:57">
      <c r="AC192" s="4">
        <v>189</v>
      </c>
      <c r="AD192" s="4">
        <f>[1]节奏总纲!AD192</f>
        <v>75.691225232427584</v>
      </c>
      <c r="AE192" s="4">
        <f>[1]节奏总纲!AE192</f>
        <v>77.764459252906548</v>
      </c>
      <c r="AF192" s="4">
        <f>[1]节奏总纲!AF192</f>
        <v>80.702220797417738</v>
      </c>
      <c r="AG192" s="4">
        <f>[1]节奏总纲!AG192</f>
        <v>85.247899711378935</v>
      </c>
      <c r="AH192" s="4">
        <f>[1]节奏总纲!AH192</f>
        <v>94.708775332284986</v>
      </c>
      <c r="AZ192" s="4">
        <v>189</v>
      </c>
      <c r="BA192" s="4">
        <v>42.305999757145827</v>
      </c>
      <c r="BB192" s="4">
        <v>43.816558186236641</v>
      </c>
      <c r="BC192" s="4">
        <v>45.757658185390426</v>
      </c>
      <c r="BD192" s="4">
        <v>48.496737748814297</v>
      </c>
      <c r="BE192" s="4">
        <v>50</v>
      </c>
    </row>
    <row r="193" spans="29:57">
      <c r="AC193" s="4">
        <v>190</v>
      </c>
      <c r="AD193" s="4">
        <f>[1]节奏总纲!AD193</f>
        <v>75.768193397718846</v>
      </c>
      <c r="AE193" s="4">
        <f>[1]节奏总纲!AE193</f>
        <v>77.841867616642901</v>
      </c>
      <c r="AF193" s="4">
        <f>[1]节奏总纲!AF193</f>
        <v>80.783271212632158</v>
      </c>
      <c r="AG193" s="4">
        <f>[1]节奏总纲!AG193</f>
        <v>85.320255473180779</v>
      </c>
      <c r="AH193" s="4">
        <f>[1]节奏总纲!AH193</f>
        <v>94.784521833970615</v>
      </c>
      <c r="AZ193" s="4">
        <v>190</v>
      </c>
      <c r="BA193" s="4">
        <v>42.340712512072891</v>
      </c>
      <c r="BB193" s="4">
        <v>43.854004894671284</v>
      </c>
      <c r="BC193" s="4">
        <v>45.794852990760596</v>
      </c>
      <c r="BD193" s="4">
        <v>48.532630748633537</v>
      </c>
      <c r="BE193" s="4">
        <v>50</v>
      </c>
    </row>
    <row r="194" spans="29:57">
      <c r="AC194" s="4">
        <v>191</v>
      </c>
      <c r="AD194" s="4">
        <f>[1]节奏总纲!AD194</f>
        <v>75.845161563010109</v>
      </c>
      <c r="AE194" s="4">
        <f>[1]节奏总纲!AE194</f>
        <v>77.91927598037924</v>
      </c>
      <c r="AF194" s="4">
        <f>[1]节奏总纲!AF194</f>
        <v>80.864321627846579</v>
      </c>
      <c r="AG194" s="4">
        <f>[1]节奏总纲!AG194</f>
        <v>85.392611234982624</v>
      </c>
      <c r="AH194" s="4">
        <f>[1]节奏总纲!AH194</f>
        <v>94.860268335656244</v>
      </c>
      <c r="AZ194" s="4">
        <v>191</v>
      </c>
      <c r="BA194" s="4">
        <v>42.375425266999954</v>
      </c>
      <c r="BB194" s="4">
        <v>43.891451603105935</v>
      </c>
      <c r="BC194" s="4">
        <v>45.832047796130773</v>
      </c>
      <c r="BD194" s="4">
        <v>48.568523748452769</v>
      </c>
      <c r="BE194" s="4">
        <v>50</v>
      </c>
    </row>
    <row r="195" spans="29:57">
      <c r="AC195" s="4">
        <v>192</v>
      </c>
      <c r="AD195" s="4">
        <f>[1]节奏总纲!AD195</f>
        <v>75.922129728301385</v>
      </c>
      <c r="AE195" s="4">
        <f>[1]节奏总纲!AE195</f>
        <v>77.996684344115593</v>
      </c>
      <c r="AF195" s="4">
        <f>[1]节奏总纲!AF195</f>
        <v>80.945372043060999</v>
      </c>
      <c r="AG195" s="4">
        <f>[1]节奏总纲!AG195</f>
        <v>85.464966996784469</v>
      </c>
      <c r="AH195" s="4">
        <f>[1]节奏总纲!AH195</f>
        <v>94.936014837341872</v>
      </c>
      <c r="AZ195" s="4">
        <v>192</v>
      </c>
      <c r="BA195" s="4">
        <v>42.410138021927018</v>
      </c>
      <c r="BB195" s="4">
        <v>43.928898311540578</v>
      </c>
      <c r="BC195" s="4">
        <v>45.869242601500943</v>
      </c>
      <c r="BD195" s="4">
        <v>48.604416748272008</v>
      </c>
      <c r="BE195" s="4">
        <v>50</v>
      </c>
    </row>
    <row r="196" spans="29:57">
      <c r="AC196" s="4">
        <v>193</v>
      </c>
      <c r="AD196" s="4">
        <f>[1]节奏总纲!AD196</f>
        <v>75.999097893592648</v>
      </c>
      <c r="AE196" s="4">
        <f>[1]节奏总纲!AE196</f>
        <v>78.068193736526268</v>
      </c>
      <c r="AF196" s="4">
        <f>[1]节奏总纲!AF196</f>
        <v>81.02378934476593</v>
      </c>
      <c r="AG196" s="4">
        <f>[1]节奏总纲!AG196</f>
        <v>85.537322758586328</v>
      </c>
      <c r="AH196" s="4">
        <f>[1]节奏总纲!AH196</f>
        <v>95.011078787937279</v>
      </c>
      <c r="AZ196" s="4">
        <v>193</v>
      </c>
      <c r="BA196" s="4">
        <v>42.444850776854082</v>
      </c>
      <c r="BB196" s="4">
        <v>43.966345019975229</v>
      </c>
      <c r="BC196" s="4">
        <v>45.906437406871113</v>
      </c>
      <c r="BD196" s="4">
        <v>48.640309748091241</v>
      </c>
      <c r="BE196" s="4">
        <v>50</v>
      </c>
    </row>
    <row r="197" spans="29:57">
      <c r="AC197" s="4">
        <v>194</v>
      </c>
      <c r="AD197" s="4">
        <f>[1]节奏总纲!AD197</f>
        <v>76.070972142474872</v>
      </c>
      <c r="AE197" s="4">
        <f>[1]节奏总纲!AE197</f>
        <v>78.139439149396253</v>
      </c>
      <c r="AF197" s="4">
        <f>[1]节奏总纲!AF197</f>
        <v>81.096762731680187</v>
      </c>
      <c r="AG197" s="4">
        <f>[1]节奏总纲!AG197</f>
        <v>85.609678520388172</v>
      </c>
      <c r="AH197" s="4">
        <f>[1]节奏总纲!AH197</f>
        <v>95.082429458741387</v>
      </c>
      <c r="AZ197" s="4">
        <v>194</v>
      </c>
      <c r="BA197" s="4">
        <v>42.479563531781146</v>
      </c>
      <c r="BB197" s="4">
        <v>44.003272544984547</v>
      </c>
      <c r="BC197" s="4">
        <v>45.94363221224129</v>
      </c>
      <c r="BD197" s="4">
        <v>48.67620274791048</v>
      </c>
      <c r="BE197" s="4">
        <v>50</v>
      </c>
    </row>
    <row r="198" spans="29:57">
      <c r="AC198" s="4">
        <v>195</v>
      </c>
      <c r="AD198" s="4">
        <f>[1]节奏总纲!AD198</f>
        <v>76.142785979989682</v>
      </c>
      <c r="AE198" s="4">
        <f>[1]节奏总纲!AE198</f>
        <v>78.210684562266223</v>
      </c>
      <c r="AF198" s="4">
        <f>[1]节奏总纲!AF198</f>
        <v>81.169736118594443</v>
      </c>
      <c r="AG198" s="4">
        <f>[1]节奏总纲!AG198</f>
        <v>85.682034282190017</v>
      </c>
      <c r="AH198" s="4">
        <f>[1]节奏总纲!AH198</f>
        <v>95.153780129545481</v>
      </c>
      <c r="AZ198" s="4">
        <v>195</v>
      </c>
      <c r="BA198" s="4">
        <v>42.51427628670821</v>
      </c>
      <c r="BB198" s="4">
        <v>44.035591852864428</v>
      </c>
      <c r="BC198" s="4">
        <v>45.98082701761146</v>
      </c>
      <c r="BD198" s="4">
        <v>48.712095747729713</v>
      </c>
      <c r="BE198" s="4">
        <v>50</v>
      </c>
    </row>
    <row r="199" spans="29:57">
      <c r="AC199" s="4">
        <v>196</v>
      </c>
      <c r="AD199" s="4">
        <f>[1]节奏总纲!AD199</f>
        <v>76.214599817504492</v>
      </c>
      <c r="AE199" s="4">
        <f>[1]节奏总纲!AE199</f>
        <v>78.281929975136208</v>
      </c>
      <c r="AF199" s="4">
        <f>[1]节奏总纲!AF199</f>
        <v>81.242709505508685</v>
      </c>
      <c r="AG199" s="4">
        <f>[1]节奏总纲!AG199</f>
        <v>85.754390043991862</v>
      </c>
      <c r="AH199" s="4">
        <f>[1]节奏总纲!AH199</f>
        <v>95.225130800349589</v>
      </c>
      <c r="AZ199" s="4">
        <v>196</v>
      </c>
      <c r="BA199" s="4">
        <v>42.548989041635274</v>
      </c>
      <c r="BB199" s="4">
        <v>44.067911160744309</v>
      </c>
      <c r="BC199" s="4">
        <v>46.01555652579863</v>
      </c>
      <c r="BD199" s="4">
        <v>48.747988747548945</v>
      </c>
      <c r="BE199" s="4">
        <v>50</v>
      </c>
    </row>
    <row r="200" spans="29:57">
      <c r="AC200" s="4">
        <v>197</v>
      </c>
      <c r="AD200" s="4">
        <f>[1]节奏总纲!AD200</f>
        <v>76.286413655019302</v>
      </c>
      <c r="AE200" s="4">
        <f>[1]节奏总纲!AE200</f>
        <v>78.353175388006179</v>
      </c>
      <c r="AF200" s="4">
        <f>[1]节奏总纲!AF200</f>
        <v>81.315682892422942</v>
      </c>
      <c r="AG200" s="4">
        <f>[1]节奏总纲!AG200</f>
        <v>85.82674580579372</v>
      </c>
      <c r="AH200" s="4">
        <f>[1]节奏总纲!AH200</f>
        <v>95.296481471153683</v>
      </c>
      <c r="AZ200" s="4">
        <v>197</v>
      </c>
      <c r="BA200" s="4">
        <v>42.583701796562345</v>
      </c>
      <c r="BB200" s="4">
        <v>44.100230468624183</v>
      </c>
      <c r="BC200" s="4">
        <v>46.047663263829847</v>
      </c>
      <c r="BD200" s="4">
        <v>48.783881747368184</v>
      </c>
      <c r="BE200" s="4">
        <v>50</v>
      </c>
    </row>
    <row r="201" spans="29:57">
      <c r="AC201" s="4">
        <v>198</v>
      </c>
      <c r="AD201" s="4">
        <f>[1]节奏总纲!AD201</f>
        <v>76.358227492534112</v>
      </c>
      <c r="AE201" s="4">
        <f>[1]节奏总纲!AE201</f>
        <v>78.424420800876163</v>
      </c>
      <c r="AF201" s="4">
        <f>[1]节奏总纲!AF201</f>
        <v>81.388656279337198</v>
      </c>
      <c r="AG201" s="4">
        <f>[1]节奏总纲!AG201</f>
        <v>85.899101567595565</v>
      </c>
      <c r="AH201" s="4">
        <f>[1]节奏总纲!AH201</f>
        <v>95.367832141957777</v>
      </c>
      <c r="AZ201" s="4">
        <v>198</v>
      </c>
      <c r="BA201" s="4">
        <v>42.618414551489408</v>
      </c>
      <c r="BB201" s="4">
        <v>44.132549776504064</v>
      </c>
      <c r="BC201" s="4">
        <v>46.079770001861057</v>
      </c>
      <c r="BD201" s="4">
        <v>48.819774747187417</v>
      </c>
      <c r="BE201" s="4">
        <v>50</v>
      </c>
    </row>
    <row r="202" spans="29:57">
      <c r="AC202" s="4">
        <v>199</v>
      </c>
      <c r="AD202" s="4">
        <f>[1]节奏总纲!AD202</f>
        <v>76.430041330048923</v>
      </c>
      <c r="AE202" s="4">
        <f>[1]节奏总纲!AE202</f>
        <v>78.495666213746148</v>
      </c>
      <c r="AF202" s="4">
        <f>[1]节奏总纲!AF202</f>
        <v>81.461629666251454</v>
      </c>
      <c r="AG202" s="4">
        <f>[1]节奏总纲!AG202</f>
        <v>85.97145732939741</v>
      </c>
      <c r="AH202" s="4">
        <f>[1]节奏总纲!AH202</f>
        <v>95.439182812761885</v>
      </c>
      <c r="AZ202" s="4">
        <v>199</v>
      </c>
      <c r="BA202" s="4">
        <v>42.653127306416472</v>
      </c>
      <c r="BB202" s="4">
        <v>44.164869084383938</v>
      </c>
      <c r="BC202" s="4">
        <v>46.111876739892267</v>
      </c>
      <c r="BD202" s="4">
        <v>48.855667747006656</v>
      </c>
      <c r="BE202" s="4">
        <v>50</v>
      </c>
    </row>
    <row r="203" spans="29:57">
      <c r="AC203" s="4">
        <v>200</v>
      </c>
      <c r="AD203" s="4">
        <f>[1]节奏总纲!AD203</f>
        <v>76.501855167563733</v>
      </c>
      <c r="AE203" s="4">
        <f>[1]节奏总纲!AE203</f>
        <v>78.566911626616118</v>
      </c>
      <c r="AF203" s="4">
        <f>[1]节奏总纲!AF203</f>
        <v>81.534603053165696</v>
      </c>
      <c r="AG203" s="4">
        <f>[1]节奏总纲!AG203</f>
        <v>86.045919706798657</v>
      </c>
      <c r="AH203" s="4">
        <f>[1]节奏总纲!AH203</f>
        <v>95.510533483565979</v>
      </c>
      <c r="AZ203" s="4">
        <v>200</v>
      </c>
      <c r="BA203" s="4">
        <v>42.687840061343536</v>
      </c>
      <c r="BB203" s="4">
        <v>44.197188392263818</v>
      </c>
      <c r="BC203" s="4">
        <v>46.143983477923484</v>
      </c>
      <c r="BD203" s="4">
        <v>48.891560746825888</v>
      </c>
      <c r="BE203" s="4">
        <v>50</v>
      </c>
    </row>
    <row r="204" spans="29:57">
      <c r="AC204" s="4">
        <v>201</v>
      </c>
      <c r="AD204" s="4">
        <f>[1]节奏总纲!AD204</f>
        <v>76.573669005078543</v>
      </c>
      <c r="AE204" s="4">
        <f>[1]节奏总纲!AE204</f>
        <v>78.638157039486103</v>
      </c>
      <c r="AF204" s="4">
        <f>[1]节奏总纲!AF204</f>
        <v>81.607576440079953</v>
      </c>
      <c r="AG204" s="4">
        <f>[1]节奏总纲!AG204</f>
        <v>86.121754469336281</v>
      </c>
      <c r="AH204" s="4">
        <f>[1]节奏总纲!AH204</f>
        <v>95.581884154370087</v>
      </c>
      <c r="AZ204" s="4">
        <v>201</v>
      </c>
      <c r="BA204" s="4">
        <v>42.7225528162706</v>
      </c>
      <c r="BB204" s="4">
        <v>44.229507700143699</v>
      </c>
      <c r="BC204" s="4">
        <v>46.176090215954694</v>
      </c>
      <c r="BD204" s="4">
        <v>48.927453746645128</v>
      </c>
      <c r="BE204" s="4">
        <v>50</v>
      </c>
    </row>
    <row r="205" spans="29:57">
      <c r="AC205" s="4">
        <v>202</v>
      </c>
      <c r="AD205" s="4">
        <f>[1]节奏总纲!AD205</f>
        <v>76.645482842593353</v>
      </c>
      <c r="AE205" s="4">
        <f>[1]节奏总纲!AE205</f>
        <v>78.709402452356088</v>
      </c>
      <c r="AF205" s="4">
        <f>[1]节奏总纲!AF205</f>
        <v>81.680549826994209</v>
      </c>
      <c r="AG205" s="4">
        <f>[1]节奏总纲!AG205</f>
        <v>86.197589231873891</v>
      </c>
      <c r="AH205" s="4">
        <f>[1]节奏总纲!AH205</f>
        <v>95.653234825174181</v>
      </c>
      <c r="AZ205" s="4">
        <v>202</v>
      </c>
      <c r="BA205" s="4">
        <v>42.757265571197664</v>
      </c>
      <c r="BB205" s="4">
        <v>44.261827008023573</v>
      </c>
      <c r="BC205" s="4">
        <v>46.208196953985905</v>
      </c>
      <c r="BD205" s="4">
        <v>48.96334674646436</v>
      </c>
      <c r="BE205" s="4">
        <v>50</v>
      </c>
    </row>
    <row r="206" spans="29:57">
      <c r="AC206" s="4">
        <v>203</v>
      </c>
      <c r="AD206" s="4">
        <f>[1]节奏总纲!AD206</f>
        <v>76.717296680108163</v>
      </c>
      <c r="AE206" s="4">
        <f>[1]节奏总纲!AE206</f>
        <v>78.780647865226058</v>
      </c>
      <c r="AF206" s="4">
        <f>[1]节奏总纲!AF206</f>
        <v>81.753523213908451</v>
      </c>
      <c r="AG206" s="4">
        <f>[1]节奏总纲!AG206</f>
        <v>86.273423994411502</v>
      </c>
      <c r="AH206" s="4">
        <f>[1]节奏总纲!AH206</f>
        <v>95.724585495978289</v>
      </c>
      <c r="AZ206" s="4">
        <v>203</v>
      </c>
      <c r="BA206" s="4">
        <v>42.791978326124728</v>
      </c>
      <c r="BB206" s="4">
        <v>44.294146315903454</v>
      </c>
      <c r="BC206" s="4">
        <v>46.240303692017122</v>
      </c>
      <c r="BD206" s="4">
        <v>48.9992397462836</v>
      </c>
      <c r="BE206" s="4">
        <v>50</v>
      </c>
    </row>
    <row r="207" spans="29:57">
      <c r="AC207" s="4">
        <v>204</v>
      </c>
      <c r="AD207" s="4">
        <f>[1]节奏总纲!AD207</f>
        <v>76.789110517622973</v>
      </c>
      <c r="AE207" s="4">
        <f>[1]节奏总纲!AE207</f>
        <v>78.851893278096043</v>
      </c>
      <c r="AF207" s="4">
        <f>[1]节奏总纲!AF207</f>
        <v>81.826496600822708</v>
      </c>
      <c r="AG207" s="4">
        <f>[1]节奏总纲!AG207</f>
        <v>86.349258756949112</v>
      </c>
      <c r="AH207" s="4">
        <f>[1]节奏总纲!AH207</f>
        <v>95.795936166782383</v>
      </c>
      <c r="AZ207" s="4">
        <v>204</v>
      </c>
      <c r="BA207" s="4">
        <v>42.826691081051791</v>
      </c>
      <c r="BB207" s="4">
        <v>44.326465623783335</v>
      </c>
      <c r="BC207" s="4">
        <v>46.272410430048332</v>
      </c>
      <c r="BD207" s="4">
        <v>49.030333272797542</v>
      </c>
      <c r="BE207" s="4">
        <v>50</v>
      </c>
    </row>
    <row r="208" spans="29:57">
      <c r="AC208" s="4">
        <v>205</v>
      </c>
      <c r="AD208" s="4">
        <f>[1]节奏总纲!AD208</f>
        <v>76.860924355137783</v>
      </c>
      <c r="AE208" s="4">
        <f>[1]节奏总纲!AE208</f>
        <v>78.923138690966013</v>
      </c>
      <c r="AF208" s="4">
        <f>[1]节奏总纲!AF208</f>
        <v>81.899469987736964</v>
      </c>
      <c r="AG208" s="4">
        <f>[1]节奏总纲!AG208</f>
        <v>86.425093519486722</v>
      </c>
      <c r="AH208" s="4">
        <f>[1]节奏总纲!AH208</f>
        <v>95.867286837586477</v>
      </c>
      <c r="AZ208" s="4">
        <v>205</v>
      </c>
      <c r="BA208" s="4">
        <v>42.861403835978855</v>
      </c>
      <c r="BB208" s="4">
        <v>44.358784931663209</v>
      </c>
      <c r="BC208" s="4">
        <v>46.304517168079542</v>
      </c>
      <c r="BD208" s="4">
        <v>49.061322941292346</v>
      </c>
      <c r="BE208" s="4">
        <v>50</v>
      </c>
    </row>
    <row r="209" spans="29:57">
      <c r="AC209" s="4">
        <v>206</v>
      </c>
      <c r="AD209" s="4">
        <f>[1]节奏总纲!AD209</f>
        <v>76.932738192652593</v>
      </c>
      <c r="AE209" s="4">
        <f>[1]节奏总纲!AE209</f>
        <v>78.994384103835998</v>
      </c>
      <c r="AF209" s="4">
        <f>[1]节奏总纲!AF209</f>
        <v>81.972443374651206</v>
      </c>
      <c r="AG209" s="4">
        <f>[1]节奏总纲!AG209</f>
        <v>86.500928282024347</v>
      </c>
      <c r="AH209" s="4">
        <f>[1]节奏总纲!AH209</f>
        <v>95.938637508390585</v>
      </c>
      <c r="AZ209" s="4">
        <v>206</v>
      </c>
      <c r="BA209" s="4">
        <v>42.896116590905919</v>
      </c>
      <c r="BB209" s="4">
        <v>44.39110423954309</v>
      </c>
      <c r="BC209" s="4">
        <v>46.336623906110759</v>
      </c>
      <c r="BD209" s="4">
        <v>49.09231260978715</v>
      </c>
      <c r="BE209" s="4">
        <v>50</v>
      </c>
    </row>
    <row r="210" spans="29:57">
      <c r="AC210" s="4">
        <v>207</v>
      </c>
      <c r="AD210" s="4">
        <f>[1]节奏总纲!AD210</f>
        <v>77.004247194324648</v>
      </c>
      <c r="AE210" s="4">
        <f>[1]节奏总纲!AE210</f>
        <v>79.061386416569832</v>
      </c>
      <c r="AF210" s="4">
        <f>[1]节奏总纲!AF210</f>
        <v>82.041007317281839</v>
      </c>
      <c r="AG210" s="4">
        <f>[1]节奏总纲!AG210</f>
        <v>86.576763044561957</v>
      </c>
      <c r="AH210" s="4">
        <f>[1]节奏总纲!AH210</f>
        <v>96.008512635801992</v>
      </c>
      <c r="AZ210" s="4">
        <v>207</v>
      </c>
      <c r="BA210" s="4">
        <v>42.930829345832983</v>
      </c>
      <c r="BB210" s="4">
        <v>44.423423547422971</v>
      </c>
      <c r="BC210" s="4">
        <v>46.368730644141969</v>
      </c>
      <c r="BD210" s="4">
        <v>49.123302278281955</v>
      </c>
      <c r="BE210" s="4">
        <v>50</v>
      </c>
    </row>
    <row r="211" spans="29:57">
      <c r="AC211" s="4">
        <v>208</v>
      </c>
      <c r="AD211" s="4">
        <f>[1]节奏总纲!AD211</f>
        <v>77.07125187397483</v>
      </c>
      <c r="AE211" s="4">
        <f>[1]节奏总纲!AE211</f>
        <v>79.128025648620252</v>
      </c>
      <c r="AF211" s="4">
        <f>[1]节奏总纲!AF211</f>
        <v>82.106895829081836</v>
      </c>
      <c r="AG211" s="4">
        <f>[1]节奏总纲!AG211</f>
        <v>86.652597807099568</v>
      </c>
      <c r="AH211" s="4">
        <f>[1]节奏总纲!AH211</f>
        <v>96.069322745727362</v>
      </c>
      <c r="AZ211" s="4">
        <v>208</v>
      </c>
      <c r="BA211" s="4">
        <v>42.965542100760054</v>
      </c>
      <c r="BB211" s="4">
        <v>44.455742855302844</v>
      </c>
      <c r="BC211" s="4">
        <v>46.400837382173179</v>
      </c>
      <c r="BD211" s="4">
        <v>49.154291946776759</v>
      </c>
      <c r="BE211" s="4">
        <v>50</v>
      </c>
    </row>
    <row r="212" spans="29:57">
      <c r="AC212" s="4">
        <v>209</v>
      </c>
      <c r="AD212" s="4">
        <f>[1]节奏总纲!AD212</f>
        <v>77.138256553625013</v>
      </c>
      <c r="AE212" s="4">
        <f>[1]节奏总纲!AE212</f>
        <v>79.194664880670672</v>
      </c>
      <c r="AF212" s="4">
        <f>[1]节奏总纲!AF212</f>
        <v>82.172784340881819</v>
      </c>
      <c r="AG212" s="4">
        <f>[1]节奏总纲!AG212</f>
        <v>86.728432569637178</v>
      </c>
      <c r="AH212" s="4">
        <f>[1]节奏总纲!AH212</f>
        <v>96.130132855652732</v>
      </c>
      <c r="AZ212" s="4">
        <v>209</v>
      </c>
      <c r="BA212" s="4">
        <v>43.000219942361319</v>
      </c>
      <c r="BB212" s="4">
        <v>44.488062163182725</v>
      </c>
      <c r="BC212" s="4">
        <v>46.432944120204397</v>
      </c>
      <c r="BD212" s="4">
        <v>49.18528161527157</v>
      </c>
      <c r="BE212" s="4">
        <v>50</v>
      </c>
    </row>
    <row r="213" spans="29:57">
      <c r="AC213" s="4">
        <v>210</v>
      </c>
      <c r="AD213" s="4">
        <f>[1]节奏总纲!AD213</f>
        <v>77.205261233275195</v>
      </c>
      <c r="AE213" s="4">
        <f>[1]节奏总纲!AE213</f>
        <v>79.261304112721092</v>
      </c>
      <c r="AF213" s="4">
        <f>[1]节奏总纲!AF213</f>
        <v>82.238672852681816</v>
      </c>
      <c r="AG213" s="4">
        <f>[1]节奏总纲!AG213</f>
        <v>86.804267332174788</v>
      </c>
      <c r="AH213" s="4">
        <f>[1]节奏总纲!AH213</f>
        <v>96.190942965578103</v>
      </c>
      <c r="AZ213" s="4">
        <v>210</v>
      </c>
      <c r="BA213" s="4">
        <v>43.030177309109042</v>
      </c>
      <c r="BB213" s="4">
        <v>44.520381471062606</v>
      </c>
      <c r="BC213" s="4">
        <v>46.465050858235607</v>
      </c>
      <c r="BD213" s="4">
        <v>49.216271283766375</v>
      </c>
      <c r="BE213" s="4">
        <v>50</v>
      </c>
    </row>
    <row r="214" spans="29:57">
      <c r="AC214" s="4">
        <v>211</v>
      </c>
      <c r="AD214" s="4">
        <f>[1]节奏总纲!AD214</f>
        <v>77.272265912925377</v>
      </c>
      <c r="AE214" s="4">
        <f>[1]节奏总纲!AE214</f>
        <v>79.327943344771512</v>
      </c>
      <c r="AF214" s="4">
        <f>[1]节奏总纲!AF214</f>
        <v>82.304561364481813</v>
      </c>
      <c r="AG214" s="4">
        <f>[1]节奏总纲!AG214</f>
        <v>86.880102094712413</v>
      </c>
      <c r="AH214" s="4">
        <f>[1]节奏总纲!AH214</f>
        <v>96.251753075503458</v>
      </c>
      <c r="AZ214" s="4">
        <v>211</v>
      </c>
      <c r="BA214" s="4">
        <v>43.060134675856759</v>
      </c>
      <c r="BB214" s="4">
        <v>44.55270077894248</v>
      </c>
      <c r="BC214" s="4">
        <v>46.497157596266817</v>
      </c>
      <c r="BD214" s="4">
        <v>49.247260952261179</v>
      </c>
      <c r="BE214" s="4">
        <v>50</v>
      </c>
    </row>
    <row r="215" spans="29:57">
      <c r="AC215" s="4">
        <v>212</v>
      </c>
      <c r="AD215" s="4">
        <f>[1]节奏总纲!AD215</f>
        <v>77.339270592575559</v>
      </c>
      <c r="AE215" s="4">
        <f>[1]节奏总纲!AE215</f>
        <v>79.394582576821932</v>
      </c>
      <c r="AF215" s="4">
        <f>[1]节奏总纲!AF215</f>
        <v>82.370449876281796</v>
      </c>
      <c r="AG215" s="4">
        <f>[1]节奏总纲!AG215</f>
        <v>86.955936857250023</v>
      </c>
      <c r="AH215" s="4">
        <f>[1]节奏总纲!AH215</f>
        <v>96.312563185428829</v>
      </c>
      <c r="AZ215" s="4">
        <v>212</v>
      </c>
      <c r="BA215" s="4">
        <v>43.090092042604475</v>
      </c>
      <c r="BB215" s="4">
        <v>44.585020086822361</v>
      </c>
      <c r="BC215" s="4">
        <v>46.529264334298034</v>
      </c>
      <c r="BD215" s="4">
        <v>49.278250620755983</v>
      </c>
      <c r="BE215" s="4">
        <v>50</v>
      </c>
    </row>
    <row r="216" spans="29:57">
      <c r="AC216" s="4">
        <v>213</v>
      </c>
      <c r="AD216" s="4">
        <f>[1]节奏总纲!AD216</f>
        <v>77.406275272225741</v>
      </c>
      <c r="AE216" s="4">
        <f>[1]节奏总纲!AE216</f>
        <v>79.461221808872352</v>
      </c>
      <c r="AF216" s="4">
        <f>[1]节奏总纲!AF216</f>
        <v>82.436338388081793</v>
      </c>
      <c r="AG216" s="4">
        <f>[1]节奏总纲!AG216</f>
        <v>87.031203567981635</v>
      </c>
      <c r="AH216" s="4">
        <f>[1]节奏总纲!AH216</f>
        <v>96.373373295354199</v>
      </c>
      <c r="AZ216" s="4">
        <v>213</v>
      </c>
      <c r="BA216" s="4">
        <v>43.120049409352191</v>
      </c>
      <c r="BB216" s="4">
        <v>44.617339394702242</v>
      </c>
      <c r="BC216" s="4">
        <v>46.561371072329244</v>
      </c>
      <c r="BD216" s="4">
        <v>49.309240289250788</v>
      </c>
      <c r="BE216" s="4">
        <v>50</v>
      </c>
    </row>
    <row r="217" spans="29:57">
      <c r="AC217" s="4">
        <v>214</v>
      </c>
      <c r="AD217" s="4">
        <f>[1]节奏总纲!AD217</f>
        <v>77.473279951875909</v>
      </c>
      <c r="AE217" s="4">
        <f>[1]节奏总纲!AE217</f>
        <v>79.527861040922772</v>
      </c>
      <c r="AF217" s="4">
        <f>[1]节奏总纲!AF217</f>
        <v>82.502226899881776</v>
      </c>
      <c r="AG217" s="4">
        <f>[1]节奏总纲!AG217</f>
        <v>87.10568246405397</v>
      </c>
      <c r="AH217" s="4">
        <f>[1]节奏总纲!AH217</f>
        <v>96.434183405279569</v>
      </c>
      <c r="AZ217" s="4">
        <v>214</v>
      </c>
      <c r="BA217" s="4">
        <v>43.150006776099914</v>
      </c>
      <c r="BB217" s="4">
        <v>44.649658702582116</v>
      </c>
      <c r="BC217" s="4">
        <v>46.593477810360454</v>
      </c>
      <c r="BD217" s="4">
        <v>49.340229957745592</v>
      </c>
      <c r="BE217" s="4">
        <v>50</v>
      </c>
    </row>
    <row r="218" spans="29:57">
      <c r="AC218" s="4">
        <v>215</v>
      </c>
      <c r="AD218" s="4">
        <f>[1]节奏总纲!AD218</f>
        <v>77.540284631526092</v>
      </c>
      <c r="AE218" s="4">
        <f>[1]节奏总纲!AE218</f>
        <v>79.594500272973193</v>
      </c>
      <c r="AF218" s="4">
        <f>[1]节奏总纲!AF218</f>
        <v>82.568115411681774</v>
      </c>
      <c r="AG218" s="4">
        <f>[1]节奏总纲!AG218</f>
        <v>87.180161360126306</v>
      </c>
      <c r="AH218" s="4">
        <f>[1]节奏总纲!AH218</f>
        <v>96.494993515204939</v>
      </c>
      <c r="AZ218" s="4">
        <v>215</v>
      </c>
      <c r="BA218" s="4">
        <v>43.179964142847631</v>
      </c>
      <c r="BB218" s="4">
        <v>44.681978010461997</v>
      </c>
      <c r="BC218" s="4">
        <v>46.625584548391664</v>
      </c>
      <c r="BD218" s="4">
        <v>49.371219626240396</v>
      </c>
      <c r="BE218" s="4">
        <v>50</v>
      </c>
    </row>
    <row r="219" spans="29:57">
      <c r="AC219" s="4">
        <v>216</v>
      </c>
      <c r="AD219" s="4">
        <f>[1]节奏总纲!AD219</f>
        <v>77.607289311176274</v>
      </c>
      <c r="AE219" s="4">
        <f>[1]节奏总纲!AE219</f>
        <v>79.661139505023613</v>
      </c>
      <c r="AF219" s="4">
        <f>[1]节奏总纲!AF219</f>
        <v>82.634003923481771</v>
      </c>
      <c r="AG219" s="4">
        <f>[1]节奏总纲!AG219</f>
        <v>87.254640256198641</v>
      </c>
      <c r="AH219" s="4">
        <f>[1]节奏总纲!AH219</f>
        <v>96.555803625130309</v>
      </c>
      <c r="AZ219" s="4">
        <v>216</v>
      </c>
      <c r="BA219" s="4">
        <v>43.209921509595347</v>
      </c>
      <c r="BB219" s="4">
        <v>44.71429731834187</v>
      </c>
      <c r="BC219" s="4">
        <v>46.657691286422882</v>
      </c>
      <c r="BD219" s="4">
        <v>49.402209294735208</v>
      </c>
      <c r="BE219" s="4">
        <v>50</v>
      </c>
    </row>
    <row r="220" spans="29:57">
      <c r="AC220" s="4">
        <v>217</v>
      </c>
      <c r="AD220" s="4">
        <f>[1]节奏总纲!AD220</f>
        <v>77.674293990826456</v>
      </c>
      <c r="AE220" s="4">
        <f>[1]节奏总纲!AE220</f>
        <v>79.727778737074033</v>
      </c>
      <c r="AF220" s="4">
        <f>[1]节奏总纲!AF220</f>
        <v>82.699892435281754</v>
      </c>
      <c r="AG220" s="4">
        <f>[1]节奏总纲!AG220</f>
        <v>87.329119152270991</v>
      </c>
      <c r="AH220" s="4">
        <f>[1]节奏总纲!AH220</f>
        <v>96.61661373505568</v>
      </c>
      <c r="AZ220" s="4">
        <v>217</v>
      </c>
      <c r="BA220" s="4">
        <v>43.239878876343063</v>
      </c>
      <c r="BB220" s="4">
        <v>44.746616626221751</v>
      </c>
      <c r="BC220" s="4">
        <v>46.689798024454092</v>
      </c>
      <c r="BD220" s="4">
        <v>49.433198963230012</v>
      </c>
      <c r="BE220" s="4">
        <v>50</v>
      </c>
    </row>
    <row r="221" spans="29:57">
      <c r="AC221" s="4">
        <v>218</v>
      </c>
      <c r="AD221" s="4">
        <f>[1]节奏总纲!AD221</f>
        <v>77.741298670476638</v>
      </c>
      <c r="AE221" s="4">
        <f>[1]节奏总纲!AE221</f>
        <v>79.794417969124453</v>
      </c>
      <c r="AF221" s="4">
        <f>[1]节奏总纲!AF221</f>
        <v>82.765780947081751</v>
      </c>
      <c r="AG221" s="4">
        <f>[1]节奏总纲!AG221</f>
        <v>87.403598048343326</v>
      </c>
      <c r="AH221" s="4">
        <f>[1]节奏总纲!AH221</f>
        <v>96.67742384498105</v>
      </c>
      <c r="AZ221" s="4">
        <v>218</v>
      </c>
      <c r="BA221" s="4">
        <v>43.269836243090786</v>
      </c>
      <c r="BB221" s="4">
        <v>44.778935934101632</v>
      </c>
      <c r="BC221" s="4">
        <v>46.721904762485302</v>
      </c>
      <c r="BD221" s="4">
        <v>49.464188631724817</v>
      </c>
      <c r="BE221" s="4">
        <v>50</v>
      </c>
    </row>
    <row r="222" spans="29:57">
      <c r="AC222" s="4">
        <v>219</v>
      </c>
      <c r="AD222" s="4">
        <f>[1]节奏总纲!AD222</f>
        <v>77.80830335012682</v>
      </c>
      <c r="AE222" s="4">
        <f>[1]节奏总纲!AE222</f>
        <v>79.861057201174873</v>
      </c>
      <c r="AF222" s="4">
        <f>[1]节奏总纲!AF222</f>
        <v>82.831669458881734</v>
      </c>
      <c r="AG222" s="4">
        <f>[1]节奏总纲!AG222</f>
        <v>87.478076944415662</v>
      </c>
      <c r="AH222" s="4">
        <f>[1]节奏总纲!AH222</f>
        <v>96.73823395490642</v>
      </c>
      <c r="AZ222" s="4">
        <v>219</v>
      </c>
      <c r="BA222" s="4">
        <v>43.299793609838503</v>
      </c>
      <c r="BB222" s="4">
        <v>44.811255241981506</v>
      </c>
      <c r="BC222" s="4">
        <v>46.754011500516519</v>
      </c>
      <c r="BD222" s="4">
        <v>49.495178300219621</v>
      </c>
      <c r="BE222" s="4">
        <v>50</v>
      </c>
    </row>
    <row r="223" spans="29:57">
      <c r="AC223" s="4">
        <v>220</v>
      </c>
      <c r="AD223" s="4">
        <f>[1]节奏总纲!AD223</f>
        <v>77.875308029777003</v>
      </c>
      <c r="AE223" s="4">
        <f>[1]节奏总纲!AE223</f>
        <v>79.927696433225293</v>
      </c>
      <c r="AF223" s="4">
        <f>[1]节奏总纲!AF223</f>
        <v>82.897557970681731</v>
      </c>
      <c r="AG223" s="4">
        <f>[1]节奏总纲!AG223</f>
        <v>87.552555840488012</v>
      </c>
      <c r="AH223" s="4">
        <f>[1]节奏总纲!AH223</f>
        <v>96.79904406483179</v>
      </c>
      <c r="AZ223" s="4">
        <v>220</v>
      </c>
      <c r="BA223" s="4">
        <v>43.329750976586219</v>
      </c>
      <c r="BB223" s="4">
        <v>44.843574549861387</v>
      </c>
      <c r="BC223" s="4">
        <v>46.786118238547729</v>
      </c>
      <c r="BD223" s="4">
        <v>49.526167968714425</v>
      </c>
      <c r="BE223" s="4">
        <v>50</v>
      </c>
    </row>
    <row r="224" spans="29:57">
      <c r="AC224" s="4">
        <v>221</v>
      </c>
      <c r="AD224" s="4">
        <f>[1]节奏总纲!AD224</f>
        <v>77.942312709427185</v>
      </c>
      <c r="AE224" s="4">
        <f>[1]节奏总纲!AE224</f>
        <v>79.994335665275713</v>
      </c>
      <c r="AF224" s="4">
        <f>[1]节奏总纲!AF224</f>
        <v>82.963446482481729</v>
      </c>
      <c r="AG224" s="4">
        <f>[1]节奏总纲!AG224</f>
        <v>87.627034736560347</v>
      </c>
      <c r="AH224" s="4">
        <f>[1]节奏总纲!AH224</f>
        <v>96.85985417475716</v>
      </c>
      <c r="AZ224" s="4">
        <v>221</v>
      </c>
      <c r="BA224" s="4">
        <v>43.359708343333942</v>
      </c>
      <c r="BB224" s="4">
        <v>44.875893857741268</v>
      </c>
      <c r="BC224" s="4">
        <v>46.818224976578939</v>
      </c>
      <c r="BD224" s="4">
        <v>49.55715763720923</v>
      </c>
      <c r="BE224" s="4">
        <v>50</v>
      </c>
    </row>
    <row r="225" spans="29:57">
      <c r="AC225" s="4">
        <v>222</v>
      </c>
      <c r="AD225" s="4">
        <f>[1]节奏总纲!AD225</f>
        <v>78.008693431404168</v>
      </c>
      <c r="AE225" s="4">
        <f>[1]节奏总纲!AE225</f>
        <v>80.05990507131493</v>
      </c>
      <c r="AF225" s="4">
        <f>[1]节奏总纲!AF225</f>
        <v>83.028328094754301</v>
      </c>
      <c r="AG225" s="4">
        <f>[1]节奏总纲!AG225</f>
        <v>87.701513632632683</v>
      </c>
      <c r="AH225" s="4">
        <f>[1]节奏总纲!AH225</f>
        <v>96.920664284682516</v>
      </c>
      <c r="AZ225" s="4">
        <v>222</v>
      </c>
      <c r="BA225" s="4">
        <v>43.389665710081658</v>
      </c>
      <c r="BB225" s="4">
        <v>44.908213165621142</v>
      </c>
      <c r="BC225" s="4">
        <v>46.850331714610157</v>
      </c>
      <c r="BD225" s="4">
        <v>49.588147305704041</v>
      </c>
      <c r="BE225" s="4">
        <v>50</v>
      </c>
    </row>
    <row r="226" spans="29:57">
      <c r="AC226" s="4">
        <v>223</v>
      </c>
      <c r="AD226" s="4">
        <f>[1]节奏总纲!AD226</f>
        <v>78.071211008105138</v>
      </c>
      <c r="AE226" s="4">
        <f>[1]节奏总纲!AE226</f>
        <v>80.125375094609936</v>
      </c>
      <c r="AF226" s="4">
        <f>[1]节奏总纲!AF226</f>
        <v>83.091955037632331</v>
      </c>
      <c r="AG226" s="4">
        <f>[1]节奏总纲!AG226</f>
        <v>87.775992528705018</v>
      </c>
      <c r="AH226" s="4">
        <f>[1]节奏总纲!AH226</f>
        <v>96.981474394607886</v>
      </c>
      <c r="AZ226" s="4">
        <v>223</v>
      </c>
      <c r="BA226" s="4">
        <v>43.419623076829374</v>
      </c>
      <c r="BB226" s="4">
        <v>44.940532473501023</v>
      </c>
      <c r="BC226" s="4">
        <v>46.882438452641367</v>
      </c>
      <c r="BD226" s="4">
        <v>49.619136974198845</v>
      </c>
      <c r="BE226" s="4">
        <v>50</v>
      </c>
    </row>
    <row r="227" spans="29:57">
      <c r="AC227" s="4">
        <v>224</v>
      </c>
      <c r="AD227" s="4">
        <f>[1]节奏总纲!AD227</f>
        <v>78.133728584806107</v>
      </c>
      <c r="AE227" s="4">
        <f>[1]节奏总纲!AE227</f>
        <v>80.190845117904942</v>
      </c>
      <c r="AF227" s="4">
        <f>[1]节奏总纲!AF227</f>
        <v>83.155581980510348</v>
      </c>
      <c r="AG227" s="4">
        <f>[1]节奏总纲!AG227</f>
        <v>87.850471424777368</v>
      </c>
      <c r="AH227" s="4">
        <f>[1]节奏总纲!AH227</f>
        <v>97.03979962522213</v>
      </c>
      <c r="AZ227" s="4">
        <v>224</v>
      </c>
      <c r="BA227" s="4">
        <v>43.449580443577091</v>
      </c>
      <c r="BB227" s="4">
        <v>44.972851781380903</v>
      </c>
      <c r="BC227" s="4">
        <v>46.914545190672577</v>
      </c>
      <c r="BD227" s="4">
        <v>49.65012664269365</v>
      </c>
      <c r="BE227" s="4">
        <v>50</v>
      </c>
    </row>
    <row r="228" spans="29:57">
      <c r="AC228" s="4">
        <v>225</v>
      </c>
      <c r="AD228" s="4">
        <f>[1]节奏总纲!AD228</f>
        <v>78.196246161507091</v>
      </c>
      <c r="AE228" s="4">
        <f>[1]节奏总纲!AE228</f>
        <v>80.256315141199948</v>
      </c>
      <c r="AF228" s="4">
        <f>[1]节奏总纲!AF228</f>
        <v>83.219208923388379</v>
      </c>
      <c r="AG228" s="4">
        <f>[1]节奏总纲!AG228</f>
        <v>87.924950320849703</v>
      </c>
      <c r="AH228" s="4">
        <f>[1]节奏总纲!AH228</f>
        <v>97.097036185315744</v>
      </c>
      <c r="AZ228" s="4">
        <v>225</v>
      </c>
      <c r="BA228" s="4">
        <v>43.479537810324814</v>
      </c>
      <c r="BB228" s="4">
        <v>45.004463376644416</v>
      </c>
      <c r="BC228" s="4">
        <v>46.946651928703794</v>
      </c>
      <c r="BD228" s="4">
        <v>49.681116311188454</v>
      </c>
      <c r="BE228" s="4">
        <v>50</v>
      </c>
    </row>
    <row r="229" spans="29:57">
      <c r="AC229" s="4">
        <v>226</v>
      </c>
      <c r="AD229" s="4">
        <f>[1]节奏总纲!AD229</f>
        <v>78.25876373820806</v>
      </c>
      <c r="AE229" s="4">
        <f>[1]节奏总纲!AE229</f>
        <v>80.321785164494941</v>
      </c>
      <c r="AF229" s="4">
        <f>[1]节奏总纲!AF229</f>
        <v>83.282835866266396</v>
      </c>
      <c r="AG229" s="4">
        <f>[1]节奏总纲!AG229</f>
        <v>87.999429216922039</v>
      </c>
      <c r="AH229" s="4">
        <f>[1]节奏总纲!AH229</f>
        <v>97.154272745409358</v>
      </c>
      <c r="AZ229" s="4">
        <v>226</v>
      </c>
      <c r="BA229" s="4">
        <v>43.50949517707253</v>
      </c>
      <c r="BB229" s="4">
        <v>45.032359480672049</v>
      </c>
      <c r="BC229" s="4">
        <v>46.978758666735004</v>
      </c>
      <c r="BD229" s="4">
        <v>49.712105979683258</v>
      </c>
      <c r="BE229" s="4">
        <v>50</v>
      </c>
    </row>
    <row r="230" spans="29:57">
      <c r="AC230" s="4">
        <v>227</v>
      </c>
      <c r="AD230" s="4">
        <f>[1]节奏总纲!AD230</f>
        <v>78.321281314909029</v>
      </c>
      <c r="AE230" s="4">
        <f>[1]节奏总纲!AE230</f>
        <v>80.387255187789947</v>
      </c>
      <c r="AF230" s="4">
        <f>[1]节奏总纲!AF230</f>
        <v>83.346462809144427</v>
      </c>
      <c r="AG230" s="4">
        <f>[1]节奏总纲!AG230</f>
        <v>88.069378113045531</v>
      </c>
      <c r="AH230" s="4">
        <f>[1]节奏总纲!AH230</f>
        <v>97.211509305502972</v>
      </c>
      <c r="AZ230" s="4">
        <v>227</v>
      </c>
      <c r="BA230" s="4">
        <v>43.539452543820246</v>
      </c>
      <c r="BB230" s="4">
        <v>45.060255584699682</v>
      </c>
      <c r="BC230" s="4">
        <v>47.009379755645142</v>
      </c>
      <c r="BD230" s="4">
        <v>49.743095648178063</v>
      </c>
      <c r="BE230" s="4">
        <v>50</v>
      </c>
    </row>
    <row r="231" spans="29:57">
      <c r="AC231" s="4">
        <v>228</v>
      </c>
      <c r="AD231" s="4">
        <f>[1]节奏总纲!AD231</f>
        <v>78.383798891610013</v>
      </c>
      <c r="AE231" s="4">
        <f>[1]节奏总纲!AE231</f>
        <v>80.452725211084953</v>
      </c>
      <c r="AF231" s="4">
        <f>[1]节奏总纲!AF231</f>
        <v>83.410089752022458</v>
      </c>
      <c r="AG231" s="4">
        <f>[1]节奏总纲!AG231</f>
        <v>88.139292024548126</v>
      </c>
      <c r="AH231" s="4">
        <f>[1]节奏总纲!AH231</f>
        <v>97.268745865596571</v>
      </c>
      <c r="AZ231" s="4">
        <v>228</v>
      </c>
      <c r="BA231" s="4">
        <v>43.569409910567963</v>
      </c>
      <c r="BB231" s="4">
        <v>45.088151688727308</v>
      </c>
      <c r="BC231" s="4">
        <v>47.037096473409001</v>
      </c>
      <c r="BD231" s="4">
        <v>49.774085316672867</v>
      </c>
      <c r="BE231" s="4">
        <v>50</v>
      </c>
    </row>
    <row r="232" spans="29:57">
      <c r="AC232" s="4">
        <v>229</v>
      </c>
      <c r="AD232" s="4">
        <f>[1]节奏总纲!AD232</f>
        <v>78.446316468310982</v>
      </c>
      <c r="AE232" s="4">
        <f>[1]节奏总纲!AE232</f>
        <v>80.518195234379959</v>
      </c>
      <c r="AF232" s="4">
        <f>[1]节奏总纲!AF232</f>
        <v>83.473716694900475</v>
      </c>
      <c r="AG232" s="4">
        <f>[1]节奏总纲!AG232</f>
        <v>88.209205936050708</v>
      </c>
      <c r="AH232" s="4">
        <f>[1]节奏总纲!AH232</f>
        <v>97.325982425690185</v>
      </c>
      <c r="AZ232" s="4">
        <v>229</v>
      </c>
      <c r="BA232" s="4">
        <v>43.599367277315686</v>
      </c>
      <c r="BB232" s="4">
        <v>45.116047792754941</v>
      </c>
      <c r="BC232" s="4">
        <v>47.06481319117286</v>
      </c>
      <c r="BD232" s="4">
        <v>49.805074985167678</v>
      </c>
      <c r="BE232" s="4">
        <v>50</v>
      </c>
    </row>
    <row r="233" spans="29:57">
      <c r="AC233" s="4">
        <v>230</v>
      </c>
      <c r="AD233" s="4">
        <f>[1]节奏总纲!AD233</f>
        <v>78.508834045011952</v>
      </c>
      <c r="AE233" s="4">
        <f>[1]节奏总纲!AE233</f>
        <v>80.583665257674966</v>
      </c>
      <c r="AF233" s="4">
        <f>[1]节奏总纲!AF233</f>
        <v>83.537343637778505</v>
      </c>
      <c r="AG233" s="4">
        <f>[1]节奏总纲!AG233</f>
        <v>88.279119847553304</v>
      </c>
      <c r="AH233" s="4">
        <f>[1]节奏总纲!AH233</f>
        <v>97.383218985783799</v>
      </c>
      <c r="AZ233" s="4">
        <v>230</v>
      </c>
      <c r="BA233" s="4">
        <v>43.629324644063402</v>
      </c>
      <c r="BB233" s="4">
        <v>45.143943896782567</v>
      </c>
      <c r="BC233" s="4">
        <v>47.092529908936719</v>
      </c>
      <c r="BD233" s="4">
        <v>49.836064653662483</v>
      </c>
      <c r="BE233" s="4">
        <v>50</v>
      </c>
    </row>
    <row r="234" spans="29:57">
      <c r="AC234" s="4">
        <v>231</v>
      </c>
      <c r="AD234" s="4">
        <f>[1]节奏总纲!AD234</f>
        <v>78.571351621712921</v>
      </c>
      <c r="AE234" s="4">
        <f>[1]节奏总纲!AE234</f>
        <v>80.649135280969972</v>
      </c>
      <c r="AF234" s="4">
        <f>[1]节奏总纲!AF234</f>
        <v>83.600970580656536</v>
      </c>
      <c r="AG234" s="4">
        <f>[1]节奏总纲!AG234</f>
        <v>88.349033759055899</v>
      </c>
      <c r="AH234" s="4">
        <f>[1]节奏总纲!AH234</f>
        <v>97.440455545877413</v>
      </c>
      <c r="AZ234" s="4">
        <v>231</v>
      </c>
      <c r="BA234" s="4">
        <v>43.659282010811118</v>
      </c>
      <c r="BB234" s="4">
        <v>45.171840000810199</v>
      </c>
      <c r="BC234" s="4">
        <v>47.120246626700578</v>
      </c>
      <c r="BD234" s="4">
        <v>49.867054322157287</v>
      </c>
      <c r="BE234" s="4">
        <v>50</v>
      </c>
    </row>
    <row r="235" spans="29:57">
      <c r="AC235" s="4">
        <v>232</v>
      </c>
      <c r="AD235" s="4">
        <f>[1]节奏总纲!AD235</f>
        <v>78.633869198413905</v>
      </c>
      <c r="AE235" s="4">
        <f>[1]节奏总纲!AE235</f>
        <v>80.714605304264978</v>
      </c>
      <c r="AF235" s="4">
        <f>[1]节奏总纲!AF235</f>
        <v>83.664597523534553</v>
      </c>
      <c r="AG235" s="4">
        <f>[1]节奏总纲!AG235</f>
        <v>88.418947670558495</v>
      </c>
      <c r="AH235" s="4">
        <f>[1]节奏总纲!AH235</f>
        <v>97.497692105971026</v>
      </c>
      <c r="AZ235" s="4">
        <v>232</v>
      </c>
      <c r="BA235" s="4">
        <v>43.689239377558835</v>
      </c>
      <c r="BB235" s="4">
        <v>45.199736104837825</v>
      </c>
      <c r="BC235" s="4">
        <v>47.147963344464429</v>
      </c>
      <c r="BD235" s="4">
        <v>49.898043990652091</v>
      </c>
      <c r="BE235" s="4">
        <v>50</v>
      </c>
    </row>
    <row r="236" spans="29:57">
      <c r="AC236" s="4">
        <v>233</v>
      </c>
      <c r="AD236" s="4">
        <f>[1]节奏总纲!AD236</f>
        <v>78.696386775114874</v>
      </c>
      <c r="AE236" s="4">
        <f>[1]节奏总纲!AE236</f>
        <v>80.78007532755997</v>
      </c>
      <c r="AF236" s="4">
        <f>[1]节奏总纲!AF236</f>
        <v>83.728224466412584</v>
      </c>
      <c r="AG236" s="4">
        <f>[1]节奏总纲!AG236</f>
        <v>88.488861582061077</v>
      </c>
      <c r="AH236" s="4">
        <f>[1]节奏总纲!AH236</f>
        <v>97.554928666064626</v>
      </c>
      <c r="AZ236" s="4">
        <v>233</v>
      </c>
      <c r="BA236" s="4">
        <v>43.719196744306558</v>
      </c>
      <c r="BB236" s="4">
        <v>45.227632208865458</v>
      </c>
      <c r="BC236" s="4">
        <v>47.175680062228288</v>
      </c>
      <c r="BD236" s="4">
        <v>49.929033659146896</v>
      </c>
      <c r="BE236" s="4">
        <v>50</v>
      </c>
    </row>
    <row r="237" spans="29:57">
      <c r="AC237" s="4">
        <v>234</v>
      </c>
      <c r="AD237" s="4">
        <f>[1]节奏总纲!AD237</f>
        <v>78.758904351815843</v>
      </c>
      <c r="AE237" s="4">
        <f>[1]节奏总纲!AE237</f>
        <v>80.845545350854977</v>
      </c>
      <c r="AF237" s="4">
        <f>[1]节奏总纲!AF237</f>
        <v>83.791851409290615</v>
      </c>
      <c r="AG237" s="4">
        <f>[1]节奏总纲!AG237</f>
        <v>88.558775493563672</v>
      </c>
      <c r="AH237" s="4">
        <f>[1]节奏总纲!AH237</f>
        <v>97.61216522615824</v>
      </c>
      <c r="AZ237" s="4">
        <v>234</v>
      </c>
      <c r="BA237" s="4">
        <v>43.749154111054274</v>
      </c>
      <c r="BB237" s="4">
        <v>45.255528312893091</v>
      </c>
      <c r="BC237" s="4">
        <v>47.203396779992147</v>
      </c>
      <c r="BD237" s="4">
        <v>49.9600233276417</v>
      </c>
      <c r="BE237" s="4">
        <v>50</v>
      </c>
    </row>
    <row r="238" spans="29:57">
      <c r="AC238" s="4">
        <v>235</v>
      </c>
      <c r="AD238" s="4">
        <f>[1]节奏总纲!AD238</f>
        <v>78.821421928516827</v>
      </c>
      <c r="AE238" s="4">
        <f>[1]节奏总纲!AE238</f>
        <v>80.911015374149983</v>
      </c>
      <c r="AF238" s="4">
        <f>[1]节奏总纲!AF238</f>
        <v>83.855478352168632</v>
      </c>
      <c r="AG238" s="4">
        <f>[1]节奏总纲!AG238</f>
        <v>88.628689405066268</v>
      </c>
      <c r="AH238" s="4">
        <f>[1]节奏总纲!AH238</f>
        <v>97.669401786251854</v>
      </c>
      <c r="AZ238" s="4">
        <v>235</v>
      </c>
      <c r="BA238" s="4">
        <v>43.77911147780199</v>
      </c>
      <c r="BB238" s="4">
        <v>45.283424416920717</v>
      </c>
      <c r="BC238" s="4">
        <v>47.231113497756006</v>
      </c>
      <c r="BD238" s="4">
        <v>49.991012996136504</v>
      </c>
      <c r="BE238" s="4">
        <v>50</v>
      </c>
    </row>
    <row r="239" spans="29:57">
      <c r="AC239" s="4">
        <v>236</v>
      </c>
      <c r="AD239" s="4">
        <f>[1]节奏总纲!AD239</f>
        <v>78.883939505217796</v>
      </c>
      <c r="AE239" s="4">
        <f>[1]节奏总纲!AE239</f>
        <v>80.976485397444989</v>
      </c>
      <c r="AF239" s="4">
        <f>[1]节奏总纲!AF239</f>
        <v>83.919105295046663</v>
      </c>
      <c r="AG239" s="4">
        <f>[1]节奏总纲!AG239</f>
        <v>88.698603316568864</v>
      </c>
      <c r="AH239" s="4">
        <f>[1]节奏总纲!AH239</f>
        <v>97.726638346345467</v>
      </c>
      <c r="AZ239" s="4">
        <v>236</v>
      </c>
      <c r="BA239" s="4">
        <v>43.809068844549707</v>
      </c>
      <c r="BB239" s="4">
        <v>45.31132052094835</v>
      </c>
      <c r="BC239" s="4">
        <v>47.258830215519865</v>
      </c>
      <c r="BD239" s="4">
        <v>50</v>
      </c>
      <c r="BE239" s="4">
        <v>50</v>
      </c>
    </row>
    <row r="240" spans="29:57">
      <c r="AC240" s="4">
        <v>237</v>
      </c>
      <c r="AD240" s="4">
        <f>[1]节奏总纲!AD240</f>
        <v>78.946457081918766</v>
      </c>
      <c r="AE240" s="4">
        <f>[1]节奏总纲!AE240</f>
        <v>81.038163244467697</v>
      </c>
      <c r="AF240" s="4">
        <f>[1]节奏总纲!AF240</f>
        <v>83.982732237924694</v>
      </c>
      <c r="AG240" s="4">
        <f>[1]节奏总纲!AG240</f>
        <v>88.768517228071445</v>
      </c>
      <c r="AH240" s="4">
        <f>[1]节奏总纲!AH240</f>
        <v>97.783874906439081</v>
      </c>
      <c r="AZ240" s="4">
        <v>237</v>
      </c>
      <c r="BA240" s="4">
        <v>43.83902621129743</v>
      </c>
      <c r="BB240" s="4">
        <v>45.339216624975975</v>
      </c>
      <c r="BC240" s="4">
        <v>47.286546933283724</v>
      </c>
      <c r="BD240" s="4">
        <v>50</v>
      </c>
      <c r="BE240" s="4">
        <v>50</v>
      </c>
    </row>
    <row r="241" spans="29:57">
      <c r="AC241" s="4">
        <v>238</v>
      </c>
      <c r="AD241" s="4">
        <f>[1]节奏总纲!AD241</f>
        <v>79.008373652580005</v>
      </c>
      <c r="AE241" s="4">
        <f>[1]节奏总纲!AE241</f>
        <v>81.097715704203424</v>
      </c>
      <c r="AF241" s="4">
        <f>[1]节奏总纲!AF241</f>
        <v>84.043767921022209</v>
      </c>
      <c r="AG241" s="4">
        <f>[1]节奏总纲!AG241</f>
        <v>88.838431139574041</v>
      </c>
      <c r="AH241" s="4">
        <f>[1]节奏总纲!AH241</f>
        <v>97.841111466532681</v>
      </c>
      <c r="AZ241" s="4">
        <v>238</v>
      </c>
      <c r="BA241" s="4">
        <v>43.868983578045146</v>
      </c>
      <c r="BB241" s="4">
        <v>45.367112729003608</v>
      </c>
      <c r="BC241" s="4">
        <v>47.314263651047582</v>
      </c>
      <c r="BD241" s="4">
        <v>50</v>
      </c>
      <c r="BE241" s="4">
        <v>50</v>
      </c>
    </row>
    <row r="242" spans="29:57">
      <c r="AC242" s="4">
        <v>239</v>
      </c>
      <c r="AD242" s="4">
        <f>[1]节奏总纲!AD242</f>
        <v>79.066704614192943</v>
      </c>
      <c r="AE242" s="4">
        <f>[1]节奏总纲!AE242</f>
        <v>81.157268163939136</v>
      </c>
      <c r="AF242" s="4">
        <f>[1]节奏总纲!AF242</f>
        <v>84.103838417578672</v>
      </c>
      <c r="AG242" s="4">
        <f>[1]节奏总纲!AG242</f>
        <v>88.908345051076637</v>
      </c>
      <c r="AH242" s="4">
        <f>[1]节奏总纲!AH242</f>
        <v>97.898348026626294</v>
      </c>
      <c r="AZ242" s="4">
        <v>239</v>
      </c>
      <c r="BA242" s="4">
        <v>43.898940944792862</v>
      </c>
      <c r="BB242" s="4">
        <v>45.395008833031234</v>
      </c>
      <c r="BC242" s="4">
        <v>47.341980368811441</v>
      </c>
      <c r="BD242" s="4">
        <v>50</v>
      </c>
      <c r="BE242" s="4">
        <v>50</v>
      </c>
    </row>
    <row r="243" spans="29:57">
      <c r="AC243" s="4">
        <v>240</v>
      </c>
      <c r="AD243" s="4">
        <f>[1]节奏总纲!AD243</f>
        <v>79.125035575805882</v>
      </c>
      <c r="AE243" s="4">
        <f>[1]节奏总纲!AE243</f>
        <v>81.216820623674849</v>
      </c>
      <c r="AF243" s="4">
        <f>[1]节奏总纲!AF243</f>
        <v>84.163908914135135</v>
      </c>
      <c r="AG243" s="4">
        <f>[1]节奏总纲!AG243</f>
        <v>88.978258962579233</v>
      </c>
      <c r="AH243" s="4">
        <f>[1]节奏总纲!AH243</f>
        <v>97.955584586719908</v>
      </c>
      <c r="AZ243" s="4">
        <v>240</v>
      </c>
      <c r="BA243" s="4">
        <v>43.928898311540586</v>
      </c>
      <c r="BB243" s="4">
        <v>45.422904937058867</v>
      </c>
      <c r="BC243" s="4">
        <v>47.3696970865753</v>
      </c>
      <c r="BD243" s="4">
        <v>50</v>
      </c>
      <c r="BE243" s="4">
        <v>50</v>
      </c>
    </row>
    <row r="244" spans="29:57">
      <c r="AC244" s="4">
        <v>241</v>
      </c>
      <c r="AD244" s="4">
        <f>[1]节奏总纲!AD244</f>
        <v>79.18336653741882</v>
      </c>
      <c r="AE244" s="4">
        <f>[1]节奏总纲!AE244</f>
        <v>81.276373083410562</v>
      </c>
      <c r="AF244" s="4">
        <f>[1]节奏总纲!AF244</f>
        <v>84.223979410691598</v>
      </c>
      <c r="AG244" s="4">
        <f>[1]节奏总纲!AG244</f>
        <v>89.047272179270863</v>
      </c>
      <c r="AH244" s="4">
        <f>[1]节奏总纲!AH244</f>
        <v>98.013314854852808</v>
      </c>
      <c r="AZ244" s="4">
        <v>241</v>
      </c>
      <c r="BA244" s="4">
        <v>43.958855678288302</v>
      </c>
      <c r="BB244" s="4">
        <v>45.450801041086493</v>
      </c>
      <c r="BC244" s="4">
        <v>47.397413804339159</v>
      </c>
      <c r="BD244" s="4">
        <v>50</v>
      </c>
      <c r="BE244" s="4">
        <v>50</v>
      </c>
    </row>
    <row r="245" spans="29:57">
      <c r="AC245" s="4">
        <v>242</v>
      </c>
      <c r="AD245" s="4">
        <f>[1]节奏总纲!AD245</f>
        <v>79.241697499031773</v>
      </c>
      <c r="AE245" s="4">
        <f>[1]节奏总纲!AE245</f>
        <v>81.335925543146274</v>
      </c>
      <c r="AF245" s="4">
        <f>[1]节奏总纲!AF245</f>
        <v>84.284049907248061</v>
      </c>
      <c r="AG245" s="4">
        <f>[1]节奏总纲!AG245</f>
        <v>89.11587890081428</v>
      </c>
      <c r="AH245" s="4">
        <f>[1]节奏总纲!AH245</f>
        <v>98.072755441643167</v>
      </c>
      <c r="AZ245" s="4">
        <v>242</v>
      </c>
      <c r="BA245" s="4">
        <v>43.988813045036018</v>
      </c>
      <c r="BB245" s="4">
        <v>45.478697145114126</v>
      </c>
      <c r="BC245" s="4">
        <v>47.425130522103018</v>
      </c>
      <c r="BD245" s="4">
        <v>50</v>
      </c>
      <c r="BE245" s="4">
        <v>50</v>
      </c>
    </row>
    <row r="246" spans="29:57">
      <c r="AC246" s="4">
        <v>243</v>
      </c>
      <c r="AD246" s="4">
        <f>[1]节奏总纲!AD246</f>
        <v>79.300028460644711</v>
      </c>
      <c r="AE246" s="4">
        <f>[1]节奏总纲!AE246</f>
        <v>81.395478002882001</v>
      </c>
      <c r="AF246" s="4">
        <f>[1]节奏总纲!AF246</f>
        <v>84.344120403804524</v>
      </c>
      <c r="AG246" s="4">
        <f>[1]节奏总纲!AG246</f>
        <v>89.184485622357698</v>
      </c>
      <c r="AH246" s="4">
        <f>[1]节奏总纲!AH246</f>
        <v>98.132196028433526</v>
      </c>
      <c r="AZ246" s="4">
        <v>243</v>
      </c>
      <c r="BA246" s="4">
        <v>44.016200268136501</v>
      </c>
      <c r="BB246" s="4">
        <v>45.506593249141758</v>
      </c>
      <c r="BC246" s="4">
        <v>47.452847239866877</v>
      </c>
      <c r="BD246" s="4">
        <v>50</v>
      </c>
      <c r="BE246" s="4">
        <v>50</v>
      </c>
    </row>
    <row r="247" spans="29:57">
      <c r="AC247" s="4">
        <v>244</v>
      </c>
      <c r="AD247" s="4">
        <f>[1]节奏总纲!AD247</f>
        <v>79.358359422257649</v>
      </c>
      <c r="AE247" s="4">
        <f>[1]节奏总纲!AE247</f>
        <v>81.455030462617714</v>
      </c>
      <c r="AF247" s="4">
        <f>[1]节奏总纲!AF247</f>
        <v>84.404190900360987</v>
      </c>
      <c r="AG247" s="4">
        <f>[1]节奏总纲!AG247</f>
        <v>89.253092343901116</v>
      </c>
      <c r="AH247" s="4">
        <f>[1]节奏总纲!AH247</f>
        <v>98.191636615223871</v>
      </c>
      <c r="AZ247" s="4">
        <v>244</v>
      </c>
      <c r="BA247" s="4">
        <v>44.042055714440401</v>
      </c>
      <c r="BB247" s="4">
        <v>45.534489353169384</v>
      </c>
      <c r="BC247" s="4">
        <v>47.480563957630736</v>
      </c>
      <c r="BD247" s="4">
        <v>50</v>
      </c>
      <c r="BE247" s="4">
        <v>50</v>
      </c>
    </row>
    <row r="248" spans="29:57">
      <c r="AC248" s="4">
        <v>245</v>
      </c>
      <c r="AD248" s="4">
        <f>[1]节奏总纲!AD248</f>
        <v>79.416690383870588</v>
      </c>
      <c r="AE248" s="4">
        <f>[1]节奏总纲!AE248</f>
        <v>81.514582922353426</v>
      </c>
      <c r="AF248" s="4">
        <f>[1]节奏总纲!AF248</f>
        <v>84.46426139691745</v>
      </c>
      <c r="AG248" s="4">
        <f>[1]节奏总纲!AG248</f>
        <v>89.321699065444534</v>
      </c>
      <c r="AH248" s="4">
        <f>[1]节奏总纲!AH248</f>
        <v>98.25107720201423</v>
      </c>
      <c r="AZ248" s="4">
        <v>245</v>
      </c>
      <c r="BA248" s="4">
        <v>44.067911160744309</v>
      </c>
      <c r="BB248" s="4">
        <v>45.562385457197017</v>
      </c>
      <c r="BC248" s="4">
        <v>47.508280675394595</v>
      </c>
      <c r="BD248" s="4">
        <v>50</v>
      </c>
      <c r="BE248" s="4">
        <v>50</v>
      </c>
    </row>
    <row r="249" spans="29:57">
      <c r="AC249" s="4">
        <v>246</v>
      </c>
      <c r="AD249" s="4">
        <f>[1]节奏总纲!AD249</f>
        <v>79.475021345483526</v>
      </c>
      <c r="AE249" s="4">
        <f>[1]节奏总纲!AE249</f>
        <v>81.574135382089139</v>
      </c>
      <c r="AF249" s="4">
        <f>[1]节奏总纲!AF249</f>
        <v>84.524331893473914</v>
      </c>
      <c r="AG249" s="4">
        <f>[1]节奏总纲!AG249</f>
        <v>89.390305786987952</v>
      </c>
      <c r="AH249" s="4">
        <f>[1]节奏总纲!AH249</f>
        <v>98.310517788804589</v>
      </c>
      <c r="AZ249" s="4">
        <v>246</v>
      </c>
      <c r="BA249" s="4">
        <v>44.093766607048209</v>
      </c>
      <c r="BB249" s="4">
        <v>45.590281561224643</v>
      </c>
      <c r="BC249" s="4">
        <v>47.535997393158453</v>
      </c>
      <c r="BD249" s="4">
        <v>50</v>
      </c>
      <c r="BE249" s="4">
        <v>50</v>
      </c>
    </row>
    <row r="250" spans="29:57">
      <c r="AC250" s="4">
        <v>247</v>
      </c>
      <c r="AD250" s="4">
        <f>[1]节奏总纲!AD250</f>
        <v>79.533352307096465</v>
      </c>
      <c r="AE250" s="4">
        <f>[1]节奏总纲!AE250</f>
        <v>81.633687841824852</v>
      </c>
      <c r="AF250" s="4">
        <f>[1]节奏总纲!AF250</f>
        <v>84.584402390030377</v>
      </c>
      <c r="AG250" s="4">
        <f>[1]节奏总纲!AG250</f>
        <v>89.45891250853137</v>
      </c>
      <c r="AH250" s="4">
        <f>[1]节奏总纲!AH250</f>
        <v>98.369958375594933</v>
      </c>
      <c r="AZ250" s="4">
        <v>247</v>
      </c>
      <c r="BA250" s="4">
        <v>44.11962205335211</v>
      </c>
      <c r="BB250" s="4">
        <v>45.618177665252276</v>
      </c>
      <c r="BC250" s="4">
        <v>47.563714110922312</v>
      </c>
      <c r="BD250" s="4">
        <v>50</v>
      </c>
      <c r="BE250" s="4">
        <v>50</v>
      </c>
    </row>
    <row r="251" spans="29:57">
      <c r="AC251" s="4">
        <v>248</v>
      </c>
      <c r="AD251" s="4">
        <f>[1]节奏总纲!AD251</f>
        <v>79.591683268709417</v>
      </c>
      <c r="AE251" s="4">
        <f>[1]节奏总纲!AE251</f>
        <v>81.693240301560579</v>
      </c>
      <c r="AF251" s="4">
        <f>[1]节奏总纲!AF251</f>
        <v>84.64447288658684</v>
      </c>
      <c r="AG251" s="4">
        <f>[1]节奏总纲!AG251</f>
        <v>89.527519230074788</v>
      </c>
      <c r="AH251" s="4">
        <f>[1]节奏总纲!AH251</f>
        <v>98.429398962385292</v>
      </c>
      <c r="AZ251" s="4">
        <v>248</v>
      </c>
      <c r="BA251" s="4">
        <v>44.145477499656018</v>
      </c>
      <c r="BB251" s="4">
        <v>45.646073769279901</v>
      </c>
      <c r="BC251" s="4">
        <v>47.591430828686171</v>
      </c>
      <c r="BD251" s="4">
        <v>50</v>
      </c>
      <c r="BE251" s="4">
        <v>50</v>
      </c>
    </row>
    <row r="252" spans="29:57">
      <c r="AC252" s="4">
        <v>249</v>
      </c>
      <c r="AD252" s="4">
        <f>[1]节奏总纲!AD252</f>
        <v>79.650014230322356</v>
      </c>
      <c r="AE252" s="4">
        <f>[1]节奏总纲!AE252</f>
        <v>81.752792761296291</v>
      </c>
      <c r="AF252" s="4">
        <f>[1]节奏总纲!AF252</f>
        <v>84.704543383143317</v>
      </c>
      <c r="AG252" s="4">
        <f>[1]节奏总纲!AG252</f>
        <v>89.596125951618205</v>
      </c>
      <c r="AH252" s="4">
        <f>[1]节奏总纲!AH252</f>
        <v>98.488839549175651</v>
      </c>
      <c r="AZ252" s="4">
        <v>249</v>
      </c>
      <c r="BA252" s="4">
        <v>44.171332945959918</v>
      </c>
      <c r="BB252" s="4">
        <v>45.673969873307534</v>
      </c>
      <c r="BC252" s="4">
        <v>47.61914754645003</v>
      </c>
      <c r="BD252" s="4">
        <v>50</v>
      </c>
      <c r="BE252" s="4">
        <v>50</v>
      </c>
    </row>
    <row r="253" spans="29:57">
      <c r="AC253" s="4">
        <v>250</v>
      </c>
      <c r="AD253" s="4">
        <f>[1]节奏总纲!AD253</f>
        <v>79.708345191935294</v>
      </c>
      <c r="AE253" s="4">
        <f>[1]节奏总纲!AE253</f>
        <v>81.812345221032004</v>
      </c>
      <c r="AF253" s="4">
        <f>[1]节奏总纲!AF253</f>
        <v>84.76461387969978</v>
      </c>
      <c r="AG253" s="4">
        <f>[1]节奏总纲!AG253</f>
        <v>89.664732673161623</v>
      </c>
      <c r="AH253" s="4">
        <f>[1]节奏总纲!AH253</f>
        <v>98.548280135965996</v>
      </c>
      <c r="AZ253" s="4">
        <v>250</v>
      </c>
      <c r="BA253" s="4">
        <v>44.197188392263818</v>
      </c>
      <c r="BB253" s="4">
        <v>45.701865977335167</v>
      </c>
      <c r="BC253" s="4">
        <v>47.646864264213889</v>
      </c>
      <c r="BD253" s="4">
        <v>50</v>
      </c>
      <c r="BE253" s="4">
        <v>50</v>
      </c>
    </row>
    <row r="254" spans="29:57">
      <c r="AC254" s="4">
        <v>251</v>
      </c>
      <c r="AD254" s="4">
        <f>[1]节奏总纲!AD254</f>
        <v>79.766676153548232</v>
      </c>
      <c r="AE254" s="4">
        <f>[1]节奏总纲!AE254</f>
        <v>81.871897680767717</v>
      </c>
      <c r="AF254" s="4">
        <f>[1]节奏总纲!AF254</f>
        <v>84.824684376256243</v>
      </c>
      <c r="AG254" s="4">
        <f>[1]节奏总纲!AG254</f>
        <v>89.733339394705041</v>
      </c>
      <c r="AH254" s="4">
        <f>[1]节奏总纲!AH254</f>
        <v>98.607720722756355</v>
      </c>
      <c r="AZ254" s="4">
        <v>251</v>
      </c>
      <c r="BA254" s="4">
        <v>44.223043838567726</v>
      </c>
      <c r="BB254" s="4">
        <v>45.729762081362793</v>
      </c>
      <c r="BC254" s="4">
        <v>47.674580981977748</v>
      </c>
      <c r="BD254" s="4">
        <v>50</v>
      </c>
      <c r="BE254" s="4">
        <v>50</v>
      </c>
    </row>
    <row r="255" spans="29:57">
      <c r="AC255" s="4">
        <v>252</v>
      </c>
      <c r="AD255" s="4">
        <f>[1]节奏总纲!AD255</f>
        <v>79.825007115161171</v>
      </c>
      <c r="AE255" s="4">
        <f>[1]节奏总纲!AE255</f>
        <v>81.931450140503429</v>
      </c>
      <c r="AF255" s="4">
        <f>[1]节奏总纲!AF255</f>
        <v>84.884754872812707</v>
      </c>
      <c r="AG255" s="4">
        <f>[1]节奏总纲!AG255</f>
        <v>89.801946116248459</v>
      </c>
      <c r="AH255" s="4">
        <f>[1]节奏总纲!AH255</f>
        <v>98.667161309546714</v>
      </c>
      <c r="AZ255" s="4">
        <v>252</v>
      </c>
      <c r="BA255" s="4">
        <v>44.248899284871626</v>
      </c>
      <c r="BB255" s="4">
        <v>45.757658185390426</v>
      </c>
      <c r="BC255" s="4">
        <v>47.7022976997416</v>
      </c>
      <c r="BD255" s="4">
        <v>50</v>
      </c>
      <c r="BE255" s="4">
        <v>50</v>
      </c>
    </row>
    <row r="256" spans="29:57">
      <c r="AC256" s="4">
        <v>253</v>
      </c>
      <c r="AD256" s="4">
        <f>[1]节奏总纲!AD256</f>
        <v>79.883338076774123</v>
      </c>
      <c r="AE256" s="4">
        <f>[1]节奏总纲!AE256</f>
        <v>81.991002600239142</v>
      </c>
      <c r="AF256" s="4">
        <f>[1]节奏总纲!AF256</f>
        <v>84.94482536936917</v>
      </c>
      <c r="AG256" s="4">
        <f>[1]节奏总纲!AG256</f>
        <v>89.870552837791877</v>
      </c>
      <c r="AH256" s="4">
        <f>[1]节奏总纲!AH256</f>
        <v>98.726601896337058</v>
      </c>
      <c r="AZ256" s="4">
        <v>253</v>
      </c>
      <c r="BA256" s="4">
        <v>44.274754731175527</v>
      </c>
      <c r="BB256" s="4">
        <v>45.785554289418052</v>
      </c>
      <c r="BC256" s="4">
        <v>47.730014417505458</v>
      </c>
      <c r="BD256" s="4">
        <v>50</v>
      </c>
      <c r="BE256" s="4">
        <v>50</v>
      </c>
    </row>
    <row r="257" spans="29:57">
      <c r="AC257" s="4">
        <v>254</v>
      </c>
      <c r="AD257" s="4">
        <f>[1]节奏总纲!AD257</f>
        <v>79.941669038387062</v>
      </c>
      <c r="AE257" s="4">
        <f>[1]节奏总纲!AE257</f>
        <v>82.046165327855846</v>
      </c>
      <c r="AF257" s="4">
        <f>[1]节奏总纲!AF257</f>
        <v>85.004450307848032</v>
      </c>
      <c r="AG257" s="4">
        <f>[1]节奏总纲!AG257</f>
        <v>89.939159559335295</v>
      </c>
      <c r="AH257" s="4">
        <f>[1]节奏总纲!AH257</f>
        <v>98.786042483127417</v>
      </c>
      <c r="AZ257" s="4">
        <v>254</v>
      </c>
      <c r="BA257" s="4">
        <v>44.300610177479435</v>
      </c>
      <c r="BB257" s="4">
        <v>45.813450393445684</v>
      </c>
      <c r="BC257" s="4">
        <v>47.757731135269317</v>
      </c>
      <c r="BD257" s="4">
        <v>50</v>
      </c>
      <c r="BE257" s="4">
        <v>50</v>
      </c>
    </row>
    <row r="258" spans="29:57">
      <c r="AC258" s="4">
        <v>255</v>
      </c>
      <c r="AD258" s="4">
        <f>[1]节奏总纲!AD258</f>
        <v>80</v>
      </c>
      <c r="AE258" s="4">
        <f>[1]节奏总纲!AE258</f>
        <v>82.100546804797787</v>
      </c>
      <c r="AF258" s="4">
        <f>[1]节奏总纲!AF258</f>
        <v>85.059053968634842</v>
      </c>
      <c r="AG258" s="4">
        <f>[1]节奏总纲!AG258</f>
        <v>90.006385600230558</v>
      </c>
      <c r="AH258" s="4">
        <f>[1]节奏总纲!AH258</f>
        <v>98.845483069917776</v>
      </c>
      <c r="AZ258" s="4">
        <v>255</v>
      </c>
      <c r="BA258" s="4">
        <v>44.326465623783335</v>
      </c>
      <c r="BB258" s="4">
        <v>45.84134649747331</v>
      </c>
      <c r="BC258" s="4">
        <v>47.785447853033176</v>
      </c>
      <c r="BD258" s="4">
        <v>50</v>
      </c>
      <c r="BE258" s="4">
        <v>50</v>
      </c>
    </row>
    <row r="259" spans="29:57">
      <c r="AC259" s="4">
        <v>256</v>
      </c>
      <c r="AD259" s="4">
        <f>[1]节奏总纲!AD259</f>
        <v>80.054424711612938</v>
      </c>
      <c r="AE259" s="4">
        <f>[1]节奏总纲!AE259</f>
        <v>82.154928281739714</v>
      </c>
      <c r="AF259" s="4">
        <f>[1]节奏总纲!AF259</f>
        <v>85.113657629421638</v>
      </c>
      <c r="AG259" s="4">
        <f>[1]节奏总纲!AG259</f>
        <v>90.062795496260307</v>
      </c>
      <c r="AH259" s="4">
        <f>[1]节奏总纲!AH259</f>
        <v>98.904923656708121</v>
      </c>
      <c r="AZ259" s="4">
        <v>256</v>
      </c>
      <c r="BA259" s="4">
        <v>44.352321070087235</v>
      </c>
      <c r="BB259" s="4">
        <v>45.869242601500943</v>
      </c>
      <c r="BC259" s="4">
        <v>47.813164570797035</v>
      </c>
      <c r="BD259" s="4">
        <v>50</v>
      </c>
      <c r="BE259" s="4">
        <v>50</v>
      </c>
    </row>
    <row r="260" spans="29:57">
      <c r="AC260" s="4">
        <v>257</v>
      </c>
      <c r="AD260" s="4">
        <f>[1]节奏总纲!AD260</f>
        <v>80.108849423225877</v>
      </c>
      <c r="AE260" s="4">
        <f>[1]节奏总纲!AE260</f>
        <v>82.209309758681655</v>
      </c>
      <c r="AF260" s="4">
        <f>[1]节奏总纲!AF260</f>
        <v>85.168261290208434</v>
      </c>
      <c r="AG260" s="4">
        <f>[1]节奏总纲!AG260</f>
        <v>90.119205392290041</v>
      </c>
      <c r="AH260" s="4">
        <f>[1]节奏总纲!AH260</f>
        <v>98.96436424349848</v>
      </c>
      <c r="AZ260" s="4">
        <v>257</v>
      </c>
      <c r="BA260" s="4">
        <v>44.378176516391136</v>
      </c>
      <c r="BB260" s="4">
        <v>45.897138705528576</v>
      </c>
      <c r="BC260" s="4">
        <v>47.840881288560894</v>
      </c>
      <c r="BD260" s="4">
        <v>50</v>
      </c>
      <c r="BE260" s="4">
        <v>50</v>
      </c>
    </row>
    <row r="261" spans="29:57">
      <c r="AC261" s="4">
        <v>258</v>
      </c>
      <c r="AD261" s="4">
        <f>[1]节奏总纲!AD261</f>
        <v>80.163274134838829</v>
      </c>
      <c r="AE261" s="4">
        <f>[1]节奏总纲!AE261</f>
        <v>82.263691235623583</v>
      </c>
      <c r="AF261" s="4">
        <f>[1]节奏总纲!AF261</f>
        <v>85.222864950995231</v>
      </c>
      <c r="AG261" s="4">
        <f>[1]节奏总纲!AG261</f>
        <v>90.175615288319776</v>
      </c>
      <c r="AH261" s="4">
        <f>[1]节奏总纲!AH261</f>
        <v>99.023313221876677</v>
      </c>
      <c r="AZ261" s="4">
        <v>258</v>
      </c>
      <c r="BA261" s="4">
        <v>44.404031962695043</v>
      </c>
      <c r="BB261" s="4">
        <v>45.925034809556202</v>
      </c>
      <c r="BC261" s="4">
        <v>47.868598006324753</v>
      </c>
      <c r="BD261" s="4">
        <v>50</v>
      </c>
      <c r="BE261" s="4">
        <v>50</v>
      </c>
    </row>
    <row r="262" spans="29:57">
      <c r="AC262" s="4">
        <v>259</v>
      </c>
      <c r="AD262" s="4">
        <f>[1]节奏总纲!AD262</f>
        <v>80.217698846451768</v>
      </c>
      <c r="AE262" s="4">
        <f>[1]节奏总纲!AE262</f>
        <v>82.318072712565524</v>
      </c>
      <c r="AF262" s="4">
        <f>[1]节奏总纲!AF262</f>
        <v>85.277468611782027</v>
      </c>
      <c r="AG262" s="4">
        <f>[1]节奏总纲!AG262</f>
        <v>90.23202518434951</v>
      </c>
      <c r="AH262" s="4">
        <f>[1]节奏总纲!AH262</f>
        <v>99.081526263999208</v>
      </c>
      <c r="AZ262" s="4">
        <v>259</v>
      </c>
      <c r="BA262" s="4">
        <v>44.429887408998944</v>
      </c>
      <c r="BB262" s="4">
        <v>45.952930913583835</v>
      </c>
      <c r="BC262" s="4">
        <v>47.896314724088612</v>
      </c>
      <c r="BD262" s="4">
        <v>50</v>
      </c>
      <c r="BE262" s="4">
        <v>50</v>
      </c>
    </row>
    <row r="263" spans="29:57">
      <c r="AC263" s="4">
        <v>260</v>
      </c>
      <c r="AD263" s="4">
        <f>[1]节奏总纲!AD263</f>
        <v>80.272123558064706</v>
      </c>
      <c r="AE263" s="4">
        <f>[1]节奏总纲!AE263</f>
        <v>82.372454189507465</v>
      </c>
      <c r="AF263" s="4">
        <f>[1]节奏总纲!AF263</f>
        <v>85.332072272568837</v>
      </c>
      <c r="AG263" s="4">
        <f>[1]节奏总纲!AG263</f>
        <v>90.288435080379244</v>
      </c>
      <c r="AH263" s="4">
        <f>[1]节奏总纲!AH263</f>
        <v>99.139739306121726</v>
      </c>
      <c r="AZ263" s="4">
        <v>260</v>
      </c>
      <c r="BA263" s="4">
        <v>44.455742855302844</v>
      </c>
      <c r="BB263" s="4">
        <v>45.98082701761146</v>
      </c>
      <c r="BC263" s="4">
        <v>47.92403144185247</v>
      </c>
      <c r="BD263" s="4">
        <v>50</v>
      </c>
      <c r="BE263" s="4">
        <v>50</v>
      </c>
    </row>
    <row r="264" spans="29:57">
      <c r="AC264" s="4">
        <v>261</v>
      </c>
      <c r="AD264" s="4">
        <f>[1]节奏总纲!AD264</f>
        <v>80.326548269677644</v>
      </c>
      <c r="AE264" s="4">
        <f>[1]节奏总纲!AE264</f>
        <v>82.426835666449392</v>
      </c>
      <c r="AF264" s="4">
        <f>[1]节奏总纲!AF264</f>
        <v>85.386675933355633</v>
      </c>
      <c r="AG264" s="4">
        <f>[1]节奏总纲!AG264</f>
        <v>90.344844976408993</v>
      </c>
      <c r="AH264" s="4">
        <f>[1]节奏总纲!AH264</f>
        <v>99.197952348244257</v>
      </c>
      <c r="AZ264" s="4">
        <v>261</v>
      </c>
      <c r="BA264" s="4">
        <v>44.481598301606752</v>
      </c>
      <c r="BB264" s="4">
        <v>46.007529841290832</v>
      </c>
      <c r="BC264" s="4">
        <v>47.951748159616329</v>
      </c>
      <c r="BD264" s="4">
        <v>50</v>
      </c>
      <c r="BE264" s="4">
        <v>50</v>
      </c>
    </row>
    <row r="265" spans="29:57">
      <c r="AC265" s="4">
        <v>262</v>
      </c>
      <c r="AD265" s="4">
        <f>[1]节奏总纲!AD265</f>
        <v>80.380972981290597</v>
      </c>
      <c r="AE265" s="4">
        <f>[1]节奏总纲!AE265</f>
        <v>82.481217143391333</v>
      </c>
      <c r="AF265" s="4">
        <f>[1]节奏总纲!AF265</f>
        <v>85.441279594142429</v>
      </c>
      <c r="AG265" s="4">
        <f>[1]节奏总纲!AG265</f>
        <v>90.401254872438727</v>
      </c>
      <c r="AH265" s="4">
        <f>[1]节奏总纲!AH265</f>
        <v>99.256165390366789</v>
      </c>
      <c r="AZ265" s="4">
        <v>262</v>
      </c>
      <c r="BA265" s="4">
        <v>44.507453747910652</v>
      </c>
      <c r="BB265" s="4">
        <v>46.031609894814238</v>
      </c>
      <c r="BC265" s="4">
        <v>47.979464877380188</v>
      </c>
      <c r="BD265" s="4">
        <v>50</v>
      </c>
      <c r="BE265" s="4">
        <v>50</v>
      </c>
    </row>
    <row r="266" spans="29:57">
      <c r="AC266" s="4">
        <v>263</v>
      </c>
      <c r="AD266" s="4">
        <f>[1]节奏总纲!AD266</f>
        <v>80.435397692903535</v>
      </c>
      <c r="AE266" s="4">
        <f>[1]节奏总纲!AE266</f>
        <v>82.535598620333275</v>
      </c>
      <c r="AF266" s="4">
        <f>[1]节奏总纲!AF266</f>
        <v>85.495883254929225</v>
      </c>
      <c r="AG266" s="4">
        <f>[1]节奏总纲!AG266</f>
        <v>90.457664768468462</v>
      </c>
      <c r="AH266" s="4">
        <f>[1]节奏总纲!AH266</f>
        <v>99.314378432489306</v>
      </c>
      <c r="AZ266" s="4">
        <v>263</v>
      </c>
      <c r="BA266" s="4">
        <v>44.533309194214553</v>
      </c>
      <c r="BB266" s="4">
        <v>46.055689948337651</v>
      </c>
      <c r="BC266" s="4">
        <v>48.006200084618079</v>
      </c>
      <c r="BD266" s="4">
        <v>50</v>
      </c>
      <c r="BE266" s="4">
        <v>50</v>
      </c>
    </row>
    <row r="267" spans="29:57">
      <c r="AC267" s="4">
        <v>264</v>
      </c>
      <c r="AD267" s="4">
        <f>[1]节奏总纲!AD267</f>
        <v>80.489822404516474</v>
      </c>
      <c r="AE267" s="4">
        <f>[1]节奏总纲!AE267</f>
        <v>82.589980097275202</v>
      </c>
      <c r="AF267" s="4">
        <f>[1]节奏总纲!AF267</f>
        <v>85.550486915716021</v>
      </c>
      <c r="AG267" s="4">
        <f>[1]节奏总纲!AG267</f>
        <v>90.514074664498196</v>
      </c>
      <c r="AH267" s="4">
        <f>[1]节奏总纲!AH267</f>
        <v>99.372591474611838</v>
      </c>
      <c r="AZ267" s="4">
        <v>264</v>
      </c>
      <c r="BA267" s="4">
        <v>44.55916464051846</v>
      </c>
      <c r="BB267" s="4">
        <v>46.079770001861057</v>
      </c>
      <c r="BC267" s="4">
        <v>48.030128751164241</v>
      </c>
      <c r="BD267" s="4">
        <v>50</v>
      </c>
      <c r="BE267" s="4">
        <v>50</v>
      </c>
    </row>
    <row r="268" spans="29:57">
      <c r="AC268" s="4">
        <v>265</v>
      </c>
      <c r="AD268" s="4">
        <f>[1]节奏总纲!AD268</f>
        <v>80.544247116129412</v>
      </c>
      <c r="AE268" s="4">
        <f>[1]节奏总纲!AE268</f>
        <v>82.644361574217143</v>
      </c>
      <c r="AF268" s="4">
        <f>[1]节奏总纲!AF268</f>
        <v>85.605090576502832</v>
      </c>
      <c r="AG268" s="4">
        <f>[1]节奏总纲!AG268</f>
        <v>90.57048456052793</v>
      </c>
      <c r="AH268" s="4">
        <f>[1]节奏总纲!AH268</f>
        <v>99.430804516734369</v>
      </c>
      <c r="AZ268" s="4">
        <v>265</v>
      </c>
      <c r="BA268" s="4">
        <v>44.585020086822361</v>
      </c>
      <c r="BB268" s="4">
        <v>46.10385005538447</v>
      </c>
      <c r="BC268" s="4">
        <v>48.054057417710396</v>
      </c>
      <c r="BD268" s="4">
        <v>50</v>
      </c>
      <c r="BE268" s="4">
        <v>50</v>
      </c>
    </row>
    <row r="269" spans="29:57">
      <c r="AC269" s="4">
        <v>266</v>
      </c>
      <c r="AD269" s="4">
        <f>[1]节奏总纲!AD269</f>
        <v>80.598671827742351</v>
      </c>
      <c r="AE269" s="4">
        <f>[1]节奏总纲!AE269</f>
        <v>82.698743051159084</v>
      </c>
      <c r="AF269" s="4">
        <f>[1]节奏总纲!AF269</f>
        <v>85.659694237289628</v>
      </c>
      <c r="AG269" s="4">
        <f>[1]节奏总纲!AG269</f>
        <v>90.626894456557665</v>
      </c>
      <c r="AH269" s="4">
        <f>[1]节奏总纲!AH269</f>
        <v>99.489017558856887</v>
      </c>
      <c r="AZ269" s="4">
        <v>266</v>
      </c>
      <c r="BA269" s="4">
        <v>44.610875533126261</v>
      </c>
      <c r="BB269" s="4">
        <v>46.127930108907876</v>
      </c>
      <c r="BC269" s="4">
        <v>48.077986084256551</v>
      </c>
      <c r="BD269" s="4">
        <v>50</v>
      </c>
      <c r="BE269" s="4">
        <v>50</v>
      </c>
    </row>
    <row r="270" spans="29:57">
      <c r="AC270" s="4">
        <v>267</v>
      </c>
      <c r="AD270" s="4">
        <f>[1]节奏总纲!AD270</f>
        <v>80.653096539355303</v>
      </c>
      <c r="AE270" s="4">
        <f>[1]节奏总纲!AE270</f>
        <v>82.753124528101011</v>
      </c>
      <c r="AF270" s="4">
        <f>[1]节奏总纲!AF270</f>
        <v>85.714297898076424</v>
      </c>
      <c r="AG270" s="4">
        <f>[1]节奏总纲!AG270</f>
        <v>90.683304352587413</v>
      </c>
      <c r="AH270" s="4">
        <f>[1]节奏总纲!AH270</f>
        <v>99.547230600979418</v>
      </c>
      <c r="AZ270" s="4">
        <v>267</v>
      </c>
      <c r="BA270" s="4">
        <v>44.636730979430169</v>
      </c>
      <c r="BB270" s="4">
        <v>46.152010162431289</v>
      </c>
      <c r="BC270" s="4">
        <v>48.101914750802706</v>
      </c>
      <c r="BD270" s="4">
        <v>50</v>
      </c>
      <c r="BE270" s="4">
        <v>50</v>
      </c>
    </row>
    <row r="271" spans="29:57">
      <c r="AC271" s="4">
        <v>268</v>
      </c>
      <c r="AD271" s="4">
        <f>[1]节奏总纲!AD271</f>
        <v>80.707521250968242</v>
      </c>
      <c r="AE271" s="4">
        <f>[1]节奏总纲!AE271</f>
        <v>82.807506005042953</v>
      </c>
      <c r="AF271" s="4">
        <f>[1]节奏总纲!AF271</f>
        <v>85.76890155886322</v>
      </c>
      <c r="AG271" s="4">
        <f>[1]节奏总纲!AG271</f>
        <v>90.739714248617148</v>
      </c>
      <c r="AH271" s="4">
        <f>[1]节奏总纲!AH271</f>
        <v>99.605443643101935</v>
      </c>
      <c r="AZ271" s="4">
        <v>268</v>
      </c>
      <c r="BA271" s="4">
        <v>44.662586425734069</v>
      </c>
      <c r="BB271" s="4">
        <v>46.176090215954694</v>
      </c>
      <c r="BC271" s="4">
        <v>48.125843417348868</v>
      </c>
      <c r="BD271" s="4">
        <v>50</v>
      </c>
      <c r="BE271" s="4">
        <v>50</v>
      </c>
    </row>
    <row r="272" spans="29:57">
      <c r="AC272" s="4">
        <v>269</v>
      </c>
      <c r="AD272" s="4">
        <f>[1]节奏总纲!AD272</f>
        <v>80.76194596258118</v>
      </c>
      <c r="AE272" s="4">
        <f>[1]节奏总纲!AE272</f>
        <v>82.861887481984894</v>
      </c>
      <c r="AF272" s="4">
        <f>[1]节奏总纲!AF272</f>
        <v>85.823505219650016</v>
      </c>
      <c r="AG272" s="4">
        <f>[1]节奏总纲!AG272</f>
        <v>90.796124144646882</v>
      </c>
      <c r="AH272" s="4">
        <f>[1]节奏总纲!AH272</f>
        <v>99.663656685224467</v>
      </c>
      <c r="AZ272" s="4">
        <v>269</v>
      </c>
      <c r="BA272" s="4">
        <v>44.68844187203797</v>
      </c>
      <c r="BB272" s="4">
        <v>46.200170269478107</v>
      </c>
      <c r="BC272" s="4">
        <v>48.149772083895023</v>
      </c>
      <c r="BD272" s="4">
        <v>50</v>
      </c>
      <c r="BE272" s="4">
        <v>50</v>
      </c>
    </row>
    <row r="273" spans="29:57">
      <c r="AC273" s="4">
        <v>270</v>
      </c>
      <c r="AD273" s="4">
        <f>[1]节奏总纲!AD273</f>
        <v>80.816370674194118</v>
      </c>
      <c r="AE273" s="4">
        <f>[1]节奏总纲!AE273</f>
        <v>82.916268958926821</v>
      </c>
      <c r="AF273" s="4">
        <f>[1]节奏总纲!AF273</f>
        <v>85.878108880436827</v>
      </c>
      <c r="AG273" s="4">
        <f>[1]节奏总纲!AG273</f>
        <v>90.852534040676616</v>
      </c>
      <c r="AH273" s="4">
        <f>[1]节奏总纲!AH273</f>
        <v>99.721869727346999</v>
      </c>
      <c r="AZ273" s="4">
        <v>270</v>
      </c>
      <c r="BA273" s="4">
        <v>44.714297318341877</v>
      </c>
      <c r="BB273" s="4">
        <v>46.224250323001513</v>
      </c>
      <c r="BC273" s="4">
        <v>48.173700750441178</v>
      </c>
      <c r="BD273" s="4">
        <v>50</v>
      </c>
      <c r="BE273" s="4">
        <v>50</v>
      </c>
    </row>
    <row r="274" spans="29:57">
      <c r="AC274" s="4">
        <v>271</v>
      </c>
      <c r="AD274" s="4">
        <f>[1]节奏总纲!AD274</f>
        <v>80.870795385807057</v>
      </c>
      <c r="AE274" s="4">
        <f>[1]节奏总纲!AE274</f>
        <v>82.970650435868762</v>
      </c>
      <c r="AF274" s="4">
        <f>[1]节奏总纲!AF274</f>
        <v>85.932712541223623</v>
      </c>
      <c r="AG274" s="4">
        <f>[1]节奏总纲!AG274</f>
        <v>90.908943936706351</v>
      </c>
      <c r="AH274" s="4">
        <f>[1]节奏总纲!AH274</f>
        <v>99.780082769469516</v>
      </c>
      <c r="AZ274" s="4">
        <v>271</v>
      </c>
      <c r="BA274" s="4">
        <v>44.740152764645778</v>
      </c>
      <c r="BB274" s="4">
        <v>46.248330376524919</v>
      </c>
      <c r="BC274" s="4">
        <v>48.19762941698734</v>
      </c>
      <c r="BD274" s="4">
        <v>50</v>
      </c>
      <c r="BE274" s="4">
        <v>50</v>
      </c>
    </row>
    <row r="275" spans="29:57">
      <c r="AC275" s="4">
        <v>272</v>
      </c>
      <c r="AD275" s="4">
        <f>[1]节奏总纲!AD275</f>
        <v>80.925220097420009</v>
      </c>
      <c r="AE275" s="4">
        <f>[1]节奏总纲!AE275</f>
        <v>83.023342162088809</v>
      </c>
      <c r="AF275" s="4">
        <f>[1]节奏总纲!AF275</f>
        <v>85.987316202010419</v>
      </c>
      <c r="AG275" s="4">
        <f>[1]节奏总纲!AG275</f>
        <v>90.965353832736099</v>
      </c>
      <c r="AH275" s="4">
        <f>[1]节奏总纲!AH275</f>
        <v>99.838295811592047</v>
      </c>
      <c r="AZ275" s="4">
        <v>272</v>
      </c>
      <c r="BA275" s="4">
        <v>44.766008210949678</v>
      </c>
      <c r="BB275" s="4">
        <v>46.272410430048332</v>
      </c>
      <c r="BC275" s="4">
        <v>48.221558083533495</v>
      </c>
      <c r="BD275" s="4">
        <v>50</v>
      </c>
      <c r="BE275" s="4">
        <v>50</v>
      </c>
    </row>
    <row r="276" spans="29:57">
      <c r="AC276" s="4">
        <v>273</v>
      </c>
      <c r="AD276" s="4">
        <f>[1]节奏总纲!AD276</f>
        <v>80.979644809032948</v>
      </c>
      <c r="AE276" s="4">
        <f>[1]节奏总纲!AE276</f>
        <v>83.07405267945947</v>
      </c>
      <c r="AF276" s="4">
        <f>[1]节奏总纲!AF276</f>
        <v>86.038061368689995</v>
      </c>
      <c r="AG276" s="4">
        <f>[1]节奏总纲!AG276</f>
        <v>91.020352770869948</v>
      </c>
      <c r="AH276" s="4">
        <f>[1]节奏总纲!AH276</f>
        <v>99.896508853714579</v>
      </c>
      <c r="AZ276" s="4">
        <v>273</v>
      </c>
      <c r="BA276" s="4">
        <v>44.791863657253586</v>
      </c>
      <c r="BB276" s="4">
        <v>46.296490483571738</v>
      </c>
      <c r="BC276" s="4">
        <v>48.24548675007965</v>
      </c>
      <c r="BD276" s="4">
        <v>50</v>
      </c>
      <c r="BE276" s="4">
        <v>50</v>
      </c>
    </row>
    <row r="277" spans="29:57">
      <c r="AC277" s="4">
        <v>274</v>
      </c>
      <c r="AD277" s="4">
        <f>[1]节奏总纲!AD277</f>
        <v>81.031787986768464</v>
      </c>
      <c r="AE277" s="4">
        <f>[1]节奏总纲!AE277</f>
        <v>83.124763196830131</v>
      </c>
      <c r="AF277" s="4">
        <f>[1]节奏总纲!AF277</f>
        <v>86.087639061133402</v>
      </c>
      <c r="AG277" s="4">
        <f>[1]节奏总纲!AG277</f>
        <v>91.073105573528181</v>
      </c>
      <c r="AH277" s="4">
        <f>[1]节奏总纲!AH277</f>
        <v>99.954721895837096</v>
      </c>
      <c r="AZ277" s="4">
        <v>274</v>
      </c>
      <c r="BA277" s="4">
        <v>44.817719103557486</v>
      </c>
      <c r="BB277" s="4">
        <v>46.320570537095151</v>
      </c>
      <c r="BC277" s="4">
        <v>48.269415416625804</v>
      </c>
      <c r="BD277" s="4">
        <v>50</v>
      </c>
      <c r="BE277" s="4">
        <v>50</v>
      </c>
    </row>
    <row r="278" spans="29:57">
      <c r="AC278" s="4">
        <v>275</v>
      </c>
      <c r="AD278" s="4">
        <f>[1]节奏总纲!AD278</f>
        <v>81.082568038258216</v>
      </c>
      <c r="AE278" s="4">
        <f>[1]节奏总纲!AE278</f>
        <v>83.175473714200777</v>
      </c>
      <c r="AF278" s="4">
        <f>[1]节奏总纲!AF278</f>
        <v>86.137216753576809</v>
      </c>
      <c r="AG278" s="4">
        <f>[1]节奏总纲!AG278</f>
        <v>91.125858376186414</v>
      </c>
      <c r="AH278" s="4">
        <f>[1]节奏总纲!AH278</f>
        <v>100.01191770041967</v>
      </c>
      <c r="AZ278" s="4">
        <v>275</v>
      </c>
      <c r="BA278" s="4">
        <v>44.843574549861387</v>
      </c>
      <c r="BB278" s="4">
        <v>46.344650590618556</v>
      </c>
      <c r="BC278" s="4">
        <v>48.293344083171966</v>
      </c>
      <c r="BD278" s="4">
        <v>50</v>
      </c>
      <c r="BE278" s="4">
        <v>50</v>
      </c>
    </row>
    <row r="279" spans="29:57">
      <c r="AC279" s="4">
        <v>276</v>
      </c>
      <c r="AD279" s="4">
        <f>[1]节奏总纲!AD279</f>
        <v>81.133348089747955</v>
      </c>
      <c r="AE279" s="4">
        <f>[1]节奏总纲!AE279</f>
        <v>83.226184231571438</v>
      </c>
      <c r="AF279" s="4">
        <f>[1]节奏总纲!AF279</f>
        <v>86.186794446020215</v>
      </c>
      <c r="AG279" s="4">
        <f>[1]节奏总纲!AG279</f>
        <v>91.178611178844633</v>
      </c>
      <c r="AH279" s="4">
        <f>[1]节奏总纲!AH279</f>
        <v>100.06555271580974</v>
      </c>
      <c r="AZ279" s="4">
        <v>276</v>
      </c>
      <c r="BA279" s="4">
        <v>44.869429996165294</v>
      </c>
      <c r="BB279" s="4">
        <v>46.368730644141969</v>
      </c>
      <c r="BC279" s="4">
        <v>48.317272749718121</v>
      </c>
      <c r="BD279" s="4">
        <v>50</v>
      </c>
      <c r="BE279" s="4">
        <v>50</v>
      </c>
    </row>
    <row r="280" spans="29:57">
      <c r="AC280" s="4">
        <v>277</v>
      </c>
      <c r="AD280" s="4">
        <f>[1]节奏总纲!AD280</f>
        <v>81.184128141237707</v>
      </c>
      <c r="AE280" s="4">
        <f>[1]节奏总纲!AE280</f>
        <v>83.276894748942098</v>
      </c>
      <c r="AF280" s="4">
        <f>[1]节奏总纲!AF280</f>
        <v>86.236372138463622</v>
      </c>
      <c r="AG280" s="4">
        <f>[1]节奏总纲!AG280</f>
        <v>91.231363981502867</v>
      </c>
      <c r="AH280" s="4">
        <f>[1]节奏总纲!AH280</f>
        <v>100.11918773119983</v>
      </c>
      <c r="AZ280" s="4">
        <v>277</v>
      </c>
      <c r="BA280" s="4">
        <v>44.895285442469195</v>
      </c>
      <c r="BB280" s="4">
        <v>46.392810697665375</v>
      </c>
      <c r="BC280" s="4">
        <v>48.341201416264276</v>
      </c>
      <c r="BD280" s="4">
        <v>50</v>
      </c>
      <c r="BE280" s="4">
        <v>50</v>
      </c>
    </row>
    <row r="281" spans="29:57">
      <c r="AC281" s="4">
        <v>278</v>
      </c>
      <c r="AD281" s="4">
        <f>[1]节奏总纲!AD281</f>
        <v>81.23490819272746</v>
      </c>
      <c r="AE281" s="4">
        <f>[1]节奏总纲!AE281</f>
        <v>83.327605266312744</v>
      </c>
      <c r="AF281" s="4">
        <f>[1]节奏总纲!AF281</f>
        <v>86.285949830907029</v>
      </c>
      <c r="AG281" s="4">
        <f>[1]节奏总纲!AG281</f>
        <v>91.2841167841611</v>
      </c>
      <c r="AH281" s="4">
        <f>[1]节奏总纲!AH281</f>
        <v>100.1728227465899</v>
      </c>
      <c r="AZ281" s="4">
        <v>278</v>
      </c>
      <c r="BA281" s="4">
        <v>44.921140888773095</v>
      </c>
      <c r="BB281" s="4">
        <v>46.416890751188788</v>
      </c>
      <c r="BC281" s="4">
        <v>48.365130082810438</v>
      </c>
      <c r="BD281" s="4">
        <v>50</v>
      </c>
      <c r="BE281" s="4">
        <v>50</v>
      </c>
    </row>
    <row r="282" spans="29:57">
      <c r="AC282" s="4">
        <v>279</v>
      </c>
      <c r="AD282" s="4">
        <f>[1]节奏总纲!AD282</f>
        <v>81.285688244217212</v>
      </c>
      <c r="AE282" s="4">
        <f>[1]节奏总纲!AE282</f>
        <v>83.378315783683405</v>
      </c>
      <c r="AF282" s="4">
        <f>[1]节奏总纲!AF282</f>
        <v>86.335527523350422</v>
      </c>
      <c r="AG282" s="4">
        <f>[1]节奏总纲!AG282</f>
        <v>91.336869586819319</v>
      </c>
      <c r="AH282" s="4">
        <f>[1]节奏总纲!AH282</f>
        <v>100.22645776197997</v>
      </c>
      <c r="AZ282" s="4">
        <v>279</v>
      </c>
      <c r="BA282" s="4">
        <v>44.946996335076996</v>
      </c>
      <c r="BB282" s="4">
        <v>46.440970804712194</v>
      </c>
      <c r="BC282" s="4">
        <v>48.389058749356593</v>
      </c>
      <c r="BD282" s="4">
        <v>50</v>
      </c>
      <c r="BE282" s="4">
        <v>50</v>
      </c>
    </row>
    <row r="283" spans="29:57">
      <c r="AC283" s="4">
        <v>280</v>
      </c>
      <c r="AD283" s="4">
        <f>[1]节奏总纲!AD283</f>
        <v>81.336468295706965</v>
      </c>
      <c r="AE283" s="4">
        <f>[1]节奏总纲!AE283</f>
        <v>83.429026301054066</v>
      </c>
      <c r="AF283" s="4">
        <f>[1]节奏总纲!AF283</f>
        <v>86.385105215793828</v>
      </c>
      <c r="AG283" s="4">
        <f>[1]节奏总纲!AG283</f>
        <v>91.389622389477552</v>
      </c>
      <c r="AH283" s="4">
        <f>[1]节奏总纲!AH283</f>
        <v>100.28009277737006</v>
      </c>
      <c r="AZ283" s="4">
        <v>280</v>
      </c>
      <c r="BA283" s="4">
        <v>44.972851781380903</v>
      </c>
      <c r="BB283" s="4">
        <v>46.465050858235607</v>
      </c>
      <c r="BC283" s="4">
        <v>48.412987415902748</v>
      </c>
      <c r="BD283" s="4">
        <v>50</v>
      </c>
      <c r="BE283" s="4">
        <v>50</v>
      </c>
    </row>
    <row r="284" spans="29:57">
      <c r="AC284" s="4">
        <v>281</v>
      </c>
      <c r="AD284" s="4">
        <f>[1]节奏总纲!AD284</f>
        <v>81.387248347196717</v>
      </c>
      <c r="AE284" s="4">
        <f>[1]节奏总纲!AE284</f>
        <v>83.479736818424712</v>
      </c>
      <c r="AF284" s="4">
        <f>[1]节奏总纲!AF284</f>
        <v>86.434682908237235</v>
      </c>
      <c r="AG284" s="4">
        <f>[1]节奏总纲!AG284</f>
        <v>91.442375192135771</v>
      </c>
      <c r="AH284" s="4">
        <f>[1]节奏总纲!AH284</f>
        <v>100.33372779276013</v>
      </c>
      <c r="AZ284" s="4">
        <v>281</v>
      </c>
      <c r="BA284" s="4">
        <v>44.998707227684804</v>
      </c>
      <c r="BB284" s="4">
        <v>46.489130911759013</v>
      </c>
      <c r="BC284" s="4">
        <v>48.43691608244891</v>
      </c>
      <c r="BD284" s="4">
        <v>50</v>
      </c>
      <c r="BE284" s="4">
        <v>50</v>
      </c>
    </row>
    <row r="285" spans="29:57">
      <c r="AC285" s="4">
        <v>282</v>
      </c>
      <c r="AD285" s="4">
        <f>[1]节奏总纲!AD285</f>
        <v>81.43802839868647</v>
      </c>
      <c r="AE285" s="4">
        <f>[1]节奏总纲!AE285</f>
        <v>83.530447335795373</v>
      </c>
      <c r="AF285" s="4">
        <f>[1]节奏总纲!AF285</f>
        <v>86.484260600680642</v>
      </c>
      <c r="AG285" s="4">
        <f>[1]节奏总纲!AG285</f>
        <v>91.495127994794004</v>
      </c>
      <c r="AH285" s="4">
        <f>[1]节奏总纲!AH285</f>
        <v>100.3873628081502</v>
      </c>
      <c r="AZ285" s="4">
        <v>282</v>
      </c>
      <c r="BA285" s="4">
        <v>45.021201039060998</v>
      </c>
      <c r="BB285" s="4">
        <v>46.513210965282425</v>
      </c>
      <c r="BC285" s="4">
        <v>48.460844748995065</v>
      </c>
      <c r="BD285" s="4">
        <v>50</v>
      </c>
      <c r="BE285" s="4">
        <v>50</v>
      </c>
    </row>
    <row r="286" spans="29:57">
      <c r="AC286" s="4">
        <v>283</v>
      </c>
      <c r="AD286" s="4">
        <f>[1]节奏总纲!AD286</f>
        <v>81.488808450176222</v>
      </c>
      <c r="AE286" s="4">
        <f>[1]节奏总纲!AE286</f>
        <v>83.581157853166033</v>
      </c>
      <c r="AF286" s="4">
        <f>[1]节奏总纲!AF286</f>
        <v>86.533838293124049</v>
      </c>
      <c r="AG286" s="4">
        <f>[1]节奏总纲!AG286</f>
        <v>91.547880797452237</v>
      </c>
      <c r="AH286" s="4">
        <f>[1]节奏总纲!AH286</f>
        <v>100.44099782354027</v>
      </c>
      <c r="AZ286" s="4">
        <v>283</v>
      </c>
      <c r="BA286" s="4">
        <v>45.043517922283101</v>
      </c>
      <c r="BB286" s="4">
        <v>46.537291018805831</v>
      </c>
      <c r="BC286" s="4">
        <v>48.48477341554122</v>
      </c>
      <c r="BD286" s="4">
        <v>50</v>
      </c>
      <c r="BE286" s="4">
        <v>50</v>
      </c>
    </row>
    <row r="287" spans="29:57">
      <c r="AC287" s="4">
        <v>284</v>
      </c>
      <c r="AD287" s="4">
        <f>[1]节奏总纲!AD287</f>
        <v>81.539588501665975</v>
      </c>
      <c r="AE287" s="4">
        <f>[1]节奏总纲!AE287</f>
        <v>83.631868370536679</v>
      </c>
      <c r="AF287" s="4">
        <f>[1]节奏总纲!AF287</f>
        <v>86.583415985567456</v>
      </c>
      <c r="AG287" s="4">
        <f>[1]节奏总纲!AG287</f>
        <v>91.600633600110456</v>
      </c>
      <c r="AH287" s="4">
        <f>[1]节奏总纲!AH287</f>
        <v>100.49463283893036</v>
      </c>
      <c r="AZ287" s="4">
        <v>284</v>
      </c>
      <c r="BA287" s="4">
        <v>45.065834805505204</v>
      </c>
      <c r="BB287" s="4">
        <v>46.561371072329244</v>
      </c>
      <c r="BC287" s="4">
        <v>48.508702082087382</v>
      </c>
      <c r="BD287" s="4">
        <v>50</v>
      </c>
      <c r="BE287" s="4">
        <v>50</v>
      </c>
    </row>
    <row r="288" spans="29:57">
      <c r="AC288" s="4">
        <v>285</v>
      </c>
      <c r="AD288" s="4">
        <f>[1]节奏总纲!AD288</f>
        <v>81.590368553155727</v>
      </c>
      <c r="AE288" s="4">
        <f>[1]节奏总纲!AE288</f>
        <v>83.68257888790734</v>
      </c>
      <c r="AF288" s="4">
        <f>[1]节奏总纲!AF288</f>
        <v>86.632993678010848</v>
      </c>
      <c r="AG288" s="4">
        <f>[1]节奏总纲!AG288</f>
        <v>91.653386402768689</v>
      </c>
      <c r="AH288" s="4">
        <f>[1]节奏总纲!AH288</f>
        <v>100.54826785432043</v>
      </c>
      <c r="AZ288" s="4">
        <v>285</v>
      </c>
      <c r="BA288" s="4">
        <v>45.088151688727308</v>
      </c>
      <c r="BB288" s="4">
        <v>46.58545112585265</v>
      </c>
      <c r="BC288" s="4">
        <v>48.532630748633537</v>
      </c>
      <c r="BD288" s="4">
        <v>50</v>
      </c>
      <c r="BE288" s="4">
        <v>50</v>
      </c>
    </row>
    <row r="289" spans="29:57">
      <c r="AC289" s="4">
        <v>286</v>
      </c>
      <c r="AD289" s="4">
        <f>[1]节奏总纲!AD289</f>
        <v>81.64114860464548</v>
      </c>
      <c r="AE289" s="4">
        <f>[1]节奏总纲!AE289</f>
        <v>83.733289405278001</v>
      </c>
      <c r="AF289" s="4">
        <f>[1]节奏总纲!AF289</f>
        <v>86.682571370454255</v>
      </c>
      <c r="AG289" s="4">
        <f>[1]节奏总纲!AG289</f>
        <v>91.706139205426922</v>
      </c>
      <c r="AH289" s="4">
        <f>[1]节奏总纲!AH289</f>
        <v>100.6019028697105</v>
      </c>
      <c r="AZ289" s="4">
        <v>286</v>
      </c>
      <c r="BA289" s="4">
        <v>45.110468571949411</v>
      </c>
      <c r="BB289" s="4">
        <v>46.609531179376063</v>
      </c>
      <c r="BC289" s="4">
        <v>48.556559415179692</v>
      </c>
      <c r="BD289" s="4">
        <v>50</v>
      </c>
      <c r="BE289" s="4">
        <v>50</v>
      </c>
    </row>
    <row r="290" spans="29:57">
      <c r="AC290" s="4">
        <v>287</v>
      </c>
      <c r="AD290" s="4">
        <f>[1]节奏总纲!AD290</f>
        <v>81.691928656135218</v>
      </c>
      <c r="AE290" s="4">
        <f>[1]节奏总纲!AE290</f>
        <v>83.783999922648647</v>
      </c>
      <c r="AF290" s="4">
        <f>[1]节奏总纲!AF290</f>
        <v>86.732149062897662</v>
      </c>
      <c r="AG290" s="4">
        <f>[1]节奏总纲!AG290</f>
        <v>91.758892008085141</v>
      </c>
      <c r="AH290" s="4">
        <f>[1]节奏总纲!AH290</f>
        <v>100.65553788510059</v>
      </c>
      <c r="AZ290" s="4">
        <v>287</v>
      </c>
      <c r="BA290" s="4">
        <v>45.132785455171515</v>
      </c>
      <c r="BB290" s="4">
        <v>46.633611232899469</v>
      </c>
      <c r="BC290" s="4">
        <v>48.580488081725846</v>
      </c>
      <c r="BD290" s="4">
        <v>50</v>
      </c>
      <c r="BE290" s="4">
        <v>50</v>
      </c>
    </row>
    <row r="291" spans="29:57">
      <c r="AC291" s="4">
        <v>288</v>
      </c>
      <c r="AD291" s="4">
        <f>[1]节奏总纲!AD291</f>
        <v>81.742708707624971</v>
      </c>
      <c r="AE291" s="4">
        <f>[1]节奏总纲!AE291</f>
        <v>83.834710440019307</v>
      </c>
      <c r="AF291" s="4">
        <f>[1]节奏总纲!AF291</f>
        <v>86.781726755341069</v>
      </c>
      <c r="AG291" s="4">
        <f>[1]节奏总纲!AG291</f>
        <v>91.811644810743374</v>
      </c>
      <c r="AH291" s="4">
        <f>[1]节奏总纲!AH291</f>
        <v>100.70917290049066</v>
      </c>
      <c r="AZ291" s="4">
        <v>288</v>
      </c>
      <c r="BA291" s="4">
        <v>45.155102338393618</v>
      </c>
      <c r="BB291" s="4">
        <v>46.657691286422882</v>
      </c>
      <c r="BC291" s="4">
        <v>48.604416748272008</v>
      </c>
      <c r="BD291" s="4">
        <v>50</v>
      </c>
      <c r="BE291" s="4">
        <v>50</v>
      </c>
    </row>
    <row r="292" spans="29:57">
      <c r="AC292" s="4">
        <v>289</v>
      </c>
      <c r="AD292" s="4">
        <f>[1]节奏总纲!AD292</f>
        <v>81.793488759114723</v>
      </c>
      <c r="AE292" s="4">
        <f>[1]节奏总纲!AE292</f>
        <v>83.885420957389968</v>
      </c>
      <c r="AF292" s="4">
        <f>[1]节奏总纲!AF292</f>
        <v>86.831304447784476</v>
      </c>
      <c r="AG292" s="4">
        <f>[1]节奏总纲!AG292</f>
        <v>91.864397613401607</v>
      </c>
      <c r="AH292" s="4">
        <f>[1]节奏总纲!AH292</f>
        <v>100.76280791588073</v>
      </c>
      <c r="AZ292" s="4">
        <v>289</v>
      </c>
      <c r="BA292" s="4">
        <v>45.177419221615722</v>
      </c>
      <c r="BB292" s="4">
        <v>46.681771339946287</v>
      </c>
      <c r="BC292" s="4">
        <v>48.628345414818163</v>
      </c>
      <c r="BD292" s="4">
        <v>50</v>
      </c>
      <c r="BE292" s="4">
        <v>50</v>
      </c>
    </row>
    <row r="293" spans="29:57">
      <c r="AC293" s="4">
        <v>290</v>
      </c>
      <c r="AD293" s="4">
        <f>[1]节奏总纲!AD293</f>
        <v>81.844268810604476</v>
      </c>
      <c r="AE293" s="4">
        <f>[1]节奏总纲!AE293</f>
        <v>83.936131474760614</v>
      </c>
      <c r="AF293" s="4">
        <f>[1]节奏总纲!AF293</f>
        <v>86.880882140227882</v>
      </c>
      <c r="AG293" s="4">
        <f>[1]节奏总纲!AG293</f>
        <v>91.917150416059826</v>
      </c>
      <c r="AH293" s="4">
        <f>[1]节奏总纲!AH293</f>
        <v>100.8164429312708</v>
      </c>
      <c r="AZ293" s="4">
        <v>290</v>
      </c>
      <c r="BA293" s="4">
        <v>45.199736104837825</v>
      </c>
      <c r="BB293" s="4">
        <v>46.7058513934697</v>
      </c>
      <c r="BC293" s="4">
        <v>48.652274081364318</v>
      </c>
      <c r="BD293" s="4">
        <v>50</v>
      </c>
      <c r="BE293" s="4">
        <v>50</v>
      </c>
    </row>
    <row r="294" spans="29:57">
      <c r="AC294" s="4">
        <v>291</v>
      </c>
      <c r="AD294" s="4">
        <f>[1]节奏总纲!AD294</f>
        <v>81.895048862094228</v>
      </c>
      <c r="AE294" s="4">
        <f>[1]节奏总纲!AE294</f>
        <v>83.986841992131275</v>
      </c>
      <c r="AF294" s="4">
        <f>[1]节奏总纲!AF294</f>
        <v>86.930459832671289</v>
      </c>
      <c r="AG294" s="4">
        <f>[1]节奏总纲!AG294</f>
        <v>91.969903218718059</v>
      </c>
      <c r="AH294" s="4">
        <f>[1]节奏总纲!AH294</f>
        <v>100.87007794666089</v>
      </c>
      <c r="AZ294" s="4">
        <v>291</v>
      </c>
      <c r="BA294" s="4">
        <v>45.222052988059936</v>
      </c>
      <c r="BB294" s="4">
        <v>46.729931446993106</v>
      </c>
      <c r="BC294" s="4">
        <v>48.67620274791048</v>
      </c>
      <c r="BD294" s="4">
        <v>50</v>
      </c>
      <c r="BE294" s="4">
        <v>50</v>
      </c>
    </row>
    <row r="295" spans="29:57">
      <c r="AC295" s="4">
        <v>292</v>
      </c>
      <c r="AD295" s="4">
        <f>[1]节奏总纲!AD295</f>
        <v>81.945828913583981</v>
      </c>
      <c r="AE295" s="4">
        <f>[1]节奏总纲!AE295</f>
        <v>84.036191564035917</v>
      </c>
      <c r="AF295" s="4">
        <f>[1]节奏总纲!AF295</f>
        <v>86.980037525114682</v>
      </c>
      <c r="AG295" s="4">
        <f>[1]节奏总纲!AG295</f>
        <v>92.021521414287719</v>
      </c>
      <c r="AH295" s="4">
        <f>[1]节奏总纲!AH295</f>
        <v>100.92371296205096</v>
      </c>
      <c r="AZ295" s="4">
        <v>292</v>
      </c>
      <c r="BA295" s="4">
        <v>45.244369871282039</v>
      </c>
      <c r="BB295" s="4">
        <v>46.754011500516519</v>
      </c>
      <c r="BC295" s="4">
        <v>48.700131414456635</v>
      </c>
      <c r="BD295" s="4">
        <v>50</v>
      </c>
      <c r="BE295" s="4">
        <v>50</v>
      </c>
    </row>
    <row r="296" spans="29:57">
      <c r="AC296" s="4">
        <v>293</v>
      </c>
      <c r="AD296" s="4">
        <f>[1]节奏总纲!AD296</f>
        <v>81.996608965073733</v>
      </c>
      <c r="AE296" s="4">
        <f>[1]节奏总纲!AE296</f>
        <v>84.085064274836242</v>
      </c>
      <c r="AF296" s="4">
        <f>[1]节奏总纲!AF296</f>
        <v>87.029133791498197</v>
      </c>
      <c r="AG296" s="4">
        <f>[1]节奏总纲!AG296</f>
        <v>92.071632371634976</v>
      </c>
      <c r="AH296" s="4">
        <f>[1]节奏总纲!AH296</f>
        <v>100.97734797744103</v>
      </c>
      <c r="AZ296" s="4">
        <v>293</v>
      </c>
      <c r="BA296" s="4">
        <v>45.266686754504143</v>
      </c>
      <c r="BB296" s="4">
        <v>46.778091554039925</v>
      </c>
      <c r="BC296" s="4">
        <v>48.72406008100279</v>
      </c>
      <c r="BD296" s="4">
        <v>50</v>
      </c>
      <c r="BE296" s="4">
        <v>50</v>
      </c>
    </row>
    <row r="297" spans="29:57">
      <c r="AC297" s="4">
        <v>294</v>
      </c>
      <c r="AD297" s="4">
        <f>[1]节奏总纲!AD297</f>
        <v>82.044215515890215</v>
      </c>
      <c r="AE297" s="4">
        <f>[1]节奏总纲!AE297</f>
        <v>84.133936985636566</v>
      </c>
      <c r="AF297" s="4">
        <f>[1]节奏总纲!AF297</f>
        <v>87.077905547159801</v>
      </c>
      <c r="AG297" s="4">
        <f>[1]节奏总纲!AG297</f>
        <v>92.121743328982234</v>
      </c>
      <c r="AH297" s="4">
        <f>[1]节奏总纲!AH297</f>
        <v>101.02868392415382</v>
      </c>
      <c r="AZ297" s="4">
        <v>294</v>
      </c>
      <c r="BA297" s="4">
        <v>45.289003637726246</v>
      </c>
      <c r="BB297" s="4">
        <v>46.802171607563338</v>
      </c>
      <c r="BC297" s="4">
        <v>48.747988747548945</v>
      </c>
      <c r="BD297" s="4">
        <v>50</v>
      </c>
      <c r="BE297" s="4">
        <v>50</v>
      </c>
    </row>
    <row r="298" spans="29:57">
      <c r="AC298" s="4">
        <v>295</v>
      </c>
      <c r="AD298" s="4">
        <f>[1]节奏总纲!AD298</f>
        <v>82.091594979242089</v>
      </c>
      <c r="AE298" s="4">
        <f>[1]节奏总纲!AE298</f>
        <v>84.182809696436891</v>
      </c>
      <c r="AF298" s="4">
        <f>[1]节奏总纲!AF298</f>
        <v>87.126677302821392</v>
      </c>
      <c r="AG298" s="4">
        <f>[1]节奏总纲!AG298</f>
        <v>92.171854286329506</v>
      </c>
      <c r="AH298" s="4">
        <f>[1]节奏总纲!AH298</f>
        <v>101.07833899530283</v>
      </c>
      <c r="AZ298" s="4">
        <v>295</v>
      </c>
      <c r="BA298" s="4">
        <v>45.31132052094835</v>
      </c>
      <c r="BB298" s="4">
        <v>46.826251661086744</v>
      </c>
      <c r="BC298" s="4">
        <v>48.771917414095107</v>
      </c>
      <c r="BD298" s="4">
        <v>50</v>
      </c>
      <c r="BE298" s="4">
        <v>50</v>
      </c>
    </row>
    <row r="299" spans="29:57">
      <c r="AC299" s="4">
        <v>296</v>
      </c>
      <c r="AD299" s="4">
        <f>[1]节奏总纲!AD299</f>
        <v>82.138974442593963</v>
      </c>
      <c r="AE299" s="4">
        <f>[1]节奏总纲!AE299</f>
        <v>84.23168240723723</v>
      </c>
      <c r="AF299" s="4">
        <f>[1]节奏总纲!AF299</f>
        <v>87.175449058482982</v>
      </c>
      <c r="AG299" s="4">
        <f>[1]节奏总纲!AG299</f>
        <v>92.221965243676763</v>
      </c>
      <c r="AH299" s="4">
        <f>[1]节奏总纲!AH299</f>
        <v>101.12799406645185</v>
      </c>
      <c r="AZ299" s="4">
        <v>296</v>
      </c>
      <c r="BA299" s="4">
        <v>45.333637404170453</v>
      </c>
      <c r="BB299" s="4">
        <v>46.850331714610157</v>
      </c>
      <c r="BC299" s="4">
        <v>48.795846080641262</v>
      </c>
      <c r="BD299" s="4">
        <v>50</v>
      </c>
      <c r="BE299" s="4">
        <v>50</v>
      </c>
    </row>
    <row r="300" spans="29:57">
      <c r="AC300" s="4">
        <v>297</v>
      </c>
      <c r="AD300" s="4">
        <f>[1]节奏总纲!AD300</f>
        <v>82.186353905945836</v>
      </c>
      <c r="AE300" s="4">
        <f>[1]节奏总纲!AE300</f>
        <v>84.280555118037555</v>
      </c>
      <c r="AF300" s="4">
        <f>[1]节奏总纲!AF300</f>
        <v>87.224220814144587</v>
      </c>
      <c r="AG300" s="4">
        <f>[1]节奏总纲!AG300</f>
        <v>92.272076201024021</v>
      </c>
      <c r="AH300" s="4">
        <f>[1]节奏总纲!AH300</f>
        <v>101.17764913760085</v>
      </c>
      <c r="AZ300" s="4">
        <v>297</v>
      </c>
      <c r="BA300" s="4">
        <v>45.355954287392557</v>
      </c>
      <c r="BB300" s="4">
        <v>46.874411768133562</v>
      </c>
      <c r="BC300" s="4">
        <v>48.819774747187417</v>
      </c>
      <c r="BD300" s="4">
        <v>50</v>
      </c>
      <c r="BE300" s="4">
        <v>50</v>
      </c>
    </row>
    <row r="301" spans="29:57">
      <c r="AC301" s="4">
        <v>298</v>
      </c>
      <c r="AD301" s="4">
        <f>[1]节奏总纲!AD301</f>
        <v>82.23373336929771</v>
      </c>
      <c r="AE301" s="4">
        <f>[1]节奏总纲!AE301</f>
        <v>84.329427828837879</v>
      </c>
      <c r="AF301" s="4">
        <f>[1]节奏总纲!AF301</f>
        <v>87.272992569806178</v>
      </c>
      <c r="AG301" s="4">
        <f>[1]节奏总纲!AG301</f>
        <v>92.322187158371293</v>
      </c>
      <c r="AH301" s="4">
        <f>[1]节奏总纲!AH301</f>
        <v>101.22730420874987</v>
      </c>
      <c r="AZ301" s="4">
        <v>298</v>
      </c>
      <c r="BA301" s="4">
        <v>45.37827117061466</v>
      </c>
      <c r="BB301" s="4">
        <v>46.898491821656968</v>
      </c>
      <c r="BC301" s="4">
        <v>48.843703413733579</v>
      </c>
      <c r="BD301" s="4">
        <v>50</v>
      </c>
      <c r="BE301" s="4">
        <v>50</v>
      </c>
    </row>
    <row r="302" spans="29:57">
      <c r="AC302" s="4">
        <v>299</v>
      </c>
      <c r="AD302" s="4">
        <f>[1]节奏总纲!AD302</f>
        <v>82.281112832649583</v>
      </c>
      <c r="AE302" s="4">
        <f>[1]节奏总纲!AE302</f>
        <v>84.378300539638204</v>
      </c>
      <c r="AF302" s="4">
        <f>[1]节奏总纲!AF302</f>
        <v>87.321764325467768</v>
      </c>
      <c r="AG302" s="4">
        <f>[1]节奏总纲!AG302</f>
        <v>92.37229811571855</v>
      </c>
      <c r="AH302" s="4">
        <f>[1]节奏总纲!AH302</f>
        <v>101.27695927989888</v>
      </c>
      <c r="AZ302" s="4">
        <v>299</v>
      </c>
      <c r="BA302" s="4">
        <v>45.400588053836763</v>
      </c>
      <c r="BB302" s="4">
        <v>46.922571875180381</v>
      </c>
      <c r="BC302" s="4">
        <v>48.867632080279733</v>
      </c>
      <c r="BD302" s="4">
        <v>50</v>
      </c>
      <c r="BE302" s="4">
        <v>50</v>
      </c>
    </row>
    <row r="303" spans="29:57">
      <c r="AC303" s="4">
        <v>300</v>
      </c>
      <c r="AD303" s="4">
        <f>[1]节奏总纲!AD303</f>
        <v>82.328492296001457</v>
      </c>
      <c r="AE303" s="4">
        <f>[1]节奏总纲!AE303</f>
        <v>84.427173250438543</v>
      </c>
      <c r="AF303" s="4">
        <f>[1]节奏总纲!AF303</f>
        <v>87.370536081129359</v>
      </c>
      <c r="AG303" s="4">
        <f>[1]节奏总纲!AG303</f>
        <v>92.422409073065808</v>
      </c>
      <c r="AH303" s="4">
        <f>[1]节奏总纲!AH303</f>
        <v>101.32661435104789</v>
      </c>
      <c r="AZ303" s="4">
        <v>300</v>
      </c>
      <c r="BA303" s="4">
        <v>45.422904937058867</v>
      </c>
      <c r="BB303" s="4">
        <v>46.946651928703787</v>
      </c>
      <c r="BC303" s="4">
        <v>48.891560746825888</v>
      </c>
      <c r="BD303" s="4">
        <v>50</v>
      </c>
      <c r="BE303" s="4">
        <v>50</v>
      </c>
    </row>
    <row r="304" spans="29:57">
      <c r="AC304" s="4">
        <v>301</v>
      </c>
      <c r="AD304" s="4">
        <f>[1]节奏总纲!AD304</f>
        <v>82.375871759353331</v>
      </c>
      <c r="AE304" s="4">
        <f>[1]节奏总纲!AE304</f>
        <v>84.476045961238867</v>
      </c>
      <c r="AF304" s="4">
        <f>[1]节奏总纲!AF304</f>
        <v>87.419307836790964</v>
      </c>
      <c r="AG304" s="4">
        <f>[1]节奏总纲!AG304</f>
        <v>92.472520030413079</v>
      </c>
      <c r="AH304" s="4">
        <f>[1]节奏总纲!AH304</f>
        <v>101.3762694221969</v>
      </c>
      <c r="AZ304" s="4">
        <v>301</v>
      </c>
      <c r="BA304" s="4">
        <v>45.44522182028097</v>
      </c>
      <c r="BB304" s="4">
        <v>46.9707319822272</v>
      </c>
      <c r="BC304" s="4">
        <v>48.91548941337205</v>
      </c>
      <c r="BD304" s="4">
        <v>50</v>
      </c>
      <c r="BE304" s="4">
        <v>50</v>
      </c>
    </row>
    <row r="305" spans="29:57">
      <c r="AC305" s="4">
        <v>302</v>
      </c>
      <c r="AD305" s="4">
        <f>[1]节奏总纲!AD305</f>
        <v>82.423251222705204</v>
      </c>
      <c r="AE305" s="4">
        <f>[1]节奏总纲!AE305</f>
        <v>84.524918672039192</v>
      </c>
      <c r="AF305" s="4">
        <f>[1]节奏总纲!AF305</f>
        <v>87.468079592452554</v>
      </c>
      <c r="AG305" s="4">
        <f>[1]节奏总纲!AG305</f>
        <v>92.522630987760337</v>
      </c>
      <c r="AH305" s="4">
        <f>[1]节奏总纲!AH305</f>
        <v>101.42592449334592</v>
      </c>
      <c r="AZ305" s="4">
        <v>302</v>
      </c>
      <c r="BA305" s="4">
        <v>45.467538703503074</v>
      </c>
      <c r="BB305" s="4">
        <v>46.994812035750606</v>
      </c>
      <c r="BC305" s="4">
        <v>48.939418079918205</v>
      </c>
      <c r="BD305" s="4">
        <v>50</v>
      </c>
      <c r="BE305" s="4">
        <v>50</v>
      </c>
    </row>
    <row r="306" spans="29:57">
      <c r="AC306" s="4">
        <v>303</v>
      </c>
      <c r="AD306" s="4">
        <f>[1]节奏总纲!AD306</f>
        <v>82.470630686057078</v>
      </c>
      <c r="AE306" s="4">
        <f>[1]节奏总纲!AE306</f>
        <v>84.573791382839516</v>
      </c>
      <c r="AF306" s="4">
        <f>[1]节奏总纲!AF306</f>
        <v>87.516851348114145</v>
      </c>
      <c r="AG306" s="4">
        <f>[1]节奏总纲!AG306</f>
        <v>92.572741945107595</v>
      </c>
      <c r="AH306" s="4">
        <f>[1]节奏总纲!AH306</f>
        <v>101.47557956449492</v>
      </c>
      <c r="AZ306" s="4">
        <v>303</v>
      </c>
      <c r="BA306" s="4">
        <v>45.489855586725177</v>
      </c>
      <c r="BB306" s="4">
        <v>47.016308935086101</v>
      </c>
      <c r="BC306" s="4">
        <v>48.96334674646436</v>
      </c>
      <c r="BD306" s="4">
        <v>50</v>
      </c>
      <c r="BE306" s="4">
        <v>50</v>
      </c>
    </row>
    <row r="307" spans="29:57">
      <c r="AC307" s="4">
        <v>304</v>
      </c>
      <c r="AD307" s="4">
        <f>[1]节奏总纲!AD307</f>
        <v>82.518010149408951</v>
      </c>
      <c r="AE307" s="4">
        <f>[1]节奏总纲!AE307</f>
        <v>84.622664093639855</v>
      </c>
      <c r="AF307" s="4">
        <f>[1]节奏总纲!AF307</f>
        <v>87.565623103775735</v>
      </c>
      <c r="AG307" s="4">
        <f>[1]节奏总纲!AG307</f>
        <v>92.622852902454852</v>
      </c>
      <c r="AH307" s="4">
        <f>[1]节奏总纲!AH307</f>
        <v>101.52523463564394</v>
      </c>
      <c r="AZ307" s="4">
        <v>304</v>
      </c>
      <c r="BA307" s="4">
        <v>45.512172469947281</v>
      </c>
      <c r="BB307" s="4">
        <v>47.037096473408994</v>
      </c>
      <c r="BC307" s="4">
        <v>48.987275413010522</v>
      </c>
      <c r="BD307" s="4">
        <v>50</v>
      </c>
      <c r="BE307" s="4">
        <v>50</v>
      </c>
    </row>
    <row r="308" spans="29:57">
      <c r="AC308" s="4">
        <v>305</v>
      </c>
      <c r="AD308" s="4">
        <f>[1]节奏总纲!AD308</f>
        <v>82.565389612760825</v>
      </c>
      <c r="AE308" s="4">
        <f>[1]节奏总纲!AE308</f>
        <v>84.67153680444018</v>
      </c>
      <c r="AF308" s="4">
        <f>[1]节奏总纲!AF308</f>
        <v>87.61439485943734</v>
      </c>
      <c r="AG308" s="4">
        <f>[1]节奏总纲!AG308</f>
        <v>92.672963859802124</v>
      </c>
      <c r="AH308" s="4">
        <f>[1]节奏总纲!AH308</f>
        <v>101.57488970679294</v>
      </c>
      <c r="AZ308" s="4">
        <v>305</v>
      </c>
      <c r="BA308" s="4">
        <v>45.534489353169384</v>
      </c>
      <c r="BB308" s="4">
        <v>47.057884011731893</v>
      </c>
      <c r="BC308" s="4">
        <v>49.009673493801003</v>
      </c>
      <c r="BD308" s="4">
        <v>50</v>
      </c>
      <c r="BE308" s="4">
        <v>50</v>
      </c>
    </row>
    <row r="309" spans="29:57">
      <c r="AC309" s="4">
        <v>306</v>
      </c>
      <c r="AD309" s="4">
        <f>[1]节奏总纲!AD309</f>
        <v>82.612769076112698</v>
      </c>
      <c r="AE309" s="4">
        <f>[1]节奏总纲!AE309</f>
        <v>84.720409515240505</v>
      </c>
      <c r="AF309" s="4">
        <f>[1]节奏总纲!AF309</f>
        <v>87.66316661509893</v>
      </c>
      <c r="AG309" s="4">
        <f>[1]节奏总纲!AG309</f>
        <v>92.723074817149381</v>
      </c>
      <c r="AH309" s="4">
        <f>[1]节奏总纲!AH309</f>
        <v>101.62454477794196</v>
      </c>
      <c r="AZ309" s="4">
        <v>306</v>
      </c>
      <c r="BA309" s="4">
        <v>45.556806236391488</v>
      </c>
      <c r="BB309" s="4">
        <v>47.078671550054786</v>
      </c>
      <c r="BC309" s="4">
        <v>49.030333272797542</v>
      </c>
      <c r="BD309" s="4">
        <v>50</v>
      </c>
      <c r="BE309" s="4">
        <v>50</v>
      </c>
    </row>
    <row r="310" spans="29:57">
      <c r="AC310" s="4">
        <v>307</v>
      </c>
      <c r="AD310" s="4">
        <f>[1]节奏总纲!AD310</f>
        <v>82.660148539464572</v>
      </c>
      <c r="AE310" s="4">
        <f>[1]节奏总纲!AE310</f>
        <v>84.769282226040829</v>
      </c>
      <c r="AF310" s="4">
        <f>[1]节奏总纲!AF310</f>
        <v>87.711938370760521</v>
      </c>
      <c r="AG310" s="4">
        <f>[1]节奏总纲!AG310</f>
        <v>92.773185774496639</v>
      </c>
      <c r="AH310" s="4">
        <f>[1]节奏总纲!AH310</f>
        <v>101.67419984909097</v>
      </c>
      <c r="AZ310" s="4">
        <v>307</v>
      </c>
      <c r="BA310" s="4">
        <v>45.579123119613591</v>
      </c>
      <c r="BB310" s="4">
        <v>47.099459088377678</v>
      </c>
      <c r="BC310" s="4">
        <v>49.05099305179408</v>
      </c>
      <c r="BD310" s="4">
        <v>50</v>
      </c>
      <c r="BE310" s="4">
        <v>50</v>
      </c>
    </row>
    <row r="311" spans="29:57">
      <c r="AC311" s="4">
        <v>308</v>
      </c>
      <c r="AD311" s="4">
        <f>[1]节奏总纲!AD311</f>
        <v>82.707528002816446</v>
      </c>
      <c r="AE311" s="4">
        <f>[1]节奏总纲!AE311</f>
        <v>84.818154936841154</v>
      </c>
      <c r="AF311" s="4">
        <f>[1]节奏总纲!AF311</f>
        <v>87.760710126422126</v>
      </c>
      <c r="AG311" s="4">
        <f>[1]节奏总纲!AG311</f>
        <v>92.823296731843911</v>
      </c>
      <c r="AH311" s="4">
        <f>[1]节奏总纲!AH311</f>
        <v>101.72385492023999</v>
      </c>
      <c r="AZ311" s="4">
        <v>308</v>
      </c>
      <c r="BA311" s="4">
        <v>45.601440002835695</v>
      </c>
      <c r="BB311" s="4">
        <v>47.12024662670057</v>
      </c>
      <c r="BC311" s="4">
        <v>49.071652830790612</v>
      </c>
      <c r="BD311" s="4">
        <v>50</v>
      </c>
      <c r="BE311" s="4">
        <v>50</v>
      </c>
    </row>
    <row r="312" spans="29:57">
      <c r="AC312" s="4">
        <v>309</v>
      </c>
      <c r="AD312" s="4">
        <f>[1]节奏总纲!AD312</f>
        <v>82.754907466168319</v>
      </c>
      <c r="AE312" s="4">
        <f>[1]节奏总纲!AE312</f>
        <v>84.867027647641493</v>
      </c>
      <c r="AF312" s="4">
        <f>[1]节奏总纲!AF312</f>
        <v>87.809481882083716</v>
      </c>
      <c r="AG312" s="4">
        <f>[1]节奏总纲!AG312</f>
        <v>92.873407689191168</v>
      </c>
      <c r="AH312" s="4">
        <f>[1]节奏总纲!AH312</f>
        <v>101.77350999138899</v>
      </c>
      <c r="AZ312" s="4">
        <v>309</v>
      </c>
      <c r="BA312" s="4">
        <v>45.623756886057798</v>
      </c>
      <c r="BB312" s="4">
        <v>47.14103416502347</v>
      </c>
      <c r="BC312" s="4">
        <v>49.09231260978715</v>
      </c>
      <c r="BD312" s="4">
        <v>50</v>
      </c>
      <c r="BE312" s="4">
        <v>50</v>
      </c>
    </row>
    <row r="313" spans="29:57">
      <c r="AC313" s="4">
        <v>310</v>
      </c>
      <c r="AD313" s="4">
        <f>[1]节奏总纲!AD313</f>
        <v>82.802286929520193</v>
      </c>
      <c r="AE313" s="4">
        <f>[1]节奏总纲!AE313</f>
        <v>84.915900358441817</v>
      </c>
      <c r="AF313" s="4">
        <f>[1]节奏总纲!AF313</f>
        <v>87.858253637745307</v>
      </c>
      <c r="AG313" s="4">
        <f>[1]节奏总纲!AG313</f>
        <v>92.923518646538426</v>
      </c>
      <c r="AH313" s="4">
        <f>[1]节奏总纲!AH313</f>
        <v>101.82316506253801</v>
      </c>
      <c r="AZ313" s="4">
        <v>310</v>
      </c>
      <c r="BA313" s="4">
        <v>45.646073769279901</v>
      </c>
      <c r="BB313" s="4">
        <v>47.161821703346362</v>
      </c>
      <c r="BC313" s="4">
        <v>49.112972388783689</v>
      </c>
      <c r="BD313" s="4">
        <v>50</v>
      </c>
      <c r="BE313" s="4">
        <v>50</v>
      </c>
    </row>
    <row r="314" spans="29:57">
      <c r="AC314" s="4">
        <v>311</v>
      </c>
      <c r="AD314" s="4">
        <f>[1]节奏总纲!AD314</f>
        <v>82.849666392872066</v>
      </c>
      <c r="AE314" s="4">
        <f>[1]节奏总纲!AE314</f>
        <v>84.964773069242142</v>
      </c>
      <c r="AF314" s="4">
        <f>[1]节奏总纲!AF314</f>
        <v>87.907025393406897</v>
      </c>
      <c r="AG314" s="4">
        <f>[1]节奏总纲!AG314</f>
        <v>92.973629603885698</v>
      </c>
      <c r="AH314" s="4">
        <f>[1]节奏总纲!AH314</f>
        <v>101.87282013368701</v>
      </c>
      <c r="AZ314" s="4">
        <v>311</v>
      </c>
      <c r="BA314" s="4">
        <v>45.668390652502012</v>
      </c>
      <c r="BB314" s="4">
        <v>47.182609241669255</v>
      </c>
      <c r="BC314" s="4">
        <v>49.133632167780227</v>
      </c>
      <c r="BD314" s="4">
        <v>50</v>
      </c>
      <c r="BE314" s="4">
        <v>50</v>
      </c>
    </row>
    <row r="315" spans="29:57">
      <c r="AC315" s="4">
        <v>312</v>
      </c>
      <c r="AD315" s="4">
        <f>[1]节奏总纲!AD315</f>
        <v>82.89704585622394</v>
      </c>
      <c r="AE315" s="4">
        <f>[1]节奏总纲!AE315</f>
        <v>85.012531647506819</v>
      </c>
      <c r="AF315" s="4">
        <f>[1]节奏总纲!AF315</f>
        <v>87.955797149068502</v>
      </c>
      <c r="AG315" s="4">
        <f>[1]节奏总纲!AG315</f>
        <v>93.022367647203353</v>
      </c>
      <c r="AH315" s="4">
        <f>[1]节奏总纲!AH315</f>
        <v>101.92247520483603</v>
      </c>
      <c r="AZ315" s="4">
        <v>312</v>
      </c>
      <c r="BA315" s="4">
        <v>45.690707535724115</v>
      </c>
      <c r="BB315" s="4">
        <v>47.203396779992147</v>
      </c>
      <c r="BC315" s="4">
        <v>49.154291946776759</v>
      </c>
      <c r="BD315" s="4">
        <v>50</v>
      </c>
      <c r="BE315" s="4">
        <v>50</v>
      </c>
    </row>
    <row r="316" spans="29:57">
      <c r="AC316" s="4">
        <v>313</v>
      </c>
      <c r="AD316" s="4">
        <f>[1]节奏总纲!AD316</f>
        <v>82.944425319575814</v>
      </c>
      <c r="AE316" s="4">
        <f>[1]节奏总纲!AE316</f>
        <v>85.057414064088832</v>
      </c>
      <c r="AF316" s="4">
        <f>[1]节奏总纲!AF316</f>
        <v>88.004756197276762</v>
      </c>
      <c r="AG316" s="4">
        <f>[1]节奏总纲!AG316</f>
        <v>93.069580693431178</v>
      </c>
      <c r="AH316" s="4">
        <f>[1]节奏总纲!AH316</f>
        <v>101.97213027598504</v>
      </c>
      <c r="AZ316" s="4">
        <v>313</v>
      </c>
      <c r="BA316" s="4">
        <v>45.713024418946219</v>
      </c>
      <c r="BB316" s="4">
        <v>47.224184318315039</v>
      </c>
      <c r="BC316" s="4">
        <v>49.174951725773298</v>
      </c>
      <c r="BD316" s="4">
        <v>50</v>
      </c>
      <c r="BE316" s="4">
        <v>50</v>
      </c>
    </row>
    <row r="317" spans="29:57">
      <c r="AC317" s="4">
        <v>314</v>
      </c>
      <c r="AD317" s="4">
        <f>[1]节奏总纲!AD317</f>
        <v>82.991804782927687</v>
      </c>
      <c r="AE317" s="4">
        <f>[1]节奏总纲!AE317</f>
        <v>85.10229648067083</v>
      </c>
      <c r="AF317" s="4">
        <f>[1]节奏总纲!AF317</f>
        <v>88.05552724748766</v>
      </c>
      <c r="AG317" s="4">
        <f>[1]节奏总纲!AG317</f>
        <v>93.116793739659002</v>
      </c>
      <c r="AH317" s="4">
        <f>[1]节奏总纲!AH317</f>
        <v>102.01969836502204</v>
      </c>
      <c r="AZ317" s="4">
        <v>314</v>
      </c>
      <c r="BA317" s="4">
        <v>45.735341302168322</v>
      </c>
      <c r="BB317" s="4">
        <v>47.244971856637939</v>
      </c>
      <c r="BC317" s="4">
        <v>49.195611504769836</v>
      </c>
      <c r="BD317" s="4">
        <v>50</v>
      </c>
      <c r="BE317" s="4">
        <v>50</v>
      </c>
    </row>
    <row r="318" spans="29:57">
      <c r="AC318" s="4">
        <v>315</v>
      </c>
      <c r="AD318" s="4">
        <f>[1]节奏总纲!AD318</f>
        <v>83.03656019452734</v>
      </c>
      <c r="AE318" s="4">
        <f>[1]节奏总纲!AE318</f>
        <v>85.147178897252829</v>
      </c>
      <c r="AF318" s="4">
        <f>[1]节奏总纲!AF318</f>
        <v>88.106298297698572</v>
      </c>
      <c r="AG318" s="4">
        <f>[1]节奏总纲!AG318</f>
        <v>93.164006785886826</v>
      </c>
      <c r="AH318" s="4">
        <f>[1]节奏总纲!AH318</f>
        <v>102.06459660376342</v>
      </c>
      <c r="AZ318" s="4">
        <v>315</v>
      </c>
      <c r="BA318" s="4">
        <v>45.757658185390426</v>
      </c>
      <c r="BB318" s="4">
        <v>47.265759394960831</v>
      </c>
      <c r="BC318" s="4">
        <v>49.216271283766375</v>
      </c>
      <c r="BD318" s="4">
        <v>50</v>
      </c>
      <c r="BE318" s="4">
        <v>50</v>
      </c>
    </row>
    <row r="319" spans="29:57">
      <c r="AC319" s="4">
        <v>316</v>
      </c>
      <c r="AD319" s="4">
        <f>[1]节奏总纲!AD319</f>
        <v>83.080766796955942</v>
      </c>
      <c r="AE319" s="4">
        <f>[1]节奏总纲!AE319</f>
        <v>85.192061313834827</v>
      </c>
      <c r="AF319" s="4">
        <f>[1]节奏总纲!AF319</f>
        <v>88.15706934790947</v>
      </c>
      <c r="AG319" s="4">
        <f>[1]节奏总纲!AG319</f>
        <v>93.211219832114651</v>
      </c>
      <c r="AH319" s="4">
        <f>[1]节奏总纲!AH319</f>
        <v>102.1094948425048</v>
      </c>
      <c r="AZ319" s="4">
        <v>316</v>
      </c>
      <c r="BA319" s="4">
        <v>45.779975068612529</v>
      </c>
      <c r="BB319" s="4">
        <v>47.286546933283724</v>
      </c>
      <c r="BC319" s="4">
        <v>49.236931062762913</v>
      </c>
      <c r="BD319" s="4">
        <v>50</v>
      </c>
      <c r="BE319" s="4">
        <v>50</v>
      </c>
    </row>
    <row r="320" spans="29:57">
      <c r="AC320" s="4">
        <v>317</v>
      </c>
      <c r="AD320" s="4">
        <f>[1]节奏总纲!AD320</f>
        <v>83.124973399384558</v>
      </c>
      <c r="AE320" s="4">
        <f>[1]节奏总纲!AE320</f>
        <v>85.236943730416826</v>
      </c>
      <c r="AF320" s="4">
        <f>[1]节奏总纲!AF320</f>
        <v>88.207840398120382</v>
      </c>
      <c r="AG320" s="4">
        <f>[1]节奏总纲!AG320</f>
        <v>93.258432878342475</v>
      </c>
      <c r="AH320" s="4">
        <f>[1]节奏总纲!AH320</f>
        <v>102.15439308124618</v>
      </c>
      <c r="AZ320" s="4">
        <v>317</v>
      </c>
      <c r="BA320" s="4">
        <v>45.802291951834633</v>
      </c>
      <c r="BB320" s="4">
        <v>47.307334471606616</v>
      </c>
      <c r="BC320" s="4">
        <v>49.257590841759445</v>
      </c>
      <c r="BD320" s="4">
        <v>50</v>
      </c>
      <c r="BE320" s="4">
        <v>50</v>
      </c>
    </row>
    <row r="321" spans="29:57">
      <c r="AC321" s="4">
        <v>318</v>
      </c>
      <c r="AD321" s="4">
        <f>[1]节奏总纲!AD321</f>
        <v>83.16918000181316</v>
      </c>
      <c r="AE321" s="4">
        <f>[1]节奏总纲!AE321</f>
        <v>85.281826146998839</v>
      </c>
      <c r="AF321" s="4">
        <f>[1]节奏总纲!AF321</f>
        <v>88.258611448331294</v>
      </c>
      <c r="AG321" s="4">
        <f>[1]节奏总纲!AG321</f>
        <v>93.3056459245703</v>
      </c>
      <c r="AH321" s="4">
        <f>[1]节奏总纲!AH321</f>
        <v>102.19929131998755</v>
      </c>
      <c r="AZ321" s="4">
        <v>318</v>
      </c>
      <c r="BA321" s="4">
        <v>45.824608835056736</v>
      </c>
      <c r="BB321" s="4">
        <v>47.328122009929508</v>
      </c>
      <c r="BC321" s="4">
        <v>49.278250620755983</v>
      </c>
      <c r="BD321" s="4">
        <v>50</v>
      </c>
      <c r="BE321" s="4">
        <v>50</v>
      </c>
    </row>
    <row r="322" spans="29:57">
      <c r="AC322" s="4">
        <v>319</v>
      </c>
      <c r="AD322" s="4">
        <f>[1]节奏总纲!AD322</f>
        <v>83.213386604241776</v>
      </c>
      <c r="AE322" s="4">
        <f>[1]节奏总纲!AE322</f>
        <v>85.326708563580837</v>
      </c>
      <c r="AF322" s="4">
        <f>[1]节奏总纲!AF322</f>
        <v>88.309382498542192</v>
      </c>
      <c r="AG322" s="4">
        <f>[1]节奏总纲!AG322</f>
        <v>93.352858970798124</v>
      </c>
      <c r="AH322" s="4">
        <f>[1]节奏总纲!AH322</f>
        <v>102.24418955872893</v>
      </c>
      <c r="AZ322" s="4">
        <v>319</v>
      </c>
      <c r="BA322" s="4">
        <v>45.84692571827884</v>
      </c>
      <c r="BB322" s="4">
        <v>47.348909548252408</v>
      </c>
      <c r="BC322" s="4">
        <v>49.298910399752522</v>
      </c>
      <c r="BD322" s="4">
        <v>50</v>
      </c>
      <c r="BE322" s="4">
        <v>50</v>
      </c>
    </row>
    <row r="323" spans="29:57">
      <c r="AC323" s="4">
        <v>320</v>
      </c>
      <c r="AD323" s="4">
        <f>[1]节奏总纲!AD323</f>
        <v>83.257593206670379</v>
      </c>
      <c r="AE323" s="4">
        <f>[1]节奏总纲!AE323</f>
        <v>85.371590980162836</v>
      </c>
      <c r="AF323" s="4">
        <f>[1]节奏总纲!AF323</f>
        <v>88.360153548753104</v>
      </c>
      <c r="AG323" s="4">
        <f>[1]节奏总纲!AG323</f>
        <v>93.400072017025948</v>
      </c>
      <c r="AH323" s="4">
        <f>[1]节奏总纲!AH323</f>
        <v>102.28908779747032</v>
      </c>
      <c r="AZ323" s="4">
        <v>320</v>
      </c>
      <c r="BA323" s="4">
        <v>45.869242601500943</v>
      </c>
      <c r="BB323" s="4">
        <v>47.3696970865753</v>
      </c>
      <c r="BC323" s="4">
        <v>49.319570178749061</v>
      </c>
      <c r="BD323" s="4">
        <v>50</v>
      </c>
      <c r="BE323" s="4">
        <v>50</v>
      </c>
    </row>
    <row r="324" spans="29:57">
      <c r="AC324" s="4">
        <v>321</v>
      </c>
      <c r="AD324" s="4">
        <f>[1]节奏总纲!AD324</f>
        <v>83.301799809098995</v>
      </c>
      <c r="AE324" s="4">
        <f>[1]节奏总纲!AE324</f>
        <v>85.416473396744834</v>
      </c>
      <c r="AF324" s="4">
        <f>[1]节奏总纲!AF324</f>
        <v>88.410924598964016</v>
      </c>
      <c r="AG324" s="4">
        <f>[1]节奏总纲!AG324</f>
        <v>93.447285063253773</v>
      </c>
      <c r="AH324" s="4">
        <f>[1]节奏总纲!AH324</f>
        <v>102.3339860362117</v>
      </c>
      <c r="AZ324" s="4">
        <v>321</v>
      </c>
      <c r="BA324" s="4">
        <v>45.891559484723047</v>
      </c>
      <c r="BB324" s="4">
        <v>47.390484624898193</v>
      </c>
      <c r="BC324" s="4">
        <v>49.340229957745592</v>
      </c>
      <c r="BD324" s="4">
        <v>50</v>
      </c>
      <c r="BE324" s="4">
        <v>50</v>
      </c>
    </row>
    <row r="325" spans="29:57">
      <c r="AC325" s="4">
        <v>322</v>
      </c>
      <c r="AD325" s="4">
        <f>[1]节奏总纲!AD325</f>
        <v>83.346006411527597</v>
      </c>
      <c r="AE325" s="4">
        <f>[1]节奏总纲!AE325</f>
        <v>85.461355813326847</v>
      </c>
      <c r="AF325" s="4">
        <f>[1]节奏总纲!AF325</f>
        <v>88.461695649174914</v>
      </c>
      <c r="AG325" s="4">
        <f>[1]节奏总纲!AG325</f>
        <v>93.494498109481597</v>
      </c>
      <c r="AH325" s="4">
        <f>[1]节奏总纲!AH325</f>
        <v>102.37888427495307</v>
      </c>
      <c r="AZ325" s="4">
        <v>322</v>
      </c>
      <c r="BA325" s="4">
        <v>45.91387636794515</v>
      </c>
      <c r="BB325" s="4">
        <v>47.411272163221085</v>
      </c>
      <c r="BC325" s="4">
        <v>49.360889736742131</v>
      </c>
      <c r="BD325" s="4">
        <v>50</v>
      </c>
      <c r="BE325" s="4">
        <v>50</v>
      </c>
    </row>
    <row r="326" spans="29:57">
      <c r="AC326" s="4">
        <v>323</v>
      </c>
      <c r="AD326" s="4">
        <f>[1]节奏总纲!AD326</f>
        <v>83.390213013956213</v>
      </c>
      <c r="AE326" s="4">
        <f>[1]节奏总纲!AE326</f>
        <v>85.506238229908845</v>
      </c>
      <c r="AF326" s="4">
        <f>[1]节奏总纲!AF326</f>
        <v>88.512466699385826</v>
      </c>
      <c r="AG326" s="4">
        <f>[1]节奏总纲!AG326</f>
        <v>93.541711155709422</v>
      </c>
      <c r="AH326" s="4">
        <f>[1]节奏总纲!AH326</f>
        <v>102.42378251369445</v>
      </c>
      <c r="AZ326" s="4">
        <v>323</v>
      </c>
      <c r="BA326" s="4">
        <v>45.936193251167253</v>
      </c>
      <c r="BB326" s="4">
        <v>47.432059701543984</v>
      </c>
      <c r="BC326" s="4">
        <v>49.381549515738669</v>
      </c>
      <c r="BD326" s="4">
        <v>50</v>
      </c>
      <c r="BE326" s="4">
        <v>50</v>
      </c>
    </row>
    <row r="327" spans="29:57">
      <c r="AC327" s="4">
        <v>324</v>
      </c>
      <c r="AD327" s="4">
        <f>[1]节奏总纲!AD327</f>
        <v>83.434419616384815</v>
      </c>
      <c r="AE327" s="4">
        <f>[1]节奏总纲!AE327</f>
        <v>85.551120646490844</v>
      </c>
      <c r="AF327" s="4">
        <f>[1]节奏总纲!AF327</f>
        <v>88.563237749596723</v>
      </c>
      <c r="AG327" s="4">
        <f>[1]节奏总纲!AG327</f>
        <v>93.588924201937246</v>
      </c>
      <c r="AH327" s="4">
        <f>[1]节奏总纲!AH327</f>
        <v>102.46868075243583</v>
      </c>
      <c r="AZ327" s="4">
        <v>324</v>
      </c>
      <c r="BA327" s="4">
        <v>45.958510134389357</v>
      </c>
      <c r="BB327" s="4">
        <v>47.452847239866877</v>
      </c>
      <c r="BC327" s="4">
        <v>49.402209294735208</v>
      </c>
      <c r="BD327" s="4">
        <v>50</v>
      </c>
      <c r="BE327" s="4">
        <v>50</v>
      </c>
    </row>
    <row r="328" spans="29:57">
      <c r="AC328" s="4">
        <v>325</v>
      </c>
      <c r="AD328" s="4">
        <f>[1]节奏总纲!AD328</f>
        <v>83.478626218813432</v>
      </c>
      <c r="AE328" s="4">
        <f>[1]节奏总纲!AE328</f>
        <v>85.596003063072843</v>
      </c>
      <c r="AF328" s="4">
        <f>[1]节奏总纲!AF328</f>
        <v>88.614008799807635</v>
      </c>
      <c r="AG328" s="4">
        <f>[1]节奏总纲!AG328</f>
        <v>93.63613724816507</v>
      </c>
      <c r="AH328" s="4">
        <f>[1]节奏总纲!AH328</f>
        <v>102.51357899117721</v>
      </c>
      <c r="AZ328" s="4">
        <v>325</v>
      </c>
      <c r="BA328" s="4">
        <v>45.98082701761146</v>
      </c>
      <c r="BB328" s="4">
        <v>47.473634778189769</v>
      </c>
      <c r="BC328" s="4">
        <v>49.422869073731739</v>
      </c>
      <c r="BD328" s="4">
        <v>50</v>
      </c>
      <c r="BE328" s="4">
        <v>50</v>
      </c>
    </row>
    <row r="329" spans="29:57">
      <c r="AC329" s="4">
        <v>326</v>
      </c>
      <c r="AD329" s="4">
        <f>[1]节奏总纲!AD329</f>
        <v>83.522832821242034</v>
      </c>
      <c r="AE329" s="4">
        <f>[1]节奏总纲!AE329</f>
        <v>85.640885479654855</v>
      </c>
      <c r="AF329" s="4">
        <f>[1]节奏总纲!AF329</f>
        <v>88.664779850018547</v>
      </c>
      <c r="AG329" s="4">
        <f>[1]节奏总纲!AG329</f>
        <v>93.683350294392895</v>
      </c>
      <c r="AH329" s="4">
        <f>[1]节奏总纲!AH329</f>
        <v>102.55847722991859</v>
      </c>
      <c r="AZ329" s="4">
        <v>326</v>
      </c>
      <c r="BA329" s="4">
        <v>46.002713830586146</v>
      </c>
      <c r="BB329" s="4">
        <v>47.494422316512662</v>
      </c>
      <c r="BC329" s="4">
        <v>49.443528852728278</v>
      </c>
      <c r="BD329" s="4">
        <v>50</v>
      </c>
      <c r="BE329" s="4">
        <v>50</v>
      </c>
    </row>
    <row r="330" spans="29:57">
      <c r="AC330" s="4">
        <v>327</v>
      </c>
      <c r="AD330" s="4">
        <f>[1]节奏总纲!AD330</f>
        <v>83.56703942367065</v>
      </c>
      <c r="AE330" s="4">
        <f>[1]节奏总纲!AE330</f>
        <v>85.685767896236854</v>
      </c>
      <c r="AF330" s="4">
        <f>[1]节奏总纲!AF330</f>
        <v>88.715550900229445</v>
      </c>
      <c r="AG330" s="4">
        <f>[1]节奏总纲!AG330</f>
        <v>93.730563340620719</v>
      </c>
      <c r="AH330" s="4">
        <f>[1]节奏总纲!AH330</f>
        <v>102.60337546865996</v>
      </c>
      <c r="AZ330" s="4">
        <v>327</v>
      </c>
      <c r="BA330" s="4">
        <v>46.021977873404879</v>
      </c>
      <c r="BB330" s="4">
        <v>47.515209854835554</v>
      </c>
      <c r="BC330" s="4">
        <v>49.464188631724817</v>
      </c>
      <c r="BD330" s="4">
        <v>50</v>
      </c>
      <c r="BE330" s="4">
        <v>50</v>
      </c>
    </row>
    <row r="331" spans="29:57">
      <c r="AC331" s="4">
        <v>328</v>
      </c>
      <c r="AD331" s="4">
        <f>[1]节奏总纲!AD331</f>
        <v>83.611246026099252</v>
      </c>
      <c r="AE331" s="4">
        <f>[1]节奏总纲!AE331</f>
        <v>85.730650312818852</v>
      </c>
      <c r="AF331" s="4">
        <f>[1]节奏总纲!AF331</f>
        <v>88.766321950440357</v>
      </c>
      <c r="AG331" s="4">
        <f>[1]节奏总纲!AG331</f>
        <v>93.777776386848544</v>
      </c>
      <c r="AH331" s="4">
        <f>[1]节奏总纲!AH331</f>
        <v>102.64827370740134</v>
      </c>
      <c r="AZ331" s="4">
        <v>328</v>
      </c>
      <c r="BA331" s="4">
        <v>46.041241916223605</v>
      </c>
      <c r="BB331" s="4">
        <v>47.535997393158453</v>
      </c>
      <c r="BC331" s="4">
        <v>49.484848410721355</v>
      </c>
      <c r="BD331" s="4">
        <v>50</v>
      </c>
      <c r="BE331" s="4">
        <v>50</v>
      </c>
    </row>
    <row r="332" spans="29:57">
      <c r="AC332" s="4">
        <v>329</v>
      </c>
      <c r="AD332" s="4">
        <f>[1]节奏总纲!AD332</f>
        <v>83.655452628527868</v>
      </c>
      <c r="AE332" s="4">
        <f>[1]节奏总纲!AE332</f>
        <v>85.775532729400851</v>
      </c>
      <c r="AF332" s="4">
        <f>[1]节奏总纲!AF332</f>
        <v>88.817093000651269</v>
      </c>
      <c r="AG332" s="4">
        <f>[1]节奏总纲!AG332</f>
        <v>93.824989433076368</v>
      </c>
      <c r="AH332" s="4">
        <f>[1]节奏总纲!AH332</f>
        <v>102.69317194614273</v>
      </c>
      <c r="AZ332" s="4">
        <v>329</v>
      </c>
      <c r="BA332" s="4">
        <v>46.060505959042331</v>
      </c>
      <c r="BB332" s="4">
        <v>47.556784931481346</v>
      </c>
      <c r="BC332" s="4">
        <v>49.505508189717887</v>
      </c>
      <c r="BD332" s="4">
        <v>50</v>
      </c>
      <c r="BE332" s="4">
        <v>50</v>
      </c>
    </row>
    <row r="333" spans="29:57">
      <c r="AC333" s="4">
        <v>330</v>
      </c>
      <c r="AD333" s="4">
        <f>[1]节奏总纲!AD333</f>
        <v>83.69965923095647</v>
      </c>
      <c r="AE333" s="4">
        <f>[1]节奏总纲!AE333</f>
        <v>85.820415145982849</v>
      </c>
      <c r="AF333" s="4">
        <f>[1]节奏总纲!AF333</f>
        <v>88.867864050862167</v>
      </c>
      <c r="AG333" s="4">
        <f>[1]节奏总纲!AG333</f>
        <v>93.872202479304192</v>
      </c>
      <c r="AH333" s="4">
        <f>[1]节奏总纲!AH333</f>
        <v>102.73807018488411</v>
      </c>
      <c r="AZ333" s="4">
        <v>330</v>
      </c>
      <c r="BA333" s="4">
        <v>46.079770001861057</v>
      </c>
      <c r="BB333" s="4">
        <v>47.577572469804238</v>
      </c>
      <c r="BC333" s="4">
        <v>49.526167968714425</v>
      </c>
      <c r="BD333" s="4">
        <v>50</v>
      </c>
      <c r="BE333" s="4">
        <v>50</v>
      </c>
    </row>
    <row r="334" spans="29:57">
      <c r="AC334" s="4">
        <v>331</v>
      </c>
      <c r="AD334" s="4">
        <f>[1]节奏总纲!AD334</f>
        <v>83.743865833385087</v>
      </c>
      <c r="AE334" s="4">
        <f>[1]节奏总纲!AE334</f>
        <v>85.865297562564862</v>
      </c>
      <c r="AF334" s="4">
        <f>[1]节奏总纲!AF334</f>
        <v>88.918635101073079</v>
      </c>
      <c r="AG334" s="4">
        <f>[1]节奏总纲!AG334</f>
        <v>93.919415525532017</v>
      </c>
      <c r="AH334" s="4">
        <f>[1]节奏总纲!AH334</f>
        <v>102.78296842362549</v>
      </c>
      <c r="AZ334" s="4">
        <v>331</v>
      </c>
      <c r="BA334" s="4">
        <v>46.099034044679783</v>
      </c>
      <c r="BB334" s="4">
        <v>47.598360008127131</v>
      </c>
      <c r="BC334" s="4">
        <v>49.546827747710964</v>
      </c>
      <c r="BD334" s="4">
        <v>50</v>
      </c>
      <c r="BE334" s="4">
        <v>50</v>
      </c>
    </row>
    <row r="335" spans="29:57">
      <c r="AC335" s="4">
        <v>332</v>
      </c>
      <c r="AD335" s="4">
        <f>[1]节奏总纲!AD335</f>
        <v>83.788072435813689</v>
      </c>
      <c r="AE335" s="4">
        <f>[1]节奏总纲!AE335</f>
        <v>85.910179979146861</v>
      </c>
      <c r="AF335" s="4">
        <f>[1]节奏总纲!AF335</f>
        <v>88.969406151283977</v>
      </c>
      <c r="AG335" s="4">
        <f>[1]节奏总纲!AG335</f>
        <v>93.966628571759841</v>
      </c>
      <c r="AH335" s="4">
        <f>[1]节奏总纲!AH335</f>
        <v>102.82786666236686</v>
      </c>
      <c r="AZ335" s="4">
        <v>332</v>
      </c>
      <c r="BA335" s="4">
        <v>46.118298087498509</v>
      </c>
      <c r="BB335" s="4">
        <v>47.619147546450023</v>
      </c>
      <c r="BC335" s="4">
        <v>49.567487526707502</v>
      </c>
      <c r="BD335" s="4">
        <v>50</v>
      </c>
      <c r="BE335" s="4">
        <v>50</v>
      </c>
    </row>
    <row r="336" spans="29:57">
      <c r="AC336" s="4">
        <v>333</v>
      </c>
      <c r="AD336" s="4">
        <f>[1]节奏总纲!AD336</f>
        <v>83.832279038242305</v>
      </c>
      <c r="AE336" s="4">
        <f>[1]节奏总纲!AE336</f>
        <v>85.955062395728859</v>
      </c>
      <c r="AF336" s="4">
        <f>[1]节奏总纲!AF336</f>
        <v>89.018466905731287</v>
      </c>
      <c r="AG336" s="4">
        <f>[1]节奏总纲!AG336</f>
        <v>94.012923283729691</v>
      </c>
      <c r="AH336" s="4">
        <f>[1]节奏总纲!AH336</f>
        <v>102.87276490110824</v>
      </c>
      <c r="AZ336" s="4">
        <v>333</v>
      </c>
      <c r="BA336" s="4">
        <v>46.137562130317242</v>
      </c>
      <c r="BB336" s="4">
        <v>47.639935084772922</v>
      </c>
      <c r="BC336" s="4">
        <v>49.588147305704041</v>
      </c>
      <c r="BD336" s="4">
        <v>50</v>
      </c>
      <c r="BE336" s="4">
        <v>50</v>
      </c>
    </row>
    <row r="337" spans="29:57">
      <c r="AC337" s="4">
        <v>334</v>
      </c>
      <c r="AD337" s="4">
        <f>[1]节奏总纲!AD337</f>
        <v>83.876485640670907</v>
      </c>
      <c r="AE337" s="4">
        <f>[1]节奏总纲!AE337</f>
        <v>85.999944812310858</v>
      </c>
      <c r="AF337" s="4">
        <f>[1]节奏总纲!AF337</f>
        <v>89.064934410075779</v>
      </c>
      <c r="AG337" s="4">
        <f>[1]节奏总纲!AG337</f>
        <v>94.057003939090123</v>
      </c>
      <c r="AH337" s="4">
        <f>[1]节奏总纲!AH337</f>
        <v>102.91766313984962</v>
      </c>
      <c r="AZ337" s="4">
        <v>334</v>
      </c>
      <c r="BA337" s="4">
        <v>46.156826173135968</v>
      </c>
      <c r="BB337" s="4">
        <v>47.660722623095815</v>
      </c>
      <c r="BC337" s="4">
        <v>49.608807084700572</v>
      </c>
      <c r="BD337" s="4">
        <v>50</v>
      </c>
      <c r="BE337" s="4">
        <v>50</v>
      </c>
    </row>
    <row r="338" spans="29:57">
      <c r="AC338" s="4">
        <v>335</v>
      </c>
      <c r="AD338" s="4">
        <f>[1]节奏总纲!AD338</f>
        <v>83.920692243099523</v>
      </c>
      <c r="AE338" s="4">
        <f>[1]节奏总纲!AE338</f>
        <v>86.041129946887025</v>
      </c>
      <c r="AF338" s="4">
        <f>[1]节奏总纲!AF338</f>
        <v>89.11140191442027</v>
      </c>
      <c r="AG338" s="4">
        <f>[1]节奏总纲!AG338</f>
        <v>94.101084594450555</v>
      </c>
      <c r="AH338" s="4">
        <f>[1]节奏总纲!AH338</f>
        <v>102.962561378591</v>
      </c>
      <c r="AZ338" s="4">
        <v>335</v>
      </c>
      <c r="BA338" s="4">
        <v>46.176090215954694</v>
      </c>
      <c r="BB338" s="4">
        <v>47.681510161418707</v>
      </c>
      <c r="BC338" s="4">
        <v>49.629466863697111</v>
      </c>
      <c r="BD338" s="4">
        <v>50</v>
      </c>
      <c r="BE338" s="4">
        <v>50</v>
      </c>
    </row>
    <row r="339" spans="29:57">
      <c r="AC339" s="4">
        <v>336</v>
      </c>
      <c r="AD339" s="4">
        <f>[1]节奏总纲!AD339</f>
        <v>83.964898845528126</v>
      </c>
      <c r="AE339" s="4">
        <f>[1]节奏总纲!AE339</f>
        <v>86.082310529666103</v>
      </c>
      <c r="AF339" s="4">
        <f>[1]节奏总纲!AF339</f>
        <v>89.157869418764761</v>
      </c>
      <c r="AG339" s="4">
        <f>[1]节奏总纲!AG339</f>
        <v>94.145165249810972</v>
      </c>
      <c r="AH339" s="4">
        <f>[1]节奏总纲!AH339</f>
        <v>103.00673656424885</v>
      </c>
      <c r="AZ339" s="4">
        <v>336</v>
      </c>
      <c r="BA339" s="4">
        <v>46.19535425877342</v>
      </c>
      <c r="BB339" s="4">
        <v>47.7022976997416</v>
      </c>
      <c r="BC339" s="4">
        <v>49.65012664269365</v>
      </c>
      <c r="BD339" s="4">
        <v>50</v>
      </c>
      <c r="BE339" s="4">
        <v>50</v>
      </c>
    </row>
    <row r="340" spans="29:57">
      <c r="AC340" s="4">
        <v>337</v>
      </c>
      <c r="AD340" s="4">
        <f>[1]节奏总纲!AD340</f>
        <v>84.008495683346354</v>
      </c>
      <c r="AE340" s="4">
        <f>[1]节奏总纲!AE340</f>
        <v>86.12349111244518</v>
      </c>
      <c r="AF340" s="4">
        <f>[1]节奏总纲!AF340</f>
        <v>89.204336923109267</v>
      </c>
      <c r="AG340" s="4">
        <f>[1]节奏总纲!AG340</f>
        <v>94.189245905171404</v>
      </c>
      <c r="AH340" s="4">
        <f>[1]节奏总纲!AH340</f>
        <v>103.04728286259964</v>
      </c>
      <c r="AZ340" s="4">
        <v>337</v>
      </c>
      <c r="BA340" s="4">
        <v>46.214618301592147</v>
      </c>
      <c r="BB340" s="4">
        <v>47.723085238064499</v>
      </c>
      <c r="BC340" s="4">
        <v>49.670786421690188</v>
      </c>
      <c r="BD340" s="4">
        <v>50</v>
      </c>
      <c r="BE340" s="4">
        <v>50</v>
      </c>
    </row>
    <row r="341" spans="29:57">
      <c r="AC341" s="4">
        <v>338</v>
      </c>
      <c r="AD341" s="4">
        <f>[1]节奏总纲!AD341</f>
        <v>84.049741901856009</v>
      </c>
      <c r="AE341" s="4">
        <f>[1]节奏总纲!AE341</f>
        <v>86.164671695224243</v>
      </c>
      <c r="AF341" s="4">
        <f>[1]节奏总纲!AF341</f>
        <v>89.250804427453758</v>
      </c>
      <c r="AG341" s="4">
        <f>[1]节奏总纲!AG341</f>
        <v>94.233326560531836</v>
      </c>
      <c r="AH341" s="4">
        <f>[1]节奏总纲!AH341</f>
        <v>103.08782916095045</v>
      </c>
      <c r="AZ341" s="4">
        <v>338</v>
      </c>
      <c r="BA341" s="4">
        <v>46.23388234441088</v>
      </c>
      <c r="BB341" s="4">
        <v>47.743872776387391</v>
      </c>
      <c r="BC341" s="4">
        <v>49.69144620068672</v>
      </c>
      <c r="BD341" s="4">
        <v>50</v>
      </c>
      <c r="BE341" s="4">
        <v>50</v>
      </c>
    </row>
    <row r="342" spans="29:57">
      <c r="AC342" s="4">
        <v>339</v>
      </c>
      <c r="AD342" s="4">
        <f>[1]节奏总纲!AD342</f>
        <v>84.090988120365651</v>
      </c>
      <c r="AE342" s="4">
        <f>[1]节奏总纲!AE342</f>
        <v>86.20585227800332</v>
      </c>
      <c r="AF342" s="4">
        <f>[1]节奏总纲!AF342</f>
        <v>89.29727193179825</v>
      </c>
      <c r="AG342" s="4">
        <f>[1]节奏总纲!AG342</f>
        <v>94.277407215892268</v>
      </c>
      <c r="AH342" s="4">
        <f>[1]节奏总纲!AH342</f>
        <v>103.12837545930124</v>
      </c>
      <c r="AZ342" s="4">
        <v>339</v>
      </c>
      <c r="BA342" s="4">
        <v>46.253146387229606</v>
      </c>
      <c r="BB342" s="4">
        <v>47.764660314710284</v>
      </c>
      <c r="BC342" s="4">
        <v>49.712105979683258</v>
      </c>
      <c r="BD342" s="4">
        <v>50</v>
      </c>
      <c r="BE342" s="4">
        <v>50</v>
      </c>
    </row>
    <row r="343" spans="29:57">
      <c r="AC343" s="4">
        <v>340</v>
      </c>
      <c r="AD343" s="4">
        <f>[1]节奏总纲!AD343</f>
        <v>84.132234338875293</v>
      </c>
      <c r="AE343" s="4">
        <f>[1]节奏总纲!AE343</f>
        <v>86.247032860782397</v>
      </c>
      <c r="AF343" s="4">
        <f>[1]节奏总纲!AF343</f>
        <v>89.343739436142741</v>
      </c>
      <c r="AG343" s="4">
        <f>[1]节奏总纲!AG343</f>
        <v>94.3214878712527</v>
      </c>
      <c r="AH343" s="4">
        <f>[1]节奏总纲!AH343</f>
        <v>103.16892175765203</v>
      </c>
      <c r="AZ343" s="4">
        <v>340</v>
      </c>
      <c r="BA343" s="4">
        <v>46.272410430048332</v>
      </c>
      <c r="BB343" s="4">
        <v>47.785447853033176</v>
      </c>
      <c r="BC343" s="4">
        <v>49.732765758679797</v>
      </c>
      <c r="BD343" s="4">
        <v>50</v>
      </c>
      <c r="BE343" s="4">
        <v>50</v>
      </c>
    </row>
    <row r="344" spans="29:57">
      <c r="AC344" s="4">
        <v>341</v>
      </c>
      <c r="AD344" s="4">
        <f>[1]节奏总纲!AD344</f>
        <v>84.173480557384934</v>
      </c>
      <c r="AE344" s="4">
        <f>[1]节奏总纲!AE344</f>
        <v>86.288213443561474</v>
      </c>
      <c r="AF344" s="4">
        <f>[1]节奏总纲!AF344</f>
        <v>89.390206940487232</v>
      </c>
      <c r="AG344" s="4">
        <f>[1]节奏总纲!AG344</f>
        <v>94.365568526613131</v>
      </c>
      <c r="AH344" s="4">
        <f>[1]节奏总纲!AH344</f>
        <v>103.20946805600283</v>
      </c>
      <c r="AZ344" s="4">
        <v>341</v>
      </c>
      <c r="BA344" s="4">
        <v>46.291674472867058</v>
      </c>
      <c r="BB344" s="4">
        <v>47.806235391356068</v>
      </c>
      <c r="BC344" s="4">
        <v>49.753425537676335</v>
      </c>
      <c r="BD344" s="4">
        <v>50</v>
      </c>
      <c r="BE344" s="4">
        <v>50</v>
      </c>
    </row>
    <row r="345" spans="29:57">
      <c r="AC345" s="4">
        <v>342</v>
      </c>
      <c r="AD345" s="4">
        <f>[1]节奏总纲!AD345</f>
        <v>84.214726775894576</v>
      </c>
      <c r="AE345" s="4">
        <f>[1]节奏总纲!AE345</f>
        <v>86.329394026340537</v>
      </c>
      <c r="AF345" s="4">
        <f>[1]节奏总纲!AF345</f>
        <v>89.436674444831723</v>
      </c>
      <c r="AG345" s="4">
        <f>[1]节奏总纲!AG345</f>
        <v>94.409649181973549</v>
      </c>
      <c r="AH345" s="4">
        <f>[1]节奏总纲!AH345</f>
        <v>103.25001435435362</v>
      </c>
      <c r="AZ345" s="4">
        <v>342</v>
      </c>
      <c r="BA345" s="4">
        <v>46.310938515685784</v>
      </c>
      <c r="BB345" s="4">
        <v>47.827022929678968</v>
      </c>
      <c r="BC345" s="4">
        <v>49.774085316672867</v>
      </c>
      <c r="BD345" s="4">
        <v>50</v>
      </c>
      <c r="BE345" s="4">
        <v>50</v>
      </c>
    </row>
    <row r="346" spans="29:57">
      <c r="AC346" s="4">
        <v>343</v>
      </c>
      <c r="AD346" s="4">
        <f>[1]节奏总纲!AD346</f>
        <v>84.255972994404218</v>
      </c>
      <c r="AE346" s="4">
        <f>[1]节奏总纲!AE346</f>
        <v>86.370574609119615</v>
      </c>
      <c r="AF346" s="4">
        <f>[1]节奏总纲!AF346</f>
        <v>89.483141949176215</v>
      </c>
      <c r="AG346" s="4">
        <f>[1]节奏总纲!AG346</f>
        <v>94.453729837333981</v>
      </c>
      <c r="AH346" s="4">
        <f>[1]节奏总纲!AH346</f>
        <v>103.29056065270443</v>
      </c>
      <c r="AZ346" s="4">
        <v>343</v>
      </c>
      <c r="BA346" s="4">
        <v>46.330202558504517</v>
      </c>
      <c r="BB346" s="4">
        <v>47.84781046800186</v>
      </c>
      <c r="BC346" s="4">
        <v>49.794745095669406</v>
      </c>
      <c r="BD346" s="4">
        <v>50</v>
      </c>
      <c r="BE346" s="4">
        <v>50</v>
      </c>
    </row>
    <row r="347" spans="29:57">
      <c r="AC347" s="4">
        <v>344</v>
      </c>
      <c r="AD347" s="4">
        <f>[1]节奏总纲!AD347</f>
        <v>84.297219212913859</v>
      </c>
      <c r="AE347" s="4">
        <f>[1]节奏总纲!AE347</f>
        <v>86.411755191898692</v>
      </c>
      <c r="AF347" s="4">
        <f>[1]节奏总纲!AF347</f>
        <v>89.529609453520706</v>
      </c>
      <c r="AG347" s="4">
        <f>[1]节奏总纲!AG347</f>
        <v>94.497810492694413</v>
      </c>
      <c r="AH347" s="4">
        <f>[1]节奏总纲!AH347</f>
        <v>103.33110695105522</v>
      </c>
      <c r="AZ347" s="4">
        <v>344</v>
      </c>
      <c r="BA347" s="4">
        <v>46.349466601323243</v>
      </c>
      <c r="BB347" s="4">
        <v>47.868598006324753</v>
      </c>
      <c r="BC347" s="4">
        <v>49.815404874665944</v>
      </c>
      <c r="BD347" s="4">
        <v>50</v>
      </c>
      <c r="BE347" s="4">
        <v>50</v>
      </c>
    </row>
    <row r="348" spans="29:57">
      <c r="AC348" s="4">
        <v>345</v>
      </c>
      <c r="AD348" s="4">
        <f>[1]节奏总纲!AD348</f>
        <v>84.338465431423501</v>
      </c>
      <c r="AE348" s="4">
        <f>[1]节奏总纲!AE348</f>
        <v>86.452935774677769</v>
      </c>
      <c r="AF348" s="4">
        <f>[1]节奏总纲!AF348</f>
        <v>89.576076957865197</v>
      </c>
      <c r="AG348" s="4">
        <f>[1]节奏总纲!AG348</f>
        <v>94.541891148054845</v>
      </c>
      <c r="AH348" s="4">
        <f>[1]节奏总纲!AH348</f>
        <v>103.37165324940601</v>
      </c>
      <c r="AZ348" s="4">
        <v>345</v>
      </c>
      <c r="BA348" s="4">
        <v>46.368730644141969</v>
      </c>
      <c r="BB348" s="4">
        <v>47.889385544647645</v>
      </c>
      <c r="BC348" s="4">
        <v>49.836064653662483</v>
      </c>
      <c r="BD348" s="4">
        <v>50</v>
      </c>
      <c r="BE348" s="4">
        <v>50</v>
      </c>
    </row>
    <row r="349" spans="29:57">
      <c r="AC349" s="4">
        <v>346</v>
      </c>
      <c r="AD349" s="4">
        <f>[1]节奏总纲!AD349</f>
        <v>84.379711649933142</v>
      </c>
      <c r="AE349" s="4">
        <f>[1]节奏总纲!AE349</f>
        <v>86.494116357456846</v>
      </c>
      <c r="AF349" s="4">
        <f>[1]节奏总纲!AF349</f>
        <v>89.622544462209689</v>
      </c>
      <c r="AG349" s="4">
        <f>[1]节奏总纲!AG349</f>
        <v>94.585971803415276</v>
      </c>
      <c r="AH349" s="4">
        <f>[1]节奏总纲!AH349</f>
        <v>103.41219954775681</v>
      </c>
      <c r="AZ349" s="4">
        <v>346</v>
      </c>
      <c r="BA349" s="4">
        <v>46.387994686960695</v>
      </c>
      <c r="BB349" s="4">
        <v>47.910173082970537</v>
      </c>
      <c r="BC349" s="4">
        <v>49.856724432659014</v>
      </c>
      <c r="BD349" s="4">
        <v>50</v>
      </c>
      <c r="BE349" s="4">
        <v>50</v>
      </c>
    </row>
    <row r="350" spans="29:57">
      <c r="AC350" s="4">
        <v>347</v>
      </c>
      <c r="AD350" s="4">
        <f>[1]节奏总纲!AD350</f>
        <v>84.420957868442784</v>
      </c>
      <c r="AE350" s="4">
        <f>[1]节奏总纲!AE350</f>
        <v>86.535296940235909</v>
      </c>
      <c r="AF350" s="4">
        <f>[1]节奏总纲!AF350</f>
        <v>89.66901196655418</v>
      </c>
      <c r="AG350" s="4">
        <f>[1]节奏总纲!AG350</f>
        <v>94.630052458775694</v>
      </c>
      <c r="AH350" s="4">
        <f>[1]节奏总纲!AH350</f>
        <v>103.4527458461076</v>
      </c>
      <c r="AZ350" s="4">
        <v>347</v>
      </c>
      <c r="BA350" s="4">
        <v>46.407258729779421</v>
      </c>
      <c r="BB350" s="4">
        <v>47.930960621293437</v>
      </c>
      <c r="BC350" s="4">
        <v>49.877384211655553</v>
      </c>
      <c r="BD350" s="4">
        <v>50</v>
      </c>
      <c r="BE350" s="4">
        <v>50</v>
      </c>
    </row>
    <row r="351" spans="29:57">
      <c r="AC351" s="4">
        <v>348</v>
      </c>
      <c r="AD351" s="4">
        <f>[1]节奏总纲!AD351</f>
        <v>84.462204086952426</v>
      </c>
      <c r="AE351" s="4">
        <f>[1]节奏总纲!AE351</f>
        <v>86.576477523014987</v>
      </c>
      <c r="AF351" s="4">
        <f>[1]节奏总纲!AF351</f>
        <v>89.715479470898671</v>
      </c>
      <c r="AG351" s="4">
        <f>[1]节奏总纲!AG351</f>
        <v>94.674133114136126</v>
      </c>
      <c r="AH351" s="4">
        <f>[1]节奏总纲!AH351</f>
        <v>103.49329214445841</v>
      </c>
      <c r="AZ351" s="4">
        <v>348</v>
      </c>
      <c r="BA351" s="4">
        <v>46.426522772598148</v>
      </c>
      <c r="BB351" s="4">
        <v>47.951748159616329</v>
      </c>
      <c r="BC351" s="4">
        <v>49.898043990652091</v>
      </c>
      <c r="BD351" s="4">
        <v>50</v>
      </c>
      <c r="BE351" s="4">
        <v>50</v>
      </c>
    </row>
    <row r="352" spans="29:57">
      <c r="AC352" s="4">
        <v>349</v>
      </c>
      <c r="AD352" s="4">
        <f>[1]节奏总纲!AD352</f>
        <v>84.503450305462081</v>
      </c>
      <c r="AE352" s="4">
        <f>[1]节奏总纲!AE352</f>
        <v>86.617658105794064</v>
      </c>
      <c r="AF352" s="4">
        <f>[1]节奏总纲!AF352</f>
        <v>89.761946975243163</v>
      </c>
      <c r="AG352" s="4">
        <f>[1]节奏总纲!AG352</f>
        <v>94.718213769496558</v>
      </c>
      <c r="AH352" s="4">
        <f>[1]节奏总纲!AH352</f>
        <v>103.5338384428092</v>
      </c>
      <c r="AZ352" s="4">
        <v>349</v>
      </c>
      <c r="BA352" s="4">
        <v>46.445786815416881</v>
      </c>
      <c r="BB352" s="4">
        <v>47.972535697939222</v>
      </c>
      <c r="BC352" s="4">
        <v>49.91870376964863</v>
      </c>
      <c r="BD352" s="4">
        <v>50</v>
      </c>
      <c r="BE352" s="4">
        <v>50</v>
      </c>
    </row>
    <row r="353" spans="29:57">
      <c r="AC353" s="4">
        <v>350</v>
      </c>
      <c r="AD353" s="4">
        <f>[1]节奏总纲!AD353</f>
        <v>84.544696523971723</v>
      </c>
      <c r="AE353" s="4">
        <f>[1]节奏总纲!AE353</f>
        <v>86.658838688573141</v>
      </c>
      <c r="AF353" s="4">
        <f>[1]节奏总纲!AF353</f>
        <v>89.808414479587654</v>
      </c>
      <c r="AG353" s="4">
        <f>[1]节奏总纲!AG353</f>
        <v>94.762294424856989</v>
      </c>
      <c r="AH353" s="4">
        <f>[1]节奏总纲!AH353</f>
        <v>103.57438474115999</v>
      </c>
      <c r="AZ353" s="4">
        <v>350</v>
      </c>
      <c r="BA353" s="4">
        <v>46.465050858235607</v>
      </c>
      <c r="BB353" s="4">
        <v>47.993323236262114</v>
      </c>
      <c r="BC353" s="4">
        <v>49.939363548645169</v>
      </c>
      <c r="BD353" s="4">
        <v>50</v>
      </c>
      <c r="BE353" s="4">
        <v>50</v>
      </c>
    </row>
    <row r="354" spans="29:57">
      <c r="AC354" s="4">
        <v>351</v>
      </c>
      <c r="AD354" s="4">
        <f>[1]节奏总纲!AD354</f>
        <v>84.585942742481365</v>
      </c>
      <c r="AE354" s="4">
        <f>[1]节奏总纲!AE354</f>
        <v>86.700019271352204</v>
      </c>
      <c r="AF354" s="4">
        <f>[1]节奏总纲!AF354</f>
        <v>89.854881983932145</v>
      </c>
      <c r="AG354" s="4">
        <f>[1]节奏总纲!AG354</f>
        <v>94.806375080217421</v>
      </c>
      <c r="AH354" s="4">
        <f>[1]节奏总纲!AH354</f>
        <v>103.61493103951079</v>
      </c>
      <c r="AZ354" s="4">
        <v>351</v>
      </c>
      <c r="BA354" s="4">
        <v>46.484314901054333</v>
      </c>
      <c r="BB354" s="4">
        <v>48.012182251254622</v>
      </c>
      <c r="BC354" s="4">
        <v>49.9600233276417</v>
      </c>
      <c r="BD354" s="4">
        <v>50</v>
      </c>
      <c r="BE354" s="4">
        <v>50</v>
      </c>
    </row>
    <row r="355" spans="29:57">
      <c r="AC355" s="4">
        <v>352</v>
      </c>
      <c r="AD355" s="4">
        <f>[1]节奏总纲!AD355</f>
        <v>84.627188960991006</v>
      </c>
      <c r="AE355" s="4">
        <f>[1]节奏总纲!AE355</f>
        <v>86.741199854131281</v>
      </c>
      <c r="AF355" s="4">
        <f>[1]节奏总纲!AF355</f>
        <v>89.901349488276637</v>
      </c>
      <c r="AG355" s="4">
        <f>[1]节奏总纲!AG355</f>
        <v>94.850455735577853</v>
      </c>
      <c r="AH355" s="4">
        <f>[1]节奏总纲!AH355</f>
        <v>103.65547733786158</v>
      </c>
      <c r="AZ355" s="4">
        <v>352</v>
      </c>
      <c r="BA355" s="4">
        <v>46.503578943873059</v>
      </c>
      <c r="BB355" s="4">
        <v>48.030128751164234</v>
      </c>
      <c r="BC355" s="4">
        <v>49.980683106638239</v>
      </c>
      <c r="BD355" s="4">
        <v>50</v>
      </c>
      <c r="BE355" s="4">
        <v>50</v>
      </c>
    </row>
    <row r="356" spans="29:57">
      <c r="AC356" s="4">
        <v>353</v>
      </c>
      <c r="AD356" s="4">
        <f>[1]节奏总纲!AD356</f>
        <v>84.668435179500648</v>
      </c>
      <c r="AE356" s="4">
        <f>[1]节奏总纲!AE356</f>
        <v>86.782380436910358</v>
      </c>
      <c r="AF356" s="4">
        <f>[1]节奏总纲!AF356</f>
        <v>89.947816992621142</v>
      </c>
      <c r="AG356" s="4">
        <f>[1]节奏总纲!AG356</f>
        <v>94.894536390938271</v>
      </c>
      <c r="AH356" s="4">
        <f>[1]节奏总纲!AH356</f>
        <v>103.69602363621237</v>
      </c>
      <c r="AZ356" s="4">
        <v>353</v>
      </c>
      <c r="BA356" s="4">
        <v>46.522842986691785</v>
      </c>
      <c r="BB356" s="4">
        <v>48.048075251073854</v>
      </c>
      <c r="BC356" s="4">
        <v>50</v>
      </c>
      <c r="BD356" s="4">
        <v>50</v>
      </c>
      <c r="BE356" s="4">
        <v>50</v>
      </c>
    </row>
    <row r="357" spans="29:57">
      <c r="AC357" s="4">
        <v>354</v>
      </c>
      <c r="AD357" s="4">
        <f>[1]节奏总纲!AD357</f>
        <v>84.709681398010289</v>
      </c>
      <c r="AE357" s="4">
        <f>[1]节奏总纲!AE357</f>
        <v>86.823561019689436</v>
      </c>
      <c r="AF357" s="4">
        <f>[1]节奏总纲!AF357</f>
        <v>89.994284496965633</v>
      </c>
      <c r="AG357" s="4">
        <f>[1]节奏总纲!AG357</f>
        <v>94.938617046298702</v>
      </c>
      <c r="AH357" s="4">
        <f>[1]节奏总纲!AH357</f>
        <v>103.73656993456318</v>
      </c>
      <c r="AZ357" s="4">
        <v>354</v>
      </c>
      <c r="BA357" s="4">
        <v>46.542107029510518</v>
      </c>
      <c r="BB357" s="4">
        <v>48.066021750983474</v>
      </c>
      <c r="BC357" s="4">
        <v>50</v>
      </c>
      <c r="BD357" s="4">
        <v>50</v>
      </c>
      <c r="BE357" s="4">
        <v>50</v>
      </c>
    </row>
    <row r="358" spans="29:57">
      <c r="AC358" s="4">
        <v>355</v>
      </c>
      <c r="AD358" s="4">
        <f>[1]节奏总纲!AD358</f>
        <v>84.750927616519931</v>
      </c>
      <c r="AE358" s="4">
        <f>[1]节奏总纲!AE358</f>
        <v>86.864741602468499</v>
      </c>
      <c r="AF358" s="4">
        <f>[1]节奏总纲!AF358</f>
        <v>90.036066635925749</v>
      </c>
      <c r="AG358" s="4">
        <f>[1]节奏总纲!AG358</f>
        <v>94.982697701659134</v>
      </c>
      <c r="AH358" s="4">
        <f>[1]节奏总纲!AH358</f>
        <v>103.77711623291397</v>
      </c>
      <c r="AZ358" s="4">
        <v>355</v>
      </c>
      <c r="BA358" s="4">
        <v>46.561371072329244</v>
      </c>
      <c r="BB358" s="4">
        <v>48.083968250893093</v>
      </c>
      <c r="BC358" s="4">
        <v>50</v>
      </c>
      <c r="BD358" s="4">
        <v>50</v>
      </c>
      <c r="BE358" s="4">
        <v>50</v>
      </c>
    </row>
    <row r="359" spans="29:57">
      <c r="AC359" s="4">
        <v>356</v>
      </c>
      <c r="AD359" s="4">
        <f>[1]节奏总纲!AD359</f>
        <v>84.792173835029573</v>
      </c>
      <c r="AE359" s="4">
        <f>[1]节奏总纲!AE359</f>
        <v>86.905922185247576</v>
      </c>
      <c r="AF359" s="4">
        <f>[1]节奏总纲!AF359</f>
        <v>90.077191648383845</v>
      </c>
      <c r="AG359" s="4">
        <f>[1]节奏总纲!AG359</f>
        <v>95.024001308619916</v>
      </c>
      <c r="AH359" s="4">
        <f>[1]节奏总纲!AH359</f>
        <v>103.81766253126477</v>
      </c>
      <c r="AZ359" s="4">
        <v>356</v>
      </c>
      <c r="BA359" s="4">
        <v>46.58063511514797</v>
      </c>
      <c r="BB359" s="4">
        <v>48.101914750802706</v>
      </c>
      <c r="BC359" s="4">
        <v>50</v>
      </c>
      <c r="BD359" s="4">
        <v>50</v>
      </c>
      <c r="BE359" s="4">
        <v>50</v>
      </c>
    </row>
    <row r="360" spans="29:57">
      <c r="AC360" s="4">
        <v>357</v>
      </c>
      <c r="AD360" s="4">
        <f>[1]节奏总纲!AD360</f>
        <v>84.833420053539214</v>
      </c>
      <c r="AE360" s="4">
        <f>[1]节奏总纲!AE360</f>
        <v>86.947102768026653</v>
      </c>
      <c r="AF360" s="4">
        <f>[1]节奏总纲!AF360</f>
        <v>90.118316660841927</v>
      </c>
      <c r="AG360" s="4">
        <f>[1]节奏总纲!AG360</f>
        <v>95.063510581451752</v>
      </c>
      <c r="AH360" s="4">
        <f>[1]节奏总纲!AH360</f>
        <v>103.85820882961556</v>
      </c>
      <c r="AZ360" s="4">
        <v>357</v>
      </c>
      <c r="BA360" s="4">
        <v>46.599899157966696</v>
      </c>
      <c r="BB360" s="4">
        <v>48.119861250712326</v>
      </c>
      <c r="BC360" s="4">
        <v>50</v>
      </c>
      <c r="BD360" s="4">
        <v>50</v>
      </c>
      <c r="BE360" s="4">
        <v>50</v>
      </c>
    </row>
    <row r="361" spans="29:57">
      <c r="AC361" s="4">
        <v>358</v>
      </c>
      <c r="AD361" s="4">
        <f>[1]节奏总纲!AD361</f>
        <v>84.874666272048856</v>
      </c>
      <c r="AE361" s="4">
        <f>[1]节奏总纲!AE361</f>
        <v>86.98828335080573</v>
      </c>
      <c r="AF361" s="4">
        <f>[1]节奏总纲!AF361</f>
        <v>90.159441673300023</v>
      </c>
      <c r="AG361" s="4">
        <f>[1]节奏总纲!AG361</f>
        <v>95.103019854283588</v>
      </c>
      <c r="AH361" s="4">
        <f>[1]节奏总纲!AH361</f>
        <v>103.89875512796635</v>
      </c>
      <c r="AZ361" s="4">
        <v>358</v>
      </c>
      <c r="BA361" s="4">
        <v>46.619163200785422</v>
      </c>
      <c r="BB361" s="4">
        <v>48.137807750621946</v>
      </c>
      <c r="BC361" s="4">
        <v>50</v>
      </c>
      <c r="BD361" s="4">
        <v>50</v>
      </c>
      <c r="BE361" s="4">
        <v>50</v>
      </c>
    </row>
    <row r="362" spans="29:57">
      <c r="AC362" s="4">
        <v>359</v>
      </c>
      <c r="AD362" s="4">
        <f>[1]节奏总纲!AD362</f>
        <v>84.915912490558497</v>
      </c>
      <c r="AE362" s="4">
        <f>[1]节奏总纲!AE362</f>
        <v>87.027010646912942</v>
      </c>
      <c r="AF362" s="4">
        <f>[1]节奏总纲!AF362</f>
        <v>90.200566685758119</v>
      </c>
      <c r="AG362" s="4">
        <f>[1]节奏总纲!AG362</f>
        <v>95.142529127115409</v>
      </c>
      <c r="AH362" s="4">
        <f>[1]节奏总纲!AH362</f>
        <v>103.93930142631716</v>
      </c>
      <c r="AZ362" s="4">
        <v>359</v>
      </c>
      <c r="BA362" s="4">
        <v>46.638427243604156</v>
      </c>
      <c r="BB362" s="4">
        <v>48.155754250531558</v>
      </c>
      <c r="BC362" s="4">
        <v>50</v>
      </c>
      <c r="BD362" s="4">
        <v>50</v>
      </c>
      <c r="BE362" s="4">
        <v>50</v>
      </c>
    </row>
    <row r="363" spans="29:57">
      <c r="AC363" s="4">
        <v>360</v>
      </c>
      <c r="AD363" s="4">
        <f>[1]节奏总纲!AD363</f>
        <v>84.957158709068153</v>
      </c>
      <c r="AE363" s="4">
        <f>[1]节奏总纲!AE363</f>
        <v>87.064762367263285</v>
      </c>
      <c r="AF363" s="4">
        <f>[1]节奏总纲!AF363</f>
        <v>90.241691698216215</v>
      </c>
      <c r="AG363" s="4">
        <f>[1]节奏总纲!AG363</f>
        <v>95.182038399947245</v>
      </c>
      <c r="AH363" s="4">
        <f>[1]节奏总纲!AH363</f>
        <v>103.97984772466795</v>
      </c>
      <c r="AZ363" s="4">
        <v>360</v>
      </c>
      <c r="BA363" s="4">
        <v>46.657691286422882</v>
      </c>
      <c r="BB363" s="4">
        <v>48.173700750441178</v>
      </c>
      <c r="BC363" s="4">
        <v>50</v>
      </c>
      <c r="BD363" s="4">
        <v>50</v>
      </c>
      <c r="BE363" s="4">
        <v>50</v>
      </c>
    </row>
  </sheetData>
  <mergeCells count="13">
    <mergeCell ref="B22:D22"/>
    <mergeCell ref="F1:F2"/>
    <mergeCell ref="G1:G2"/>
    <mergeCell ref="I1:I2"/>
    <mergeCell ref="J1:J2"/>
    <mergeCell ref="AD2:AH2"/>
    <mergeCell ref="AM2:AQ2"/>
    <mergeCell ref="AT2:AX2"/>
    <mergeCell ref="BA2:BE2"/>
    <mergeCell ref="B6:D6"/>
    <mergeCell ref="K1:K2"/>
    <mergeCell ref="P2:T2"/>
    <mergeCell ref="W2:AA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BG503"/>
  <sheetViews>
    <sheetView workbookViewId="0">
      <selection activeCell="E5" sqref="E5"/>
    </sheetView>
  </sheetViews>
  <sheetFormatPr defaultColWidth="6.625" defaultRowHeight="11.25"/>
  <cols>
    <col min="1" max="1" width="6.625" style="5"/>
    <col min="2" max="2" width="6.625" style="4"/>
    <col min="3" max="8" width="6.625" style="5"/>
    <col min="9" max="9" width="6.625" style="4"/>
    <col min="10" max="15" width="6.625" style="5"/>
    <col min="16" max="26" width="6.625" style="16"/>
    <col min="27" max="27" width="6.625" style="5"/>
    <col min="28" max="34" width="6.625" style="21"/>
    <col min="35" max="35" width="6.625" style="5"/>
    <col min="36" max="36" width="6.625" style="58"/>
    <col min="37" max="37" width="6.625" style="5"/>
    <col min="38" max="45" width="6.625" style="56"/>
    <col min="46" max="46" width="6.625" style="5"/>
    <col min="47" max="47" width="6.625" style="58"/>
    <col min="48" max="48" width="6.625" style="5"/>
    <col min="49" max="54" width="6.625" style="16"/>
    <col min="55" max="55" width="6.625" style="5"/>
    <col min="56" max="56" width="6.625" style="58"/>
    <col min="57" max="57" width="6.625" style="5"/>
    <col min="58" max="59" width="7.375" style="21" bestFit="1" customWidth="1"/>
    <col min="60" max="16384" width="6.625" style="5"/>
  </cols>
  <sheetData>
    <row r="1" spans="2:59">
      <c r="AC1" s="34"/>
    </row>
    <row r="2" spans="2:59">
      <c r="B2" s="163" t="s">
        <v>166</v>
      </c>
      <c r="C2" s="163"/>
      <c r="D2" s="163"/>
      <c r="E2" s="163"/>
      <c r="F2" s="163"/>
      <c r="G2" s="163"/>
      <c r="I2" s="163" t="s">
        <v>160</v>
      </c>
      <c r="J2" s="163"/>
      <c r="K2" s="163"/>
      <c r="L2" s="163"/>
      <c r="M2" s="163"/>
      <c r="N2" s="163"/>
      <c r="Q2" s="164" t="s">
        <v>195</v>
      </c>
      <c r="R2" s="164"/>
      <c r="S2" s="164"/>
      <c r="T2" s="164"/>
      <c r="U2" s="164"/>
      <c r="V2" s="164" t="s">
        <v>196</v>
      </c>
      <c r="W2" s="164"/>
      <c r="X2" s="164"/>
      <c r="Y2" s="164"/>
      <c r="Z2" s="164"/>
      <c r="AC2" s="34"/>
      <c r="AD2" s="165" t="s">
        <v>246</v>
      </c>
      <c r="AE2" s="165"/>
      <c r="AF2" s="165"/>
      <c r="AG2" s="165"/>
      <c r="AH2" s="165"/>
    </row>
    <row r="3" spans="2:59">
      <c r="B3" s="4" t="s">
        <v>161</v>
      </c>
      <c r="C3" s="4" t="s">
        <v>74</v>
      </c>
      <c r="D3" s="4" t="s">
        <v>75</v>
      </c>
      <c r="E3" s="4" t="s">
        <v>76</v>
      </c>
      <c r="F3" s="4" t="s">
        <v>77</v>
      </c>
      <c r="G3" s="4" t="s">
        <v>78</v>
      </c>
      <c r="I3" s="4" t="s">
        <v>158</v>
      </c>
      <c r="J3" s="4" t="s">
        <v>74</v>
      </c>
      <c r="K3" s="4" t="s">
        <v>75</v>
      </c>
      <c r="L3" s="4" t="s">
        <v>76</v>
      </c>
      <c r="M3" s="4" t="s">
        <v>77</v>
      </c>
      <c r="N3" s="4" t="s">
        <v>78</v>
      </c>
      <c r="P3" s="16" t="s">
        <v>161</v>
      </c>
      <c r="Q3" s="16" t="s">
        <v>74</v>
      </c>
      <c r="R3" s="16" t="s">
        <v>75</v>
      </c>
      <c r="S3" s="16" t="s">
        <v>76</v>
      </c>
      <c r="T3" s="16" t="s">
        <v>77</v>
      </c>
      <c r="U3" s="16" t="s">
        <v>78</v>
      </c>
      <c r="V3" s="16" t="s">
        <v>74</v>
      </c>
      <c r="W3" s="16" t="s">
        <v>75</v>
      </c>
      <c r="X3" s="16" t="s">
        <v>76</v>
      </c>
      <c r="Y3" s="16" t="s">
        <v>77</v>
      </c>
      <c r="Z3" s="16" t="s">
        <v>78</v>
      </c>
      <c r="AC3" s="21" t="s">
        <v>161</v>
      </c>
      <c r="AD3" s="34" t="s">
        <v>74</v>
      </c>
      <c r="AE3" s="34" t="s">
        <v>75</v>
      </c>
      <c r="AF3" s="34" t="s">
        <v>76</v>
      </c>
      <c r="AG3" s="34" t="s">
        <v>77</v>
      </c>
      <c r="AH3" s="34" t="s">
        <v>78</v>
      </c>
    </row>
    <row r="4" spans="2:59">
      <c r="B4" s="4">
        <v>1</v>
      </c>
      <c r="C4" s="16">
        <f>'[1]资源-钻石'!L4</f>
        <v>1040.8352879799568</v>
      </c>
      <c r="D4" s="16">
        <f>'[1]资源-钻石'!M4</f>
        <v>1168.9516338298708</v>
      </c>
      <c r="E4" s="16">
        <f>'[1]资源-钻石'!N4</f>
        <v>1452.2172869047899</v>
      </c>
      <c r="F4" s="16">
        <f>'[1]资源-钻石'!O4</f>
        <v>2510.7422303165949</v>
      </c>
      <c r="G4" s="16">
        <f>'[1]资源-钻石'!P4</f>
        <v>3045.4164117374748</v>
      </c>
      <c r="I4" s="4">
        <v>1</v>
      </c>
      <c r="J4" s="16">
        <f>'[1]资源-钻石'!T4</f>
        <v>14501.673058529761</v>
      </c>
      <c r="K4" s="16">
        <f>'[1]资源-钻石'!U4</f>
        <v>19413.896977599055</v>
      </c>
      <c r="L4" s="16">
        <f>'[1]资源-钻石'!V4</f>
        <v>30743.578088908678</v>
      </c>
      <c r="M4" s="16">
        <f>'[1]资源-钻石'!W4</f>
        <v>76075.906172330011</v>
      </c>
      <c r="N4" s="16">
        <f>'[1]资源-钻石'!X4</f>
        <v>177081.7886017682</v>
      </c>
      <c r="P4" s="16">
        <v>1</v>
      </c>
      <c r="Q4" s="16">
        <f>'[1]功能-行军令'!N4</f>
        <v>3.301579276669484</v>
      </c>
      <c r="R4" s="16">
        <f>'[1]功能-行军令'!O4</f>
        <v>4.0057487176130557</v>
      </c>
      <c r="S4" s="16">
        <f>'[1]功能-行军令'!P4</f>
        <v>4.2565036636761029</v>
      </c>
      <c r="T4" s="16">
        <f>'[1]功能-行军令'!Q4</f>
        <v>3.3562706551221395</v>
      </c>
      <c r="U4" s="16">
        <f>'[1]功能-行军令'!R4</f>
        <v>1.7550190606299467</v>
      </c>
      <c r="V4" s="16">
        <f>'[1]功能-行军令'!S4</f>
        <v>3.301579276669484</v>
      </c>
      <c r="W4" s="16">
        <f>'[1]功能-行军令'!T4</f>
        <v>4.0057487176130557</v>
      </c>
      <c r="X4" s="16">
        <f>'[1]功能-行军令'!U4</f>
        <v>4.2565036636761029</v>
      </c>
      <c r="Y4" s="16">
        <f>'[1]功能-行军令'!V4</f>
        <v>3.3562706551221395</v>
      </c>
      <c r="Z4" s="16">
        <f>'[1]功能-行军令'!W4</f>
        <v>1.7550190606299467</v>
      </c>
      <c r="AC4" s="21">
        <v>1</v>
      </c>
      <c r="AD4" s="21">
        <f>'[1]功能-实力'!BF5</f>
        <v>22716</v>
      </c>
      <c r="AE4" s="21">
        <f>'[1]功能-实力'!BG5</f>
        <v>22782</v>
      </c>
      <c r="AF4" s="21">
        <f>'[1]功能-实力'!BH5</f>
        <v>22866</v>
      </c>
      <c r="AG4" s="21">
        <f>'[1]功能-实力'!BI5</f>
        <v>22956</v>
      </c>
      <c r="AH4" s="21">
        <f>'[1]功能-实力'!BJ5</f>
        <v>23034</v>
      </c>
      <c r="AL4" s="167" t="s">
        <v>350</v>
      </c>
      <c r="AM4" s="167"/>
      <c r="AO4" s="5"/>
      <c r="AP4" s="5"/>
      <c r="AQ4" s="5"/>
      <c r="AR4" s="5"/>
      <c r="AS4" s="5"/>
    </row>
    <row r="5" spans="2:59">
      <c r="B5" s="4">
        <v>2</v>
      </c>
      <c r="C5" s="16">
        <f>'[1]资源-钻石'!L5</f>
        <v>2156.3749285081976</v>
      </c>
      <c r="D5" s="16">
        <f>'[1]资源-钻石'!M5</f>
        <v>2445.0615859519603</v>
      </c>
      <c r="E5" s="16">
        <f>'[1]资源-钻石'!N5</f>
        <v>3068.6815757732184</v>
      </c>
      <c r="F5" s="16">
        <f>'[1]资源-钻石'!O5</f>
        <v>5380.4255785215355</v>
      </c>
      <c r="G5" s="16">
        <f>'[1]资源-钻石'!P5</f>
        <v>6628.3385775485367</v>
      </c>
      <c r="I5" s="4">
        <v>2</v>
      </c>
      <c r="J5" s="16">
        <f>'[1]资源-钻石'!T5</f>
        <v>23031.394540905989</v>
      </c>
      <c r="K5" s="16">
        <f>'[1]资源-钻石'!U5</f>
        <v>30854.533994996593</v>
      </c>
      <c r="L5" s="16">
        <f>'[1]资源-钻石'!V5</f>
        <v>48567.987394496246</v>
      </c>
      <c r="M5" s="16">
        <f>'[1]资源-钻石'!W5</f>
        <v>119204.78613394586</v>
      </c>
      <c r="N5" s="16">
        <f>'[1]资源-钻石'!X5</f>
        <v>275220.26474734046</v>
      </c>
      <c r="P5" s="16">
        <v>2</v>
      </c>
      <c r="Q5" s="16">
        <f>'[1]功能-行军令'!N5</f>
        <v>6.840124329863615</v>
      </c>
      <c r="R5" s="16">
        <f>'[1]功能-行军令'!O5</f>
        <v>8.3787062090179365</v>
      </c>
      <c r="S5" s="16">
        <f>'[1]功能-行军令'!P5</f>
        <v>8.9944214875541597</v>
      </c>
      <c r="T5" s="16">
        <f>'[1]功能-行军令'!Q5</f>
        <v>7.192360993180591</v>
      </c>
      <c r="U5" s="16">
        <f>'[1]功能-行军令'!R5</f>
        <v>3.819793082834837</v>
      </c>
      <c r="V5" s="16">
        <f>'[1]功能-行军令'!S5</f>
        <v>3.5385450531941309</v>
      </c>
      <c r="W5" s="16">
        <f>'[1]功能-行军令'!T5</f>
        <v>4.3729574914048808</v>
      </c>
      <c r="X5" s="16">
        <f>'[1]功能-行军令'!U5</f>
        <v>4.7379178238780568</v>
      </c>
      <c r="Y5" s="16">
        <f>'[1]功能-行军令'!V5</f>
        <v>3.8360903380584515</v>
      </c>
      <c r="Z5" s="16">
        <f>'[1]功能-行军令'!W5</f>
        <v>2.0647740222048903</v>
      </c>
      <c r="AC5" s="21">
        <v>2</v>
      </c>
      <c r="AD5" s="21">
        <f>'[1]功能-实力'!BF6</f>
        <v>27276</v>
      </c>
      <c r="AE5" s="21">
        <f>'[1]功能-实力'!BG6</f>
        <v>27450</v>
      </c>
      <c r="AF5" s="21">
        <f>'[1]功能-实力'!BH6</f>
        <v>27714</v>
      </c>
      <c r="AG5" s="21">
        <f>'[1]功能-实力'!BI6</f>
        <v>28086</v>
      </c>
      <c r="AH5" s="21">
        <f>'[1]功能-实力'!BJ6</f>
        <v>28314</v>
      </c>
      <c r="AL5" s="167"/>
      <c r="AM5" s="167"/>
      <c r="AO5" s="167" t="s">
        <v>351</v>
      </c>
      <c r="AP5" s="167"/>
      <c r="AQ5" s="167"/>
      <c r="AR5" s="167"/>
      <c r="AS5" s="167"/>
      <c r="AX5" s="164" t="s">
        <v>405</v>
      </c>
      <c r="AY5" s="164"/>
      <c r="AZ5" s="164"/>
      <c r="BA5" s="164"/>
      <c r="BB5" s="164"/>
      <c r="BF5" s="166" t="s">
        <v>502</v>
      </c>
      <c r="BG5" s="166"/>
    </row>
    <row r="6" spans="2:59">
      <c r="B6" s="4">
        <v>3</v>
      </c>
      <c r="C6" s="16">
        <f>'[1]资源-钻石'!L6</f>
        <v>3351.9807116336397</v>
      </c>
      <c r="D6" s="16">
        <f>'[1]资源-钻石'!M6</f>
        <v>3828.7498339345493</v>
      </c>
      <c r="E6" s="16">
        <f>'[1]资源-钻石'!N6</f>
        <v>4848.3395205770648</v>
      </c>
      <c r="F6" s="16">
        <f>'[1]资源-钻石'!O6</f>
        <v>8568.4276587872155</v>
      </c>
      <c r="G6" s="16">
        <f>'[1]资源-钻石'!P6</f>
        <v>10613.278887857712</v>
      </c>
      <c r="I6" s="4">
        <v>3</v>
      </c>
      <c r="J6" s="16">
        <f>'[1]资源-钻石'!T6</f>
        <v>31561.116023282215</v>
      </c>
      <c r="K6" s="16">
        <f>'[1]资源-钻石'!U6</f>
        <v>42157.227625610445</v>
      </c>
      <c r="L6" s="16">
        <f>'[1]资源-钻石'!V6</f>
        <v>66088.950388171492</v>
      </c>
      <c r="M6" s="16">
        <f>'[1]资源-钻石'!W6</f>
        <v>161357.84542698861</v>
      </c>
      <c r="N6" s="16">
        <f>'[1]资源-钻石'!X6</f>
        <v>371708.62996968755</v>
      </c>
      <c r="P6" s="16">
        <v>3</v>
      </c>
      <c r="Q6" s="16">
        <f>'[1]功能-行军令'!N6</f>
        <v>10.632643013866151</v>
      </c>
      <c r="R6" s="16">
        <f>'[1]功能-行军令'!O6</f>
        <v>13.120311648049476</v>
      </c>
      <c r="S6" s="16">
        <f>'[1]功能-行军令'!P6</f>
        <v>14.210666074680118</v>
      </c>
      <c r="T6" s="16">
        <f>'[1]功能-行军令'!Q6</f>
        <v>11.453968457804642</v>
      </c>
      <c r="U6" s="16">
        <f>'[1]功能-行军令'!R6</f>
        <v>6.1162429781958272</v>
      </c>
      <c r="V6" s="16">
        <f>'[1]功能-行军令'!S6</f>
        <v>3.7925186840025358</v>
      </c>
      <c r="W6" s="16">
        <f>'[1]功能-行军令'!T6</f>
        <v>4.7416054390315399</v>
      </c>
      <c r="X6" s="16">
        <f>'[1]功能-行军令'!U6</f>
        <v>5.2162445871259582</v>
      </c>
      <c r="Y6" s="16">
        <f>'[1]功能-行军令'!V6</f>
        <v>4.2616074646240509</v>
      </c>
      <c r="Z6" s="16">
        <f>'[1]功能-行军令'!W6</f>
        <v>2.2964498953609902</v>
      </c>
      <c r="AC6" s="21">
        <v>3</v>
      </c>
      <c r="AD6" s="21">
        <f>'[1]功能-实力'!BF7</f>
        <v>31857</v>
      </c>
      <c r="AE6" s="21">
        <f>'[1]功能-实力'!BG7</f>
        <v>32166</v>
      </c>
      <c r="AF6" s="21">
        <f>'[1]功能-实力'!BH7</f>
        <v>32676</v>
      </c>
      <c r="AG6" s="21">
        <f>'[1]功能-实力'!BI7</f>
        <v>33426</v>
      </c>
      <c r="AH6" s="21">
        <f>'[1]功能-实力'!BJ7</f>
        <v>33876</v>
      </c>
      <c r="AL6" s="57" t="s">
        <v>352</v>
      </c>
      <c r="AM6" s="57" t="s">
        <v>353</v>
      </c>
      <c r="AO6" s="57" t="s">
        <v>25</v>
      </c>
      <c r="AP6" s="57" t="s">
        <v>1</v>
      </c>
      <c r="AQ6" s="57" t="s">
        <v>2</v>
      </c>
      <c r="AR6" s="57" t="s">
        <v>0</v>
      </c>
      <c r="AS6" s="57" t="s">
        <v>205</v>
      </c>
      <c r="AW6" s="16" t="s">
        <v>401</v>
      </c>
      <c r="AX6" s="16" t="s">
        <v>74</v>
      </c>
      <c r="AY6" s="16" t="s">
        <v>75</v>
      </c>
      <c r="AZ6" s="16" t="s">
        <v>76</v>
      </c>
      <c r="BA6" s="16" t="s">
        <v>77</v>
      </c>
      <c r="BB6" s="16" t="s">
        <v>78</v>
      </c>
      <c r="BF6" s="21" t="s">
        <v>503</v>
      </c>
      <c r="BG6" s="21" t="s">
        <v>504</v>
      </c>
    </row>
    <row r="7" spans="2:59">
      <c r="B7" s="4">
        <v>4</v>
      </c>
      <c r="C7" s="16">
        <f>'[1]资源-钻石'!L7</f>
        <v>4633.3992616424111</v>
      </c>
      <c r="D7" s="16">
        <f>'[1]资源-钻石'!M7</f>
        <v>5317.4188778006173</v>
      </c>
      <c r="E7" s="16">
        <f>'[1]资源-钻石'!N7</f>
        <v>6773.2188891002043</v>
      </c>
      <c r="F7" s="16">
        <f>'[1]资源-钻石'!O7</f>
        <v>12026.203815149966</v>
      </c>
      <c r="G7" s="16">
        <f>'[1]资源-钻石'!P7</f>
        <v>15024.655902480066</v>
      </c>
      <c r="I7" s="4">
        <v>4</v>
      </c>
      <c r="J7" s="16">
        <f>'[1]资源-钻石'!T7</f>
        <v>40090.837505658441</v>
      </c>
      <c r="K7" s="16">
        <f>'[1]资源-钻石'!U7</f>
        <v>53459.921256224297</v>
      </c>
      <c r="L7" s="16">
        <f>'[1]资源-钻石'!V7</f>
        <v>83609.913381846723</v>
      </c>
      <c r="M7" s="16">
        <f>'[1]资源-钻石'!W7</f>
        <v>203510.90472003139</v>
      </c>
      <c r="N7" s="16">
        <f>'[1]资源-钻石'!X7</f>
        <v>468196.99519203458</v>
      </c>
      <c r="P7" s="16">
        <v>4</v>
      </c>
      <c r="Q7" s="16">
        <f>'[1]功能-行军令'!N7</f>
        <v>14.697363895553133</v>
      </c>
      <c r="R7" s="16">
        <f>'[1]功能-行军令'!O7</f>
        <v>18.221663954542464</v>
      </c>
      <c r="S7" s="16">
        <f>'[1]功能-行军令'!P7</f>
        <v>19.852560134291625</v>
      </c>
      <c r="T7" s="16">
        <f>'[1]功能-行军令'!Q7</f>
        <v>16.076200284493559</v>
      </c>
      <c r="U7" s="16">
        <f>'[1]功能-行军令'!R7</f>
        <v>8.6584407264078909</v>
      </c>
      <c r="V7" s="16">
        <f>'[1]功能-行军令'!S7</f>
        <v>4.0647208816869824</v>
      </c>
      <c r="W7" s="16">
        <f>'[1]功能-行军令'!T7</f>
        <v>5.1013523064929878</v>
      </c>
      <c r="X7" s="16">
        <f>'[1]功能-行军令'!U7</f>
        <v>5.6418940596115075</v>
      </c>
      <c r="Y7" s="16">
        <f>'[1]功能-行军令'!V7</f>
        <v>4.6222318266889175</v>
      </c>
      <c r="Z7" s="16">
        <f>'[1]功能-行军令'!W7</f>
        <v>2.5421977482120637</v>
      </c>
      <c r="AC7" s="21">
        <v>4</v>
      </c>
      <c r="AD7" s="21">
        <f>'[1]功能-实力'!BF8</f>
        <v>42955.5</v>
      </c>
      <c r="AE7" s="21">
        <f>'[1]功能-实力'!BG8</f>
        <v>43515.5</v>
      </c>
      <c r="AF7" s="21">
        <f>'[1]功能-实力'!BH8</f>
        <v>44464</v>
      </c>
      <c r="AG7" s="21">
        <f>'[1]功能-实力'!BI8</f>
        <v>45860.5</v>
      </c>
      <c r="AH7" s="21">
        <f>'[1]功能-实力'!BJ8</f>
        <v>46704</v>
      </c>
      <c r="AL7" s="57">
        <f>[2]基础状态预期!C17</f>
        <v>1</v>
      </c>
      <c r="AM7" s="57">
        <f>[2]基础状态预期!D17</f>
        <v>10</v>
      </c>
      <c r="AO7" s="57">
        <f>[2]基础状态预期!F17</f>
        <v>0</v>
      </c>
      <c r="AP7" s="57">
        <f>[2]基础状态预期!G17</f>
        <v>0</v>
      </c>
      <c r="AQ7" s="57">
        <f>[2]基础状态预期!H17</f>
        <v>2</v>
      </c>
      <c r="AR7" s="57">
        <f>[2]基础状态预期!I17</f>
        <v>4</v>
      </c>
      <c r="AS7" s="57">
        <f>[2]基础状态预期!J17</f>
        <v>0</v>
      </c>
      <c r="AW7" s="16">
        <v>1</v>
      </c>
      <c r="AX7" s="16">
        <f>[1]节奏总纲!BJ4</f>
        <v>0.3</v>
      </c>
      <c r="AY7" s="16">
        <f>[1]节奏总纲!BK4</f>
        <v>0.30599999999999999</v>
      </c>
      <c r="AZ7" s="16">
        <f>[1]节奏总纲!BL4</f>
        <v>0.318</v>
      </c>
      <c r="BA7" s="16">
        <f>[1]节奏总纲!BM4</f>
        <v>0.34199999999999997</v>
      </c>
      <c r="BB7" s="16">
        <f>[1]节奏总纲!BN4</f>
        <v>0.42</v>
      </c>
      <c r="BF7" s="21">
        <f>'[1]功能-行军令'!FZ5</f>
        <v>1</v>
      </c>
      <c r="BG7" s="21">
        <f>'[1]功能-行军令'!GA5*'[1]功能-行军令'!GB5</f>
        <v>10</v>
      </c>
    </row>
    <row r="8" spans="2:59">
      <c r="B8" s="4">
        <v>5</v>
      </c>
      <c r="C8" s="16">
        <f>'[1]资源-钻石'!L8</f>
        <v>6006.789657943551</v>
      </c>
      <c r="D8" s="16">
        <f>'[1]资源-钻石'!M8</f>
        <v>6890.3207409975184</v>
      </c>
      <c r="E8" s="16">
        <f>'[1]资源-钻石'!N8</f>
        <v>8791.163388022298</v>
      </c>
      <c r="F8" s="16">
        <f>'[1]资源-钻石'!O8</f>
        <v>15638.776428266865</v>
      </c>
      <c r="G8" s="16">
        <f>'[1]资源-钻石'!P8</f>
        <v>19574.3719490816</v>
      </c>
      <c r="I8" s="4">
        <v>5</v>
      </c>
      <c r="J8" s="16">
        <f>'[1]资源-钻石'!T8</f>
        <v>48620.558988034674</v>
      </c>
      <c r="K8" s="16">
        <f>'[1]资源-钻石'!U8</f>
        <v>64762.61488683815</v>
      </c>
      <c r="L8" s="16">
        <f>'[1]资源-钻石'!V8</f>
        <v>101130.87637552196</v>
      </c>
      <c r="M8" s="16">
        <f>'[1]资源-钻石'!W8</f>
        <v>245663.96401307415</v>
      </c>
      <c r="N8" s="16">
        <f>'[1]资源-钻石'!X8</f>
        <v>564685.3604143816</v>
      </c>
      <c r="P8" s="16">
        <v>5</v>
      </c>
      <c r="Q8" s="16">
        <f>'[1]功能-行军令'!N8</f>
        <v>19.053823869162375</v>
      </c>
      <c r="R8" s="16">
        <f>'[1]功能-行军令'!O8</f>
        <v>23.611664224090969</v>
      </c>
      <c r="S8" s="16">
        <f>'[1]功能-行军令'!P8</f>
        <v>25.76723160268055</v>
      </c>
      <c r="T8" s="16">
        <f>'[1]功能-行军令'!Q8</f>
        <v>20.905358492970112</v>
      </c>
      <c r="U8" s="16">
        <f>'[1]功能-行军令'!R8</f>
        <v>11.280360786818976</v>
      </c>
      <c r="V8" s="16">
        <f>'[1]功能-行军令'!S8</f>
        <v>4.3564599736092422</v>
      </c>
      <c r="W8" s="16">
        <f>'[1]功能-行军令'!T8</f>
        <v>5.390000269548505</v>
      </c>
      <c r="X8" s="16">
        <f>'[1]功能-行军令'!U8</f>
        <v>5.9146714683889243</v>
      </c>
      <c r="Y8" s="16">
        <f>'[1]功能-行军令'!V8</f>
        <v>4.829158208476553</v>
      </c>
      <c r="Z8" s="16">
        <f>'[1]功能-行军令'!W8</f>
        <v>2.6219200604110853</v>
      </c>
      <c r="AC8" s="21">
        <v>5</v>
      </c>
      <c r="AD8" s="21">
        <f>'[1]功能-实力'!BF9</f>
        <v>56256</v>
      </c>
      <c r="AE8" s="21">
        <f>'[1]功能-实力'!BG9</f>
        <v>57168</v>
      </c>
      <c r="AF8" s="21">
        <f>'[1]功能-实力'!BH9</f>
        <v>58724</v>
      </c>
      <c r="AG8" s="21">
        <f>'[1]功能-实力'!BI9</f>
        <v>61028</v>
      </c>
      <c r="AH8" s="21">
        <f>'[1]功能-实力'!BJ9</f>
        <v>62428</v>
      </c>
      <c r="AL8" s="57">
        <f>[2]基础状态预期!C18</f>
        <v>3</v>
      </c>
      <c r="AM8" s="57">
        <f>[2]基础状态预期!D18</f>
        <v>20</v>
      </c>
      <c r="AO8" s="57">
        <f>[2]基础状态预期!F18</f>
        <v>0</v>
      </c>
      <c r="AP8" s="57">
        <f>[2]基础状态预期!G18</f>
        <v>0</v>
      </c>
      <c r="AQ8" s="57">
        <f>[2]基础状态预期!H18</f>
        <v>0</v>
      </c>
      <c r="AR8" s="57">
        <f>[2]基础状态预期!I18</f>
        <v>6</v>
      </c>
      <c r="AS8" s="57">
        <f>[2]基础状态预期!J18</f>
        <v>0</v>
      </c>
      <c r="AW8" s="16">
        <v>2</v>
      </c>
      <c r="AX8" s="16">
        <f>[1]节奏总纲!BJ5</f>
        <v>0.47499999999999998</v>
      </c>
      <c r="AY8" s="16">
        <f>[1]节奏总纲!BK5</f>
        <v>0.48449999999999999</v>
      </c>
      <c r="AZ8" s="16">
        <f>[1]节奏总纲!BL5</f>
        <v>0.50349999999999995</v>
      </c>
      <c r="BA8" s="16">
        <f>[1]节奏总纲!BM5</f>
        <v>0.54149999999999998</v>
      </c>
      <c r="BB8" s="16">
        <f>[1]节奏总纲!BN5</f>
        <v>0.66499999999999992</v>
      </c>
      <c r="BF8" s="21">
        <f>'[1]功能-行军令'!FZ6</f>
        <v>2</v>
      </c>
      <c r="BG8" s="21">
        <f>'[1]功能-行军令'!GA6*'[1]功能-行军令'!GB6</f>
        <v>14.5</v>
      </c>
    </row>
    <row r="9" spans="2:59">
      <c r="B9" s="4">
        <v>6</v>
      </c>
      <c r="C9" s="16">
        <f>'[1]资源-钻石'!L9</f>
        <v>7478.7530384013098</v>
      </c>
      <c r="D9" s="16">
        <f>'[1]资源-钻石'!M9</f>
        <v>8590.893200390401</v>
      </c>
      <c r="E9" s="16">
        <f>'[1]资源-钻石'!N9</f>
        <v>10971.055697648706</v>
      </c>
      <c r="F9" s="16">
        <f>'[1]资源-钻石'!O9</f>
        <v>19602.189096576229</v>
      </c>
      <c r="G9" s="16">
        <f>'[1]资源-钻石'!P9</f>
        <v>24730.552915572829</v>
      </c>
      <c r="I9" s="4">
        <v>6</v>
      </c>
      <c r="J9" s="16">
        <f>'[1]资源-钻石'!T9</f>
        <v>57150.2804704109</v>
      </c>
      <c r="K9" s="16">
        <f>'[1]资源-钻石'!U9</f>
        <v>76065.308517452009</v>
      </c>
      <c r="L9" s="16">
        <f>'[1]资源-钻石'!V9</f>
        <v>118651.8393691972</v>
      </c>
      <c r="M9" s="16">
        <f>'[1]资源-钻石'!W9</f>
        <v>287817.02330611687</v>
      </c>
      <c r="N9" s="16">
        <f>'[1]资源-钻石'!X9</f>
        <v>661173.72563672857</v>
      </c>
      <c r="P9" s="16">
        <v>6</v>
      </c>
      <c r="Q9" s="16">
        <f>'[1]功能-行军令'!N9</f>
        <v>23.722962059478306</v>
      </c>
      <c r="R9" s="16">
        <f>'[1]功能-行军令'!O9</f>
        <v>29.439164482679558</v>
      </c>
      <c r="S9" s="16">
        <f>'[1]功能-行军令'!P9</f>
        <v>32.156578214936147</v>
      </c>
      <c r="T9" s="16">
        <f>'[1]功能-行军令'!Q9</f>
        <v>26.203507172736675</v>
      </c>
      <c r="U9" s="16">
        <f>'[1]功能-行军令'!R9</f>
        <v>14.251775743858198</v>
      </c>
      <c r="V9" s="16">
        <f>'[1]功能-行军令'!S9</f>
        <v>4.6691381903159304</v>
      </c>
      <c r="W9" s="16">
        <f>'[1]功能-行军令'!T9</f>
        <v>5.8275002585885893</v>
      </c>
      <c r="X9" s="16">
        <f>'[1]功能-行军令'!U9</f>
        <v>6.3893466122555971</v>
      </c>
      <c r="Y9" s="16">
        <f>'[1]功能-行军令'!V9</f>
        <v>5.2981486797665625</v>
      </c>
      <c r="Z9" s="16">
        <f>'[1]功能-行军令'!W9</f>
        <v>2.9714149570392223</v>
      </c>
      <c r="AC9" s="21">
        <v>6</v>
      </c>
      <c r="AD9" s="21">
        <f>'[1]功能-实力'!BF10</f>
        <v>63984</v>
      </c>
      <c r="AE9" s="21">
        <f>'[1]功能-实力'!BG10</f>
        <v>65212</v>
      </c>
      <c r="AF9" s="21">
        <f>'[1]功能-实力'!BH10</f>
        <v>67324</v>
      </c>
      <c r="AG9" s="21">
        <f>'[1]功能-实力'!BI10</f>
        <v>70456</v>
      </c>
      <c r="AH9" s="21">
        <f>'[1]功能-实力'!BJ10</f>
        <v>72368</v>
      </c>
      <c r="AL9" s="57">
        <f>[2]基础状态预期!C19</f>
        <v>6</v>
      </c>
      <c r="AM9" s="57">
        <f>[2]基础状态预期!D19</f>
        <v>28.071211008105138</v>
      </c>
      <c r="AO9" s="57">
        <f>[2]基础状态预期!F19</f>
        <v>0</v>
      </c>
      <c r="AP9" s="57">
        <f>[2]基础状态预期!G19</f>
        <v>0</v>
      </c>
      <c r="AQ9" s="57">
        <f>[2]基础状态预期!H19</f>
        <v>0</v>
      </c>
      <c r="AR9" s="57">
        <f>[2]基础状态预期!I19</f>
        <v>6</v>
      </c>
      <c r="AS9" s="57">
        <f>[2]基础状态预期!J19</f>
        <v>0</v>
      </c>
      <c r="AW9" s="16">
        <v>3</v>
      </c>
      <c r="AX9" s="16">
        <f>[1]节奏总纲!BJ6</f>
        <v>0.65</v>
      </c>
      <c r="AY9" s="16">
        <f>[1]节奏总纲!BK6</f>
        <v>0.66300000000000003</v>
      </c>
      <c r="AZ9" s="16">
        <f>[1]节奏总纲!BL6</f>
        <v>0.68900000000000006</v>
      </c>
      <c r="BA9" s="16">
        <f>[1]节奏总纲!BM6</f>
        <v>0.74099999999999999</v>
      </c>
      <c r="BB9" s="16">
        <f>[1]节奏总纲!BN6</f>
        <v>0.90999999999999992</v>
      </c>
      <c r="BF9" s="21">
        <f>'[1]功能-行军令'!FZ7</f>
        <v>3</v>
      </c>
      <c r="BG9" s="21">
        <f>'[1]功能-行军令'!GA7*'[1]功能-行军令'!GB7</f>
        <v>18.922499999999999</v>
      </c>
    </row>
    <row r="10" spans="2:59">
      <c r="B10" s="4">
        <v>7</v>
      </c>
      <c r="C10" s="16">
        <f>'[1]资源-钻石'!L10</f>
        <v>9056.364327401152</v>
      </c>
      <c r="D10" s="16">
        <f>'[1]资源-钻石'!M10</f>
        <v>10443.399467293943</v>
      </c>
      <c r="E10" s="16">
        <f>'[1]资源-钻石'!N10</f>
        <v>13372.604016402558</v>
      </c>
      <c r="F10" s="16">
        <f>'[1]资源-钻石'!O10</f>
        <v>23847.861989582831</v>
      </c>
      <c r="G10" s="16">
        <f>'[1]资源-钻石'!P10</f>
        <v>29846.901310823479</v>
      </c>
      <c r="I10" s="4">
        <v>7</v>
      </c>
      <c r="J10" s="16">
        <f>'[1]资源-钻石'!T10</f>
        <v>65680.001952787134</v>
      </c>
      <c r="K10" s="16">
        <f>'[1]资源-钻石'!U10</f>
        <v>87013.612097199526</v>
      </c>
      <c r="L10" s="16">
        <f>'[1]资源-钻石'!V10</f>
        <v>135833.17555775886</v>
      </c>
      <c r="M10" s="16">
        <f>'[1]资源-钻石'!W10</f>
        <v>329495.38453408948</v>
      </c>
      <c r="N10" s="16">
        <f>'[1]资源-钻石'!X10</f>
        <v>757274.01349916705</v>
      </c>
      <c r="P10" s="16">
        <v>7</v>
      </c>
      <c r="Q10" s="16">
        <f>'[1]功能-行军令'!N10</f>
        <v>28.727220464773662</v>
      </c>
      <c r="R10" s="16">
        <f>'[1]功能-行军令'!O10</f>
        <v>35.787309596867416</v>
      </c>
      <c r="S10" s="16">
        <f>'[1]功能-行军令'!P10</f>
        <v>39.195606953575002</v>
      </c>
      <c r="T10" s="16">
        <f>'[1]功能-行军令'!Q10</f>
        <v>31.878971252634962</v>
      </c>
      <c r="U10" s="16">
        <f>'[1]功能-行军令'!R10</f>
        <v>17.200235901845417</v>
      </c>
      <c r="V10" s="16">
        <f>'[1]功能-行军令'!S10</f>
        <v>5.0042584052953565</v>
      </c>
      <c r="W10" s="16">
        <f>'[1]功能-行军令'!T10</f>
        <v>6.348145114187858</v>
      </c>
      <c r="X10" s="16">
        <f>'[1]功能-行军令'!U10</f>
        <v>7.039028738638855</v>
      </c>
      <c r="Y10" s="16">
        <f>'[1]功能-行军令'!V10</f>
        <v>5.6754640798982869</v>
      </c>
      <c r="Z10" s="16">
        <f>'[1]功能-行军令'!W10</f>
        <v>2.9484601579872187</v>
      </c>
      <c r="AC10" s="21">
        <v>7</v>
      </c>
      <c r="AD10" s="21">
        <f>'[1]功能-实力'!BF11</f>
        <v>72304</v>
      </c>
      <c r="AE10" s="21">
        <f>'[1]功能-实力'!BG11</f>
        <v>73888</v>
      </c>
      <c r="AF10" s="21">
        <f>'[1]功能-实力'!BH11</f>
        <v>76652</v>
      </c>
      <c r="AG10" s="21">
        <f>'[1]功能-实力'!BI11</f>
        <v>80644</v>
      </c>
      <c r="AH10" s="21">
        <f>'[1]功能-实力'!BJ11</f>
        <v>82920</v>
      </c>
      <c r="AL10" s="57">
        <f>[2]基础状态预期!C20</f>
        <v>10</v>
      </c>
      <c r="AM10" s="57">
        <f>[2]基础状态预期!D20</f>
        <v>34.585942742481357</v>
      </c>
      <c r="AO10" s="57">
        <f>[2]基础状态预期!F20</f>
        <v>0</v>
      </c>
      <c r="AP10" s="57">
        <f>[2]基础状态预期!G20</f>
        <v>0</v>
      </c>
      <c r="AQ10" s="57">
        <f>[2]基础状态预期!H20</f>
        <v>0</v>
      </c>
      <c r="AR10" s="57">
        <f>[2]基础状态预期!I20</f>
        <v>6</v>
      </c>
      <c r="AS10" s="57">
        <f>[2]基础状态预期!J20</f>
        <v>0</v>
      </c>
      <c r="AW10" s="16">
        <v>4</v>
      </c>
      <c r="AX10" s="16">
        <f>[1]节奏总纲!BJ7</f>
        <v>0.82499999999999996</v>
      </c>
      <c r="AY10" s="16">
        <f>[1]节奏总纲!BK7</f>
        <v>0.84149999999999991</v>
      </c>
      <c r="AZ10" s="16">
        <f>[1]节奏总纲!BL7</f>
        <v>0.87449999999999994</v>
      </c>
      <c r="BA10" s="16">
        <f>[1]节奏总纲!BM7</f>
        <v>0.94049999999999989</v>
      </c>
      <c r="BB10" s="16">
        <f>[1]节奏总纲!BN7</f>
        <v>1.1549999999999998</v>
      </c>
      <c r="BF10" s="21">
        <f>'[1]功能-行军令'!FZ8</f>
        <v>4</v>
      </c>
      <c r="BG10" s="21">
        <f>'[1]功能-行军令'!GA8*'[1]功能-行军令'!GB8</f>
        <v>22.224476249999999</v>
      </c>
    </row>
    <row r="11" spans="2:59">
      <c r="B11" s="4">
        <v>8</v>
      </c>
      <c r="C11" s="16">
        <f>'[1]资源-钻石'!L11</f>
        <v>10747.20624114886</v>
      </c>
      <c r="D11" s="16">
        <f>'[1]资源-钻石'!M11</f>
        <v>12335.24414104376</v>
      </c>
      <c r="E11" s="16">
        <f>'[1]资源-钻石'!N11</f>
        <v>15694.428505331771</v>
      </c>
      <c r="F11" s="16">
        <f>'[1]资源-钻石'!O11</f>
        <v>27889.164573650749</v>
      </c>
      <c r="G11" s="16">
        <f>'[1]资源-钻石'!P11</f>
        <v>34995.512475748721</v>
      </c>
      <c r="I11" s="4">
        <v>8</v>
      </c>
      <c r="J11" s="16">
        <f>'[1]资源-钻石'!T11</f>
        <v>71369.493447807283</v>
      </c>
      <c r="K11" s="16">
        <f>'[1]资源-钻石'!U11</f>
        <v>95426.442792588015</v>
      </c>
      <c r="L11" s="16">
        <f>'[1]资源-钻石'!V11</f>
        <v>149807.08707184682</v>
      </c>
      <c r="M11" s="16">
        <f>'[1]资源-钻石'!W11</f>
        <v>366417.79577903147</v>
      </c>
      <c r="N11" s="16">
        <f>'[1]资源-钻石'!X11</f>
        <v>844742.07535693469</v>
      </c>
      <c r="P11" s="16">
        <v>8</v>
      </c>
      <c r="Q11" s="16">
        <f>'[1]功能-行军令'!N11</f>
        <v>34.090651823243419</v>
      </c>
      <c r="R11" s="16">
        <f>'[1]功能-行军令'!O11</f>
        <v>42.270259067554726</v>
      </c>
      <c r="S11" s="16">
        <f>'[1]功能-行军令'!P11</f>
        <v>46.0009621388201</v>
      </c>
      <c r="T11" s="16">
        <f>'[1]功能-行军令'!Q11</f>
        <v>37.281240393448371</v>
      </c>
      <c r="U11" s="16">
        <f>'[1]功能-行军令'!R11</f>
        <v>20.167288517504215</v>
      </c>
      <c r="V11" s="16">
        <f>'[1]功能-行军令'!S11</f>
        <v>5.3634313584697573</v>
      </c>
      <c r="W11" s="16">
        <f>'[1]功能-行军令'!T11</f>
        <v>6.4829494706873092</v>
      </c>
      <c r="X11" s="16">
        <f>'[1]功能-行军令'!U11</f>
        <v>6.805355185245098</v>
      </c>
      <c r="Y11" s="16">
        <f>'[1]功能-行军令'!V11</f>
        <v>5.4022691408134094</v>
      </c>
      <c r="Z11" s="16">
        <f>'[1]功能-行军令'!W11</f>
        <v>2.9670526156587975</v>
      </c>
      <c r="AC11" s="21">
        <v>8</v>
      </c>
      <c r="AD11" s="21">
        <f>'[1]功能-实力'!BF12</f>
        <v>81240</v>
      </c>
      <c r="AE11" s="21">
        <f>'[1]功能-实力'!BG12</f>
        <v>83092</v>
      </c>
      <c r="AF11" s="21">
        <f>'[1]功能-实力'!BH12</f>
        <v>86368</v>
      </c>
      <c r="AG11" s="21">
        <f>'[1]功能-实力'!BI12</f>
        <v>91236</v>
      </c>
      <c r="AH11" s="21">
        <f>'[1]功能-实力'!BJ12</f>
        <v>94124</v>
      </c>
      <c r="AL11" s="57">
        <f>[2]基础状态预期!C21</f>
        <v>15</v>
      </c>
      <c r="AM11" s="57">
        <f>[2]基础状态预期!D21</f>
        <v>40</v>
      </c>
      <c r="AO11" s="57">
        <f>[2]基础状态预期!F21</f>
        <v>0</v>
      </c>
      <c r="AP11" s="57">
        <f>[2]基础状态预期!G21</f>
        <v>0</v>
      </c>
      <c r="AQ11" s="57">
        <f>[2]基础状态预期!H21</f>
        <v>0</v>
      </c>
      <c r="AR11" s="57">
        <f>[2]基础状态预期!I21</f>
        <v>6</v>
      </c>
      <c r="AS11" s="57">
        <f>[2]基础状态预期!J21</f>
        <v>0</v>
      </c>
      <c r="AW11" s="16">
        <v>5</v>
      </c>
      <c r="AX11" s="16">
        <f>[1]节奏总纲!BJ8</f>
        <v>1</v>
      </c>
      <c r="AY11" s="16">
        <f>[1]节奏总纲!BK8</f>
        <v>1.02</v>
      </c>
      <c r="AZ11" s="16">
        <f>[1]节奏总纲!BL8</f>
        <v>1.06</v>
      </c>
      <c r="BA11" s="16">
        <f>[1]节奏总纲!BM8</f>
        <v>1.1399999999999999</v>
      </c>
      <c r="BB11" s="16">
        <f>[1]节奏总纲!BN8</f>
        <v>1.4</v>
      </c>
      <c r="BF11" s="21">
        <f>'[1]功能-行军令'!FZ9</f>
        <v>5</v>
      </c>
      <c r="BG11" s="21">
        <f>'[1]功能-行军令'!GA9*'[1]功能-行军令'!GB9</f>
        <v>25.558147687499996</v>
      </c>
    </row>
    <row r="12" spans="2:59">
      <c r="B12" s="4">
        <v>9</v>
      </c>
      <c r="C12" s="16">
        <f>'[1]资源-钻石'!L12</f>
        <v>12559.405733647733</v>
      </c>
      <c r="D12" s="16">
        <f>'[1]资源-钻石'!M12</f>
        <v>14410.139453011971</v>
      </c>
      <c r="E12" s="16">
        <f>'[1]资源-钻石'!N12</f>
        <v>18405.364234952573</v>
      </c>
      <c r="F12" s="16">
        <f>'[1]资源-钻石'!O12</f>
        <v>32952.202123758485</v>
      </c>
      <c r="G12" s="16">
        <f>'[1]资源-钻石'!P12</f>
        <v>41453.73097236536</v>
      </c>
      <c r="I12" s="4">
        <v>9</v>
      </c>
      <c r="J12" s="16">
        <f>'[1]资源-钻石'!T12</f>
        <v>77058.984942827432</v>
      </c>
      <c r="K12" s="16">
        <f>'[1]资源-钻石'!U12</f>
        <v>103484.8834371102</v>
      </c>
      <c r="L12" s="16">
        <f>'[1]资源-钻石'!V12</f>
        <v>163441.37178082121</v>
      </c>
      <c r="M12" s="16">
        <f>'[1]资源-钻石'!W12</f>
        <v>402865.50895890332</v>
      </c>
      <c r="N12" s="16">
        <f>'[1]资源-钻石'!X12</f>
        <v>931822.0598547936</v>
      </c>
      <c r="P12" s="16">
        <v>9</v>
      </c>
      <c r="Q12" s="16">
        <f>'[1]功能-行军令'!N12</f>
        <v>39.839035221386283</v>
      </c>
      <c r="R12" s="16">
        <f>'[1]功能-行军令'!O12</f>
        <v>49.380484156908295</v>
      </c>
      <c r="S12" s="16">
        <f>'[1]功能-行军令'!P12</f>
        <v>53.946817052663931</v>
      </c>
      <c r="T12" s="16">
        <f>'[1]功能-行军令'!Q12</f>
        <v>44.049328391500353</v>
      </c>
      <c r="U12" s="16">
        <f>'[1]功能-行军令'!R12</f>
        <v>23.889044437512744</v>
      </c>
      <c r="V12" s="16">
        <f>'[1]功能-行军令'!S12</f>
        <v>5.7483833981428631</v>
      </c>
      <c r="W12" s="16">
        <f>'[1]功能-行军令'!T12</f>
        <v>7.1102250893535697</v>
      </c>
      <c r="X12" s="16">
        <f>'[1]功能-行军令'!U12</f>
        <v>7.9458549138438315</v>
      </c>
      <c r="Y12" s="16">
        <f>'[1]功能-行军令'!V12</f>
        <v>6.7680879980519819</v>
      </c>
      <c r="Z12" s="16">
        <f>'[1]功能-行军令'!W12</f>
        <v>3.7217559200085297</v>
      </c>
      <c r="AC12" s="21">
        <v>9</v>
      </c>
      <c r="AD12" s="21">
        <f>'[1]功能-实力'!BF13</f>
        <v>99413.6</v>
      </c>
      <c r="AE12" s="21">
        <f>'[1]功能-实力'!BG13</f>
        <v>101864.40000000001</v>
      </c>
      <c r="AF12" s="21">
        <f>'[1]功能-实力'!BH13</f>
        <v>106304</v>
      </c>
      <c r="AG12" s="21">
        <f>'[1]功能-实力'!BI13</f>
        <v>112882.00000000001</v>
      </c>
      <c r="AH12" s="21">
        <f>'[1]功能-实力'!BJ13</f>
        <v>116820</v>
      </c>
      <c r="AL12" s="57">
        <f>[2]基础状态预期!C22</f>
        <v>20</v>
      </c>
      <c r="AM12" s="57">
        <f>[2]基础状态预期!D22</f>
        <v>43.920692243099523</v>
      </c>
      <c r="AO12" s="57">
        <f>[2]基础状态预期!F22</f>
        <v>0</v>
      </c>
      <c r="AP12" s="57">
        <f>[2]基础状态预期!G22</f>
        <v>0</v>
      </c>
      <c r="AQ12" s="57">
        <f>[2]基础状态预期!H22</f>
        <v>0</v>
      </c>
      <c r="AR12" s="57">
        <f>[2]基础状态预期!I22</f>
        <v>6</v>
      </c>
      <c r="AS12" s="57">
        <f>[2]基础状态预期!J22</f>
        <v>0</v>
      </c>
      <c r="AW12" s="16">
        <v>6</v>
      </c>
      <c r="AX12" s="16">
        <f>[1]节奏总纲!BJ9</f>
        <v>1.0333333333333334</v>
      </c>
      <c r="AY12" s="16">
        <f>[1]节奏总纲!BK9</f>
        <v>1.054</v>
      </c>
      <c r="AZ12" s="16">
        <f>[1]节奏总纲!BL9</f>
        <v>1.0953333333333335</v>
      </c>
      <c r="BA12" s="16">
        <f>[1]节奏总纲!BM9</f>
        <v>1.1779999999999999</v>
      </c>
      <c r="BB12" s="16">
        <f>[1]节奏总纲!BN9</f>
        <v>1.4466666666666668</v>
      </c>
      <c r="BF12" s="21">
        <f>'[1]功能-行军令'!FZ10</f>
        <v>6</v>
      </c>
      <c r="BG12" s="21">
        <f>'[1]功能-行军令'!GA10*'[1]功能-行军令'!GB10</f>
        <v>28.7529161484375</v>
      </c>
    </row>
    <row r="13" spans="2:59">
      <c r="B13" s="4">
        <v>10</v>
      </c>
      <c r="C13" s="16">
        <f>'[1]资源-钻石'!L13</f>
        <v>14501.673058529761</v>
      </c>
      <c r="D13" s="16">
        <f>'[1]资源-钻石'!M13</f>
        <v>16712.913143474369</v>
      </c>
      <c r="E13" s="16">
        <f>'[1]资源-钻石'!N13</f>
        <v>21406.923324366089</v>
      </c>
      <c r="F13" s="16">
        <f>'[1]资源-钻石'!O13</f>
        <v>38510.453075083373</v>
      </c>
      <c r="G13" s="16">
        <f>'[1]资源-钻石'!P13</f>
        <v>48829.554950228208</v>
      </c>
      <c r="I13" s="4">
        <v>10</v>
      </c>
      <c r="J13" s="16">
        <f>'[1]资源-钻石'!T13</f>
        <v>82748.476437847581</v>
      </c>
      <c r="K13" s="16">
        <f>'[1]资源-钻石'!U13</f>
        <v>111543.32408163235</v>
      </c>
      <c r="L13" s="16">
        <f>'[1]资源-钻石'!V13</f>
        <v>177075.6564897956</v>
      </c>
      <c r="M13" s="16">
        <f>'[1]资源-钻石'!W13</f>
        <v>439313.22213877511</v>
      </c>
      <c r="N13" s="16">
        <f>'[1]资源-钻石'!X13</f>
        <v>1018902.0443526527</v>
      </c>
      <c r="P13" s="16">
        <v>10</v>
      </c>
      <c r="Q13" s="16">
        <f>'[1]功能-行军令'!N13</f>
        <v>46</v>
      </c>
      <c r="R13" s="16">
        <f>'[1]功能-行军令'!O13</f>
        <v>57.271599999999999</v>
      </c>
      <c r="S13" s="16">
        <f>'[1]功能-行军令'!P13</f>
        <v>62.744500000000002</v>
      </c>
      <c r="T13" s="16">
        <f>'[1]功能-行军令'!Q13</f>
        <v>51.479400000000005</v>
      </c>
      <c r="U13" s="16">
        <f>'[1]功能-行军令'!R13</f>
        <v>28.139600000000002</v>
      </c>
      <c r="V13" s="16">
        <f>'[1]功能-行军令'!S13</f>
        <v>6.1609647786137174</v>
      </c>
      <c r="W13" s="16">
        <f>'[1]功能-行军令'!T13</f>
        <v>7.8911158430917041</v>
      </c>
      <c r="X13" s="16">
        <f>'[1]功能-行军令'!U13</f>
        <v>8.7976829473360709</v>
      </c>
      <c r="Y13" s="16">
        <f>'[1]功能-行军令'!V13</f>
        <v>7.4300716084996523</v>
      </c>
      <c r="Z13" s="16">
        <f>'[1]功能-行军令'!W13</f>
        <v>4.2505555624872571</v>
      </c>
      <c r="AC13" s="21">
        <v>10</v>
      </c>
      <c r="AD13" s="21">
        <f>'[1]功能-实力'!BF14</f>
        <v>120374.39999999999</v>
      </c>
      <c r="AE13" s="21">
        <f>'[1]功能-实力'!BG14</f>
        <v>123321.59999999999</v>
      </c>
      <c r="AF13" s="21">
        <f>'[1]功能-实力'!BH14</f>
        <v>129148.79999999999</v>
      </c>
      <c r="AG13" s="21">
        <f>'[1]功能-实力'!BI14</f>
        <v>137803.20000000001</v>
      </c>
      <c r="AH13" s="21">
        <f>'[1]功能-实力'!BJ14</f>
        <v>143035.20000000001</v>
      </c>
      <c r="AL13" s="57">
        <f>[2]基础状态预期!C23</f>
        <v>30</v>
      </c>
      <c r="AM13" s="57">
        <f>[2]基础状态预期!D23</f>
        <v>49.533352307096472</v>
      </c>
      <c r="AO13" s="57">
        <f>[2]基础状态预期!F23</f>
        <v>0</v>
      </c>
      <c r="AP13" s="57">
        <f>[2]基础状态预期!G23</f>
        <v>0</v>
      </c>
      <c r="AQ13" s="57">
        <f>[2]基础状态预期!H23</f>
        <v>0</v>
      </c>
      <c r="AR13" s="57">
        <f>[2]基础状态预期!I23</f>
        <v>6</v>
      </c>
      <c r="AS13" s="57">
        <f>[2]基础状态预期!J23</f>
        <v>0</v>
      </c>
      <c r="AW13" s="16">
        <v>7</v>
      </c>
      <c r="AX13" s="16">
        <f>[1]节奏总纲!BJ10</f>
        <v>1.0666666666666669</v>
      </c>
      <c r="AY13" s="16">
        <f>[1]节奏总纲!BK10</f>
        <v>1.0880000000000003</v>
      </c>
      <c r="AZ13" s="16">
        <f>[1]节奏总纲!BL10</f>
        <v>1.1306666666666669</v>
      </c>
      <c r="BA13" s="16">
        <f>[1]节奏总纲!BM10</f>
        <v>1.2160000000000002</v>
      </c>
      <c r="BB13" s="16">
        <f>[1]节奏总纲!BN10</f>
        <v>1.4933333333333336</v>
      </c>
      <c r="BF13" s="21">
        <f>'[1]功能-行军令'!FZ11</f>
        <v>7</v>
      </c>
      <c r="BG13" s="21">
        <f>'[1]功能-行军令'!GA11*'[1]功能-行军令'!GB11</f>
        <v>31.628207763281253</v>
      </c>
    </row>
    <row r="14" spans="2:59">
      <c r="B14" s="4">
        <v>11</v>
      </c>
      <c r="C14" s="16">
        <f>'[1]资源-钻石'!L14</f>
        <v>15726.088349050451</v>
      </c>
      <c r="D14" s="16">
        <f>'[1]资源-钻石'!M14</f>
        <v>19167.896551545822</v>
      </c>
      <c r="E14" s="16">
        <f>'[1]资源-钻石'!N14</f>
        <v>24667.991108060392</v>
      </c>
      <c r="F14" s="16">
        <f>'[1]资源-钻石'!O14</f>
        <v>44364.525578775363</v>
      </c>
      <c r="G14" s="16">
        <f>'[1]资源-钻石'!P14</f>
        <v>56779.073660921611</v>
      </c>
      <c r="I14" s="4">
        <v>11</v>
      </c>
      <c r="J14" s="16">
        <f>'[1]资源-钻石'!T14</f>
        <v>88437.96793286773</v>
      </c>
      <c r="K14" s="16">
        <f>'[1]资源-钻石'!U14</f>
        <v>119601.76472615452</v>
      </c>
      <c r="L14" s="16">
        <f>'[1]资源-钻石'!V14</f>
        <v>190709.94119876999</v>
      </c>
      <c r="M14" s="16">
        <f>'[1]资源-钻石'!W14</f>
        <v>475760.93531864701</v>
      </c>
      <c r="N14" s="16">
        <f>'[1]资源-钻石'!X14</f>
        <v>1105982.0288505116</v>
      </c>
      <c r="P14" s="16">
        <v>11</v>
      </c>
      <c r="Q14" s="16">
        <f>'[1]功能-行军令'!N14</f>
        <v>52.603158553338972</v>
      </c>
      <c r="R14" s="16">
        <f>'[1]功能-行军令'!O14</f>
        <v>65.684306183936783</v>
      </c>
      <c r="S14" s="16">
        <f>'[1]功能-行军令'!P14</f>
        <v>72.302812722179397</v>
      </c>
      <c r="T14" s="16">
        <f>'[1]功能-行军令'!Q14</f>
        <v>59.304915307726851</v>
      </c>
      <c r="U14" s="16">
        <f>'[1]功能-行军令'!R14</f>
        <v>32.720765585871938</v>
      </c>
      <c r="V14" s="16">
        <f>'[1]功能-行军令'!S14</f>
        <v>6.6031585533389716</v>
      </c>
      <c r="W14" s="16">
        <f>'[1]功能-行军令'!T14</f>
        <v>8.412706183936784</v>
      </c>
      <c r="X14" s="16">
        <f>'[1]功能-行军令'!U14</f>
        <v>9.5583127221793944</v>
      </c>
      <c r="Y14" s="16">
        <f>'[1]功能-行军令'!V14</f>
        <v>7.825515307726846</v>
      </c>
      <c r="Z14" s="16">
        <f>'[1]功能-行军令'!W14</f>
        <v>4.5811655858719362</v>
      </c>
      <c r="AC14" s="21">
        <v>11</v>
      </c>
      <c r="AD14" s="21">
        <f>'[1]功能-实力'!BF15</f>
        <v>139575</v>
      </c>
      <c r="AE14" s="21">
        <f>'[1]功能-实力'!BG15</f>
        <v>143025</v>
      </c>
      <c r="AF14" s="21">
        <f>'[1]功能-实力'!BH15</f>
        <v>149780</v>
      </c>
      <c r="AG14" s="21">
        <f>'[1]功能-实力'!BI15</f>
        <v>160330</v>
      </c>
      <c r="AH14" s="21">
        <f>'[1]功能-实力'!BJ15</f>
        <v>166520</v>
      </c>
      <c r="AL14" s="57">
        <f>[2]基础状态预期!C24</f>
        <v>40</v>
      </c>
      <c r="AM14" s="57">
        <f>[2]基础状态预期!D24</f>
        <v>53.567039423670657</v>
      </c>
      <c r="AO14" s="57">
        <f>[2]基础状态预期!F24</f>
        <v>0</v>
      </c>
      <c r="AP14" s="57">
        <f>[2]基础状态预期!G24</f>
        <v>0</v>
      </c>
      <c r="AQ14" s="57">
        <f>[2]基础状态预期!H24</f>
        <v>0</v>
      </c>
      <c r="AR14" s="57">
        <f>[2]基础状态预期!I24</f>
        <v>5</v>
      </c>
      <c r="AS14" s="57">
        <f>[2]基础状态预期!J24</f>
        <v>1</v>
      </c>
      <c r="AW14" s="16">
        <v>8</v>
      </c>
      <c r="AX14" s="16">
        <f>[1]节奏总纲!BJ11</f>
        <v>1.1000000000000003</v>
      </c>
      <c r="AY14" s="16">
        <f>[1]节奏总纲!BK11</f>
        <v>1.1220000000000003</v>
      </c>
      <c r="AZ14" s="16">
        <f>[1]节奏总纲!BL11</f>
        <v>1.1660000000000004</v>
      </c>
      <c r="BA14" s="16">
        <f>[1]节奏总纲!BM11</f>
        <v>1.2540000000000002</v>
      </c>
      <c r="BB14" s="16">
        <f>[1]节奏总纲!BN11</f>
        <v>1.5400000000000003</v>
      </c>
      <c r="BF14" s="21">
        <f>'[1]功能-行军令'!FZ12</f>
        <v>8</v>
      </c>
      <c r="BG14" s="21">
        <f>'[1]功能-行军令'!GA12*'[1]功能-行军令'!GB12</f>
        <v>34.000323345527342</v>
      </c>
    </row>
    <row r="15" spans="2:59">
      <c r="B15" s="4">
        <v>12</v>
      </c>
      <c r="C15" s="16">
        <f>'[1]资源-钻石'!L15</f>
        <v>17038.384164554194</v>
      </c>
      <c r="D15" s="16">
        <f>'[1]资源-钻石'!M15</f>
        <v>20825.059623865094</v>
      </c>
      <c r="E15" s="16">
        <f>'[1]资源-钻石'!N15</f>
        <v>28123.71056574865</v>
      </c>
      <c r="F15" s="16">
        <f>'[1]资源-钻石'!O15</f>
        <v>51022.981683163329</v>
      </c>
      <c r="G15" s="16">
        <f>'[1]资源-钻石'!P15</f>
        <v>65345.525077267288</v>
      </c>
      <c r="I15" s="4">
        <v>12</v>
      </c>
      <c r="J15" s="16">
        <f>'[1]资源-钻石'!T15</f>
        <v>94127.459427887894</v>
      </c>
      <c r="K15" s="16">
        <f>'[1]资源-钻石'!U15</f>
        <v>127660.20537067669</v>
      </c>
      <c r="L15" s="16">
        <f>'[1]资源-钻石'!V15</f>
        <v>204344.22590774437</v>
      </c>
      <c r="M15" s="16">
        <f>'[1]资源-钻石'!W15</f>
        <v>512208.6484985188</v>
      </c>
      <c r="N15" s="16">
        <f>'[1]资源-钻石'!X15</f>
        <v>1193062.0133483706</v>
      </c>
      <c r="P15" s="16">
        <v>12</v>
      </c>
      <c r="Q15" s="16">
        <f>'[1]功能-行军令'!N15</f>
        <v>59.680248659727226</v>
      </c>
      <c r="R15" s="16">
        <f>'[1]功能-行军令'!O15</f>
        <v>74.54737703889127</v>
      </c>
      <c r="S15" s="16">
        <f>'[1]功能-行军令'!P15</f>
        <v>82.431656845525254</v>
      </c>
      <c r="T15" s="16">
        <f>'[1]功能-行军令'!Q15</f>
        <v>68.205701920440248</v>
      </c>
      <c r="U15" s="16">
        <f>'[1]功能-行军令'!R15</f>
        <v>37.657458466261879</v>
      </c>
      <c r="V15" s="16">
        <f>'[1]功能-行军令'!S15</f>
        <v>7.0770901063882548</v>
      </c>
      <c r="W15" s="16">
        <f>'[1]功能-行军令'!T15</f>
        <v>8.8630708549544863</v>
      </c>
      <c r="X15" s="16">
        <f>'[1]功能-行军令'!U15</f>
        <v>10.128844123345857</v>
      </c>
      <c r="Y15" s="16">
        <f>'[1]功能-行军令'!V15</f>
        <v>8.9007866127133966</v>
      </c>
      <c r="Z15" s="16">
        <f>'[1]功能-行军令'!W15</f>
        <v>4.9366928803899413</v>
      </c>
      <c r="AC15" s="21">
        <v>12</v>
      </c>
      <c r="AD15" s="21">
        <f>'[1]功能-实力'!BF16</f>
        <v>151330</v>
      </c>
      <c r="AE15" s="21">
        <f>'[1]功能-实力'!BG16</f>
        <v>155545</v>
      </c>
      <c r="AF15" s="21">
        <f>'[1]功能-实力'!BH16</f>
        <v>162445</v>
      </c>
      <c r="AG15" s="21">
        <f>'[1]功能-实力'!BI16</f>
        <v>174130</v>
      </c>
      <c r="AH15" s="21">
        <f>'[1]功能-实力'!BJ16</f>
        <v>181420</v>
      </c>
      <c r="AL15" s="57">
        <f>[2]基础状态预期!C25</f>
        <v>60</v>
      </c>
      <c r="AM15" s="57">
        <f>[2]基础状态预期!D25</f>
        <v>59.300028460644697</v>
      </c>
      <c r="AO15" s="57">
        <f>[2]基础状态预期!F25</f>
        <v>0</v>
      </c>
      <c r="AP15" s="57">
        <f>[2]基础状态预期!G25</f>
        <v>0</v>
      </c>
      <c r="AQ15" s="57">
        <f>[2]基础状态预期!H25</f>
        <v>0</v>
      </c>
      <c r="AR15" s="57">
        <f>[2]基础状态预期!I25</f>
        <v>4</v>
      </c>
      <c r="AS15" s="57">
        <f>[2]基础状态预期!J25</f>
        <v>2</v>
      </c>
      <c r="AW15" s="16">
        <v>9</v>
      </c>
      <c r="AX15" s="16">
        <f>[1]节奏总纲!BJ12</f>
        <v>1.1333333333333337</v>
      </c>
      <c r="AY15" s="16">
        <f>[1]节奏总纲!BK12</f>
        <v>1.1560000000000004</v>
      </c>
      <c r="AZ15" s="16">
        <f>[1]节奏总纲!BL12</f>
        <v>1.2013333333333338</v>
      </c>
      <c r="BA15" s="16">
        <f>[1]节奏总纲!BM12</f>
        <v>1.2920000000000003</v>
      </c>
      <c r="BB15" s="16">
        <f>[1]节奏总纲!BN12</f>
        <v>1.5866666666666671</v>
      </c>
      <c r="BF15" s="21">
        <f>'[1]功能-行军令'!FZ13</f>
        <v>9</v>
      </c>
      <c r="BG15" s="21">
        <f>'[1]功能-行军令'!GA13*'[1]功能-行军令'!GB13</f>
        <v>35.700339512803708</v>
      </c>
    </row>
    <row r="16" spans="2:59">
      <c r="B16" s="4">
        <v>13</v>
      </c>
      <c r="C16" s="16">
        <f>'[1]资源-钻石'!L16</f>
        <v>18444.867994608529</v>
      </c>
      <c r="D16" s="16">
        <f>'[1]资源-钻石'!M16</f>
        <v>22522.557065644731</v>
      </c>
      <c r="E16" s="16">
        <f>'[1]资源-钻石'!N16</f>
        <v>31563.040133767903</v>
      </c>
      <c r="F16" s="16">
        <f>'[1]资源-钻石'!O16</f>
        <v>58217.56000155623</v>
      </c>
      <c r="G16" s="16">
        <f>'[1]资源-钻石'!P16</f>
        <v>74826.697957350567</v>
      </c>
      <c r="I16" s="4">
        <v>13</v>
      </c>
      <c r="J16" s="16">
        <f>'[1]资源-钻石'!T16</f>
        <v>99816.950922908043</v>
      </c>
      <c r="K16" s="16">
        <f>'[1]资源-钻石'!U16</f>
        <v>135718.64601519887</v>
      </c>
      <c r="L16" s="16">
        <f>'[1]资源-钻石'!V16</f>
        <v>217978.51061671876</v>
      </c>
      <c r="M16" s="16">
        <f>'[1]资源-钻石'!W16</f>
        <v>548656.36167839065</v>
      </c>
      <c r="N16" s="16">
        <f>'[1]资源-钻石'!X16</f>
        <v>1280141.9978462297</v>
      </c>
      <c r="P16" s="16">
        <v>13</v>
      </c>
      <c r="Q16" s="16">
        <f>'[1]功能-行军令'!N16</f>
        <v>67.265286027732301</v>
      </c>
      <c r="R16" s="16">
        <f>'[1]功能-行军令'!O16</f>
        <v>84.609786258865753</v>
      </c>
      <c r="S16" s="16">
        <f>'[1]功能-行军令'!P16</f>
        <v>93.680071393057432</v>
      </c>
      <c r="T16" s="16">
        <f>'[1]功能-行军令'!Q16</f>
        <v>77.82315758531557</v>
      </c>
      <c r="U16" s="16">
        <f>'[1]功能-行军令'!R16</f>
        <v>43.121288981373802</v>
      </c>
      <c r="V16" s="16">
        <f>'[1]功能-行军令'!S16</f>
        <v>7.5850373680050751</v>
      </c>
      <c r="W16" s="16">
        <f>'[1]功能-行军令'!T16</f>
        <v>10.062409219974484</v>
      </c>
      <c r="X16" s="16">
        <f>'[1]功能-行军令'!U16</f>
        <v>11.248414547532178</v>
      </c>
      <c r="Y16" s="16">
        <f>'[1]功能-行军令'!V16</f>
        <v>9.6174556648753224</v>
      </c>
      <c r="Z16" s="16">
        <f>'[1]功能-行军令'!W16</f>
        <v>5.4638305151119226</v>
      </c>
      <c r="AC16" s="21">
        <v>13</v>
      </c>
      <c r="AD16" s="21">
        <f>'[1]功能-实力'!BF17</f>
        <v>163705</v>
      </c>
      <c r="AE16" s="21">
        <f>'[1]功能-实力'!BG17</f>
        <v>168275</v>
      </c>
      <c r="AF16" s="21">
        <f>'[1]功能-实力'!BH17</f>
        <v>176240</v>
      </c>
      <c r="AG16" s="21">
        <f>'[1]功能-实力'!BI17</f>
        <v>188405</v>
      </c>
      <c r="AH16" s="21">
        <f>'[1]功能-实力'!BJ17</f>
        <v>196955</v>
      </c>
      <c r="AL16" s="57">
        <f>[2]基础状态预期!C26</f>
        <v>90</v>
      </c>
      <c r="AM16" s="57">
        <f>[2]基础状态预期!D26</f>
        <v>65.075479910097457</v>
      </c>
      <c r="AO16" s="57">
        <f>[2]基础状态预期!F26</f>
        <v>0</v>
      </c>
      <c r="AP16" s="57">
        <f>[2]基础状态预期!G26</f>
        <v>0</v>
      </c>
      <c r="AQ16" s="57">
        <f>[2]基础状态预期!H26</f>
        <v>0</v>
      </c>
      <c r="AR16" s="57">
        <f>[2]基础状态预期!I26</f>
        <v>3</v>
      </c>
      <c r="AS16" s="57">
        <f>[2]基础状态预期!J26</f>
        <v>3</v>
      </c>
      <c r="AW16" s="16">
        <v>10</v>
      </c>
      <c r="AX16" s="16">
        <f>[1]节奏总纲!BJ13</f>
        <v>1.1666666666666672</v>
      </c>
      <c r="AY16" s="16">
        <f>[1]节奏总纲!BK13</f>
        <v>1.1900000000000006</v>
      </c>
      <c r="AZ16" s="16">
        <f>[1]节奏总纲!BL13</f>
        <v>1.2366666666666672</v>
      </c>
      <c r="BA16" s="16">
        <f>[1]节奏总纲!BM13</f>
        <v>1.3300000000000005</v>
      </c>
      <c r="BB16" s="16">
        <f>[1]节奏总纲!BN13</f>
        <v>1.633333333333334</v>
      </c>
      <c r="BF16" s="21">
        <f>'[1]功能-行军令'!FZ14</f>
        <v>10</v>
      </c>
      <c r="BG16" s="21">
        <f>'[1]功能-行军令'!GA14*'[1]功能-行军令'!GB14</f>
        <v>37.485356488443898</v>
      </c>
    </row>
    <row r="17" spans="2:59">
      <c r="B17" s="4">
        <v>14</v>
      </c>
      <c r="C17" s="16">
        <f>'[1]资源-钻石'!L17</f>
        <v>19952.300039147165</v>
      </c>
      <c r="D17" s="16">
        <f>'[1]资源-钻石'!M17</f>
        <v>24227.212538513926</v>
      </c>
      <c r="E17" s="16">
        <f>'[1]资源-钻石'!N17</f>
        <v>33754.411692335707</v>
      </c>
      <c r="F17" s="16">
        <f>'[1]资源-钻石'!O17</f>
        <v>65190.381474620808</v>
      </c>
      <c r="G17" s="16">
        <f>'[1]资源-钻石'!P17</f>
        <v>83664.923820554817</v>
      </c>
      <c r="I17" s="4">
        <v>14</v>
      </c>
      <c r="J17" s="16">
        <f>'[1]资源-钻石'!T17</f>
        <v>105506.43551656598</v>
      </c>
      <c r="K17" s="16">
        <f>'[1]资源-钻石'!U17</f>
        <v>143763.35342501907</v>
      </c>
      <c r="L17" s="16">
        <f>'[1]资源-钻石'!V17</f>
        <v>231399.60984942626</v>
      </c>
      <c r="M17" s="16">
        <f>'[1]资源-钻石'!W17</f>
        <v>584412.16485232592</v>
      </c>
      <c r="N17" s="16">
        <f>'[1]资源-钻石'!X17</f>
        <v>1365888.7106964437</v>
      </c>
      <c r="P17" s="16">
        <v>14</v>
      </c>
      <c r="Q17" s="16">
        <f>'[1]功能-行军令'!N17</f>
        <v>75.394727791106263</v>
      </c>
      <c r="R17" s="16">
        <f>'[1]功能-行军令'!O17</f>
        <v>94.714626787577259</v>
      </c>
      <c r="S17" s="16">
        <f>'[1]功能-行军令'!P17</f>
        <v>105.06156976741366</v>
      </c>
      <c r="T17" s="16">
        <f>'[1]功能-行军令'!Q17</f>
        <v>87.144176609439413</v>
      </c>
      <c r="U17" s="16">
        <f>'[1]功能-行军令'!R17</f>
        <v>48.214600619248152</v>
      </c>
      <c r="V17" s="16">
        <f>'[1]功能-行军令'!S17</f>
        <v>8.1294417633739613</v>
      </c>
      <c r="W17" s="16">
        <f>'[1]功能-行军令'!T17</f>
        <v>10.104840528711506</v>
      </c>
      <c r="X17" s="16">
        <f>'[1]功能-行军令'!U17</f>
        <v>11.381498374356227</v>
      </c>
      <c r="Y17" s="16">
        <f>'[1]功能-行军令'!V17</f>
        <v>9.3210190241238422</v>
      </c>
      <c r="Z17" s="16">
        <f>'[1]功能-行军令'!W17</f>
        <v>5.0933116378743506</v>
      </c>
      <c r="AC17" s="21">
        <v>14</v>
      </c>
      <c r="AD17" s="21">
        <f>'[1]功能-实力'!BF18</f>
        <v>176565</v>
      </c>
      <c r="AE17" s="21">
        <f>'[1]功能-实力'!BG18</f>
        <v>181520</v>
      </c>
      <c r="AF17" s="21">
        <f>'[1]功能-实力'!BH18</f>
        <v>189810</v>
      </c>
      <c r="AG17" s="21">
        <f>'[1]功能-实力'!BI18</f>
        <v>203045</v>
      </c>
      <c r="AH17" s="21">
        <f>'[1]功能-实力'!BJ18</f>
        <v>212530</v>
      </c>
      <c r="AL17" s="57">
        <f>[2]基础状态预期!C27</f>
        <v>120</v>
      </c>
      <c r="AM17" s="57">
        <f>[2]基础状态预期!D27</f>
        <v>69.18336653741882</v>
      </c>
      <c r="AO17" s="57">
        <f>[2]基础状态预期!F27</f>
        <v>0</v>
      </c>
      <c r="AP17" s="57">
        <f>[2]基础状态预期!G27</f>
        <v>0</v>
      </c>
      <c r="AQ17" s="57">
        <f>[2]基础状态预期!H27</f>
        <v>0</v>
      </c>
      <c r="AR17" s="57">
        <f>[2]基础状态预期!I27</f>
        <v>2</v>
      </c>
      <c r="AS17" s="57">
        <f>[2]基础状态预期!J27</f>
        <v>4</v>
      </c>
      <c r="AW17" s="16">
        <v>11</v>
      </c>
      <c r="AX17" s="16">
        <f>[1]节奏总纲!BJ14</f>
        <v>1.2000000000000006</v>
      </c>
      <c r="AY17" s="16">
        <f>[1]节奏总纲!BK14</f>
        <v>1.2240000000000006</v>
      </c>
      <c r="AZ17" s="16">
        <f>[1]节奏总纲!BL14</f>
        <v>1.2720000000000007</v>
      </c>
      <c r="BA17" s="16">
        <f>[1]节奏总纲!BM14</f>
        <v>1.3680000000000005</v>
      </c>
      <c r="BB17" s="16">
        <f>[1]节奏总纲!BN14</f>
        <v>1.6800000000000008</v>
      </c>
      <c r="BF17" s="21">
        <f>'[1]功能-行军令'!FZ15</f>
        <v>11</v>
      </c>
      <c r="BG17" s="21">
        <f>'[1]功能-行军令'!GA15*'[1]功能-行军令'!GB15</f>
        <v>39.359624312866096</v>
      </c>
    </row>
    <row r="18" spans="2:59">
      <c r="B18" s="4">
        <v>15</v>
      </c>
      <c r="C18" s="16">
        <f>'[1]资源-钻石'!L18</f>
        <v>21567.925701060507</v>
      </c>
      <c r="D18" s="16">
        <f>'[1]资源-钻石'!M18</f>
        <v>26100.568500456058</v>
      </c>
      <c r="E18" s="16">
        <f>'[1]资源-钻石'!N18</f>
        <v>36178.578407986883</v>
      </c>
      <c r="F18" s="16">
        <f>'[1]资源-钻石'!O18</f>
        <v>73118.519562145026</v>
      </c>
      <c r="G18" s="16">
        <f>'[1]资源-钻石'!P18</f>
        <v>94215.936382830361</v>
      </c>
      <c r="I18" s="4">
        <v>15</v>
      </c>
      <c r="J18" s="16">
        <f>'[1]资源-钻石'!T18</f>
        <v>111195.83045140664</v>
      </c>
      <c r="K18" s="16">
        <f>'[1]资源-钻石'!U18</f>
        <v>151610.41349654732</v>
      </c>
      <c r="L18" s="16">
        <f>'[1]资源-钻石'!V18</f>
        <v>244403.20484620208</v>
      </c>
      <c r="M18" s="16">
        <f>'[1]资源-钻石'!W18</f>
        <v>617942.27533082222</v>
      </c>
      <c r="N18" s="16">
        <f>'[1]资源-钻石'!X18</f>
        <v>1444458.0653639045</v>
      </c>
      <c r="P18" s="16">
        <v>15</v>
      </c>
      <c r="Q18" s="16">
        <f>'[1]功能-行军令'!N18</f>
        <v>84.107647738324729</v>
      </c>
      <c r="R18" s="16">
        <f>'[1]功能-行军令'!O18</f>
        <v>105.81948847383583</v>
      </c>
      <c r="S18" s="16">
        <f>'[1]功能-行军令'!P18</f>
        <v>117.65215461163081</v>
      </c>
      <c r="T18" s="16">
        <f>'[1]功能-行军令'!Q18</f>
        <v>97.742228807557069</v>
      </c>
      <c r="U18" s="16">
        <f>'[1]功能-行军令'!R18</f>
        <v>54.294960626625631</v>
      </c>
      <c r="V18" s="16">
        <f>'[1]功能-行军令'!S18</f>
        <v>8.7129199472184666</v>
      </c>
      <c r="W18" s="16">
        <f>'[1]功能-行军令'!T18</f>
        <v>11.104861686258573</v>
      </c>
      <c r="X18" s="16">
        <f>'[1]功能-行军令'!U18</f>
        <v>12.590584844217148</v>
      </c>
      <c r="Y18" s="16">
        <f>'[1]功能-行军令'!V18</f>
        <v>10.598052198117657</v>
      </c>
      <c r="Z18" s="16">
        <f>'[1]功能-行军令'!W18</f>
        <v>6.0803600073774788</v>
      </c>
      <c r="AC18" s="21">
        <v>15</v>
      </c>
      <c r="AD18" s="21">
        <f>'[1]功能-实力'!BF19</f>
        <v>189950</v>
      </c>
      <c r="AE18" s="21">
        <f>'[1]功能-实力'!BG19</f>
        <v>195240</v>
      </c>
      <c r="AF18" s="21">
        <f>'[1]功能-实力'!BH19</f>
        <v>204085</v>
      </c>
      <c r="AG18" s="21">
        <f>'[1]功能-实力'!BI19</f>
        <v>218170</v>
      </c>
      <c r="AH18" s="21">
        <f>'[1]功能-实力'!BJ19</f>
        <v>231020</v>
      </c>
      <c r="AL18" s="57">
        <f>[2]基础状态预期!C28</f>
        <v>150</v>
      </c>
      <c r="AM18" s="57">
        <f>[2]基础状态预期!D28</f>
        <v>72.375871759353331</v>
      </c>
      <c r="AO18" s="57">
        <f>[2]基础状态预期!F28</f>
        <v>0</v>
      </c>
      <c r="AP18" s="57">
        <f>[2]基础状态预期!G28</f>
        <v>0</v>
      </c>
      <c r="AQ18" s="57">
        <f>[2]基础状态预期!H28</f>
        <v>0</v>
      </c>
      <c r="AR18" s="57">
        <f>[2]基础状态预期!I28</f>
        <v>1</v>
      </c>
      <c r="AS18" s="57">
        <f>[2]基础状态预期!J28</f>
        <v>5</v>
      </c>
      <c r="AW18" s="16">
        <v>12</v>
      </c>
      <c r="AX18" s="16">
        <f>[1]节奏总纲!BJ15</f>
        <v>1.2333333333333341</v>
      </c>
      <c r="AY18" s="16">
        <f>[1]节奏总纲!BK15</f>
        <v>1.2580000000000007</v>
      </c>
      <c r="AZ18" s="16">
        <f>[1]节奏总纲!BL15</f>
        <v>1.3073333333333341</v>
      </c>
      <c r="BA18" s="16">
        <f>[1]节奏总纲!BM15</f>
        <v>1.4060000000000008</v>
      </c>
      <c r="BB18" s="16">
        <f>[1]节奏总纲!BN15</f>
        <v>1.7266666666666677</v>
      </c>
      <c r="BF18" s="21">
        <f>'[1]功能-行军令'!FZ16</f>
        <v>12</v>
      </c>
      <c r="BG18" s="21">
        <f>'[1]功能-行军令'!GA16*'[1]功能-行军令'!GB16</f>
        <v>41.327605528509402</v>
      </c>
    </row>
    <row r="19" spans="2:59">
      <c r="B19" s="4">
        <v>16</v>
      </c>
      <c r="C19" s="16">
        <f>'[1]资源-钻石'!L19</f>
        <v>23299.51041089186</v>
      </c>
      <c r="D19" s="16">
        <f>'[1]资源-钻石'!M19</f>
        <v>28126.195578776875</v>
      </c>
      <c r="E19" s="16">
        <f>'[1]资源-钻石'!N19</f>
        <v>38754.142180374445</v>
      </c>
      <c r="F19" s="16">
        <f>'[1]资源-钻石'!O19</f>
        <v>79658.054654546926</v>
      </c>
      <c r="G19" s="16">
        <f>'[1]资源-钻石'!P19</f>
        <v>106274.07289769812</v>
      </c>
      <c r="I19" s="4">
        <v>16</v>
      </c>
      <c r="J19" s="16">
        <f>'[1]资源-钻石'!T19</f>
        <v>116885.21848488509</v>
      </c>
      <c r="K19" s="16">
        <f>'[1]资源-钻石'!U19</f>
        <v>159443.74033337363</v>
      </c>
      <c r="L19" s="16">
        <f>'[1]资源-钻石'!V19</f>
        <v>257193.614366711</v>
      </c>
      <c r="M19" s="16">
        <f>'[1]资源-钻石'!W19</f>
        <v>650780.475803382</v>
      </c>
      <c r="N19" s="16">
        <f>'[1]资源-钻石'!X19</f>
        <v>1521694.1483837203</v>
      </c>
      <c r="P19" s="16">
        <v>16</v>
      </c>
      <c r="Q19" s="16">
        <f>'[1]功能-行军令'!N19</f>
        <v>93.445924118956611</v>
      </c>
      <c r="R19" s="16">
        <f>'[1]功能-行军令'!O19</f>
        <v>117.82698143815891</v>
      </c>
      <c r="S19" s="16">
        <f>'[1]功能-行军令'!P19</f>
        <v>131.02906222634775</v>
      </c>
      <c r="T19" s="16">
        <f>'[1]功能-行军令'!Q19</f>
        <v>109.36850015888693</v>
      </c>
      <c r="U19" s="16">
        <f>'[1]功能-行军令'!R19</f>
        <v>61.243849237624261</v>
      </c>
      <c r="V19" s="16">
        <f>'[1]功能-行军令'!S19</f>
        <v>9.338276380631882</v>
      </c>
      <c r="W19" s="16">
        <f>'[1]功能-行军令'!T19</f>
        <v>12.007492964323077</v>
      </c>
      <c r="X19" s="16">
        <f>'[1]功能-行军令'!U19</f>
        <v>13.376907614716941</v>
      </c>
      <c r="Y19" s="16">
        <f>'[1]功能-行军令'!V19</f>
        <v>11.626271351329862</v>
      </c>
      <c r="Z19" s="16">
        <f>'[1]功能-行军令'!W19</f>
        <v>6.9488886109986296</v>
      </c>
      <c r="AC19" s="21">
        <v>16</v>
      </c>
      <c r="AD19" s="21">
        <f>'[1]功能-实力'!BF20</f>
        <v>216102.2</v>
      </c>
      <c r="AE19" s="21">
        <f>'[1]功能-实力'!BG20</f>
        <v>222075.3</v>
      </c>
      <c r="AF19" s="21">
        <f>'[1]功能-实力'!BH20</f>
        <v>231890.9</v>
      </c>
      <c r="AG19" s="21">
        <f>'[1]功能-实力'!BI20</f>
        <v>250811.9</v>
      </c>
      <c r="AH19" s="21">
        <f>'[1]功能-实力'!BJ20</f>
        <v>263913.5</v>
      </c>
      <c r="AL19" s="57">
        <f>[2]基础状态预期!C29</f>
        <v>180</v>
      </c>
      <c r="AM19" s="57">
        <f>[2]基础状态预期!D29</f>
        <v>74.998404927577795</v>
      </c>
      <c r="AO19" s="57">
        <f>[2]基础状态预期!F29</f>
        <v>0</v>
      </c>
      <c r="AP19" s="57">
        <f>[2]基础状态预期!G29</f>
        <v>0</v>
      </c>
      <c r="AQ19" s="57">
        <f>[2]基础状态预期!H29</f>
        <v>0</v>
      </c>
      <c r="AR19" s="57">
        <f>[2]基础状态预期!I29</f>
        <v>0.5</v>
      </c>
      <c r="AS19" s="57">
        <f>[2]基础状态预期!J29</f>
        <v>5.5</v>
      </c>
      <c r="AW19" s="16">
        <v>13</v>
      </c>
      <c r="AX19" s="16">
        <f>[1]节奏总纲!BJ16</f>
        <v>1.2666666666666675</v>
      </c>
      <c r="AY19" s="16">
        <f>[1]节奏总纲!BK16</f>
        <v>1.2920000000000009</v>
      </c>
      <c r="AZ19" s="16">
        <f>[1]节奏总纲!BL16</f>
        <v>1.3426666666666676</v>
      </c>
      <c r="BA19" s="16">
        <f>[1]节奏总纲!BM16</f>
        <v>1.4440000000000008</v>
      </c>
      <c r="BB19" s="16">
        <f>[1]节奏总纲!BN16</f>
        <v>1.7733333333333343</v>
      </c>
      <c r="BF19" s="21">
        <f>'[1]功能-行军令'!FZ17</f>
        <v>13</v>
      </c>
      <c r="BG19" s="21">
        <f>'[1]功能-行军令'!GA17*'[1]功能-行军令'!GB17</f>
        <v>43.393985804934879</v>
      </c>
    </row>
    <row r="20" spans="2:59">
      <c r="B20" s="4">
        <v>17</v>
      </c>
      <c r="C20" s="16">
        <f>'[1]资源-钻石'!L20</f>
        <v>25155.376951022714</v>
      </c>
      <c r="D20" s="16">
        <f>'[1]资源-钻石'!M20</f>
        <v>30214.453217745926</v>
      </c>
      <c r="E20" s="16">
        <f>'[1]资源-钻石'!N20</f>
        <v>41393.145668975973</v>
      </c>
      <c r="F20" s="16">
        <f>'[1]资源-钻石'!O20</f>
        <v>84395.12297073126</v>
      </c>
      <c r="G20" s="16">
        <f>'[1]资源-钻石'!P20</f>
        <v>116732.01692544734</v>
      </c>
      <c r="I20" s="4">
        <v>17</v>
      </c>
      <c r="J20" s="16">
        <f>'[1]资源-钻石'!T20</f>
        <v>122574.60651836354</v>
      </c>
      <c r="K20" s="16">
        <f>'[1]资源-钻石'!U20</f>
        <v>167277.06717019991</v>
      </c>
      <c r="L20" s="16">
        <f>'[1]资源-钻石'!V20</f>
        <v>269984.0238872199</v>
      </c>
      <c r="M20" s="16">
        <f>'[1]资源-钻石'!W20</f>
        <v>683618.67627594189</v>
      </c>
      <c r="N20" s="16">
        <f>'[1]资源-钻石'!X20</f>
        <v>1598930.2314035362</v>
      </c>
      <c r="P20" s="16">
        <v>17</v>
      </c>
      <c r="Q20" s="16">
        <f>'[1]功能-行军令'!N20</f>
        <v>103.45444092954733</v>
      </c>
      <c r="R20" s="16">
        <f>'[1]功能-行军令'!O20</f>
        <v>130.20573524530138</v>
      </c>
      <c r="S20" s="16">
        <f>'[1]功能-行军令'!P20</f>
        <v>144.73546167193922</v>
      </c>
      <c r="T20" s="16">
        <f>'[1]功能-行军令'!Q20</f>
        <v>120.9434141686873</v>
      </c>
      <c r="U20" s="16">
        <f>'[1]功能-行军令'!R20</f>
        <v>67.270575511562512</v>
      </c>
      <c r="V20" s="16">
        <f>'[1]功能-行军令'!S20</f>
        <v>10.00851681059072</v>
      </c>
      <c r="W20" s="16">
        <f>'[1]功能-行军令'!T20</f>
        <v>12.378753807142473</v>
      </c>
      <c r="X20" s="16">
        <f>'[1]功能-行军令'!U20</f>
        <v>13.706399445591472</v>
      </c>
      <c r="Y20" s="16">
        <f>'[1]功能-行军令'!V20</f>
        <v>11.574914009800366</v>
      </c>
      <c r="Z20" s="16">
        <f>'[1]功能-行军令'!W20</f>
        <v>6.0267262739382517</v>
      </c>
      <c r="AC20" s="21">
        <v>17</v>
      </c>
      <c r="AD20" s="21">
        <f>'[1]功能-实力'!BF21</f>
        <v>244456.8</v>
      </c>
      <c r="AE20" s="21">
        <f>'[1]功能-实力'!BG21</f>
        <v>251115.19999999998</v>
      </c>
      <c r="AF20" s="21">
        <f>'[1]功能-实力'!BH21</f>
        <v>263855.19999999995</v>
      </c>
      <c r="AG20" s="21">
        <f>'[1]功能-实力'!BI21</f>
        <v>283981.59999999998</v>
      </c>
      <c r="AH20" s="21">
        <f>'[1]功能-实力'!BJ21</f>
        <v>299112.8</v>
      </c>
      <c r="AL20" s="57">
        <f>[2]基础状态预期!C30</f>
        <v>220</v>
      </c>
      <c r="AM20" s="57">
        <f>[2]基础状态预期!D30</f>
        <v>77.875308029777003</v>
      </c>
      <c r="AO20" s="57">
        <f>[2]基础状态预期!F30</f>
        <v>0</v>
      </c>
      <c r="AP20" s="57">
        <f>[2]基础状态预期!G30</f>
        <v>0</v>
      </c>
      <c r="AQ20" s="57">
        <f>[2]基础状态预期!H30</f>
        <v>0</v>
      </c>
      <c r="AR20" s="57">
        <f>[2]基础状态预期!I30</f>
        <v>0</v>
      </c>
      <c r="AS20" s="57">
        <f>[2]基础状态预期!J30</f>
        <v>6</v>
      </c>
      <c r="AW20" s="16">
        <v>14</v>
      </c>
      <c r="AX20" s="16">
        <f>[1]节奏总纲!BJ17</f>
        <v>1.3000000000000009</v>
      </c>
      <c r="AY20" s="16">
        <f>[1]节奏总纲!BK17</f>
        <v>1.326000000000001</v>
      </c>
      <c r="AZ20" s="16">
        <f>[1]节奏总纲!BL17</f>
        <v>1.378000000000001</v>
      </c>
      <c r="BA20" s="16">
        <f>[1]节奏总纲!BM17</f>
        <v>1.4820000000000009</v>
      </c>
      <c r="BB20" s="16">
        <f>[1]节奏总纲!BN17</f>
        <v>1.8200000000000012</v>
      </c>
      <c r="BF20" s="21">
        <f>'[1]功能-行军令'!FZ18</f>
        <v>14</v>
      </c>
      <c r="BG20" s="21">
        <f>'[1]功能-行军令'!GA18*'[1]功能-行军令'!GB18</f>
        <v>45.563685095181626</v>
      </c>
    </row>
    <row r="21" spans="2:59">
      <c r="B21" s="4">
        <v>18</v>
      </c>
      <c r="C21" s="16">
        <f>'[1]资源-钻石'!L21</f>
        <v>27144.445458744009</v>
      </c>
      <c r="D21" s="16">
        <f>'[1]资源-钻石'!M21</f>
        <v>32567.716194017077</v>
      </c>
      <c r="E21" s="16">
        <f>'[1]资源-钻石'!N21</f>
        <v>44521.793369274732</v>
      </c>
      <c r="F21" s="16">
        <f>'[1]资源-钻石'!O21</f>
        <v>89977.172780918947</v>
      </c>
      <c r="G21" s="16">
        <f>'[1]资源-钻石'!P21</f>
        <v>129678.52194244512</v>
      </c>
      <c r="I21" s="4">
        <v>18</v>
      </c>
      <c r="J21" s="16">
        <f>'[1]资源-钻石'!T21</f>
        <v>128263.99455184198</v>
      </c>
      <c r="K21" s="16">
        <f>'[1]资源-钻石'!U21</f>
        <v>175110.39400702619</v>
      </c>
      <c r="L21" s="16">
        <f>'[1]资源-钻石'!V21</f>
        <v>282774.43340772885</v>
      </c>
      <c r="M21" s="16">
        <f>'[1]资源-钻石'!W21</f>
        <v>716456.87674850167</v>
      </c>
      <c r="N21" s="16">
        <f>'[1]资源-钻石'!X21</f>
        <v>1676166.314423352</v>
      </c>
      <c r="P21" s="16">
        <v>18</v>
      </c>
      <c r="Q21" s="16">
        <f>'[1]功能-行军令'!N21</f>
        <v>114.18130364648684</v>
      </c>
      <c r="R21" s="16">
        <f>'[1]功能-行军令'!O21</f>
        <v>144.15538517504154</v>
      </c>
      <c r="S21" s="16">
        <f>'[1]功能-行军令'!P21</f>
        <v>160.98496467185777</v>
      </c>
      <c r="T21" s="16">
        <f>'[1]功能-行军令'!Q21</f>
        <v>134.58302040586085</v>
      </c>
      <c r="U21" s="16">
        <f>'[1]功能-行军令'!R21</f>
        <v>74.731415016400319</v>
      </c>
      <c r="V21" s="16">
        <f>'[1]功能-行军令'!S21</f>
        <v>10.726862716939507</v>
      </c>
      <c r="W21" s="16">
        <f>'[1]功能-行军令'!T21</f>
        <v>13.949649929740161</v>
      </c>
      <c r="X21" s="16">
        <f>'[1]功能-行军令'!U21</f>
        <v>16.249502999918548</v>
      </c>
      <c r="Y21" s="16">
        <f>'[1]功能-行军令'!V21</f>
        <v>13.639606237173552</v>
      </c>
      <c r="Z21" s="16">
        <f>'[1]功能-行军令'!W21</f>
        <v>7.4608395048378071</v>
      </c>
      <c r="AC21" s="21">
        <v>18</v>
      </c>
      <c r="AD21" s="21">
        <f>'[1]功能-实力'!BF22</f>
        <v>275282.2</v>
      </c>
      <c r="AE21" s="21">
        <f>'[1]功能-实力'!BG22</f>
        <v>284138.09999999998</v>
      </c>
      <c r="AF21" s="21">
        <f>'[1]功能-实力'!BH22</f>
        <v>297596</v>
      </c>
      <c r="AG21" s="21">
        <f>'[1]功能-实力'!BI22</f>
        <v>320216.59999999998</v>
      </c>
      <c r="AH21" s="21">
        <f>'[1]功能-实力'!BJ22</f>
        <v>337627.5</v>
      </c>
      <c r="AL21" s="57">
        <f>[2]基础状态预期!C31</f>
        <v>260</v>
      </c>
      <c r="AM21" s="57">
        <f>[2]基础状态预期!D31</f>
        <v>80.272123558064706</v>
      </c>
      <c r="AO21" s="57">
        <f>[2]基础状态预期!F31</f>
        <v>0</v>
      </c>
      <c r="AP21" s="57">
        <f>[2]基础状态预期!G31</f>
        <v>0</v>
      </c>
      <c r="AQ21" s="57">
        <f>[2]基础状态预期!H31</f>
        <v>0</v>
      </c>
      <c r="AR21" s="57">
        <f>[2]基础状态预期!I31</f>
        <v>0</v>
      </c>
      <c r="AS21" s="57">
        <f>[2]基础状态预期!J31</f>
        <v>6</v>
      </c>
      <c r="AW21" s="16">
        <v>15</v>
      </c>
      <c r="AX21" s="16">
        <f>[1]节奏总纲!BJ18</f>
        <v>1.3333333333333344</v>
      </c>
      <c r="AY21" s="16">
        <f>[1]节奏总纲!BK18</f>
        <v>1.360000000000001</v>
      </c>
      <c r="AZ21" s="16">
        <f>[1]节奏总纲!BL18</f>
        <v>1.4133333333333344</v>
      </c>
      <c r="BA21" s="16">
        <f>[1]节奏总纲!BM18</f>
        <v>1.5200000000000011</v>
      </c>
      <c r="BB21" s="16">
        <f>[1]节奏总纲!BN18</f>
        <v>1.866666666666668</v>
      </c>
      <c r="BF21" s="21">
        <f>'[1]功能-行军令'!FZ19</f>
        <v>15</v>
      </c>
      <c r="BG21" s="21">
        <f>'[1]功能-行军令'!GA19*'[1]功能-行军令'!GB19</f>
        <v>47.841869349940708</v>
      </c>
    </row>
    <row r="22" spans="2:59">
      <c r="B22" s="4">
        <v>19</v>
      </c>
      <c r="C22" s="16">
        <f>'[1]资源-钻石'!L22</f>
        <v>29276.276300486359</v>
      </c>
      <c r="D22" s="16">
        <f>'[1]资源-钻石'!M22</f>
        <v>35074.994145464443</v>
      </c>
      <c r="E22" s="16">
        <f>'[1]资源-钻石'!N22</f>
        <v>47709.730679362823</v>
      </c>
      <c r="F22" s="16">
        <f>'[1]资源-钻石'!O22</f>
        <v>95580.53961916102</v>
      </c>
      <c r="G22" s="16">
        <f>'[1]资源-钻石'!P22</f>
        <v>143468.16217514762</v>
      </c>
      <c r="I22" s="4">
        <v>19</v>
      </c>
      <c r="J22" s="16">
        <f>'[1]资源-钻石'!T22</f>
        <v>133953.38258532042</v>
      </c>
      <c r="K22" s="16">
        <f>'[1]资源-钻石'!U22</f>
        <v>182943.7208438525</v>
      </c>
      <c r="L22" s="16">
        <f>'[1]资源-钻石'!V22</f>
        <v>295564.84292823775</v>
      </c>
      <c r="M22" s="16">
        <f>'[1]资源-钻石'!W22</f>
        <v>749295.07722106157</v>
      </c>
      <c r="N22" s="16">
        <f>'[1]资源-钻石'!X22</f>
        <v>1753402.3974431679</v>
      </c>
      <c r="P22" s="16">
        <v>19</v>
      </c>
      <c r="Q22" s="16">
        <f>'[1]功能-行军令'!N22</f>
        <v>125.67807044277257</v>
      </c>
      <c r="R22" s="16">
        <f>'[1]功能-行军令'!O22</f>
        <v>159.01800361247061</v>
      </c>
      <c r="S22" s="16">
        <f>'[1]功能-行军令'!P22</f>
        <v>177.54240476934203</v>
      </c>
      <c r="T22" s="16">
        <f>'[1]功能-行军令'!Q22</f>
        <v>148.27471429518647</v>
      </c>
      <c r="U22" s="16">
        <f>'[1]功能-行军令'!R22</f>
        <v>82.678138280367776</v>
      </c>
      <c r="V22" s="16">
        <f>'[1]功能-行军令'!S22</f>
        <v>11.496766796285726</v>
      </c>
      <c r="W22" s="16">
        <f>'[1]功能-行军令'!T22</f>
        <v>14.862618437429063</v>
      </c>
      <c r="X22" s="16">
        <f>'[1]功能-行军令'!U22</f>
        <v>16.55744009748426</v>
      </c>
      <c r="Y22" s="16">
        <f>'[1]功能-行军令'!V22</f>
        <v>13.69169388932562</v>
      </c>
      <c r="Z22" s="16">
        <f>'[1]功能-行军令'!W22</f>
        <v>7.9467232639674563</v>
      </c>
      <c r="AC22" s="21">
        <v>19</v>
      </c>
      <c r="AD22" s="21">
        <f>'[1]功能-实力'!BF23</f>
        <v>300102</v>
      </c>
      <c r="AE22" s="21">
        <f>'[1]功能-实力'!BG23</f>
        <v>308550</v>
      </c>
      <c r="AF22" s="21">
        <f>'[1]功能-实力'!BH23</f>
        <v>323226</v>
      </c>
      <c r="AG22" s="21">
        <f>'[1]功能-实力'!BI23</f>
        <v>347550</v>
      </c>
      <c r="AH22" s="21">
        <f>'[1]功能-实力'!BJ23</f>
        <v>366954</v>
      </c>
      <c r="AL22" s="57">
        <f>[2]基础状态预期!C32</f>
        <v>300</v>
      </c>
      <c r="AM22" s="57">
        <f>[2]基础状态预期!D32</f>
        <v>82.328492296001457</v>
      </c>
      <c r="AO22" s="57">
        <f>[2]基础状态预期!F32</f>
        <v>0</v>
      </c>
      <c r="AP22" s="57">
        <f>[2]基础状态预期!G32</f>
        <v>0</v>
      </c>
      <c r="AQ22" s="57">
        <f>[2]基础状态预期!H32</f>
        <v>0</v>
      </c>
      <c r="AR22" s="57">
        <f>[2]基础状态预期!I32</f>
        <v>0</v>
      </c>
      <c r="AS22" s="57">
        <f>[2]基础状态预期!J32</f>
        <v>6</v>
      </c>
      <c r="AW22" s="16">
        <v>16</v>
      </c>
      <c r="AX22" s="16">
        <f>[1]节奏总纲!BJ19</f>
        <v>1.3666666666666678</v>
      </c>
      <c r="AY22" s="16">
        <f>[1]节奏总纲!BK19</f>
        <v>1.3940000000000012</v>
      </c>
      <c r="AZ22" s="16">
        <f>[1]节奏总纲!BL19</f>
        <v>1.4486666666666679</v>
      </c>
      <c r="BA22" s="16">
        <f>[1]节奏总纲!BM19</f>
        <v>1.5580000000000012</v>
      </c>
      <c r="BB22" s="16">
        <f>[1]节奏总纲!BN19</f>
        <v>1.9133333333333349</v>
      </c>
      <c r="BF22" s="21">
        <f>'[1]功能-行军令'!FZ20</f>
        <v>16</v>
      </c>
      <c r="BG22" s="21">
        <f>'[1]功能-行军令'!GA20*'[1]功能-行军令'!GB20</f>
        <v>50.233962817437742</v>
      </c>
    </row>
    <row r="23" spans="2:59">
      <c r="B23" s="4">
        <v>20</v>
      </c>
      <c r="C23" s="16">
        <f>'[1]资源-钻石'!L23</f>
        <v>31561.116023282215</v>
      </c>
      <c r="D23" s="16">
        <f>'[1]资源-钻石'!M23</f>
        <v>37677.97013979817</v>
      </c>
      <c r="E23" s="16">
        <f>'[1]资源-钻石'!N23</f>
        <v>50971.863517228492</v>
      </c>
      <c r="F23" s="16">
        <f>'[1]资源-钻石'!O23</f>
        <v>101504.7165367972</v>
      </c>
      <c r="G23" s="16">
        <f>'[1]资源-钻石'!P23</f>
        <v>157266.19839204173</v>
      </c>
      <c r="I23" s="4">
        <v>20</v>
      </c>
      <c r="J23" s="16">
        <f>'[1]资源-钻石'!T23</f>
        <v>139642.77061879888</v>
      </c>
      <c r="K23" s="16">
        <f>'[1]资源-钻石'!U23</f>
        <v>190777.04768067878</v>
      </c>
      <c r="L23" s="16">
        <f>'[1]资源-钻石'!V23</f>
        <v>308355.25244874664</v>
      </c>
      <c r="M23" s="16">
        <f>'[1]资源-钻石'!W23</f>
        <v>782133.27769362135</v>
      </c>
      <c r="N23" s="16">
        <f>'[1]资源-钻石'!X23</f>
        <v>1830638.4804629835</v>
      </c>
      <c r="P23" s="16">
        <v>20</v>
      </c>
      <c r="Q23" s="16">
        <f>'[1]功能-行军令'!N23</f>
        <v>138</v>
      </c>
      <c r="R23" s="16">
        <f>'[1]功能-行军令'!O23</f>
        <v>174.4479</v>
      </c>
      <c r="S23" s="16">
        <f>'[1]功能-行军令'!P23</f>
        <v>194.48519999999999</v>
      </c>
      <c r="T23" s="16">
        <f>'[1]功能-行军令'!Q23</f>
        <v>162.75029999999998</v>
      </c>
      <c r="U23" s="16">
        <f>'[1]功能-行军令'!R23</f>
        <v>90.6297</v>
      </c>
      <c r="V23" s="16">
        <f>'[1]功能-行军令'!S23</f>
        <v>12.321929557227435</v>
      </c>
      <c r="W23" s="16">
        <f>'[1]功能-行军令'!T23</f>
        <v>15.429896387529396</v>
      </c>
      <c r="X23" s="16">
        <f>'[1]功能-行军令'!U23</f>
        <v>16.942795230657964</v>
      </c>
      <c r="Y23" s="16">
        <f>'[1]功能-行军令'!V23</f>
        <v>14.475585704813511</v>
      </c>
      <c r="Z23" s="16">
        <f>'[1]功能-行军令'!W23</f>
        <v>7.9515617196322239</v>
      </c>
      <c r="AC23" s="21">
        <v>20</v>
      </c>
      <c r="AD23" s="21">
        <f>'[1]功能-实力'!BF24</f>
        <v>320136</v>
      </c>
      <c r="AE23" s="21">
        <f>'[1]功能-实力'!BG24</f>
        <v>328038</v>
      </c>
      <c r="AF23" s="21">
        <f>'[1]功能-实力'!BH24</f>
        <v>343860</v>
      </c>
      <c r="AG23" s="21">
        <f>'[1]功能-实力'!BI24</f>
        <v>368832</v>
      </c>
      <c r="AH23" s="21">
        <f>'[1]功能-实力'!BJ24</f>
        <v>389466</v>
      </c>
      <c r="AL23" s="57">
        <f>[2]基础状态预期!C33</f>
        <v>340</v>
      </c>
      <c r="AM23" s="57">
        <f>[2]基础状态预期!D33</f>
        <v>84.132234338875293</v>
      </c>
      <c r="AO23" s="57">
        <f>[2]基础状态预期!F33</f>
        <v>0</v>
      </c>
      <c r="AP23" s="57">
        <f>[2]基础状态预期!G33</f>
        <v>0</v>
      </c>
      <c r="AQ23" s="57">
        <f>[2]基础状态预期!H33</f>
        <v>0</v>
      </c>
      <c r="AR23" s="57">
        <f>[2]基础状态预期!I33</f>
        <v>0</v>
      </c>
      <c r="AS23" s="57">
        <f>[2]基础状态预期!J33</f>
        <v>6</v>
      </c>
      <c r="AW23" s="16">
        <v>17</v>
      </c>
      <c r="AX23" s="16">
        <f>[1]节奏总纲!BJ20</f>
        <v>1.4000000000000012</v>
      </c>
      <c r="AY23" s="16">
        <f>[1]节奏总纲!BK20</f>
        <v>1.4280000000000013</v>
      </c>
      <c r="AZ23" s="16">
        <f>[1]节奏总纲!BL20</f>
        <v>1.4840000000000013</v>
      </c>
      <c r="BA23" s="16">
        <f>[1]节奏总纲!BM20</f>
        <v>1.5960000000000012</v>
      </c>
      <c r="BB23" s="16">
        <f>[1]节奏总纲!BN20</f>
        <v>1.9600000000000015</v>
      </c>
      <c r="BF23" s="21">
        <f>'[1]功能-行军令'!FZ21</f>
        <v>17</v>
      </c>
      <c r="BG23" s="21">
        <f>'[1]功能-行军令'!GA21*'[1]功能-行军令'!GB21</f>
        <v>52.745660958309635</v>
      </c>
    </row>
    <row r="24" spans="2:59">
      <c r="B24" s="4">
        <v>21</v>
      </c>
      <c r="C24" s="16">
        <f>'[1]资源-钻石'!L24</f>
        <v>34009.946604323595</v>
      </c>
      <c r="D24" s="16">
        <f>'[1]资源-钻石'!M24</f>
        <v>40483.1023076743</v>
      </c>
      <c r="E24" s="16">
        <f>'[1]资源-钻石'!N24</f>
        <v>54641.739591638812</v>
      </c>
      <c r="F24" s="16">
        <f>'[1]资源-钻石'!O24</f>
        <v>108100.47658500832</v>
      </c>
      <c r="G24" s="16">
        <f>'[1]资源-钻石'!P24</f>
        <v>173667.52080389639</v>
      </c>
      <c r="I24" s="4">
        <v>21</v>
      </c>
      <c r="J24" s="16">
        <f>'[1]资源-钻石'!T24</f>
        <v>145332.15865227731</v>
      </c>
      <c r="K24" s="16">
        <f>'[1]资源-钻石'!U24</f>
        <v>198610.37451750509</v>
      </c>
      <c r="L24" s="16">
        <f>'[1]资源-钻石'!V24</f>
        <v>321145.6619692556</v>
      </c>
      <c r="M24" s="16">
        <f>'[1]资源-钻石'!W24</f>
        <v>814971.47816618124</v>
      </c>
      <c r="N24" s="16">
        <f>'[1]资源-钻石'!X24</f>
        <v>1907874.5634827993</v>
      </c>
      <c r="P24" s="16">
        <v>21</v>
      </c>
      <c r="Q24" s="16">
        <f>'[1]功能-行军令'!N24</f>
        <v>151.20631710667794</v>
      </c>
      <c r="R24" s="16">
        <f>'[1]功能-行军令'!O24</f>
        <v>191.07613583385876</v>
      </c>
      <c r="S24" s="16">
        <f>'[1]功能-行军令'!P24</f>
        <v>213.54572326529612</v>
      </c>
      <c r="T24" s="16">
        <f>'[1]功能-行军令'!Q24</f>
        <v>178.86688314626454</v>
      </c>
      <c r="U24" s="16">
        <f>'[1]功能-行军令'!R24</f>
        <v>100.08148903660003</v>
      </c>
      <c r="V24" s="16">
        <f>'[1]功能-行军令'!S24</f>
        <v>13.206317106677943</v>
      </c>
      <c r="W24" s="16">
        <f>'[1]功能-行军令'!T24</f>
        <v>16.628235833858753</v>
      </c>
      <c r="X24" s="16">
        <f>'[1]功能-行军令'!U24</f>
        <v>19.060523265296126</v>
      </c>
      <c r="Y24" s="16">
        <f>'[1]功能-行军令'!V24</f>
        <v>16.11658314626456</v>
      </c>
      <c r="Z24" s="16">
        <f>'[1]功能-行军令'!W24</f>
        <v>9.451789036600033</v>
      </c>
      <c r="AC24" s="21">
        <v>21</v>
      </c>
      <c r="AD24" s="21">
        <f>'[1]功能-实力'!BF25</f>
        <v>340218</v>
      </c>
      <c r="AE24" s="21">
        <f>'[1]功能-实力'!BG25</f>
        <v>348960</v>
      </c>
      <c r="AF24" s="21">
        <f>'[1]功能-实力'!BH25</f>
        <v>366348</v>
      </c>
      <c r="AG24" s="21">
        <f>'[1]功能-实力'!BI25</f>
        <v>393216</v>
      </c>
      <c r="AH24" s="21">
        <f>'[1]功能-实力'!BJ25</f>
        <v>415788</v>
      </c>
      <c r="AL24" s="57">
        <f>[2]基础状态预期!C34</f>
        <v>400</v>
      </c>
      <c r="AM24" s="57">
        <f>[2]基础状态预期!D34</f>
        <v>86.465948248806328</v>
      </c>
      <c r="AO24" s="57">
        <f>[2]基础状态预期!F34</f>
        <v>0</v>
      </c>
      <c r="AP24" s="57">
        <f>[2]基础状态预期!G34</f>
        <v>0</v>
      </c>
      <c r="AQ24" s="57">
        <f>[2]基础状态预期!H34</f>
        <v>0</v>
      </c>
      <c r="AR24" s="57">
        <f>[2]基础状态预期!I34</f>
        <v>0</v>
      </c>
      <c r="AS24" s="57">
        <f>[2]基础状态预期!J34</f>
        <v>6</v>
      </c>
      <c r="AW24" s="16">
        <v>18</v>
      </c>
      <c r="AX24" s="16">
        <f>[1]节奏总纲!BJ21</f>
        <v>1.4333333333333347</v>
      </c>
      <c r="AY24" s="16">
        <f>[1]节奏总纲!BK21</f>
        <v>1.4620000000000013</v>
      </c>
      <c r="AZ24" s="16">
        <f>[1]节奏总纲!BL21</f>
        <v>1.5193333333333348</v>
      </c>
      <c r="BA24" s="16">
        <f>[1]节奏总纲!BM21</f>
        <v>1.6340000000000015</v>
      </c>
      <c r="BB24" s="16">
        <f>[1]节奏总纲!BN21</f>
        <v>2.0066666666666686</v>
      </c>
      <c r="BF24" s="21">
        <f>'[1]功能-行军令'!FZ22</f>
        <v>18</v>
      </c>
      <c r="BG24" s="21">
        <f>'[1]功能-行军令'!GA22*'[1]功能-行军令'!GB22</f>
        <v>55.382944006225117</v>
      </c>
    </row>
    <row r="25" spans="2:59">
      <c r="B25" s="4">
        <v>22</v>
      </c>
      <c r="C25" s="16">
        <f>'[1]资源-钻石'!L25</f>
        <v>36634.538235331078</v>
      </c>
      <c r="D25" s="16">
        <f>'[1]资源-钻石'!M25</f>
        <v>43561.417331527664</v>
      </c>
      <c r="E25" s="16">
        <f>'[1]资源-钻石'!N25</f>
        <v>58641.674296658151</v>
      </c>
      <c r="F25" s="16">
        <f>'[1]资源-钻石'!O25</f>
        <v>115316.45592085565</v>
      </c>
      <c r="G25" s="16">
        <f>'[1]资源-钻石'!P25</f>
        <v>185363.74592555995</v>
      </c>
      <c r="I25" s="4">
        <v>22</v>
      </c>
      <c r="J25" s="16">
        <f>'[1]资源-钻石'!T25</f>
        <v>151021.54668575578</v>
      </c>
      <c r="K25" s="16">
        <f>'[1]资源-钻石'!U25</f>
        <v>206443.70135433137</v>
      </c>
      <c r="L25" s="16">
        <f>'[1]资源-钻石'!V25</f>
        <v>333936.07148976449</v>
      </c>
      <c r="M25" s="16">
        <f>'[1]资源-钻石'!W25</f>
        <v>847809.67863874102</v>
      </c>
      <c r="N25" s="16">
        <f>'[1]资源-钻石'!X25</f>
        <v>1985110.6465026152</v>
      </c>
      <c r="P25" s="16">
        <v>22</v>
      </c>
      <c r="Q25" s="16">
        <f>'[1]功能-行军令'!N25</f>
        <v>165.36049731945442</v>
      </c>
      <c r="R25" s="16">
        <f>'[1]功能-行军令'!O25</f>
        <v>209.32374240788337</v>
      </c>
      <c r="S25" s="16">
        <f>'[1]功能-行军令'!P25</f>
        <v>234.3204979331129</v>
      </c>
      <c r="T25" s="16">
        <f>'[1]功能-行军令'!Q25</f>
        <v>196.49895740273368</v>
      </c>
      <c r="U25" s="16">
        <f>'[1]功能-行军令'!R25</f>
        <v>110.07940462753481</v>
      </c>
      <c r="V25" s="16">
        <f>'[1]功能-行军令'!S25</f>
        <v>14.154180212776481</v>
      </c>
      <c r="W25" s="16">
        <f>'[1]功能-行军令'!T25</f>
        <v>18.247606574024616</v>
      </c>
      <c r="X25" s="16">
        <f>'[1]功能-行军令'!U25</f>
        <v>20.774774667816786</v>
      </c>
      <c r="Y25" s="16">
        <f>'[1]功能-行军令'!V25</f>
        <v>17.632074256469139</v>
      </c>
      <c r="Z25" s="16">
        <f>'[1]功能-行军令'!W25</f>
        <v>9.997915590934781</v>
      </c>
      <c r="AC25" s="21">
        <v>22</v>
      </c>
      <c r="AD25" s="21">
        <f>'[1]功能-实力'!BF26</f>
        <v>360942</v>
      </c>
      <c r="AE25" s="21">
        <f>'[1]功能-实力'!BG26</f>
        <v>370518</v>
      </c>
      <c r="AF25" s="21">
        <f>'[1]功能-实力'!BH26</f>
        <v>389370</v>
      </c>
      <c r="AG25" s="21">
        <f>'[1]功能-实力'!BI26</f>
        <v>418140</v>
      </c>
      <c r="AH25" s="21">
        <f>'[1]功能-实力'!BJ26</f>
        <v>444690</v>
      </c>
      <c r="AL25" s="57">
        <f>[2]基础状态预期!C35</f>
        <v>520</v>
      </c>
      <c r="AM25" s="57">
        <f>[2]基础状态预期!D35</f>
        <v>90.244911202258237</v>
      </c>
      <c r="AO25" s="57">
        <f>[2]基础状态预期!F35</f>
        <v>0</v>
      </c>
      <c r="AP25" s="57">
        <f>[2]基础状态预期!G35</f>
        <v>0</v>
      </c>
      <c r="AQ25" s="57">
        <f>[2]基础状态预期!H35</f>
        <v>0</v>
      </c>
      <c r="AR25" s="57">
        <f>[2]基础状态预期!I35</f>
        <v>0</v>
      </c>
      <c r="AS25" s="57">
        <f>[2]基础状态预期!J35</f>
        <v>6</v>
      </c>
      <c r="AW25" s="16">
        <v>19</v>
      </c>
      <c r="AX25" s="16">
        <f>[1]节奏总纲!BJ22</f>
        <v>1.4666666666666681</v>
      </c>
      <c r="AY25" s="16">
        <f>[1]节奏总纲!BK22</f>
        <v>1.4960000000000016</v>
      </c>
      <c r="AZ25" s="16">
        <f>[1]节奏总纲!BL22</f>
        <v>1.5546666666666682</v>
      </c>
      <c r="BA25" s="16">
        <f>[1]节奏总纲!BM22</f>
        <v>1.6720000000000015</v>
      </c>
      <c r="BB25" s="16">
        <f>[1]节奏总纲!BN22</f>
        <v>2.0533333333333355</v>
      </c>
      <c r="BF25" s="21">
        <f>'[1]功能-行军令'!FZ23</f>
        <v>19</v>
      </c>
      <c r="BG25" s="21">
        <f>'[1]功能-行军令'!GA23*'[1]功能-行军令'!GB23</f>
        <v>58.152091206536376</v>
      </c>
    </row>
    <row r="26" spans="2:59">
      <c r="B26" s="4">
        <v>23</v>
      </c>
      <c r="C26" s="16">
        <f>'[1]资源-钻石'!L26</f>
        <v>39447.505895439739</v>
      </c>
      <c r="D26" s="16">
        <f>'[1]资源-钻石'!M26</f>
        <v>46769.893451378055</v>
      </c>
      <c r="E26" s="16">
        <f>'[1]资源-钻石'!N26</f>
        <v>62698.039224057815</v>
      </c>
      <c r="F26" s="16">
        <f>'[1]资源-钻石'!O26</f>
        <v>122561.59014963175</v>
      </c>
      <c r="G26" s="16">
        <f>'[1]资源-钻石'!P26</f>
        <v>194255.91934723043</v>
      </c>
      <c r="I26" s="4">
        <v>23</v>
      </c>
      <c r="J26" s="16">
        <f>'[1]资源-钻石'!T26</f>
        <v>156710.93471923424</v>
      </c>
      <c r="K26" s="16">
        <f>'[1]资源-钻石'!U26</f>
        <v>214277.02819115765</v>
      </c>
      <c r="L26" s="16">
        <f>'[1]资源-钻石'!V26</f>
        <v>346726.48101027345</v>
      </c>
      <c r="M26" s="16">
        <f>'[1]资源-钻石'!W26</f>
        <v>880647.87911130092</v>
      </c>
      <c r="N26" s="16">
        <f>'[1]资源-钻石'!X26</f>
        <v>2062346.729522431</v>
      </c>
      <c r="P26" s="16">
        <v>23</v>
      </c>
      <c r="Q26" s="16">
        <f>'[1]功能-行军令'!N26</f>
        <v>180.53057205546457</v>
      </c>
      <c r="R26" s="16">
        <f>'[1]功能-行军令'!O26</f>
        <v>228.34291669105832</v>
      </c>
      <c r="S26" s="16">
        <f>'[1]功能-行军令'!P26</f>
        <v>255.38835867379359</v>
      </c>
      <c r="T26" s="16">
        <f>'[1]功能-行军令'!Q26</f>
        <v>214.20227094816607</v>
      </c>
      <c r="U26" s="16">
        <f>'[1]功能-行军令'!R26</f>
        <v>119.57167719657959</v>
      </c>
      <c r="V26" s="16">
        <f>'[1]功能-行军令'!S26</f>
        <v>15.17007473601015</v>
      </c>
      <c r="W26" s="16">
        <f>'[1]功能-行军令'!T26</f>
        <v>19.019174283174948</v>
      </c>
      <c r="X26" s="16">
        <f>'[1]功能-行军令'!U26</f>
        <v>21.067860740680686</v>
      </c>
      <c r="Y26" s="16">
        <f>'[1]功能-行军令'!V26</f>
        <v>17.703313545432394</v>
      </c>
      <c r="Z26" s="16">
        <f>'[1]功能-行军令'!W26</f>
        <v>9.492272569044772</v>
      </c>
      <c r="AC26" s="21">
        <v>23</v>
      </c>
      <c r="AD26" s="21">
        <f>'[1]功能-实力'!BF27</f>
        <v>382134</v>
      </c>
      <c r="AE26" s="21">
        <f>'[1]功能-实力'!BG27</f>
        <v>392688</v>
      </c>
      <c r="AF26" s="21">
        <f>'[1]功能-实力'!BH27</f>
        <v>412656</v>
      </c>
      <c r="AG26" s="21">
        <f>'[1]功能-实力'!BI27</f>
        <v>443994</v>
      </c>
      <c r="AH26" s="21">
        <f>'[1]功能-实力'!BJ27</f>
        <v>473790</v>
      </c>
      <c r="AL26" s="57">
        <f>[2]基础状态预期!C36</f>
        <v>640</v>
      </c>
      <c r="AM26" s="57">
        <f>[2]基础状态预期!D36</f>
        <v>93.235489905456092</v>
      </c>
      <c r="AO26" s="57">
        <f>[2]基础状态预期!F36</f>
        <v>0</v>
      </c>
      <c r="AP26" s="57">
        <f>[2]基础状态预期!G36</f>
        <v>0</v>
      </c>
      <c r="AQ26" s="57">
        <f>[2]基础状态预期!H36</f>
        <v>0</v>
      </c>
      <c r="AR26" s="57">
        <f>[2]基础状态预期!I36</f>
        <v>0</v>
      </c>
      <c r="AS26" s="57">
        <f>[2]基础状态预期!J36</f>
        <v>6</v>
      </c>
      <c r="AW26" s="16">
        <v>20</v>
      </c>
      <c r="AX26" s="16">
        <f>[1]节奏总纲!BJ23</f>
        <v>1.5000000000000016</v>
      </c>
      <c r="AY26" s="16">
        <f>[1]节奏总纲!BK23</f>
        <v>1.5300000000000016</v>
      </c>
      <c r="AZ26" s="16">
        <f>[1]节奏总纲!BL23</f>
        <v>1.5900000000000016</v>
      </c>
      <c r="BA26" s="16">
        <f>[1]节奏总纲!BM23</f>
        <v>1.7100000000000015</v>
      </c>
      <c r="BB26" s="16">
        <f>[1]节奏总纲!BN23</f>
        <v>2.1000000000000019</v>
      </c>
      <c r="BF26" s="21">
        <f>'[1]功能-行军令'!FZ24</f>
        <v>20</v>
      </c>
      <c r="BG26" s="21">
        <f>'[1]功能-行军令'!GA24*'[1]功能-行军令'!GB24</f>
        <v>61.0596957668632</v>
      </c>
    </row>
    <row r="27" spans="2:59">
      <c r="B27" s="4">
        <v>24</v>
      </c>
      <c r="C27" s="16">
        <f>'[1]资源-钻石'!L27</f>
        <v>42462.369984517027</v>
      </c>
      <c r="D27" s="16">
        <f>'[1]资源-钻石'!M27</f>
        <v>50311.665879092536</v>
      </c>
      <c r="E27" s="16">
        <f>'[1]资源-钻石'!N27</f>
        <v>67313.937400448282</v>
      </c>
      <c r="F27" s="16">
        <f>'[1]资源-钻石'!O27</f>
        <v>130763.22334191311</v>
      </c>
      <c r="G27" s="16">
        <f>'[1]资源-钻石'!P27</f>
        <v>204715.44326334211</v>
      </c>
      <c r="I27" s="4">
        <v>24</v>
      </c>
      <c r="J27" s="16">
        <f>'[1]资源-钻石'!T27</f>
        <v>162400.32275271267</v>
      </c>
      <c r="K27" s="16">
        <f>'[1]资源-钻石'!U27</f>
        <v>222110.35502798393</v>
      </c>
      <c r="L27" s="16">
        <f>'[1]资源-钻石'!V27</f>
        <v>359516.8905307824</v>
      </c>
      <c r="M27" s="16">
        <f>'[1]资源-钻石'!W27</f>
        <v>913486.0795838607</v>
      </c>
      <c r="N27" s="16">
        <f>'[1]资源-钻石'!X27</f>
        <v>2139582.8125422467</v>
      </c>
      <c r="P27" s="16">
        <v>24</v>
      </c>
      <c r="Q27" s="16">
        <f>'[1]功能-行军令'!N27</f>
        <v>196.78945558221253</v>
      </c>
      <c r="R27" s="16">
        <f>'[1]功能-行军令'!O27</f>
        <v>249.3378016637993</v>
      </c>
      <c r="S27" s="16">
        <f>'[1]功能-行军令'!P27</f>
        <v>279.36231114450891</v>
      </c>
      <c r="T27" s="16">
        <f>'[1]功能-行军令'!Q27</f>
        <v>234.24276701115065</v>
      </c>
      <c r="U27" s="16">
        <f>'[1]功能-行军令'!R27</f>
        <v>130.73707481604291</v>
      </c>
      <c r="V27" s="16">
        <f>'[1]功能-行军令'!S27</f>
        <v>16.258883526747951</v>
      </c>
      <c r="W27" s="16">
        <f>'[1]功能-行军令'!T27</f>
        <v>20.994884972740977</v>
      </c>
      <c r="X27" s="16">
        <f>'[1]功能-行军令'!U27</f>
        <v>23.973952470715318</v>
      </c>
      <c r="Y27" s="16">
        <f>'[1]功能-行军令'!V27</f>
        <v>20.040496062984573</v>
      </c>
      <c r="Z27" s="16">
        <f>'[1]功能-行军令'!W27</f>
        <v>11.16539761946332</v>
      </c>
      <c r="AC27" s="21">
        <v>24</v>
      </c>
      <c r="AD27" s="21">
        <f>'[1]功能-实力'!BF28</f>
        <v>403752</v>
      </c>
      <c r="AE27" s="21">
        <f>'[1]功能-实力'!BG28</f>
        <v>415230</v>
      </c>
      <c r="AF27" s="21">
        <f>'[1]功能-实力'!BH28</f>
        <v>436914</v>
      </c>
      <c r="AG27" s="21">
        <f>'[1]功能-实力'!BI28</f>
        <v>471630</v>
      </c>
      <c r="AH27" s="21">
        <f>'[1]功能-实力'!BJ28</f>
        <v>504396</v>
      </c>
      <c r="AL27" s="57">
        <f>[2]基础状态预期!C37</f>
        <v>820</v>
      </c>
      <c r="AM27" s="57">
        <f>[2]基础状态预期!D37</f>
        <v>96.807063977001675</v>
      </c>
      <c r="AO27" s="57">
        <f>[2]基础状态预期!F37</f>
        <v>0</v>
      </c>
      <c r="AP27" s="57">
        <f>[2]基础状态预期!G37</f>
        <v>0</v>
      </c>
      <c r="AQ27" s="57">
        <f>[2]基础状态预期!H37</f>
        <v>0</v>
      </c>
      <c r="AR27" s="57">
        <f>[2]基础状态预期!I37</f>
        <v>0</v>
      </c>
      <c r="AS27" s="57">
        <f>[2]基础状态预期!J37</f>
        <v>6</v>
      </c>
      <c r="AW27" s="16">
        <v>21</v>
      </c>
      <c r="AX27" s="16">
        <f>[1]节奏总纲!BJ24</f>
        <v>1.533333333333335</v>
      </c>
      <c r="AY27" s="16">
        <f>[1]节奏总纲!BK24</f>
        <v>1.5640000000000016</v>
      </c>
      <c r="AZ27" s="16">
        <f>[1]节奏总纲!BL24</f>
        <v>1.6253333333333351</v>
      </c>
      <c r="BA27" s="16">
        <f>[1]节奏总纲!BM24</f>
        <v>1.7480000000000018</v>
      </c>
      <c r="BB27" s="16">
        <f>[1]节奏总纲!BN24</f>
        <v>2.1466666666666687</v>
      </c>
      <c r="BF27" s="21">
        <f>'[1]功能-行军令'!FZ25</f>
        <v>21</v>
      </c>
      <c r="BG27" s="21">
        <f>'[1]功能-行军令'!GA25*'[1]功能-行军令'!GB25</f>
        <v>64.112680555206367</v>
      </c>
    </row>
    <row r="28" spans="2:59">
      <c r="B28" s="4">
        <v>25</v>
      </c>
      <c r="C28" s="16">
        <f>'[1]资源-钻石'!L28</f>
        <v>45693.621308343718</v>
      </c>
      <c r="D28" s="16">
        <f>'[1]资源-钻石'!M28</f>
        <v>54073.175003945638</v>
      </c>
      <c r="E28" s="16">
        <f>'[1]资源-钻石'!N28</f>
        <v>72125.845879448229</v>
      </c>
      <c r="F28" s="16">
        <f>'[1]资源-钻石'!O28</f>
        <v>139369.87523300829</v>
      </c>
      <c r="G28" s="16">
        <f>'[1]资源-钻石'!P28</f>
        <v>215425.61427332016</v>
      </c>
      <c r="I28" s="4">
        <v>25</v>
      </c>
      <c r="J28" s="16">
        <f>'[1]资源-钻石'!T28</f>
        <v>168089.71078619111</v>
      </c>
      <c r="K28" s="16">
        <f>'[1]资源-钻石'!U28</f>
        <v>229943.68186481023</v>
      </c>
      <c r="L28" s="16">
        <f>'[1]资源-钻石'!V28</f>
        <v>372307.3000512913</v>
      </c>
      <c r="M28" s="16">
        <f>'[1]资源-钻石'!W28</f>
        <v>946324.28005642048</v>
      </c>
      <c r="N28" s="16">
        <f>'[1]资源-钻石'!X28</f>
        <v>2216818.8955620625</v>
      </c>
      <c r="P28" s="16">
        <v>25</v>
      </c>
      <c r="Q28" s="16">
        <f>'[1]功能-行军令'!N28</f>
        <v>214.21529547664952</v>
      </c>
      <c r="R28" s="16">
        <f>'[1]功能-行军令'!O28</f>
        <v>271.6352397437405</v>
      </c>
      <c r="S28" s="16">
        <f>'[1]功能-行军令'!P28</f>
        <v>304.3542977006739</v>
      </c>
      <c r="T28" s="16">
        <f>'[1]功能-行军令'!Q28</f>
        <v>255.27291665272404</v>
      </c>
      <c r="U28" s="16">
        <f>'[1]功能-行军令'!R28</f>
        <v>142.17003475360278</v>
      </c>
      <c r="V28" s="16">
        <f>'[1]功能-行军令'!S28</f>
        <v>17.42583989443699</v>
      </c>
      <c r="W28" s="16">
        <f>'[1]功能-行军令'!T28</f>
        <v>22.297438079941202</v>
      </c>
      <c r="X28" s="16">
        <f>'[1]功能-行军令'!U28</f>
        <v>24.991986556164989</v>
      </c>
      <c r="Y28" s="16">
        <f>'[1]功能-行军令'!V28</f>
        <v>21.030149641573388</v>
      </c>
      <c r="Z28" s="16">
        <f>'[1]功能-行军令'!W28</f>
        <v>11.432959937559872</v>
      </c>
      <c r="AC28" s="21">
        <v>25</v>
      </c>
      <c r="AD28" s="21">
        <f>'[1]功能-实力'!BF29</f>
        <v>425748</v>
      </c>
      <c r="AE28" s="21">
        <f>'[1]功能-实力'!BG29</f>
        <v>438384</v>
      </c>
      <c r="AF28" s="21">
        <f>'[1]功能-实力'!BH29</f>
        <v>462456</v>
      </c>
      <c r="AG28" s="21">
        <f>'[1]功能-实力'!BI29</f>
        <v>500430</v>
      </c>
      <c r="AH28" s="21">
        <f>'[1]功能-实力'!BJ29</f>
        <v>535614</v>
      </c>
      <c r="AL28" s="57">
        <f>[2]基础状态预期!C38</f>
        <v>1060</v>
      </c>
      <c r="AM28" s="57">
        <f>[2]基础状态预期!D38</f>
        <v>100.50342858241972</v>
      </c>
      <c r="AO28" s="57">
        <f>[2]基础状态预期!F38</f>
        <v>0</v>
      </c>
      <c r="AP28" s="57">
        <f>[2]基础状态预期!G38</f>
        <v>0</v>
      </c>
      <c r="AQ28" s="57">
        <f>[2]基础状态预期!H38</f>
        <v>0</v>
      </c>
      <c r="AR28" s="57">
        <f>[2]基础状态预期!I38</f>
        <v>0</v>
      </c>
      <c r="AS28" s="57">
        <f>[2]基础状态预期!J38</f>
        <v>6</v>
      </c>
      <c r="AW28" s="16">
        <v>22</v>
      </c>
      <c r="AX28" s="16">
        <f>[1]节奏总纲!BJ25</f>
        <v>1.5666666666666684</v>
      </c>
      <c r="AY28" s="16">
        <f>[1]节奏总纲!BK25</f>
        <v>1.5980000000000019</v>
      </c>
      <c r="AZ28" s="16">
        <f>[1]节奏总纲!BL25</f>
        <v>1.6606666666666685</v>
      </c>
      <c r="BA28" s="16">
        <f>[1]节奏总纲!BM25</f>
        <v>1.7860000000000018</v>
      </c>
      <c r="BB28" s="16">
        <f>[1]节奏总纲!BN25</f>
        <v>2.1933333333333356</v>
      </c>
      <c r="BF28" s="21">
        <f>'[1]功能-行军令'!FZ26</f>
        <v>22</v>
      </c>
      <c r="BG28" s="21">
        <f>'[1]功能-行军令'!GA26*'[1]功能-行军令'!GB26</f>
        <v>67.318314582966693</v>
      </c>
    </row>
    <row r="29" spans="2:59">
      <c r="B29" s="4">
        <v>26</v>
      </c>
      <c r="C29" s="16">
        <f>'[1]资源-钻石'!L29</f>
        <v>49156.790728006417</v>
      </c>
      <c r="D29" s="16">
        <f>'[1]资源-钻石'!M29</f>
        <v>58079.828833926251</v>
      </c>
      <c r="E29" s="16">
        <f>'[1]资源-钻石'!N29</f>
        <v>77252.661931416835</v>
      </c>
      <c r="F29" s="16">
        <f>'[1]资源-钻石'!O29</f>
        <v>148350.2420406632</v>
      </c>
      <c r="G29" s="16">
        <f>'[1]资源-钻石'!P29</f>
        <v>226939.51188803394</v>
      </c>
      <c r="I29" s="4">
        <v>26</v>
      </c>
      <c r="J29" s="16">
        <f>'[1]资源-钻石'!T29</f>
        <v>173779.09881966957</v>
      </c>
      <c r="K29" s="16">
        <f>'[1]资源-钻石'!U29</f>
        <v>237777.00870163651</v>
      </c>
      <c r="L29" s="16">
        <f>'[1]资源-钻石'!V29</f>
        <v>385097.70957180019</v>
      </c>
      <c r="M29" s="16">
        <f>'[1]资源-钻石'!W29</f>
        <v>979162.48052898038</v>
      </c>
      <c r="N29" s="16">
        <f>'[1]资源-钻石'!X29</f>
        <v>2294054.9785818784</v>
      </c>
      <c r="P29" s="16">
        <v>26</v>
      </c>
      <c r="Q29" s="16">
        <f>'[1]功能-行军令'!N29</f>
        <v>232.89184823791322</v>
      </c>
      <c r="R29" s="16">
        <f>'[1]功能-行军令'!O29</f>
        <v>295.38584427942419</v>
      </c>
      <c r="S29" s="16">
        <f>'[1]功能-行军令'!P29</f>
        <v>330.98184442270946</v>
      </c>
      <c r="T29" s="16">
        <f>'[1]功能-行军令'!Q29</f>
        <v>277.21622982385412</v>
      </c>
      <c r="U29" s="16">
        <f>'[1]功能-行军令'!R29</f>
        <v>154.46096176415654</v>
      </c>
      <c r="V29" s="16">
        <f>'[1]功能-行军令'!S29</f>
        <v>18.676552761263707</v>
      </c>
      <c r="W29" s="16">
        <f>'[1]功能-行军令'!T29</f>
        <v>23.750604535683692</v>
      </c>
      <c r="X29" s="16">
        <f>'[1]功能-行军令'!U29</f>
        <v>26.627546722035561</v>
      </c>
      <c r="Y29" s="16">
        <f>'[1]功能-行军令'!V29</f>
        <v>21.943313171130086</v>
      </c>
      <c r="Z29" s="16">
        <f>'[1]功能-行军令'!W29</f>
        <v>12.290927010553759</v>
      </c>
      <c r="AC29" s="21">
        <v>26</v>
      </c>
      <c r="AD29" s="21">
        <f>'[1]功能-实力'!BF30</f>
        <v>448344</v>
      </c>
      <c r="AE29" s="21">
        <f>'[1]功能-实力'!BG30</f>
        <v>462828</v>
      </c>
      <c r="AF29" s="21">
        <f>'[1]功能-实力'!BH30</f>
        <v>489168</v>
      </c>
      <c r="AG29" s="21">
        <f>'[1]功能-实力'!BI30</f>
        <v>529776</v>
      </c>
      <c r="AH29" s="21">
        <f>'[1]功能-实力'!BJ30</f>
        <v>568140</v>
      </c>
      <c r="AL29" s="57">
        <f>[2]基础状态预期!C39</f>
        <v>1360</v>
      </c>
      <c r="AM29" s="57">
        <f>[2]基础状态预期!D39</f>
        <v>104.10129967499306</v>
      </c>
      <c r="AO29" s="57">
        <f>[2]基础状态预期!F39</f>
        <v>0</v>
      </c>
      <c r="AP29" s="57">
        <f>[2]基础状态预期!G39</f>
        <v>0</v>
      </c>
      <c r="AQ29" s="57">
        <f>[2]基础状态预期!H39</f>
        <v>0</v>
      </c>
      <c r="AR29" s="57">
        <f>[2]基础状态预期!I39</f>
        <v>0</v>
      </c>
      <c r="AS29" s="57">
        <f>[2]基础状态预期!J39</f>
        <v>6</v>
      </c>
      <c r="AW29" s="16">
        <v>23</v>
      </c>
      <c r="AX29" s="16">
        <f>[1]节奏总纲!BJ26</f>
        <v>1.6000000000000019</v>
      </c>
      <c r="AY29" s="16">
        <f>[1]节奏总纲!BK26</f>
        <v>1.6320000000000019</v>
      </c>
      <c r="AZ29" s="16">
        <f>[1]节奏总纲!BL26</f>
        <v>1.6960000000000022</v>
      </c>
      <c r="BA29" s="16">
        <f>[1]节奏总纲!BM26</f>
        <v>1.8240000000000021</v>
      </c>
      <c r="BB29" s="16">
        <f>[1]节奏总纲!BN26</f>
        <v>2.2400000000000024</v>
      </c>
      <c r="BF29" s="21">
        <f>'[1]功能-行军令'!FZ27</f>
        <v>23</v>
      </c>
      <c r="BG29" s="21">
        <f>'[1]功能-行军令'!GA27*'[1]功能-行军令'!GB27</f>
        <v>70.68423031211502</v>
      </c>
    </row>
    <row r="30" spans="2:59">
      <c r="B30" s="4">
        <v>27</v>
      </c>
      <c r="C30" s="16">
        <f>'[1]资源-钻石'!L30</f>
        <v>52868.523808268132</v>
      </c>
      <c r="D30" s="16">
        <f>'[1]资源-钻石'!M30</f>
        <v>62368.985766527236</v>
      </c>
      <c r="E30" s="16">
        <f>'[1]资源-钻石'!N30</f>
        <v>82720.324513717162</v>
      </c>
      <c r="F30" s="16">
        <f>'[1]资源-钻石'!O30</f>
        <v>158008.69143623821</v>
      </c>
      <c r="G30" s="16">
        <f>'[1]资源-钻石'!P30</f>
        <v>239429.1677670764</v>
      </c>
      <c r="I30" s="4">
        <v>27</v>
      </c>
      <c r="J30" s="16">
        <f>'[1]资源-钻石'!T30</f>
        <v>179468.486853148</v>
      </c>
      <c r="K30" s="16">
        <f>'[1]资源-钻石'!U30</f>
        <v>245610.33553846279</v>
      </c>
      <c r="L30" s="16">
        <f>'[1]资源-钻石'!V30</f>
        <v>397888.11909230915</v>
      </c>
      <c r="M30" s="16">
        <f>'[1]资源-钻石'!W30</f>
        <v>1012000.6810015402</v>
      </c>
      <c r="N30" s="16">
        <f>'[1]资源-钻石'!X30</f>
        <v>2371291.0616016942</v>
      </c>
      <c r="P30" s="16">
        <v>27</v>
      </c>
      <c r="Q30" s="16">
        <f>'[1]功能-行军令'!N30</f>
        <v>252.90888185909469</v>
      </c>
      <c r="R30" s="16">
        <f>'[1]功能-行军令'!O30</f>
        <v>320.81106802484203</v>
      </c>
      <c r="S30" s="16">
        <f>'[1]功能-行军令'!P30</f>
        <v>359.37967250835402</v>
      </c>
      <c r="T30" s="16">
        <f>'[1]功能-行军令'!Q30</f>
        <v>300.81642170621222</v>
      </c>
      <c r="U30" s="16">
        <f>'[1]功能-行军令'!R30</f>
        <v>167.79349727325055</v>
      </c>
      <c r="V30" s="16">
        <f>'[1]功能-行军令'!S30</f>
        <v>20.017033621181469</v>
      </c>
      <c r="W30" s="16">
        <f>'[1]功能-行军令'!T30</f>
        <v>25.425223745417838</v>
      </c>
      <c r="X30" s="16">
        <f>'[1]功能-行军令'!U30</f>
        <v>28.397828085644562</v>
      </c>
      <c r="Y30" s="16">
        <f>'[1]功能-行军令'!V30</f>
        <v>23.600191882358104</v>
      </c>
      <c r="Z30" s="16">
        <f>'[1]功能-行军令'!W30</f>
        <v>13.332535509094015</v>
      </c>
      <c r="AC30" s="21">
        <v>27</v>
      </c>
      <c r="AD30" s="21">
        <f>'[1]功能-实力'!BF31</f>
        <v>472098</v>
      </c>
      <c r="AE30" s="21">
        <f>'[1]功能-实力'!BG31</f>
        <v>488496</v>
      </c>
      <c r="AF30" s="21">
        <f>'[1]功能-实力'!BH31</f>
        <v>516582</v>
      </c>
      <c r="AG30" s="21">
        <f>'[1]功能-实力'!BI31</f>
        <v>560268</v>
      </c>
      <c r="AH30" s="21">
        <f>'[1]功能-实力'!BJ31</f>
        <v>601572</v>
      </c>
      <c r="AL30" s="57">
        <f>[2]基础状态预期!C40</f>
        <v>1720</v>
      </c>
      <c r="AM30" s="57">
        <f>[2]基础状态预期!D40</f>
        <v>107.48165553683219</v>
      </c>
      <c r="AO30" s="57">
        <f>[2]基础状态预期!F40</f>
        <v>0</v>
      </c>
      <c r="AP30" s="57">
        <f>[2]基础状态预期!G40</f>
        <v>0</v>
      </c>
      <c r="AQ30" s="57">
        <f>[2]基础状态预期!H40</f>
        <v>0</v>
      </c>
      <c r="AR30" s="57">
        <f>[2]基础状态预期!I40</f>
        <v>0</v>
      </c>
      <c r="AS30" s="57">
        <f>[2]基础状态预期!J40</f>
        <v>6</v>
      </c>
      <c r="AW30" s="16">
        <v>24</v>
      </c>
      <c r="AX30" s="16">
        <f>[1]节奏总纲!BJ27</f>
        <v>1.6333333333333353</v>
      </c>
      <c r="AY30" s="16">
        <f>[1]节奏总纲!BK27</f>
        <v>1.6660000000000021</v>
      </c>
      <c r="AZ30" s="16">
        <f>[1]节奏总纲!BL27</f>
        <v>1.7313333333333356</v>
      </c>
      <c r="BA30" s="16">
        <f>[1]节奏总纲!BM27</f>
        <v>1.8620000000000021</v>
      </c>
      <c r="BB30" s="16">
        <f>[1]节奏总纲!BN27</f>
        <v>2.2866666666666693</v>
      </c>
      <c r="BF30" s="21">
        <f>'[1]功能-行军令'!FZ28</f>
        <v>24</v>
      </c>
      <c r="BG30" s="21">
        <f>'[1]功能-行军令'!GA28*'[1]功能-行军令'!GB28</f>
        <v>74.218441827720767</v>
      </c>
    </row>
    <row r="31" spans="2:59">
      <c r="B31" s="4">
        <v>28</v>
      </c>
      <c r="C31" s="16">
        <f>'[1]资源-钻石'!L31</f>
        <v>56846.660823710707</v>
      </c>
      <c r="D31" s="16">
        <f>'[1]资源-钻石'!M31</f>
        <v>66926.150305849689</v>
      </c>
      <c r="E31" s="16">
        <f>'[1]资源-钻石'!N31</f>
        <v>88433.174310601171</v>
      </c>
      <c r="F31" s="16">
        <f>'[1]资源-钻石'!O31</f>
        <v>168326.14538209527</v>
      </c>
      <c r="G31" s="16">
        <f>'[1]资源-钻石'!P31</f>
        <v>253395.93774105425</v>
      </c>
      <c r="I31" s="4">
        <v>28</v>
      </c>
      <c r="J31" s="16">
        <f>'[1]资源-钻石'!T31</f>
        <v>185157.87488662647</v>
      </c>
      <c r="K31" s="16">
        <f>'[1]资源-钻石'!U31</f>
        <v>253443.6623752891</v>
      </c>
      <c r="L31" s="16">
        <f>'[1]资源-钻石'!V31</f>
        <v>410678.5286128181</v>
      </c>
      <c r="M31" s="16">
        <f>'[1]资源-钻石'!W31</f>
        <v>1044838.8814741001</v>
      </c>
      <c r="N31" s="16">
        <f>'[1]资源-钻石'!X31</f>
        <v>2448527.1446215101</v>
      </c>
      <c r="P31" s="16">
        <v>28</v>
      </c>
      <c r="Q31" s="16">
        <f>'[1]功能-行军令'!N31</f>
        <v>274.36260729297362</v>
      </c>
      <c r="R31" s="16">
        <f>'[1]功能-行军令'!O31</f>
        <v>347.82498471701922</v>
      </c>
      <c r="S31" s="16">
        <f>'[1]功能-行军令'!P31</f>
        <v>389.05094866504174</v>
      </c>
      <c r="T31" s="16">
        <f>'[1]功能-行军令'!Q31</f>
        <v>326.02687556759241</v>
      </c>
      <c r="U31" s="16">
        <f>'[1]功能-行军令'!R31</f>
        <v>182.70283171999623</v>
      </c>
      <c r="V31" s="16">
        <f>'[1]功能-行军令'!S31</f>
        <v>21.45372543387893</v>
      </c>
      <c r="W31" s="16">
        <f>'[1]功能-行军令'!T31</f>
        <v>27.01391669217719</v>
      </c>
      <c r="X31" s="16">
        <f>'[1]功能-行军令'!U31</f>
        <v>29.671276156687725</v>
      </c>
      <c r="Y31" s="16">
        <f>'[1]功能-行军令'!V31</f>
        <v>25.210453861380188</v>
      </c>
      <c r="Z31" s="16">
        <f>'[1]功能-行军令'!W31</f>
        <v>14.909334446745675</v>
      </c>
      <c r="AC31" s="21">
        <v>28</v>
      </c>
      <c r="AD31" s="21">
        <f>'[1]功能-实力'!BF32</f>
        <v>497016</v>
      </c>
      <c r="AE31" s="21">
        <f>'[1]功能-实力'!BG32</f>
        <v>516204</v>
      </c>
      <c r="AF31" s="21">
        <f>'[1]功能-实力'!BH32</f>
        <v>547308</v>
      </c>
      <c r="AG31" s="21">
        <f>'[1]功能-实力'!BI32</f>
        <v>602190</v>
      </c>
      <c r="AH31" s="21">
        <f>'[1]功能-实力'!BJ32</f>
        <v>651012</v>
      </c>
      <c r="AL31" s="57">
        <f>[2]基础状态预期!C41</f>
        <v>2200</v>
      </c>
      <c r="AM31" s="57">
        <f>[2]基础状态预期!D41</f>
        <v>111.03813549320469</v>
      </c>
      <c r="AO31" s="57">
        <f>[2]基础状态预期!F41</f>
        <v>0</v>
      </c>
      <c r="AP31" s="57">
        <f>[2]基础状态预期!G41</f>
        <v>0</v>
      </c>
      <c r="AQ31" s="57">
        <f>[2]基础状态预期!H41</f>
        <v>0</v>
      </c>
      <c r="AR31" s="57">
        <f>[2]基础状态预期!I41</f>
        <v>0</v>
      </c>
      <c r="AS31" s="57">
        <f>[2]基础状态预期!J41</f>
        <v>6</v>
      </c>
      <c r="AW31" s="16">
        <v>25</v>
      </c>
      <c r="AX31" s="16">
        <f>[1]节奏总纲!BJ28</f>
        <v>1.6666666666666687</v>
      </c>
      <c r="AY31" s="16">
        <f>[1]节奏总纲!BK28</f>
        <v>1.7000000000000022</v>
      </c>
      <c r="AZ31" s="16">
        <f>[1]节奏总纲!BL28</f>
        <v>1.766666666666669</v>
      </c>
      <c r="BA31" s="16">
        <f>[1]节奏总纲!BM28</f>
        <v>1.9000000000000021</v>
      </c>
      <c r="BB31" s="16">
        <f>[1]节奏总纲!BN28</f>
        <v>2.3333333333333361</v>
      </c>
      <c r="BF31" s="21">
        <f>'[1]功能-行军令'!FZ29</f>
        <v>25</v>
      </c>
      <c r="BG31" s="21">
        <f>'[1]功能-行军令'!GA29*'[1]功能-行军令'!GB29</f>
        <v>77.929363919106819</v>
      </c>
    </row>
    <row r="32" spans="2:59">
      <c r="B32" s="4">
        <v>29</v>
      </c>
      <c r="C32" s="16">
        <f>'[1]资源-钻石'!L32</f>
        <v>61110.3225071954</v>
      </c>
      <c r="D32" s="16">
        <f>'[1]资源-钻石'!M32</f>
        <v>71909.456860487029</v>
      </c>
      <c r="E32" s="16">
        <f>'[1]资源-钻石'!N32</f>
        <v>95016.724322714377</v>
      </c>
      <c r="F32" s="16">
        <f>'[1]资源-钻石'!O32</f>
        <v>180462.02468798024</v>
      </c>
      <c r="G32" s="16">
        <f>'[1]资源-钻石'!P32</f>
        <v>269111.9215568311</v>
      </c>
      <c r="I32" s="4">
        <v>29</v>
      </c>
      <c r="J32" s="16">
        <f>'[1]资源-钻石'!T32</f>
        <v>190863.14162790234</v>
      </c>
      <c r="K32" s="16">
        <f>'[1]资源-钻石'!U32</f>
        <v>261290.21329832528</v>
      </c>
      <c r="L32" s="16">
        <f>'[1]资源-钻石'!V32</f>
        <v>423468.938133327</v>
      </c>
      <c r="M32" s="16">
        <f>'[1]资源-钻石'!W32</f>
        <v>1077932.6215086782</v>
      </c>
      <c r="N32" s="16">
        <f>'[1]资源-钻石'!X32</f>
        <v>2525763.2276413259</v>
      </c>
      <c r="P32" s="16">
        <v>29</v>
      </c>
      <c r="Q32" s="16">
        <f>'[1]功能-行军令'!N32</f>
        <v>297.35614088554507</v>
      </c>
      <c r="R32" s="16">
        <f>'[1]功能-行军令'!O32</f>
        <v>377.36498200194677</v>
      </c>
      <c r="S32" s="16">
        <f>'[1]功能-行军令'!P32</f>
        <v>423.24444883501349</v>
      </c>
      <c r="T32" s="16">
        <f>'[1]功能-行军令'!Q32</f>
        <v>355.68060864106502</v>
      </c>
      <c r="U32" s="16">
        <f>'[1]功能-行军令'!R32</f>
        <v>199.4794278338882</v>
      </c>
      <c r="V32" s="16">
        <f>'[1]功能-行军令'!S32</f>
        <v>22.993533592571453</v>
      </c>
      <c r="W32" s="16">
        <f>'[1]功能-行军令'!T32</f>
        <v>29.539997284927551</v>
      </c>
      <c r="X32" s="16">
        <f>'[1]功能-行军令'!U32</f>
        <v>34.193500169971742</v>
      </c>
      <c r="Y32" s="16">
        <f>'[1]功能-行军令'!V32</f>
        <v>29.653733073472608</v>
      </c>
      <c r="Z32" s="16">
        <f>'[1]功能-行军令'!W32</f>
        <v>16.776596113891969</v>
      </c>
      <c r="AC32" s="21">
        <v>29</v>
      </c>
      <c r="AD32" s="21">
        <f>'[1]功能-实力'!BF33</f>
        <v>526374</v>
      </c>
      <c r="AE32" s="21">
        <f>'[1]功能-实力'!BG33</f>
        <v>549714</v>
      </c>
      <c r="AF32" s="21">
        <f>'[1]功能-实力'!BH33</f>
        <v>588126</v>
      </c>
      <c r="AG32" s="21">
        <f>'[1]功能-实力'!BI33</f>
        <v>651858</v>
      </c>
      <c r="AH32" s="21">
        <f>'[1]功能-实力'!BJ33</f>
        <v>705498</v>
      </c>
      <c r="AL32" s="57">
        <f>[2]基础状态预期!C42</f>
        <v>2800</v>
      </c>
      <c r="AM32" s="57">
        <f>[2]基础状态预期!D42</f>
        <v>114.50860608277577</v>
      </c>
      <c r="AO32" s="57">
        <f>[2]基础状态预期!F42</f>
        <v>0</v>
      </c>
      <c r="AP32" s="57">
        <f>[2]基础状态预期!G42</f>
        <v>0</v>
      </c>
      <c r="AQ32" s="57">
        <f>[2]基础状态预期!H42</f>
        <v>0</v>
      </c>
      <c r="AR32" s="57">
        <f>[2]基础状态预期!I42</f>
        <v>0</v>
      </c>
      <c r="AS32" s="57">
        <f>[2]基础状态预期!J42</f>
        <v>6</v>
      </c>
      <c r="AW32" s="16">
        <v>26</v>
      </c>
      <c r="AX32" s="16">
        <f>[1]节奏总纲!BJ29</f>
        <v>1.7000000000000022</v>
      </c>
      <c r="AY32" s="16">
        <f>[1]节奏总纲!BK29</f>
        <v>1.7340000000000022</v>
      </c>
      <c r="AZ32" s="16">
        <f>[1]节奏总纲!BL29</f>
        <v>1.8020000000000025</v>
      </c>
      <c r="BA32" s="16">
        <f>[1]节奏总纲!BM29</f>
        <v>1.9380000000000024</v>
      </c>
      <c r="BB32" s="16">
        <f>[1]节奏总纲!BN29</f>
        <v>2.380000000000003</v>
      </c>
      <c r="BF32" s="21">
        <f>'[1]功能-行军令'!FZ30</f>
        <v>26</v>
      </c>
      <c r="BG32" s="21">
        <f>'[1]功能-行军令'!GA30*'[1]功能-行军令'!GB30</f>
        <v>81.825832115062155</v>
      </c>
    </row>
    <row r="33" spans="2:59">
      <c r="B33" s="4">
        <v>30</v>
      </c>
      <c r="C33" s="16">
        <f>'[1]资源-钻石'!L33</f>
        <v>65680.001952787134</v>
      </c>
      <c r="D33" s="16">
        <f>'[1]资源-钻石'!M33</f>
        <v>77224.964883952984</v>
      </c>
      <c r="E33" s="16">
        <f>'[1]资源-钻石'!N33</f>
        <v>101868.50891755569</v>
      </c>
      <c r="F33" s="16">
        <f>'[1]资源-钻石'!O33</f>
        <v>192673.35317579008</v>
      </c>
      <c r="G33" s="16">
        <f>'[1]资源-钻石'!P33</f>
        <v>284936.6431252308</v>
      </c>
      <c r="I33" s="4">
        <v>30</v>
      </c>
      <c r="J33" s="16">
        <f>'[1]资源-钻石'!T33</f>
        <v>196663.61286678724</v>
      </c>
      <c r="K33" s="16">
        <f>'[1]资源-钻石'!U33</f>
        <v>269307.76347360696</v>
      </c>
      <c r="L33" s="16">
        <f>'[1]资源-钻石'!V33</f>
        <v>436498.61926985084</v>
      </c>
      <c r="M33" s="16">
        <f>'[1]资源-钻石'!W33</f>
        <v>1111368.2906063378</v>
      </c>
      <c r="N33" s="16">
        <f>'[1]资源-钻石'!X33</f>
        <v>2603895.6752189337</v>
      </c>
      <c r="P33" s="16">
        <v>30</v>
      </c>
      <c r="Q33" s="16">
        <f>'[1]功能-行军令'!N33</f>
        <v>322</v>
      </c>
      <c r="R33" s="16">
        <f>'[1]功能-行军令'!O33</f>
        <v>408.87419999999997</v>
      </c>
      <c r="S33" s="16">
        <f>'[1]功能-行军令'!P33</f>
        <v>458.83110000000005</v>
      </c>
      <c r="T33" s="16">
        <f>'[1]功能-行军令'!Q33</f>
        <v>385.51869999999997</v>
      </c>
      <c r="U33" s="16">
        <f>'[1]功能-行军令'!R33</f>
        <v>216.37209999999999</v>
      </c>
      <c r="V33" s="16">
        <f>'[1]功能-行军令'!S33</f>
        <v>24.643859114454926</v>
      </c>
      <c r="W33" s="16">
        <f>'[1]功能-行军令'!T33</f>
        <v>31.509217998053202</v>
      </c>
      <c r="X33" s="16">
        <f>'[1]功能-行军令'!U33</f>
        <v>35.586651164986563</v>
      </c>
      <c r="Y33" s="16">
        <f>'[1]功能-行军令'!V33</f>
        <v>29.838091358934946</v>
      </c>
      <c r="Z33" s="16">
        <f>'[1]功能-行军令'!W33</f>
        <v>16.892672166111794</v>
      </c>
      <c r="AC33" s="21">
        <v>30</v>
      </c>
      <c r="AD33" s="21">
        <f>'[1]功能-实力'!BF34</f>
        <v>556782</v>
      </c>
      <c r="AE33" s="21">
        <f>'[1]功能-实力'!BG34</f>
        <v>584490</v>
      </c>
      <c r="AF33" s="21">
        <f>'[1]功能-实力'!BH34</f>
        <v>630630</v>
      </c>
      <c r="AG33" s="21">
        <f>'[1]功能-实力'!BI34</f>
        <v>703770</v>
      </c>
      <c r="AH33" s="21">
        <f>'[1]功能-实力'!BJ34</f>
        <v>763236</v>
      </c>
      <c r="AL33" s="57">
        <f>[2]基础状态预期!C43</f>
        <v>3580</v>
      </c>
      <c r="AM33" s="57">
        <f>[2]基础状态预期!D43</f>
        <v>118.05948896247369</v>
      </c>
      <c r="AO33" s="57">
        <f>[2]基础状态预期!F43</f>
        <v>0</v>
      </c>
      <c r="AP33" s="57">
        <f>[2]基础状态预期!G43</f>
        <v>0</v>
      </c>
      <c r="AQ33" s="57">
        <f>[2]基础状态预期!H43</f>
        <v>0</v>
      </c>
      <c r="AR33" s="57">
        <f>[2]基础状态预期!I43</f>
        <v>0</v>
      </c>
      <c r="AS33" s="57">
        <f>[2]基础状态预期!J43</f>
        <v>6</v>
      </c>
      <c r="AW33" s="16">
        <v>27</v>
      </c>
      <c r="AX33" s="16">
        <f>[1]节奏总纲!BJ30</f>
        <v>1.7333333333333356</v>
      </c>
      <c r="AY33" s="16">
        <f>[1]节奏总纲!BK30</f>
        <v>1.7680000000000025</v>
      </c>
      <c r="AZ33" s="16">
        <f>[1]节奏总纲!BL30</f>
        <v>1.8373333333333359</v>
      </c>
      <c r="BA33" s="16">
        <f>[1]节奏总纲!BM30</f>
        <v>1.9760000000000024</v>
      </c>
      <c r="BB33" s="16">
        <f>[1]节奏总纲!BN30</f>
        <v>2.4266666666666699</v>
      </c>
      <c r="BF33" s="21">
        <f>'[1]功能-行军令'!FZ31</f>
        <v>27</v>
      </c>
      <c r="BG33" s="21">
        <f>'[1]功能-行军令'!GA31*'[1]功能-行军令'!GB31</f>
        <v>85.917123720815269</v>
      </c>
    </row>
    <row r="34" spans="2:59">
      <c r="B34" s="4">
        <v>31</v>
      </c>
      <c r="C34" s="16">
        <f>'[1]资源-钻石'!L34</f>
        <v>68946.837990134227</v>
      </c>
      <c r="D34" s="16">
        <f>'[1]资源-钻石'!M34</f>
        <v>82977.001107809148</v>
      </c>
      <c r="E34" s="16">
        <f>'[1]资源-钻石'!N34</f>
        <v>109247.66551910572</v>
      </c>
      <c r="F34" s="16">
        <f>'[1]资源-钻石'!O34</f>
        <v>205710.89057429146</v>
      </c>
      <c r="G34" s="16">
        <f>'[1]资源-钻石'!P34</f>
        <v>302074.48782038403</v>
      </c>
      <c r="I34" s="4">
        <v>31</v>
      </c>
      <c r="J34" s="16">
        <f>'[1]资源-钻石'!T34</f>
        <v>202464.08410567214</v>
      </c>
      <c r="K34" s="16">
        <f>'[1]资源-钻石'!U34</f>
        <v>277325.31364888867</v>
      </c>
      <c r="L34" s="16">
        <f>'[1]资源-钻石'!V34</f>
        <v>449825.11207035818</v>
      </c>
      <c r="M34" s="16">
        <f>'[1]资源-钻石'!W34</f>
        <v>1145354.6959446499</v>
      </c>
      <c r="N34" s="16">
        <f>'[1]资源-钻石'!X34</f>
        <v>2685591.9040212682</v>
      </c>
      <c r="P34" s="16">
        <v>31</v>
      </c>
      <c r="Q34" s="16">
        <f>'[1]功能-行军令'!N34</f>
        <v>348.41263421335577</v>
      </c>
      <c r="R34" s="16">
        <f>'[1]功能-行军令'!O34</f>
        <v>442.97106572009051</v>
      </c>
      <c r="S34" s="16">
        <f>'[1]功能-行军令'!P34</f>
        <v>497.15680452796772</v>
      </c>
      <c r="T34" s="16">
        <f>'[1]功能-行军令'!Q34</f>
        <v>417.37561322449938</v>
      </c>
      <c r="U34" s="16">
        <f>'[1]功能-行军令'!R34</f>
        <v>234.66651300547557</v>
      </c>
      <c r="V34" s="16">
        <f>'[1]功能-行军令'!S34</f>
        <v>26.412634213355773</v>
      </c>
      <c r="W34" s="16">
        <f>'[1]功能-行军令'!T34</f>
        <v>34.096865720090534</v>
      </c>
      <c r="X34" s="16">
        <f>'[1]功能-行军令'!U34</f>
        <v>38.325704527967673</v>
      </c>
      <c r="Y34" s="16">
        <f>'[1]功能-行军令'!V34</f>
        <v>31.856913224499408</v>
      </c>
      <c r="Z34" s="16">
        <f>'[1]功能-行军令'!W34</f>
        <v>18.294413005475576</v>
      </c>
      <c r="AC34" s="21">
        <v>31</v>
      </c>
      <c r="AD34" s="21">
        <f>'[1]功能-实力'!BF35</f>
        <v>593082</v>
      </c>
      <c r="AE34" s="21">
        <f>'[1]功能-实力'!BG35</f>
        <v>625512</v>
      </c>
      <c r="AF34" s="21">
        <f>'[1]功能-实力'!BH35</f>
        <v>680424</v>
      </c>
      <c r="AG34" s="21">
        <f>'[1]功能-实力'!BI35</f>
        <v>764400</v>
      </c>
      <c r="AH34" s="21">
        <f>'[1]功能-实力'!BJ35</f>
        <v>829824</v>
      </c>
      <c r="AL34" s="57">
        <f>[2]基础状态预期!C44</f>
        <v>4540</v>
      </c>
      <c r="AM34" s="57">
        <f>[2]基础状态预期!D44</f>
        <v>121.47928719052189</v>
      </c>
      <c r="AO34" s="57">
        <f>[2]基础状态预期!F44</f>
        <v>0</v>
      </c>
      <c r="AP34" s="57">
        <f>[2]基础状态预期!G44</f>
        <v>0</v>
      </c>
      <c r="AQ34" s="57">
        <f>[2]基础状态预期!H44</f>
        <v>0</v>
      </c>
      <c r="AR34" s="57">
        <f>[2]基础状态预期!I44</f>
        <v>0</v>
      </c>
      <c r="AS34" s="57">
        <f>[2]基础状态预期!J44</f>
        <v>6</v>
      </c>
      <c r="AW34" s="16">
        <v>28</v>
      </c>
      <c r="AX34" s="16">
        <f>[1]节奏总纲!BJ31</f>
        <v>1.766666666666669</v>
      </c>
      <c r="AY34" s="16">
        <f>[1]节奏总纲!BK31</f>
        <v>1.8020000000000025</v>
      </c>
      <c r="AZ34" s="16">
        <f>[1]节奏总纲!BL31</f>
        <v>1.8726666666666694</v>
      </c>
      <c r="BA34" s="16">
        <f>[1]节奏总纲!BM31</f>
        <v>2.0140000000000025</v>
      </c>
      <c r="BB34" s="16">
        <f>[1]节奏总纲!BN31</f>
        <v>2.4733333333333367</v>
      </c>
      <c r="BF34" s="21">
        <f>'[1]功能-行军令'!FZ32</f>
        <v>28</v>
      </c>
      <c r="BG34" s="21">
        <f>'[1]功能-行军令'!GA32*'[1]功能-行军令'!GB32</f>
        <v>90.212979906856049</v>
      </c>
    </row>
    <row r="35" spans="2:59">
      <c r="B35" s="4">
        <v>32</v>
      </c>
      <c r="C35" s="16">
        <f>'[1]资源-钻石'!L35</f>
        <v>72448.146161420067</v>
      </c>
      <c r="D35" s="16">
        <f>'[1]资源-钻石'!M35</f>
        <v>88592.612648810507</v>
      </c>
      <c r="E35" s="16">
        <f>'[1]资源-钻石'!N35</f>
        <v>117010.65127352798</v>
      </c>
      <c r="F35" s="16">
        <f>'[1]资源-钻石'!O35</f>
        <v>219761.91033099376</v>
      </c>
      <c r="G35" s="16">
        <f>'[1]资源-钻石'!P35</f>
        <v>320093.68795940961</v>
      </c>
      <c r="I35" s="4">
        <v>32</v>
      </c>
      <c r="J35" s="16">
        <f>'[1]资源-钻石'!T35</f>
        <v>208391.51725776092</v>
      </c>
      <c r="K35" s="16">
        <f>'[1]资源-钻石'!U35</f>
        <v>285510.66898353701</v>
      </c>
      <c r="L35" s="16">
        <f>'[1]资源-钻石'!V35</f>
        <v>463203.73588189075</v>
      </c>
      <c r="M35" s="16">
        <f>'[1]资源-钻石'!W35</f>
        <v>1180194.1094700799</v>
      </c>
      <c r="N35" s="16">
        <f>'[1]资源-钻石'!X35</f>
        <v>2767356.0204170877</v>
      </c>
      <c r="P35" s="16">
        <v>32</v>
      </c>
      <c r="Q35" s="16">
        <f>'[1]功能-行军令'!N35</f>
        <v>376.72099463890885</v>
      </c>
      <c r="R35" s="16">
        <f>'[1]功能-行军令'!O35</f>
        <v>479.18173455253606</v>
      </c>
      <c r="S35" s="16">
        <f>'[1]功能-行军令'!P35</f>
        <v>537.4760326381712</v>
      </c>
      <c r="T35" s="16">
        <f>'[1]功能-行军令'!Q35</f>
        <v>451.70894653915161</v>
      </c>
      <c r="U35" s="16">
        <f>'[1]功能-行军令'!R35</f>
        <v>253.90176079978457</v>
      </c>
      <c r="V35" s="16">
        <f>'[1]功能-行军令'!S35</f>
        <v>28.308360425553076</v>
      </c>
      <c r="W35" s="16">
        <f>'[1]功能-行军令'!T35</f>
        <v>36.210668832445549</v>
      </c>
      <c r="X35" s="16">
        <f>'[1]功能-行军令'!U35</f>
        <v>40.319228110203483</v>
      </c>
      <c r="Y35" s="16">
        <f>'[1]功能-行军令'!V35</f>
        <v>34.333333314652236</v>
      </c>
      <c r="Z35" s="16">
        <f>'[1]功能-行军令'!W35</f>
        <v>19.235247794309004</v>
      </c>
      <c r="AC35" s="21">
        <v>32</v>
      </c>
      <c r="AD35" s="21">
        <f>'[1]功能-实力'!BF36</f>
        <v>630618</v>
      </c>
      <c r="AE35" s="21">
        <f>'[1]功能-实力'!BG36</f>
        <v>668484</v>
      </c>
      <c r="AF35" s="21">
        <f>'[1]功能-实力'!BH36</f>
        <v>732672</v>
      </c>
      <c r="AG35" s="21">
        <f>'[1]功能-实力'!BI36</f>
        <v>828552</v>
      </c>
      <c r="AH35" s="21">
        <f>'[1]功能-实力'!BJ36</f>
        <v>900492</v>
      </c>
      <c r="AL35" s="57">
        <f>[2]基础状态预期!C45</f>
        <v>5800</v>
      </c>
      <c r="AM35" s="57">
        <f>[2]基础状态预期!D45</f>
        <v>125.02015904129435</v>
      </c>
      <c r="AO35" s="57">
        <f>[2]基础状态预期!F45</f>
        <v>0</v>
      </c>
      <c r="AP35" s="57">
        <f>[2]基础状态预期!G45</f>
        <v>0</v>
      </c>
      <c r="AQ35" s="57">
        <f>[2]基础状态预期!H45</f>
        <v>0</v>
      </c>
      <c r="AR35" s="57">
        <f>[2]基础状态预期!I45</f>
        <v>0</v>
      </c>
      <c r="AS35" s="57">
        <f>[2]基础状态预期!J45</f>
        <v>6</v>
      </c>
      <c r="AW35" s="16">
        <v>29</v>
      </c>
      <c r="AX35" s="16">
        <f>[1]节奏总纲!BJ32</f>
        <v>1.8000000000000025</v>
      </c>
      <c r="AY35" s="16">
        <f>[1]节奏总纲!BK32</f>
        <v>1.8360000000000025</v>
      </c>
      <c r="AZ35" s="16">
        <f>[1]节奏总纲!BL32</f>
        <v>1.9080000000000028</v>
      </c>
      <c r="BA35" s="16">
        <f>[1]节奏总纲!BM32</f>
        <v>2.0520000000000027</v>
      </c>
      <c r="BB35" s="16">
        <f>[1]节奏总纲!BN32</f>
        <v>2.5200000000000031</v>
      </c>
      <c r="BF35" s="21">
        <f>'[1]功能-行军令'!FZ33</f>
        <v>29</v>
      </c>
      <c r="BG35" s="21">
        <f>'[1]功能-行军令'!GA33*'[1]功能-行军令'!GB33</f>
        <v>94.723628902198854</v>
      </c>
    </row>
    <row r="36" spans="2:59">
      <c r="B36" s="4">
        <v>33</v>
      </c>
      <c r="C36" s="16">
        <f>'[1]资源-钻石'!L36</f>
        <v>76200.755343565717</v>
      </c>
      <c r="D36" s="16">
        <f>'[1]资源-钻石'!M36</f>
        <v>93105.924956101415</v>
      </c>
      <c r="E36" s="16">
        <f>'[1]资源-钻石'!N36</f>
        <v>125127.9725742256</v>
      </c>
      <c r="F36" s="16">
        <f>'[1]资源-钻石'!O36</f>
        <v>234538.41940298415</v>
      </c>
      <c r="G36" s="16">
        <f>'[1]资源-钻石'!P36</f>
        <v>339164.14952323883</v>
      </c>
      <c r="I36" s="4">
        <v>33</v>
      </c>
      <c r="J36" s="16">
        <f>'[1]资源-钻石'!T36</f>
        <v>214318.9504098497</v>
      </c>
      <c r="K36" s="16">
        <f>'[1]资源-钻石'!U36</f>
        <v>293710.84545083466</v>
      </c>
      <c r="L36" s="16">
        <f>'[1]资源-钻石'!V36</f>
        <v>476675.92999591812</v>
      </c>
      <c r="M36" s="16">
        <f>'[1]资源-钻石'!W36</f>
        <v>1215033.5229955099</v>
      </c>
      <c r="N36" s="16">
        <f>'[1]资源-钻石'!X36</f>
        <v>2849534.3752950612</v>
      </c>
      <c r="P36" s="16">
        <v>33</v>
      </c>
      <c r="Q36" s="16">
        <f>'[1]功能-行军令'!N36</f>
        <v>407.06114411092915</v>
      </c>
      <c r="R36" s="16">
        <f>'[1]功能-行军令'!O36</f>
        <v>516.70660293933065</v>
      </c>
      <c r="S36" s="16">
        <f>'[1]功能-行军令'!P36</f>
        <v>579.63560107228818</v>
      </c>
      <c r="T36" s="16">
        <f>'[1]功能-行军令'!Q36</f>
        <v>487.81499577829209</v>
      </c>
      <c r="U36" s="16">
        <f>'[1]功能-行军令'!R36</f>
        <v>274.25921567579985</v>
      </c>
      <c r="V36" s="16">
        <f>'[1]功能-行军令'!S36</f>
        <v>30.3401494720203</v>
      </c>
      <c r="W36" s="16">
        <f>'[1]功能-行军令'!T36</f>
        <v>37.524868386794594</v>
      </c>
      <c r="X36" s="16">
        <f>'[1]功能-行军令'!U36</f>
        <v>42.159568434116977</v>
      </c>
      <c r="Y36" s="16">
        <f>'[1]功能-行军令'!V36</f>
        <v>36.106049239140475</v>
      </c>
      <c r="Z36" s="16">
        <f>'[1]功能-行军令'!W36</f>
        <v>20.357454876015282</v>
      </c>
      <c r="AC36" s="21">
        <v>33</v>
      </c>
      <c r="AD36" s="21">
        <f>'[1]功能-实力'!BF37</f>
        <v>669864</v>
      </c>
      <c r="AE36" s="21">
        <f>'[1]功能-实力'!BG37</f>
        <v>712956</v>
      </c>
      <c r="AF36" s="21">
        <f>'[1]功能-实力'!BH37</f>
        <v>787848</v>
      </c>
      <c r="AG36" s="21">
        <f>'[1]功能-实力'!BI37</f>
        <v>896214</v>
      </c>
      <c r="AH36" s="21">
        <f>'[1]功能-实力'!BJ37</f>
        <v>974514</v>
      </c>
      <c r="AL36" s="57">
        <f>[2]基础状态预期!C46</f>
        <v>7420</v>
      </c>
      <c r="AM36" s="57">
        <f>[2]基础状态预期!D46</f>
        <v>128.56549059889721</v>
      </c>
      <c r="AO36" s="57">
        <f>[2]基础状态预期!F46</f>
        <v>0</v>
      </c>
      <c r="AP36" s="57">
        <f>[2]基础状态预期!G46</f>
        <v>0</v>
      </c>
      <c r="AQ36" s="57">
        <f>[2]基础状态预期!H46</f>
        <v>0</v>
      </c>
      <c r="AR36" s="57">
        <f>[2]基础状态预期!I46</f>
        <v>0</v>
      </c>
      <c r="AS36" s="57">
        <f>[2]基础状态预期!J46</f>
        <v>6</v>
      </c>
      <c r="AW36" s="16">
        <v>30</v>
      </c>
      <c r="AX36" s="16">
        <f>[1]节奏总纲!BJ33</f>
        <v>1.8333333333333359</v>
      </c>
      <c r="AY36" s="16">
        <f>[1]节奏总纲!BK33</f>
        <v>1.8700000000000028</v>
      </c>
      <c r="AZ36" s="16">
        <f>[1]节奏总纲!BL33</f>
        <v>1.9433333333333362</v>
      </c>
      <c r="BA36" s="16">
        <f>[1]节奏总纲!BM33</f>
        <v>2.090000000000003</v>
      </c>
      <c r="BB36" s="16">
        <f>[1]节奏总纲!BN33</f>
        <v>2.56666666666667</v>
      </c>
      <c r="BF36" s="21">
        <f>'[1]功能-行军令'!FZ34</f>
        <v>30</v>
      </c>
      <c r="BG36" s="21">
        <f>'[1]功能-行军令'!GA34*'[1]功能-行军令'!GB34</f>
        <v>99.459810347308803</v>
      </c>
    </row>
    <row r="37" spans="2:59">
      <c r="B37" s="4">
        <v>34</v>
      </c>
      <c r="C37" s="16">
        <f>'[1]资源-钻石'!L37</f>
        <v>80222.702280259429</v>
      </c>
      <c r="D37" s="16">
        <f>'[1]资源-钻石'!M37</f>
        <v>98093.593024921094</v>
      </c>
      <c r="E37" s="16">
        <f>'[1]资源-钻石'!N37</f>
        <v>134277.60959034087</v>
      </c>
      <c r="F37" s="16">
        <f>'[1]资源-钻石'!O37</f>
        <v>251090.71369793112</v>
      </c>
      <c r="G37" s="16">
        <f>'[1]资源-钻石'!P37</f>
        <v>360241.28502284456</v>
      </c>
      <c r="I37" s="4">
        <v>34</v>
      </c>
      <c r="J37" s="16">
        <f>'[1]资源-钻石'!T37</f>
        <v>220246.38356193848</v>
      </c>
      <c r="K37" s="16">
        <f>'[1]资源-钻石'!U37</f>
        <v>301911.02191813232</v>
      </c>
      <c r="L37" s="16">
        <f>'[1]资源-钻石'!V37</f>
        <v>490148.12410994555</v>
      </c>
      <c r="M37" s="16">
        <f>'[1]资源-钻石'!W37</f>
        <v>1249872.9365209402</v>
      </c>
      <c r="N37" s="16">
        <f>'[1]资源-钻石'!X37</f>
        <v>2931712.7301730346</v>
      </c>
      <c r="P37" s="16">
        <v>34</v>
      </c>
      <c r="Q37" s="16">
        <f>'[1]功能-行军令'!N37</f>
        <v>439.57891116442499</v>
      </c>
      <c r="R37" s="16">
        <f>'[1]功能-行军令'!O37</f>
        <v>558.17539018392961</v>
      </c>
      <c r="S37" s="16">
        <f>'[1]功能-行军令'!P37</f>
        <v>627.15678862157131</v>
      </c>
      <c r="T37" s="16">
        <f>'[1]功能-行军令'!Q37</f>
        <v>528.26013406653317</v>
      </c>
      <c r="U37" s="16">
        <f>'[1]功能-行军令'!R37</f>
        <v>296.75876732077467</v>
      </c>
      <c r="V37" s="16">
        <f>'[1]功能-行军令'!S37</f>
        <v>32.517767053495845</v>
      </c>
      <c r="W37" s="16">
        <f>'[1]功能-行军令'!T37</f>
        <v>41.468787244598957</v>
      </c>
      <c r="X37" s="16">
        <f>'[1]功能-行军令'!U37</f>
        <v>47.521187549283127</v>
      </c>
      <c r="Y37" s="16">
        <f>'[1]功能-行军令'!V37</f>
        <v>40.445138288241083</v>
      </c>
      <c r="Z37" s="16">
        <f>'[1]功能-行军令'!W37</f>
        <v>22.499551644974815</v>
      </c>
      <c r="AC37" s="21">
        <v>34</v>
      </c>
      <c r="AD37" s="21">
        <f>'[1]功能-实力'!BF38</f>
        <v>710406</v>
      </c>
      <c r="AE37" s="21">
        <f>'[1]功能-实力'!BG38</f>
        <v>760146</v>
      </c>
      <c r="AF37" s="21">
        <f>'[1]功能-实力'!BH38</f>
        <v>845724</v>
      </c>
      <c r="AG37" s="21">
        <f>'[1]功能-实力'!BI38</f>
        <v>963042</v>
      </c>
      <c r="AH37" s="21">
        <f>'[1]功能-实力'!BJ38</f>
        <v>1043610</v>
      </c>
      <c r="AL37" s="57">
        <f>[2]基础状态预期!C47</f>
        <v>9460</v>
      </c>
      <c r="AM37" s="57">
        <f>[2]基础状态预期!D47</f>
        <v>132.07530828871487</v>
      </c>
      <c r="AO37" s="57">
        <f>[2]基础状态预期!F47</f>
        <v>0</v>
      </c>
      <c r="AP37" s="57">
        <f>[2]基础状态预期!G47</f>
        <v>0</v>
      </c>
      <c r="AQ37" s="57">
        <f>[2]基础状态预期!H47</f>
        <v>0</v>
      </c>
      <c r="AR37" s="57">
        <f>[2]基础状态预期!I47</f>
        <v>0</v>
      </c>
      <c r="AS37" s="57">
        <f>[2]基础状态预期!J47</f>
        <v>6</v>
      </c>
      <c r="AW37" s="16">
        <v>31</v>
      </c>
      <c r="AX37" s="16">
        <f>[1]节奏总纲!BJ34</f>
        <v>1.8666666666666694</v>
      </c>
      <c r="AY37" s="16">
        <f>[1]节奏总纲!BK34</f>
        <v>1.9040000000000028</v>
      </c>
      <c r="AZ37" s="16">
        <f>[1]节奏总纲!BL34</f>
        <v>1.9786666666666697</v>
      </c>
      <c r="BA37" s="16">
        <f>[1]节奏总纲!BM34</f>
        <v>2.1280000000000028</v>
      </c>
      <c r="BB37" s="16">
        <f>[1]节奏总纲!BN34</f>
        <v>2.6133333333333368</v>
      </c>
      <c r="BF37" s="21">
        <f>'[1]功能-行军令'!FZ35</f>
        <v>31</v>
      </c>
      <c r="BG37" s="21">
        <f>'[1]功能-行军令'!GA35*'[1]功能-行军令'!GB35</f>
        <v>104.43280086467423</v>
      </c>
    </row>
    <row r="38" spans="2:59">
      <c r="B38" s="4">
        <v>35</v>
      </c>
      <c r="C38" s="16">
        <f>'[1]资源-钻石'!L38</f>
        <v>84533.318274736914</v>
      </c>
      <c r="D38" s="16">
        <f>'[1]资源-钻石'!M38</f>
        <v>103524.36085513508</v>
      </c>
      <c r="E38" s="16">
        <f>'[1]资源-钻石'!N38</f>
        <v>142372.9729246567</v>
      </c>
      <c r="F38" s="16">
        <f>'[1]资源-钻石'!O38</f>
        <v>268448.71290335787</v>
      </c>
      <c r="G38" s="16">
        <f>'[1]资源-钻石'!P38</f>
        <v>382381.64063262125</v>
      </c>
      <c r="I38" s="4">
        <v>35</v>
      </c>
      <c r="J38" s="16">
        <f>'[1]资源-钻石'!T38</f>
        <v>226173.81671402726</v>
      </c>
      <c r="K38" s="16">
        <f>'[1]资源-钻石'!U38</f>
        <v>310111.19838542998</v>
      </c>
      <c r="L38" s="16">
        <f>'[1]资源-钻石'!V38</f>
        <v>503620.31822397298</v>
      </c>
      <c r="M38" s="16">
        <f>'[1]资源-钻石'!W38</f>
        <v>1284712.3500463704</v>
      </c>
      <c r="N38" s="16">
        <f>'[1]资源-钻石'!X38</f>
        <v>3013891.0850510076</v>
      </c>
      <c r="P38" s="16">
        <v>35</v>
      </c>
      <c r="Q38" s="16">
        <f>'[1]功能-行军令'!N38</f>
        <v>474.43059095329892</v>
      </c>
      <c r="R38" s="16">
        <f>'[1]功能-行军令'!O38</f>
        <v>603.32822566106074</v>
      </c>
      <c r="S38" s="16">
        <f>'[1]功能-行军令'!P38</f>
        <v>678.38211377902269</v>
      </c>
      <c r="T38" s="16">
        <f>'[1]功能-行军令'!Q38</f>
        <v>570.67399318242508</v>
      </c>
      <c r="U38" s="16">
        <f>'[1]功能-行军令'!R38</f>
        <v>320.39329177926174</v>
      </c>
      <c r="V38" s="16">
        <f>'[1]功能-行军令'!S38</f>
        <v>34.851679788873923</v>
      </c>
      <c r="W38" s="16">
        <f>'[1]功能-行军令'!T38</f>
        <v>45.152835477131134</v>
      </c>
      <c r="X38" s="16">
        <f>'[1]功能-行军令'!U38</f>
        <v>51.22532515745138</v>
      </c>
      <c r="Y38" s="16">
        <f>'[1]功能-行军令'!V38</f>
        <v>42.41385911589191</v>
      </c>
      <c r="Z38" s="16">
        <f>'[1]功能-行军令'!W38</f>
        <v>23.634524458487078</v>
      </c>
      <c r="AC38" s="21">
        <v>35</v>
      </c>
      <c r="AD38" s="21">
        <f>'[1]功能-实力'!BF39</f>
        <v>756708</v>
      </c>
      <c r="AE38" s="21">
        <f>'[1]功能-实力'!BG39</f>
        <v>810648</v>
      </c>
      <c r="AF38" s="21">
        <f>'[1]功能-实力'!BH39</f>
        <v>898578</v>
      </c>
      <c r="AG38" s="21">
        <f>'[1]功能-实力'!BI39</f>
        <v>1023120</v>
      </c>
      <c r="AH38" s="21">
        <f>'[1]功能-实力'!BJ39</f>
        <v>1108788</v>
      </c>
      <c r="AL38" s="57">
        <f>[2]基础状态预期!C48</f>
        <v>12040</v>
      </c>
      <c r="AM38" s="57">
        <f>[2]基础状态预期!D48</f>
        <v>135.54811255008914</v>
      </c>
      <c r="AO38" s="57">
        <f>[2]基础状态预期!F48</f>
        <v>0</v>
      </c>
      <c r="AP38" s="57">
        <f>[2]基础状态预期!G48</f>
        <v>0</v>
      </c>
      <c r="AQ38" s="57">
        <f>[2]基础状态预期!H48</f>
        <v>0</v>
      </c>
      <c r="AR38" s="57">
        <f>[2]基础状态预期!I48</f>
        <v>0</v>
      </c>
      <c r="AS38" s="57">
        <f>[2]基础状态预期!J48</f>
        <v>6</v>
      </c>
      <c r="AW38" s="16">
        <v>32</v>
      </c>
      <c r="AX38" s="16">
        <f>[1]节奏总纲!BJ35</f>
        <v>1.9000000000000028</v>
      </c>
      <c r="AY38" s="16">
        <f>[1]节奏总纲!BK35</f>
        <v>1.9380000000000028</v>
      </c>
      <c r="AZ38" s="16">
        <f>[1]节奏总纲!BL35</f>
        <v>2.0140000000000029</v>
      </c>
      <c r="BA38" s="16">
        <f>[1]节奏总纲!BM35</f>
        <v>2.166000000000003</v>
      </c>
      <c r="BB38" s="16">
        <f>[1]节奏总纲!BN35</f>
        <v>2.6600000000000037</v>
      </c>
      <c r="BF38" s="21">
        <f>'[1]功能-行军令'!FZ36</f>
        <v>32</v>
      </c>
      <c r="BG38" s="21">
        <f>'[1]功能-行军令'!GA36*'[1]功能-行军令'!GB36</f>
        <v>109.65444090790795</v>
      </c>
    </row>
    <row r="39" spans="2:59">
      <c r="B39" s="4">
        <v>36</v>
      </c>
      <c r="C39" s="16">
        <f>'[1]资源-钻石'!L39</f>
        <v>89153.322104802355</v>
      </c>
      <c r="D39" s="16">
        <f>'[1]资源-钻石'!M39</f>
        <v>109336.24112426533</v>
      </c>
      <c r="E39" s="16">
        <f>'[1]资源-钻石'!N39</f>
        <v>150360.18774897605</v>
      </c>
      <c r="F39" s="16">
        <f>'[1]资源-钻石'!O39</f>
        <v>286555.30116916471</v>
      </c>
      <c r="G39" s="16">
        <f>'[1]资源-钻石'!P39</f>
        <v>404402.00785357563</v>
      </c>
      <c r="I39" s="4">
        <v>36</v>
      </c>
      <c r="J39" s="16">
        <f>'[1]资源-钻石'!T39</f>
        <v>232101.24986611604</v>
      </c>
      <c r="K39" s="16">
        <f>'[1]资源-钻石'!U39</f>
        <v>318311.37485272769</v>
      </c>
      <c r="L39" s="16">
        <f>'[1]资源-钻石'!V39</f>
        <v>517092.51233800041</v>
      </c>
      <c r="M39" s="16">
        <f>'[1]资源-钻石'!W39</f>
        <v>1319551.7635718007</v>
      </c>
      <c r="N39" s="16">
        <f>'[1]资源-钻石'!X39</f>
        <v>3096069.439928981</v>
      </c>
      <c r="P39" s="16">
        <v>36</v>
      </c>
      <c r="Q39" s="16">
        <f>'[1]功能-行军令'!N39</f>
        <v>511.78369647582645</v>
      </c>
      <c r="R39" s="16">
        <f>'[1]功能-行军令'!O39</f>
        <v>651.64973042965698</v>
      </c>
      <c r="S39" s="16">
        <f>'[1]功能-行军令'!P39</f>
        <v>731.69158798522301</v>
      </c>
      <c r="T39" s="16">
        <f>'[1]功能-行军令'!Q39</f>
        <v>614.91701190173114</v>
      </c>
      <c r="U39" s="16">
        <f>'[1]功能-行军令'!R39</f>
        <v>343.89973028645079</v>
      </c>
      <c r="V39" s="16">
        <f>'[1]功能-行军令'!S39</f>
        <v>37.353105522527528</v>
      </c>
      <c r="W39" s="16">
        <f>'[1]功能-行军令'!T39</f>
        <v>48.321504768596242</v>
      </c>
      <c r="X39" s="16">
        <f>'[1]功能-行军令'!U39</f>
        <v>53.309474206200321</v>
      </c>
      <c r="Y39" s="16">
        <f>'[1]功能-行军令'!V39</f>
        <v>44.243018719306065</v>
      </c>
      <c r="Z39" s="16">
        <f>'[1]功能-行军令'!W39</f>
        <v>23.506438507189046</v>
      </c>
      <c r="AC39" s="21">
        <v>36</v>
      </c>
      <c r="AD39" s="21">
        <f>'[1]功能-实力'!BF40</f>
        <v>810294</v>
      </c>
      <c r="AE39" s="21">
        <f>'[1]功能-实力'!BG40</f>
        <v>864180</v>
      </c>
      <c r="AF39" s="21">
        <f>'[1]功能-实力'!BH40</f>
        <v>950784</v>
      </c>
      <c r="AG39" s="21">
        <f>'[1]功能-实力'!BI40</f>
        <v>1085424</v>
      </c>
      <c r="AH39" s="21">
        <f>'[1]功能-实力'!BJ40</f>
        <v>1175982</v>
      </c>
      <c r="AL39" s="57">
        <f>[2]基础状态预期!C49</f>
        <v>15340</v>
      </c>
      <c r="AM39" s="57">
        <f>[2]基础状态预期!D49</f>
        <v>139.0493876099641</v>
      </c>
      <c r="AO39" s="57">
        <f>[2]基础状态预期!F49</f>
        <v>0</v>
      </c>
      <c r="AP39" s="57">
        <f>[2]基础状态预期!G49</f>
        <v>0</v>
      </c>
      <c r="AQ39" s="57">
        <f>[2]基础状态预期!H49</f>
        <v>0</v>
      </c>
      <c r="AR39" s="57">
        <f>[2]基础状态预期!I49</f>
        <v>0</v>
      </c>
      <c r="AS39" s="57">
        <f>[2]基础状态预期!J49</f>
        <v>6</v>
      </c>
      <c r="AW39" s="16">
        <v>33</v>
      </c>
      <c r="AX39" s="16">
        <f>[1]节奏总纲!BJ36</f>
        <v>1.9333333333333362</v>
      </c>
      <c r="AY39" s="16">
        <f>[1]节奏总纲!BK36</f>
        <v>1.9720000000000031</v>
      </c>
      <c r="AZ39" s="16">
        <f>[1]节奏总纲!BL36</f>
        <v>2.0493333333333363</v>
      </c>
      <c r="BA39" s="16">
        <f>[1]节奏总纲!BM36</f>
        <v>2.2040000000000033</v>
      </c>
      <c r="BB39" s="16">
        <f>[1]节奏总纲!BN36</f>
        <v>2.7066666666666706</v>
      </c>
      <c r="BF39" s="21">
        <f>'[1]功能-行军令'!FZ37</f>
        <v>33</v>
      </c>
      <c r="BG39" s="21">
        <f>'[1]功能-行军令'!GA37*'[1]功能-行军令'!GB37</f>
        <v>115.13716295330335</v>
      </c>
    </row>
    <row r="40" spans="2:59">
      <c r="B40" s="4">
        <v>37</v>
      </c>
      <c r="C40" s="16">
        <f>'[1]资源-钻石'!L40</f>
        <v>94104.919606682539</v>
      </c>
      <c r="D40" s="16">
        <f>'[1]资源-钻石'!M40</f>
        <v>115438.27391491983</v>
      </c>
      <c r="E40" s="16">
        <f>'[1]资源-钻石'!N40</f>
        <v>158903.03243934349</v>
      </c>
      <c r="F40" s="16">
        <f>'[1]资源-钻石'!O40</f>
        <v>305381.39836842776</v>
      </c>
      <c r="G40" s="16">
        <f>'[1]资源-钻石'!P40</f>
        <v>429602.7207360816</v>
      </c>
      <c r="I40" s="4">
        <v>37</v>
      </c>
      <c r="J40" s="16">
        <f>'[1]资源-钻石'!T40</f>
        <v>238028.68301820479</v>
      </c>
      <c r="K40" s="16">
        <f>'[1]资源-钻石'!U40</f>
        <v>326511.55132002529</v>
      </c>
      <c r="L40" s="16">
        <f>'[1]资源-钻石'!V40</f>
        <v>530564.70645202789</v>
      </c>
      <c r="M40" s="16">
        <f>'[1]资源-钻石'!W40</f>
        <v>1354391.1770972307</v>
      </c>
      <c r="N40" s="16">
        <f>'[1]资源-钻石'!X40</f>
        <v>3178247.794806954</v>
      </c>
      <c r="P40" s="16">
        <v>37</v>
      </c>
      <c r="Q40" s="16">
        <f>'[1]功能-行军令'!N40</f>
        <v>551.81776371818933</v>
      </c>
      <c r="R40" s="16">
        <f>'[1]功能-行军令'!O40</f>
        <v>702.3836397563656</v>
      </c>
      <c r="S40" s="16">
        <f>'[1]功能-行军令'!P40</f>
        <v>788.70953087090561</v>
      </c>
      <c r="T40" s="16">
        <f>'[1]功能-行军令'!Q40</f>
        <v>660.91813362444623</v>
      </c>
      <c r="U40" s="16">
        <f>'[1]功能-行军令'!R40</f>
        <v>370.80114395344231</v>
      </c>
      <c r="V40" s="16">
        <f>'[1]功能-行军令'!S40</f>
        <v>40.03406724236288</v>
      </c>
      <c r="W40" s="16">
        <f>'[1]功能-行军令'!T40</f>
        <v>50.733909326708613</v>
      </c>
      <c r="X40" s="16">
        <f>'[1]功能-行军令'!U40</f>
        <v>57.017942885682601</v>
      </c>
      <c r="Y40" s="16">
        <f>'[1]功能-行军令'!V40</f>
        <v>46.001121722715084</v>
      </c>
      <c r="Z40" s="16">
        <f>'[1]功能-行军令'!W40</f>
        <v>26.901413666991516</v>
      </c>
      <c r="AC40" s="21">
        <v>37</v>
      </c>
      <c r="AD40" s="21">
        <f>'[1]功能-实力'!BF41</f>
        <v>866298</v>
      </c>
      <c r="AE40" s="21">
        <f>'[1]功能-实力'!BG41</f>
        <v>919602</v>
      </c>
      <c r="AF40" s="21">
        <f>'[1]功能-实力'!BH41</f>
        <v>1004988</v>
      </c>
      <c r="AG40" s="21">
        <f>'[1]功能-实力'!BI41</f>
        <v>1149348</v>
      </c>
      <c r="AH40" s="21">
        <f>'[1]功能-实力'!BJ41</f>
        <v>1245846</v>
      </c>
      <c r="AL40" s="57">
        <f>[2]基础状态预期!C50</f>
        <v>19540</v>
      </c>
      <c r="AM40" s="57">
        <f>[2]基础状态预期!D50</f>
        <v>142.53355653582128</v>
      </c>
      <c r="AO40" s="57">
        <f>[2]基础状态预期!F50</f>
        <v>0</v>
      </c>
      <c r="AP40" s="57">
        <f>[2]基础状态预期!G50</f>
        <v>0</v>
      </c>
      <c r="AQ40" s="57">
        <f>[2]基础状态预期!H50</f>
        <v>0</v>
      </c>
      <c r="AR40" s="57">
        <f>[2]基础状态预期!I50</f>
        <v>0</v>
      </c>
      <c r="AS40" s="57">
        <f>[2]基础状态预期!J50</f>
        <v>6</v>
      </c>
      <c r="AW40" s="16">
        <v>34</v>
      </c>
      <c r="AX40" s="16">
        <f>[1]节奏总纲!BJ37</f>
        <v>1.9666666666666697</v>
      </c>
      <c r="AY40" s="16">
        <f>[1]节奏总纲!BK37</f>
        <v>2.0060000000000029</v>
      </c>
      <c r="AZ40" s="16">
        <f>[1]节奏总纲!BL37</f>
        <v>2.0846666666666698</v>
      </c>
      <c r="BA40" s="16">
        <f>[1]节奏总纲!BM37</f>
        <v>2.2420000000000031</v>
      </c>
      <c r="BB40" s="16">
        <f>[1]节奏总纲!BN37</f>
        <v>2.7533333333333374</v>
      </c>
      <c r="BF40" s="21">
        <f>'[1]功能-行军令'!FZ38</f>
        <v>34</v>
      </c>
      <c r="BG40" s="21">
        <f>'[1]功能-行军令'!GA38*'[1]功能-行军令'!GB38</f>
        <v>120.89402110096852</v>
      </c>
    </row>
    <row r="41" spans="2:59">
      <c r="B41" s="4">
        <v>38</v>
      </c>
      <c r="C41" s="16">
        <f>'[1]资源-钻石'!L41</f>
        <v>99411.910406358715</v>
      </c>
      <c r="D41" s="16">
        <f>'[1]资源-钻石'!M41</f>
        <v>121955.00500168031</v>
      </c>
      <c r="E41" s="16">
        <f>'[1]资源-钻石'!N41</f>
        <v>167791.87483036291</v>
      </c>
      <c r="F41" s="16">
        <f>'[1]资源-钻石'!O41</f>
        <v>325595.7216859844</v>
      </c>
      <c r="G41" s="16">
        <f>'[1]资源-钻石'!P41</f>
        <v>455738.94028841017</v>
      </c>
      <c r="I41" s="4">
        <v>38</v>
      </c>
      <c r="J41" s="16">
        <f>'[1]资源-钻石'!T41</f>
        <v>243956.11617029356</v>
      </c>
      <c r="K41" s="16">
        <f>'[1]资源-钻石'!U41</f>
        <v>334711.72778732295</v>
      </c>
      <c r="L41" s="16">
        <f>'[1]资源-钻石'!V41</f>
        <v>544036.90056605532</v>
      </c>
      <c r="M41" s="16">
        <f>'[1]资源-钻石'!W41</f>
        <v>1389230.5906226609</v>
      </c>
      <c r="N41" s="16">
        <f>'[1]资源-钻石'!X41</f>
        <v>3260426.149684927</v>
      </c>
      <c r="P41" s="16">
        <v>38</v>
      </c>
      <c r="Q41" s="16">
        <f>'[1]功能-行军令'!N41</f>
        <v>594.72521458594724</v>
      </c>
      <c r="R41" s="16">
        <f>'[1]功能-行军令'!O41</f>
        <v>756.5654600455988</v>
      </c>
      <c r="S41" s="16">
        <f>'[1]功能-行军令'!P41</f>
        <v>848.03678381072007</v>
      </c>
      <c r="T41" s="16">
        <f>'[1]功能-行军令'!Q41</f>
        <v>710.3113529216273</v>
      </c>
      <c r="U41" s="16">
        <f>'[1]功能-行军令'!R41</f>
        <v>398.70119809661651</v>
      </c>
      <c r="V41" s="16">
        <f>'[1]功能-行军令'!S41</f>
        <v>42.907450867757916</v>
      </c>
      <c r="W41" s="16">
        <f>'[1]功能-行军令'!T41</f>
        <v>54.181820289233201</v>
      </c>
      <c r="X41" s="16">
        <f>'[1]功能-行军令'!U41</f>
        <v>59.327252939814457</v>
      </c>
      <c r="Y41" s="16">
        <f>'[1]功能-行军令'!V41</f>
        <v>49.393219297181076</v>
      </c>
      <c r="Z41" s="16">
        <f>'[1]功能-行军令'!W41</f>
        <v>27.900054143174202</v>
      </c>
      <c r="AC41" s="21">
        <v>38</v>
      </c>
      <c r="AD41" s="21">
        <f>'[1]功能-实力'!BF42</f>
        <v>924600</v>
      </c>
      <c r="AE41" s="21">
        <f>'[1]功能-实力'!BG42</f>
        <v>977262</v>
      </c>
      <c r="AF41" s="21">
        <f>'[1]功能-实力'!BH42</f>
        <v>1060746</v>
      </c>
      <c r="AG41" s="21">
        <f>'[1]功能-实力'!BI42</f>
        <v>1215882</v>
      </c>
      <c r="AH41" s="21">
        <f>'[1]功能-实力'!BJ42</f>
        <v>1318008</v>
      </c>
      <c r="AL41" s="57">
        <f>[2]基础状态预期!C51</f>
        <v>24880</v>
      </c>
      <c r="AM41" s="57">
        <f>[2]基础状态预期!D51</f>
        <v>146.02664953963369</v>
      </c>
      <c r="AO41" s="57">
        <f>[2]基础状态预期!F51</f>
        <v>0</v>
      </c>
      <c r="AP41" s="57">
        <f>[2]基础状态预期!G51</f>
        <v>0</v>
      </c>
      <c r="AQ41" s="57">
        <f>[2]基础状态预期!H51</f>
        <v>0</v>
      </c>
      <c r="AR41" s="57">
        <f>[2]基础状态预期!I51</f>
        <v>0</v>
      </c>
      <c r="AS41" s="57">
        <f>[2]基础状态预期!J51</f>
        <v>6</v>
      </c>
      <c r="AW41" s="16">
        <v>35</v>
      </c>
      <c r="AX41" s="16">
        <f>[1]节奏总纲!BJ38</f>
        <v>2.0000000000000031</v>
      </c>
      <c r="AY41" s="16">
        <f>[1]节奏总纲!BK38</f>
        <v>2.0400000000000031</v>
      </c>
      <c r="AZ41" s="16">
        <f>[1]节奏总纲!BL38</f>
        <v>2.1200000000000032</v>
      </c>
      <c r="BA41" s="16">
        <f>[1]节奏总纲!BM38</f>
        <v>2.2800000000000034</v>
      </c>
      <c r="BB41" s="16">
        <f>[1]节奏总纲!BN38</f>
        <v>2.8000000000000043</v>
      </c>
      <c r="BF41" s="21">
        <f>'[1]功能-行军令'!FZ39</f>
        <v>35</v>
      </c>
      <c r="BG41" s="21">
        <f>'[1]功能-行军令'!GA39*'[1]功能-行军令'!GB39</f>
        <v>126.93872215601694</v>
      </c>
    </row>
    <row r="42" spans="2:59">
      <c r="B42" s="4">
        <v>39</v>
      </c>
      <c r="C42" s="16">
        <f>'[1]资源-钻石'!L42</f>
        <v>105099.80231137591</v>
      </c>
      <c r="D42" s="16">
        <f>'[1]资源-钻石'!M42</f>
        <v>128845.35339229734</v>
      </c>
      <c r="E42" s="16">
        <f>'[1]资源-钻石'!N42</f>
        <v>177293.86486455292</v>
      </c>
      <c r="F42" s="16">
        <f>'[1]资源-钻石'!O42</f>
        <v>345268.16438133456</v>
      </c>
      <c r="G42" s="16">
        <f>'[1]资源-钻石'!P42</f>
        <v>484619.43485490943</v>
      </c>
      <c r="I42" s="4">
        <v>39</v>
      </c>
      <c r="J42" s="16">
        <f>'[1]资源-钻石'!T42</f>
        <v>249883.54932238234</v>
      </c>
      <c r="K42" s="16">
        <f>'[1]资源-钻石'!U42</f>
        <v>342911.9042546206</v>
      </c>
      <c r="L42" s="16">
        <f>'[1]资源-钻石'!V42</f>
        <v>557509.09468008275</v>
      </c>
      <c r="M42" s="16">
        <f>'[1]资源-钻石'!W42</f>
        <v>1424070.004148091</v>
      </c>
      <c r="N42" s="16">
        <f>'[1]资源-钻石'!X42</f>
        <v>3342604.5045629004</v>
      </c>
      <c r="P42" s="16">
        <v>39</v>
      </c>
      <c r="Q42" s="16">
        <f>'[1]功能-行军令'!N42</f>
        <v>640.71228177109015</v>
      </c>
      <c r="R42" s="16">
        <f>'[1]功能-行军令'!O42</f>
        <v>813.85363309743559</v>
      </c>
      <c r="S42" s="16">
        <f>'[1]功能-行军令'!P42</f>
        <v>911.45639925575597</v>
      </c>
      <c r="T42" s="16">
        <f>'[1]功能-行军令'!Q42</f>
        <v>764.23185972705107</v>
      </c>
      <c r="U42" s="16">
        <f>'[1]功能-行军令'!R42</f>
        <v>429.53072799376594</v>
      </c>
      <c r="V42" s="16">
        <f>'[1]功能-行军令'!S42</f>
        <v>45.987067185142905</v>
      </c>
      <c r="W42" s="16">
        <f>'[1]功能-行军令'!T42</f>
        <v>57.288173051836793</v>
      </c>
      <c r="X42" s="16">
        <f>'[1]功能-行军令'!U42</f>
        <v>63.419615445035902</v>
      </c>
      <c r="Y42" s="16">
        <f>'[1]功能-行军令'!V42</f>
        <v>53.92050680542377</v>
      </c>
      <c r="Z42" s="16">
        <f>'[1]功能-行军令'!W42</f>
        <v>30.829529897149428</v>
      </c>
      <c r="AC42" s="21">
        <v>39</v>
      </c>
      <c r="AD42" s="21">
        <f>'[1]功能-实力'!BF43</f>
        <v>985470</v>
      </c>
      <c r="AE42" s="21">
        <f>'[1]功能-实力'!BG43</f>
        <v>1036968</v>
      </c>
      <c r="AF42" s="21">
        <f>'[1]功能-实力'!BH43</f>
        <v>1118580</v>
      </c>
      <c r="AG42" s="21">
        <f>'[1]功能-实力'!BI43</f>
        <v>1284486</v>
      </c>
      <c r="AH42" s="21">
        <f>'[1]功能-实力'!BJ43</f>
        <v>1393284</v>
      </c>
      <c r="AL42" s="57">
        <f>[2]基础状态预期!C52</f>
        <v>31720</v>
      </c>
      <c r="AM42" s="57">
        <f>[2]基础状态预期!D52</f>
        <v>149.52287096243165</v>
      </c>
      <c r="AO42" s="57">
        <f>[2]基础状态预期!F52</f>
        <v>0</v>
      </c>
      <c r="AP42" s="57">
        <f>[2]基础状态预期!G52</f>
        <v>0</v>
      </c>
      <c r="AQ42" s="57">
        <f>[2]基础状态预期!H52</f>
        <v>0</v>
      </c>
      <c r="AR42" s="57">
        <f>[2]基础状态预期!I52</f>
        <v>0</v>
      </c>
      <c r="AS42" s="57">
        <f>[2]基础状态预期!J52</f>
        <v>6</v>
      </c>
      <c r="AW42" s="16">
        <v>36</v>
      </c>
      <c r="AX42" s="16">
        <f>[1]节奏总纲!BJ39</f>
        <v>2.0333333333333363</v>
      </c>
      <c r="AY42" s="16">
        <f>[1]节奏总纲!BK39</f>
        <v>2.074000000000003</v>
      </c>
      <c r="AZ42" s="16">
        <f>[1]节奏总纲!BL39</f>
        <v>2.1553333333333367</v>
      </c>
      <c r="BA42" s="16">
        <f>[1]节奏总纲!BM39</f>
        <v>2.3180000000000032</v>
      </c>
      <c r="BB42" s="16">
        <f>[1]节奏总纲!BN39</f>
        <v>2.8466666666666707</v>
      </c>
      <c r="BF42" s="21">
        <f>'[1]功能-行军令'!FZ40</f>
        <v>36</v>
      </c>
      <c r="BG42" s="21">
        <f>'[1]功能-行军令'!GA40*'[1]功能-行军令'!GB40</f>
        <v>133.28565826381779</v>
      </c>
    </row>
    <row r="43" spans="2:59">
      <c r="B43" s="4">
        <v>40</v>
      </c>
      <c r="C43" s="16">
        <f>'[1]资源-钻石'!L43</f>
        <v>111195.83045140664</v>
      </c>
      <c r="D43" s="16">
        <f>'[1]资源-钻石'!M43</f>
        <v>136194.09401322569</v>
      </c>
      <c r="E43" s="16">
        <f>'[1]资源-钻石'!N43</f>
        <v>187737.66713221357</v>
      </c>
      <c r="F43" s="16">
        <f>'[1]资源-钻石'!O43</f>
        <v>366454.24349221133</v>
      </c>
      <c r="G43" s="16">
        <f>'[1]资源-钻石'!P43</f>
        <v>516441.17780320806</v>
      </c>
      <c r="I43" s="4">
        <v>40</v>
      </c>
      <c r="J43" s="16">
        <f>'[1]资源-钻石'!T43</f>
        <v>255810.98247447115</v>
      </c>
      <c r="K43" s="16">
        <f>'[1]资源-钻石'!U43</f>
        <v>351112.08072191826</v>
      </c>
      <c r="L43" s="16">
        <f>'[1]资源-钻石'!V43</f>
        <v>570981.28879411006</v>
      </c>
      <c r="M43" s="16">
        <f>'[1]资源-钻石'!W43</f>
        <v>1458909.4176735212</v>
      </c>
      <c r="N43" s="16">
        <f>'[1]资源-钻石'!X43</f>
        <v>3424782.8594408734</v>
      </c>
      <c r="P43" s="16">
        <v>40</v>
      </c>
      <c r="Q43" s="16">
        <f>'[1]功能-行军令'!N43</f>
        <v>690</v>
      </c>
      <c r="R43" s="16">
        <f>'[1]功能-行军令'!O43</f>
        <v>874.95300000000009</v>
      </c>
      <c r="S43" s="16">
        <f>'[1]功能-行军令'!P43</f>
        <v>981.16200000000003</v>
      </c>
      <c r="T43" s="16">
        <f>'[1]功能-行军令'!Q43</f>
        <v>824.10299999999995</v>
      </c>
      <c r="U43" s="16">
        <f>'[1]功能-行军令'!R43</f>
        <v>463.5</v>
      </c>
      <c r="V43" s="16">
        <f>'[1]功能-行军令'!S43</f>
        <v>49.287718228909853</v>
      </c>
      <c r="W43" s="16">
        <f>'[1]功能-行军令'!T43</f>
        <v>61.099366902564498</v>
      </c>
      <c r="X43" s="16">
        <f>'[1]功能-行军令'!U43</f>
        <v>69.705600744244066</v>
      </c>
      <c r="Y43" s="16">
        <f>'[1]功能-行军令'!V43</f>
        <v>59.871140272948878</v>
      </c>
      <c r="Z43" s="16">
        <f>'[1]功能-行军令'!W43</f>
        <v>33.969272006234064</v>
      </c>
      <c r="AC43" s="21">
        <v>40</v>
      </c>
      <c r="AD43" s="21">
        <f>'[1]功能-实力'!BF44</f>
        <v>1049100</v>
      </c>
      <c r="AE43" s="21">
        <f>'[1]功能-实力'!BG44</f>
        <v>1095396</v>
      </c>
      <c r="AF43" s="21">
        <f>'[1]功能-实力'!BH44</f>
        <v>1177734</v>
      </c>
      <c r="AG43" s="21">
        <f>'[1]功能-实力'!BI44</f>
        <v>1357020</v>
      </c>
      <c r="AH43" s="21">
        <f>'[1]功能-实力'!BJ44</f>
        <v>1472544</v>
      </c>
      <c r="AL43" s="57">
        <f>[2]基础状态预期!C53</f>
        <v>40420</v>
      </c>
      <c r="AM43" s="57">
        <f>[2]基础状态预期!D53</f>
        <v>153.02723536432757</v>
      </c>
      <c r="AO43" s="57">
        <f>[2]基础状态预期!F53</f>
        <v>0</v>
      </c>
      <c r="AP43" s="57">
        <f>[2]基础状态预期!G53</f>
        <v>0</v>
      </c>
      <c r="AQ43" s="57">
        <f>[2]基础状态预期!H53</f>
        <v>0</v>
      </c>
      <c r="AR43" s="57">
        <f>[2]基础状态预期!I53</f>
        <v>0</v>
      </c>
      <c r="AS43" s="57">
        <f>[2]基础状态预期!J53</f>
        <v>6</v>
      </c>
      <c r="AW43" s="16">
        <v>37</v>
      </c>
      <c r="AX43" s="16">
        <f>[1]节奏总纲!BJ40</f>
        <v>2.0666666666666695</v>
      </c>
      <c r="AY43" s="16">
        <f>[1]节奏总纲!BK40</f>
        <v>2.1080000000000028</v>
      </c>
      <c r="AZ43" s="16">
        <f>[1]节奏总纲!BL40</f>
        <v>2.1906666666666696</v>
      </c>
      <c r="BA43" s="16">
        <f>[1]节奏总纲!BM40</f>
        <v>2.356000000000003</v>
      </c>
      <c r="BB43" s="16">
        <f>[1]节奏总纲!BN40</f>
        <v>2.8933333333333371</v>
      </c>
      <c r="BF43" s="21">
        <f>'[1]功能-行军令'!FZ41</f>
        <v>37</v>
      </c>
      <c r="BG43" s="21">
        <f>'[1]功能-行军令'!GA41*'[1]功能-行军令'!GB41</f>
        <v>139.94994117700867</v>
      </c>
    </row>
    <row r="44" spans="2:59">
      <c r="B44" s="4">
        <v>41</v>
      </c>
      <c r="C44" s="16">
        <f>'[1]资源-钻石'!L44</f>
        <v>117729.3837134114</v>
      </c>
      <c r="D44" s="16">
        <f>'[1]资源-钻石'!M44</f>
        <v>144288.09353151682</v>
      </c>
      <c r="E44" s="16">
        <f>'[1]资源-钻石'!N44</f>
        <v>199190.2723509311</v>
      </c>
      <c r="F44" s="16">
        <f>'[1]资源-钻石'!O44</f>
        <v>389368.62240997958</v>
      </c>
      <c r="G44" s="16">
        <f>'[1]资源-钻石'!P44</f>
        <v>551240.76766568329</v>
      </c>
      <c r="I44" s="4">
        <v>41</v>
      </c>
      <c r="J44" s="16">
        <f>'[1]资源-钻石'!T44</f>
        <v>261738.41562655996</v>
      </c>
      <c r="K44" s="16">
        <f>'[1]资源-钻石'!U44</f>
        <v>359312.25718921592</v>
      </c>
      <c r="L44" s="16">
        <f>'[1]资源-钻石'!V44</f>
        <v>584453.48290813749</v>
      </c>
      <c r="M44" s="16">
        <f>'[1]资源-钻石'!W44</f>
        <v>1493748.8311989512</v>
      </c>
      <c r="N44" s="16">
        <f>'[1]资源-钻石'!X44</f>
        <v>3506961.2143188468</v>
      </c>
      <c r="P44" s="16">
        <v>41</v>
      </c>
      <c r="Q44" s="16">
        <f>'[1]功能-行军令'!N44</f>
        <v>742.82526842671143</v>
      </c>
      <c r="R44" s="16">
        <f>'[1]功能-行军令'!O44</f>
        <v>942.37074325168692</v>
      </c>
      <c r="S44" s="16">
        <f>'[1]功能-行军令'!P44</f>
        <v>1057.6007055976104</v>
      </c>
      <c r="T44" s="16">
        <f>'[1]功能-行军令'!Q44</f>
        <v>888.85825684924259</v>
      </c>
      <c r="U44" s="16">
        <f>'[1]功能-行军令'!R44</f>
        <v>500.64808254420291</v>
      </c>
      <c r="V44" s="16">
        <f>'[1]功能-行军令'!S44</f>
        <v>52.825268426711432</v>
      </c>
      <c r="W44" s="16">
        <f>'[1]功能-行军令'!T44</f>
        <v>67.417743251686829</v>
      </c>
      <c r="X44" s="16">
        <f>'[1]功能-行军令'!U44</f>
        <v>76.438705597610351</v>
      </c>
      <c r="Y44" s="16">
        <f>'[1]功能-行军令'!V44</f>
        <v>64.755256849242642</v>
      </c>
      <c r="Z44" s="16">
        <f>'[1]功能-行军令'!W44</f>
        <v>37.148082544202907</v>
      </c>
      <c r="AC44" s="21">
        <v>41</v>
      </c>
      <c r="AD44" s="21">
        <f>'[1]功能-实力'!BF45</f>
        <v>1094052</v>
      </c>
      <c r="AE44" s="21">
        <f>'[1]功能-实力'!BG45</f>
        <v>1140186</v>
      </c>
      <c r="AF44" s="21">
        <f>'[1]功能-实力'!BH45</f>
        <v>1228284</v>
      </c>
      <c r="AG44" s="21">
        <f>'[1]功能-实力'!BI45</f>
        <v>1421778</v>
      </c>
      <c r="AH44" s="21">
        <f>'[1]功能-实力'!BJ45</f>
        <v>1544616</v>
      </c>
      <c r="AL44" s="57">
        <f>[2]基础状态预期!C54</f>
        <v>51520</v>
      </c>
      <c r="AM44" s="57">
        <f>[2]基础状态预期!D54</f>
        <v>156.52008914974525</v>
      </c>
      <c r="AO44" s="57">
        <f>[2]基础状态预期!F54</f>
        <v>0</v>
      </c>
      <c r="AP44" s="57">
        <f>[2]基础状态预期!G54</f>
        <v>0</v>
      </c>
      <c r="AQ44" s="57">
        <f>[2]基础状态预期!H54</f>
        <v>0</v>
      </c>
      <c r="AR44" s="57">
        <f>[2]基础状态预期!I54</f>
        <v>0</v>
      </c>
      <c r="AS44" s="57">
        <f>[2]基础状态预期!J54</f>
        <v>6</v>
      </c>
      <c r="AW44" s="16">
        <v>38</v>
      </c>
      <c r="AX44" s="16">
        <f>[1]节奏总纲!BJ41</f>
        <v>2.1000000000000028</v>
      </c>
      <c r="AY44" s="16">
        <f>[1]节奏总纲!BK41</f>
        <v>2.142000000000003</v>
      </c>
      <c r="AZ44" s="16">
        <f>[1]节奏总纲!BL41</f>
        <v>2.2260000000000031</v>
      </c>
      <c r="BA44" s="16">
        <f>[1]节奏总纲!BM41</f>
        <v>2.3940000000000028</v>
      </c>
      <c r="BB44" s="16">
        <f>[1]节奏总纲!BN41</f>
        <v>2.9400000000000035</v>
      </c>
      <c r="BF44" s="21">
        <f>'[1]功能-行军令'!FZ42</f>
        <v>38</v>
      </c>
      <c r="BG44" s="21">
        <f>'[1]功能-行军令'!GA42*'[1]功能-行军令'!GB42</f>
        <v>146.94743823585912</v>
      </c>
    </row>
    <row r="45" spans="2:59">
      <c r="B45" s="4">
        <v>42</v>
      </c>
      <c r="C45" s="16">
        <f>'[1]资源-钻石'!L45</f>
        <v>124731.87271569562</v>
      </c>
      <c r="D45" s="16">
        <f>'[1]资源-钻石'!M45</f>
        <v>153039.57363793612</v>
      </c>
      <c r="E45" s="16">
        <f>'[1]资源-钻石'!N45</f>
        <v>211812.58801458497</v>
      </c>
      <c r="F45" s="16">
        <f>'[1]资源-钻石'!O45</f>
        <v>414608.5525433803</v>
      </c>
      <c r="G45" s="16">
        <f>'[1]资源-钻石'!P45</f>
        <v>588663.72760539316</v>
      </c>
      <c r="I45" s="4">
        <v>42</v>
      </c>
      <c r="J45" s="16">
        <f>'[1]资源-钻石'!T45</f>
        <v>267665.84877864871</v>
      </c>
      <c r="K45" s="16">
        <f>'[1]资源-钻石'!U45</f>
        <v>367512.43365651357</v>
      </c>
      <c r="L45" s="16">
        <f>'[1]资源-钻石'!V45</f>
        <v>597925.67702216492</v>
      </c>
      <c r="M45" s="16">
        <f>'[1]资源-钻石'!W45</f>
        <v>1528588.2447243815</v>
      </c>
      <c r="N45" s="16">
        <f>'[1]资源-钻石'!X45</f>
        <v>3589139.5691968198</v>
      </c>
      <c r="P45" s="16">
        <v>42</v>
      </c>
      <c r="Q45" s="16">
        <f>'[1]功能-行军令'!N45</f>
        <v>799.4419892778177</v>
      </c>
      <c r="R45" s="16">
        <f>'[1]功能-行军令'!O45</f>
        <v>1017.2238904960392</v>
      </c>
      <c r="S45" s="16">
        <f>'[1]功能-行军令'!P45</f>
        <v>1141.846469120243</v>
      </c>
      <c r="T45" s="16">
        <f>'[1]功能-行军令'!Q45</f>
        <v>960.18544247843488</v>
      </c>
      <c r="U45" s="16">
        <f>'[1]功能-行军令'!R45</f>
        <v>540.59657648860423</v>
      </c>
      <c r="V45" s="16">
        <f>'[1]功能-行军令'!S45</f>
        <v>56.616720851106265</v>
      </c>
      <c r="W45" s="16">
        <f>'[1]功能-行军令'!T45</f>
        <v>74.853147244352272</v>
      </c>
      <c r="X45" s="16">
        <f>'[1]功能-行军令'!U45</f>
        <v>84.245763522632615</v>
      </c>
      <c r="Y45" s="16">
        <f>'[1]功能-行军令'!V45</f>
        <v>71.327185629192286</v>
      </c>
      <c r="Z45" s="16">
        <f>'[1]功能-行军令'!W45</f>
        <v>39.948493944401321</v>
      </c>
      <c r="AC45" s="21">
        <v>42</v>
      </c>
      <c r="AD45" s="21">
        <f>'[1]功能-实力'!BF46</f>
        <v>1140696</v>
      </c>
      <c r="AE45" s="21">
        <f>'[1]功能-实力'!BG46</f>
        <v>1186374</v>
      </c>
      <c r="AF45" s="21">
        <f>'[1]功能-实力'!BH46</f>
        <v>1280298</v>
      </c>
      <c r="AG45" s="21">
        <f>'[1]功能-实力'!BI46</f>
        <v>1489464</v>
      </c>
      <c r="AH45" s="21">
        <f>'[1]功能-实力'!BJ46</f>
        <v>1618332</v>
      </c>
      <c r="AL45" s="57">
        <f>[2]基础状态预期!C55</f>
        <v>65500</v>
      </c>
      <c r="AM45" s="57">
        <f>[2]基础状态预期!D55</f>
        <v>159.99202506384199</v>
      </c>
      <c r="AO45" s="57">
        <f>[2]基础状态预期!F55</f>
        <v>0</v>
      </c>
      <c r="AP45" s="57">
        <f>[2]基础状态预期!G55</f>
        <v>0</v>
      </c>
      <c r="AQ45" s="57">
        <f>[2]基础状态预期!H55</f>
        <v>0</v>
      </c>
      <c r="AR45" s="57">
        <f>[2]基础状态预期!I55</f>
        <v>0</v>
      </c>
      <c r="AS45" s="57">
        <f>[2]基础状态预期!J55</f>
        <v>6</v>
      </c>
      <c r="AW45" s="16">
        <v>39</v>
      </c>
      <c r="AX45" s="16">
        <f>[1]节奏总纲!BJ42</f>
        <v>2.133333333333336</v>
      </c>
      <c r="AY45" s="16">
        <f>[1]节奏总纲!BK42</f>
        <v>2.1760000000000028</v>
      </c>
      <c r="AZ45" s="16">
        <f>[1]节奏总纲!BL42</f>
        <v>2.2613333333333361</v>
      </c>
      <c r="BA45" s="16">
        <f>[1]节奏总纲!BM42</f>
        <v>2.4320000000000026</v>
      </c>
      <c r="BB45" s="16">
        <f>[1]节奏总纲!BN42</f>
        <v>2.9866666666666704</v>
      </c>
      <c r="BF45" s="21">
        <f>'[1]功能-行军令'!FZ43</f>
        <v>39</v>
      </c>
      <c r="BG45" s="21">
        <f>'[1]功能-行军令'!GA43*'[1]功能-行军令'!GB43</f>
        <v>154.2948101476521</v>
      </c>
    </row>
    <row r="46" spans="2:59">
      <c r="B46" s="4">
        <v>43</v>
      </c>
      <c r="C46" s="16">
        <f>'[1]资源-钻石'!L46</f>
        <v>132236.95460004604</v>
      </c>
      <c r="D46" s="16">
        <f>'[1]资源-钻石'!M46</f>
        <v>162095.97801082022</v>
      </c>
      <c r="E46" s="16">
        <f>'[1]资源-钻石'!N46</f>
        <v>224925.57977297233</v>
      </c>
      <c r="F46" s="16">
        <f>'[1]资源-钻石'!O46</f>
        <v>440057.65420750715</v>
      </c>
      <c r="G46" s="16">
        <f>'[1]资源-钻石'!P46</f>
        <v>626381.0324356982</v>
      </c>
      <c r="I46" s="4">
        <v>43</v>
      </c>
      <c r="J46" s="16">
        <f>'[1]资源-钻石'!T46</f>
        <v>273593.28193073749</v>
      </c>
      <c r="K46" s="16">
        <f>'[1]资源-钻石'!U46</f>
        <v>375712.61012381123</v>
      </c>
      <c r="L46" s="16">
        <f>'[1]资源-钻石'!V46</f>
        <v>611397.87113619235</v>
      </c>
      <c r="M46" s="16">
        <f>'[1]资源-钻石'!W46</f>
        <v>1563427.6582498117</v>
      </c>
      <c r="N46" s="16">
        <f>'[1]资源-钻石'!X46</f>
        <v>3671317.9240747932</v>
      </c>
      <c r="P46" s="16">
        <v>43</v>
      </c>
      <c r="Q46" s="16">
        <f>'[1]功能-行军令'!N46</f>
        <v>860.12228822185841</v>
      </c>
      <c r="R46" s="16">
        <f>'[1]功能-行军令'!O46</f>
        <v>1094.6851155442046</v>
      </c>
      <c r="S46" s="16">
        <f>'[1]功能-行军令'!P46</f>
        <v>1229.3671770623182</v>
      </c>
      <c r="T46" s="16">
        <f>'[1]功能-行军令'!Q46</f>
        <v>1032.1037397518191</v>
      </c>
      <c r="U46" s="16">
        <f>'[1]功能-行军令'!R46</f>
        <v>580.8592795468345</v>
      </c>
      <c r="V46" s="16">
        <f>'[1]功能-行军令'!S46</f>
        <v>60.680298944040715</v>
      </c>
      <c r="W46" s="16">
        <f>'[1]功能-行军令'!T46</f>
        <v>77.461225048165375</v>
      </c>
      <c r="X46" s="16">
        <f>'[1]功能-行军令'!U46</f>
        <v>87.520707942075205</v>
      </c>
      <c r="Y46" s="16">
        <f>'[1]功能-行军令'!V46</f>
        <v>71.918297273384269</v>
      </c>
      <c r="Z46" s="16">
        <f>'[1]功能-行军令'!W46</f>
        <v>40.262703058230272</v>
      </c>
      <c r="AC46" s="21">
        <v>43</v>
      </c>
      <c r="AD46" s="21">
        <f>'[1]功能-实力'!BF47</f>
        <v>1188312</v>
      </c>
      <c r="AE46" s="21">
        <f>'[1]功能-实力'!BG47</f>
        <v>1236078</v>
      </c>
      <c r="AF46" s="21">
        <f>'[1]功能-实力'!BH47</f>
        <v>1333440</v>
      </c>
      <c r="AG46" s="21">
        <f>'[1]功能-实力'!BI47</f>
        <v>1559238</v>
      </c>
      <c r="AH46" s="21">
        <f>'[1]功能-实力'!BJ47</f>
        <v>1695978</v>
      </c>
      <c r="AW46" s="16">
        <v>40</v>
      </c>
      <c r="AX46" s="16">
        <f>[1]节奏总纲!BJ43</f>
        <v>2.1666666666666692</v>
      </c>
      <c r="AY46" s="16">
        <f>[1]节奏总纲!BK43</f>
        <v>2.2100000000000026</v>
      </c>
      <c r="AZ46" s="16">
        <f>[1]节奏总纲!BL43</f>
        <v>2.2966666666666695</v>
      </c>
      <c r="BA46" s="16">
        <f>[1]节奏总纲!BM43</f>
        <v>2.4700000000000029</v>
      </c>
      <c r="BB46" s="16">
        <f>[1]节奏总纲!BN43</f>
        <v>3.0333333333333368</v>
      </c>
      <c r="BF46" s="21">
        <f>'[1]功能-行军令'!FZ44</f>
        <v>40</v>
      </c>
      <c r="BG46" s="21">
        <f>'[1]功能-行军令'!GA44*'[1]功能-行军令'!GB44</f>
        <v>162.0095506550347</v>
      </c>
    </row>
    <row r="47" spans="2:59">
      <c r="B47" s="4">
        <v>44</v>
      </c>
      <c r="C47" s="16">
        <f>'[1]资源-钻石'!L47</f>
        <v>140280.7021978547</v>
      </c>
      <c r="D47" s="16">
        <f>'[1]资源-钻石'!M47</f>
        <v>171773.21033300663</v>
      </c>
      <c r="E47" s="16">
        <f>'[1]资源-钻石'!N47</f>
        <v>238276.02804493564</v>
      </c>
      <c r="F47" s="16">
        <f>'[1]资源-钻石'!O47</f>
        <v>467306.25284793961</v>
      </c>
      <c r="G47" s="16">
        <f>'[1]资源-钻石'!P47</f>
        <v>666359.98475052416</v>
      </c>
      <c r="I47" s="4">
        <v>44</v>
      </c>
      <c r="J47" s="16">
        <f>'[1]资源-钻石'!T47</f>
        <v>279520.71508282627</v>
      </c>
      <c r="K47" s="16">
        <f>'[1]资源-钻石'!U47</f>
        <v>383912.78659110889</v>
      </c>
      <c r="L47" s="16">
        <f>'[1]资源-钻石'!V47</f>
        <v>624870.06525021978</v>
      </c>
      <c r="M47" s="16">
        <f>'[1]资源-钻石'!W47</f>
        <v>1598267.071775242</v>
      </c>
      <c r="N47" s="16">
        <f>'[1]资源-钻石'!X47</f>
        <v>3753496.2789527662</v>
      </c>
      <c r="P47" s="16">
        <v>44</v>
      </c>
      <c r="Q47" s="16">
        <f>'[1]功能-行军令'!N47</f>
        <v>925.1578223288501</v>
      </c>
      <c r="R47" s="16">
        <f>'[1]功能-行军令'!O47</f>
        <v>1177.4564053285565</v>
      </c>
      <c r="S47" s="16">
        <f>'[1]功能-行军令'!P47</f>
        <v>1321.4069400576111</v>
      </c>
      <c r="T47" s="16">
        <f>'[1]功能-行军令'!Q47</f>
        <v>1109.1073543850268</v>
      </c>
      <c r="U47" s="16">
        <f>'[1]功能-行军令'!R47</f>
        <v>623.53626012307257</v>
      </c>
      <c r="V47" s="16">
        <f>'[1]功能-行军令'!S47</f>
        <v>65.03553410699169</v>
      </c>
      <c r="W47" s="16">
        <f>'[1]功能-行军令'!T47</f>
        <v>82.771289784351893</v>
      </c>
      <c r="X47" s="16">
        <f>'[1]功能-行军令'!U47</f>
        <v>92.039762995292904</v>
      </c>
      <c r="Y47" s="16">
        <f>'[1]功能-行军令'!V47</f>
        <v>77.00361463320769</v>
      </c>
      <c r="Z47" s="16">
        <f>'[1]功能-行军令'!W47</f>
        <v>42.676980576238066</v>
      </c>
      <c r="AC47" s="21">
        <v>44</v>
      </c>
      <c r="AD47" s="21">
        <f>'[1]功能-实力'!BF48</f>
        <v>1238298</v>
      </c>
      <c r="AE47" s="21">
        <f>'[1]功能-实力'!BG48</f>
        <v>1287846</v>
      </c>
      <c r="AF47" s="21">
        <f>'[1]功能-实力'!BH48</f>
        <v>1390134</v>
      </c>
      <c r="AG47" s="21">
        <f>'[1]功能-实力'!BI48</f>
        <v>1633878</v>
      </c>
      <c r="AH47" s="21">
        <f>'[1]功能-实力'!BJ48</f>
        <v>1774320</v>
      </c>
      <c r="AW47" s="16">
        <v>41</v>
      </c>
      <c r="AX47" s="16">
        <f>[1]节奏总纲!BJ44</f>
        <v>2.2000000000000024</v>
      </c>
      <c r="AY47" s="16">
        <f>[1]节奏总纲!BK44</f>
        <v>2.2440000000000024</v>
      </c>
      <c r="AZ47" s="16">
        <f>[1]节奏总纲!BL44</f>
        <v>2.3320000000000025</v>
      </c>
      <c r="BA47" s="16">
        <f>[1]节奏总纲!BM44</f>
        <v>2.5080000000000027</v>
      </c>
      <c r="BB47" s="16">
        <f>[1]节奏总纲!BN44</f>
        <v>3.0800000000000032</v>
      </c>
      <c r="BF47" s="21">
        <f>'[1]功能-行军令'!FZ45</f>
        <v>41</v>
      </c>
      <c r="BG47" s="21">
        <f>'[1]功能-行军令'!GA45*'[1]功能-行军令'!GB45</f>
        <v>168.4899326812361</v>
      </c>
    </row>
    <row r="48" spans="2:59">
      <c r="B48" s="4">
        <v>45</v>
      </c>
      <c r="C48" s="16">
        <f>'[1]资源-钻石'!L48</f>
        <v>148901.77741252608</v>
      </c>
      <c r="D48" s="16">
        <f>'[1]资源-钻石'!M48</f>
        <v>182161.95258932267</v>
      </c>
      <c r="E48" s="16">
        <f>'[1]资源-钻石'!N48</f>
        <v>252130.93191686951</v>
      </c>
      <c r="F48" s="16">
        <f>'[1]资源-钻石'!O48</f>
        <v>496639.30931567377</v>
      </c>
      <c r="G48" s="16">
        <f>'[1]资源-钻石'!P48</f>
        <v>709325.16439252812</v>
      </c>
      <c r="I48" s="4">
        <v>45</v>
      </c>
      <c r="J48" s="16">
        <f>'[1]资源-钻石'!T48</f>
        <v>285448.14823491505</v>
      </c>
      <c r="K48" s="16">
        <f>'[1]资源-钻石'!U48</f>
        <v>392112.96305840655</v>
      </c>
      <c r="L48" s="16">
        <f>'[1]资源-钻石'!V48</f>
        <v>638342.25936424721</v>
      </c>
      <c r="M48" s="16">
        <f>'[1]资源-钻石'!W48</f>
        <v>1633106.485300672</v>
      </c>
      <c r="N48" s="16">
        <f>'[1]资源-钻石'!X48</f>
        <v>3835674.6338307397</v>
      </c>
      <c r="P48" s="16">
        <v>45</v>
      </c>
      <c r="Q48" s="16">
        <f>'[1]功能-行军令'!N48</f>
        <v>994.86118190659784</v>
      </c>
      <c r="R48" s="16">
        <f>'[1]功能-行军令'!O48</f>
        <v>1266.3133808732127</v>
      </c>
      <c r="S48" s="16">
        <f>'[1]功能-行军令'!P48</f>
        <v>1419.9805041271859</v>
      </c>
      <c r="T48" s="16">
        <f>'[1]功能-行军令'!Q48</f>
        <v>1192.0015760681895</v>
      </c>
      <c r="U48" s="16">
        <f>'[1]功能-行军令'!R48</f>
        <v>669.40099721265346</v>
      </c>
      <c r="V48" s="16">
        <f>'[1]功能-行军令'!S48</f>
        <v>69.703359577747733</v>
      </c>
      <c r="W48" s="16">
        <f>'[1]功能-行军令'!T48</f>
        <v>88.856975544656279</v>
      </c>
      <c r="X48" s="16">
        <f>'[1]功能-行军令'!U48</f>
        <v>98.573564069574786</v>
      </c>
      <c r="Y48" s="16">
        <f>'[1]功能-行军令'!V48</f>
        <v>82.894221683162641</v>
      </c>
      <c r="Z48" s="16">
        <f>'[1]功能-行军令'!W48</f>
        <v>45.864737089580899</v>
      </c>
      <c r="AC48" s="21">
        <v>45</v>
      </c>
      <c r="AD48" s="21">
        <f>'[1]功能-实力'!BF49</f>
        <v>1289202</v>
      </c>
      <c r="AE48" s="21">
        <f>'[1]功能-实力'!BG49</f>
        <v>1342668</v>
      </c>
      <c r="AF48" s="21">
        <f>'[1]功能-实力'!BH49</f>
        <v>1451298</v>
      </c>
      <c r="AG48" s="21">
        <f>'[1]功能-实力'!BI49</f>
        <v>1709832</v>
      </c>
      <c r="AH48" s="21">
        <f>'[1]功能-实力'!BJ49</f>
        <v>1854648</v>
      </c>
      <c r="AW48" s="16">
        <v>42</v>
      </c>
      <c r="AX48" s="16">
        <f>[1]节奏总纲!BJ45</f>
        <v>2.2333333333333356</v>
      </c>
      <c r="AY48" s="16">
        <f>[1]节奏总纲!BK45</f>
        <v>2.2780000000000022</v>
      </c>
      <c r="AZ48" s="16">
        <f>[1]节奏总纲!BL45</f>
        <v>2.367333333333336</v>
      </c>
      <c r="BA48" s="16">
        <f>[1]节奏总纲!BM45</f>
        <v>2.5460000000000025</v>
      </c>
      <c r="BB48" s="16">
        <f>[1]节奏总纲!BN45</f>
        <v>3.1266666666666696</v>
      </c>
      <c r="BF48" s="21">
        <f>'[1]功能-行军令'!FZ46</f>
        <v>42</v>
      </c>
      <c r="BG48" s="21">
        <f>'[1]功能-行军令'!GA46*'[1]功能-行军令'!GB46</f>
        <v>173.54463066167318</v>
      </c>
    </row>
    <row r="49" spans="2:59">
      <c r="B49" s="4">
        <v>46</v>
      </c>
      <c r="C49" s="16">
        <f>'[1]资源-钻石'!L49</f>
        <v>158141.61704614019</v>
      </c>
      <c r="D49" s="16">
        <f>'[1]资源-钻石'!M49</f>
        <v>193206.59107855934</v>
      </c>
      <c r="E49" s="16">
        <f>'[1]资源-钻石'!N49</f>
        <v>266880.18635884963</v>
      </c>
      <c r="F49" s="16">
        <f>'[1]资源-钻石'!O49</f>
        <v>527720.17307599634</v>
      </c>
      <c r="G49" s="16">
        <f>'[1]资源-钻石'!P49</f>
        <v>753273.14395466493</v>
      </c>
      <c r="I49" s="4">
        <v>46</v>
      </c>
      <c r="J49" s="16">
        <f>'[1]资源-钻石'!T49</f>
        <v>291375.58138700383</v>
      </c>
      <c r="K49" s="16">
        <f>'[1]资源-钻石'!U49</f>
        <v>400313.1395257042</v>
      </c>
      <c r="L49" s="16">
        <f>'[1]资源-钻石'!V49</f>
        <v>651814.45347827463</v>
      </c>
      <c r="M49" s="16">
        <f>'[1]资源-钻石'!W49</f>
        <v>1667945.8988261023</v>
      </c>
      <c r="N49" s="16">
        <f>'[1]资源-钻石'!X49</f>
        <v>3917852.9887087126</v>
      </c>
      <c r="P49" s="16">
        <v>46</v>
      </c>
      <c r="Q49" s="16">
        <f>'[1]功能-行军令'!N49</f>
        <v>1069.5673929516524</v>
      </c>
      <c r="R49" s="16">
        <f>'[1]功能-行军令'!O49</f>
        <v>1360.7803671478041</v>
      </c>
      <c r="S49" s="16">
        <f>'[1]功能-行军令'!P49</f>
        <v>1524.9171093287671</v>
      </c>
      <c r="T49" s="16">
        <f>'[1]功能-行军令'!Q49</f>
        <v>1279.8350418199216</v>
      </c>
      <c r="U49" s="16">
        <f>'[1]功能-行军令'!R49</f>
        <v>716.31485967129208</v>
      </c>
      <c r="V49" s="16">
        <f>'[1]功能-行军令'!S49</f>
        <v>74.706211045054602</v>
      </c>
      <c r="W49" s="16">
        <f>'[1]功能-行军令'!T49</f>
        <v>94.466986274591363</v>
      </c>
      <c r="X49" s="16">
        <f>'[1]功能-行军令'!U49</f>
        <v>104.93660520158119</v>
      </c>
      <c r="Y49" s="16">
        <f>'[1]功能-行军令'!V49</f>
        <v>87.833465751732092</v>
      </c>
      <c r="Z49" s="16">
        <f>'[1]功能-行军令'!W49</f>
        <v>46.913862458638619</v>
      </c>
      <c r="AC49" s="21">
        <v>46</v>
      </c>
      <c r="AD49" s="21">
        <f>'[1]功能-实力'!BF50</f>
        <v>1342164</v>
      </c>
      <c r="AE49" s="21">
        <f>'[1]功能-实力'!BG50</f>
        <v>1399230</v>
      </c>
      <c r="AF49" s="21">
        <f>'[1]功能-实力'!BH50</f>
        <v>1516614</v>
      </c>
      <c r="AG49" s="21">
        <f>'[1]功能-实力'!BI50</f>
        <v>1784754</v>
      </c>
      <c r="AH49" s="21">
        <f>'[1]功能-实力'!BJ50</f>
        <v>1936656</v>
      </c>
      <c r="AL49" s="167" t="s">
        <v>354</v>
      </c>
      <c r="AM49" s="167"/>
      <c r="AO49" s="5"/>
      <c r="AP49" s="5"/>
      <c r="AQ49" s="5"/>
      <c r="AR49" s="5"/>
      <c r="AS49" s="5"/>
      <c r="AW49" s="16">
        <v>43</v>
      </c>
      <c r="AX49" s="16">
        <f>[1]节奏总纲!BJ46</f>
        <v>2.2666666666666688</v>
      </c>
      <c r="AY49" s="16">
        <f>[1]节奏总纲!BK46</f>
        <v>2.3120000000000021</v>
      </c>
      <c r="AZ49" s="16">
        <f>[1]节奏总纲!BL46</f>
        <v>2.4026666666666689</v>
      </c>
      <c r="BA49" s="16">
        <f>[1]节奏总纲!BM46</f>
        <v>2.5840000000000023</v>
      </c>
      <c r="BB49" s="16">
        <f>[1]节奏总纲!BN46</f>
        <v>3.173333333333336</v>
      </c>
      <c r="BF49" s="21">
        <f>'[1]功能-行军令'!FZ47</f>
        <v>43</v>
      </c>
      <c r="BG49" s="21">
        <f>'[1]功能-行军令'!GA47*'[1]功能-行军令'!GB47</f>
        <v>177.01552327490666</v>
      </c>
    </row>
    <row r="50" spans="2:59">
      <c r="B50" s="4">
        <v>47</v>
      </c>
      <c r="C50" s="16">
        <f>'[1]资源-钻石'!L50</f>
        <v>168044.63196353897</v>
      </c>
      <c r="D50" s="16">
        <f>'[1]资源-钻石'!M50</f>
        <v>205057.83982324961</v>
      </c>
      <c r="E50" s="16">
        <f>'[1]资源-钻石'!N50</f>
        <v>282733.43272314564</v>
      </c>
      <c r="F50" s="16">
        <f>'[1]资源-钻石'!O50</f>
        <v>560894.48753860174</v>
      </c>
      <c r="G50" s="16">
        <f>'[1]资源-钻石'!P50</f>
        <v>796207.21319163172</v>
      </c>
      <c r="I50" s="4">
        <v>47</v>
      </c>
      <c r="J50" s="16">
        <f>'[1]资源-钻石'!T50</f>
        <v>297303.0145390926</v>
      </c>
      <c r="K50" s="16">
        <f>'[1]资源-钻石'!U50</f>
        <v>408513.3159930018</v>
      </c>
      <c r="L50" s="16">
        <f>'[1]资源-钻石'!V50</f>
        <v>665286.64759230218</v>
      </c>
      <c r="M50" s="16">
        <f>'[1]资源-钻石'!W50</f>
        <v>1702785.3123515323</v>
      </c>
      <c r="N50" s="16">
        <f>'[1]资源-钻石'!X50</f>
        <v>4000031.3435866856</v>
      </c>
      <c r="P50" s="16">
        <v>47</v>
      </c>
      <c r="Q50" s="16">
        <f>'[1]功能-行军令'!N50</f>
        <v>1149.6355274363787</v>
      </c>
      <c r="R50" s="16">
        <f>'[1]功能-行军令'!O50</f>
        <v>1462.1464511162799</v>
      </c>
      <c r="S50" s="16">
        <f>'[1]功能-行军令'!P50</f>
        <v>1637.7082921941562</v>
      </c>
      <c r="T50" s="16">
        <f>'[1]功能-行军令'!Q50</f>
        <v>1373.584528180985</v>
      </c>
      <c r="U50" s="16">
        <f>'[1]功能-行军令'!R50</f>
        <v>766.59196494058733</v>
      </c>
      <c r="V50" s="16">
        <f>'[1]功能-行军令'!S50</f>
        <v>80.068134484726215</v>
      </c>
      <c r="W50" s="16">
        <f>'[1]功能-行军令'!T50</f>
        <v>101.36608396847578</v>
      </c>
      <c r="X50" s="16">
        <f>'[1]功能-行军令'!U50</f>
        <v>112.79118286538915</v>
      </c>
      <c r="Y50" s="16">
        <f>'[1]功能-行军令'!V50</f>
        <v>93.749486361063418</v>
      </c>
      <c r="Z50" s="16">
        <f>'[1]功能-行军令'!W50</f>
        <v>50.277105269295248</v>
      </c>
      <c r="AC50" s="21">
        <v>47</v>
      </c>
      <c r="AD50" s="21">
        <f>'[1]功能-实力'!BF51</f>
        <v>1396848</v>
      </c>
      <c r="AE50" s="21">
        <f>'[1]功能-实力'!BG51</f>
        <v>1457616</v>
      </c>
      <c r="AF50" s="21">
        <f>'[1]功能-实力'!BH51</f>
        <v>1581354</v>
      </c>
      <c r="AG50" s="21">
        <f>'[1]功能-实力'!BI51</f>
        <v>1862010</v>
      </c>
      <c r="AH50" s="21">
        <f>'[1]功能-实力'!BJ51</f>
        <v>2021106</v>
      </c>
      <c r="AL50" s="167"/>
      <c r="AM50" s="167"/>
      <c r="AO50" s="167" t="s">
        <v>351</v>
      </c>
      <c r="AP50" s="167"/>
      <c r="AQ50" s="167"/>
      <c r="AR50" s="167"/>
      <c r="AS50" s="167"/>
      <c r="AW50" s="16">
        <v>44</v>
      </c>
      <c r="AX50" s="16">
        <f>[1]节奏总纲!BJ47</f>
        <v>2.300000000000002</v>
      </c>
      <c r="AY50" s="16">
        <f>[1]节奏总纲!BK47</f>
        <v>2.3460000000000023</v>
      </c>
      <c r="AZ50" s="16">
        <f>[1]节奏总纲!BL47</f>
        <v>2.4380000000000024</v>
      </c>
      <c r="BA50" s="16">
        <f>[1]节奏总纲!BM47</f>
        <v>2.6220000000000021</v>
      </c>
      <c r="BB50" s="16">
        <f>[1]节奏总纲!BN47</f>
        <v>3.2200000000000029</v>
      </c>
      <c r="BF50" s="21">
        <f>'[1]功能-行军令'!FZ48</f>
        <v>44</v>
      </c>
      <c r="BG50" s="21">
        <f>'[1]功能-行军令'!GA48*'[1]功能-行军令'!GB48</f>
        <v>180.55583374040481</v>
      </c>
    </row>
    <row r="51" spans="2:59">
      <c r="B51" s="4">
        <v>48</v>
      </c>
      <c r="C51" s="16">
        <f>'[1]资源-钻石'!L51</f>
        <v>178658.42055110796</v>
      </c>
      <c r="D51" s="16">
        <f>'[1]资源-钻石'!M51</f>
        <v>217607.87188967346</v>
      </c>
      <c r="E51" s="16">
        <f>'[1]资源-钻石'!N51</f>
        <v>299778.35802827356</v>
      </c>
      <c r="F51" s="16">
        <f>'[1]资源-钻石'!O51</f>
        <v>593952.40865693032</v>
      </c>
      <c r="G51" s="16">
        <f>'[1]资源-钻石'!P51</f>
        <v>841310.94830571418</v>
      </c>
      <c r="I51" s="4">
        <v>48</v>
      </c>
      <c r="J51" s="16">
        <f>'[1]资源-钻石'!T51</f>
        <v>303230.44769118138</v>
      </c>
      <c r="K51" s="16">
        <f>'[1]资源-钻石'!U51</f>
        <v>416713.49246029946</v>
      </c>
      <c r="L51" s="16">
        <f>'[1]资源-钻石'!V51</f>
        <v>678758.84170632961</v>
      </c>
      <c r="M51" s="16">
        <f>'[1]资源-钻石'!W51</f>
        <v>1737624.7258769625</v>
      </c>
      <c r="N51" s="16">
        <f>'[1]资源-钻石'!X51</f>
        <v>4082209.6984646586</v>
      </c>
      <c r="P51" s="16">
        <v>48</v>
      </c>
      <c r="Q51" s="16">
        <f>'[1]功能-行军令'!N51</f>
        <v>1235.4504291718947</v>
      </c>
      <c r="R51" s="16">
        <f>'[1]功能-行军令'!O51</f>
        <v>1569.4893676019494</v>
      </c>
      <c r="S51" s="16">
        <f>'[1]功能-行军令'!P51</f>
        <v>1758.9779200570902</v>
      </c>
      <c r="T51" s="16">
        <f>'[1]功能-行军令'!Q51</f>
        <v>1469.7536030643444</v>
      </c>
      <c r="U51" s="16">
        <f>'[1]功能-行军令'!R51</f>
        <v>819.941592223361</v>
      </c>
      <c r="V51" s="16">
        <f>'[1]功能-行军令'!S51</f>
        <v>85.814901735516059</v>
      </c>
      <c r="W51" s="16">
        <f>'[1]功能-行军令'!T51</f>
        <v>107.34291648566955</v>
      </c>
      <c r="X51" s="16">
        <f>'[1]功能-行军令'!U51</f>
        <v>121.26962786293393</v>
      </c>
      <c r="Y51" s="16">
        <f>'[1]功能-行军令'!V51</f>
        <v>96.169074883359372</v>
      </c>
      <c r="Z51" s="16">
        <f>'[1]功能-行军令'!W51</f>
        <v>53.349627282773668</v>
      </c>
      <c r="AC51" s="21">
        <v>48</v>
      </c>
      <c r="AD51" s="21">
        <f>'[1]功能-实力'!BF52</f>
        <v>1453716</v>
      </c>
      <c r="AE51" s="21">
        <f>'[1]功能-实力'!BG52</f>
        <v>1516644</v>
      </c>
      <c r="AF51" s="21">
        <f>'[1]功能-实力'!BH52</f>
        <v>1647492</v>
      </c>
      <c r="AG51" s="21">
        <f>'[1]功能-实力'!BI52</f>
        <v>1940562</v>
      </c>
      <c r="AH51" s="21">
        <f>'[1]功能-实力'!BJ52</f>
        <v>2108280</v>
      </c>
      <c r="AL51" s="57" t="s">
        <v>352</v>
      </c>
      <c r="AM51" s="57" t="s">
        <v>353</v>
      </c>
      <c r="AO51" s="57" t="s">
        <v>25</v>
      </c>
      <c r="AP51" s="57" t="s">
        <v>1</v>
      </c>
      <c r="AQ51" s="57" t="s">
        <v>2</v>
      </c>
      <c r="AR51" s="57" t="s">
        <v>0</v>
      </c>
      <c r="AS51" s="57" t="s">
        <v>205</v>
      </c>
      <c r="AW51" s="16">
        <v>45</v>
      </c>
      <c r="AX51" s="16">
        <f>[1]节奏总纲!BJ48</f>
        <v>2.3333333333333353</v>
      </c>
      <c r="AY51" s="16">
        <f>[1]节奏总纲!BK48</f>
        <v>2.3800000000000021</v>
      </c>
      <c r="AZ51" s="16">
        <f>[1]节奏总纲!BL48</f>
        <v>2.4733333333333354</v>
      </c>
      <c r="BA51" s="16">
        <f>[1]节奏总纲!BM48</f>
        <v>2.6600000000000019</v>
      </c>
      <c r="BB51" s="16">
        <f>[1]节奏总纲!BN48</f>
        <v>3.2666666666666693</v>
      </c>
      <c r="BF51" s="21">
        <f>'[1]功能-行军令'!FZ49</f>
        <v>45</v>
      </c>
      <c r="BG51" s="21">
        <f>'[1]功能-行军令'!GA49*'[1]功能-行军令'!GB49</f>
        <v>184.16695041521291</v>
      </c>
    </row>
    <row r="52" spans="2:59">
      <c r="B52" s="4">
        <v>49</v>
      </c>
      <c r="C52" s="16">
        <f>'[1]资源-钻石'!L52</f>
        <v>190033.99749623501</v>
      </c>
      <c r="D52" s="16">
        <f>'[1]资源-钻石'!M52</f>
        <v>231245.88081260055</v>
      </c>
      <c r="E52" s="16">
        <f>'[1]资源-钻石'!N52</f>
        <v>317556.23835718312</v>
      </c>
      <c r="F52" s="16">
        <f>'[1]资源-钻石'!O52</f>
        <v>626751.71981321415</v>
      </c>
      <c r="G52" s="16">
        <f>'[1]资源-钻石'!P52</f>
        <v>892414.87557016802</v>
      </c>
      <c r="I52" s="4">
        <v>49</v>
      </c>
      <c r="J52" s="16">
        <f>'[1]资源-钻石'!T52</f>
        <v>309157.88084327016</v>
      </c>
      <c r="K52" s="16">
        <f>'[1]资源-钻石'!U52</f>
        <v>424913.66892759711</v>
      </c>
      <c r="L52" s="16">
        <f>'[1]资源-钻石'!V52</f>
        <v>692231.03582035704</v>
      </c>
      <c r="M52" s="16">
        <f>'[1]资源-钻石'!W52</f>
        <v>1772464.1394023926</v>
      </c>
      <c r="N52" s="16">
        <f>'[1]资源-钻石'!X52</f>
        <v>4164388.053342632</v>
      </c>
      <c r="P52" s="16">
        <v>49</v>
      </c>
      <c r="Q52" s="16">
        <f>'[1]功能-行军令'!N52</f>
        <v>1327.4245635421805</v>
      </c>
      <c r="R52" s="16">
        <f>'[1]功能-行军令'!O52</f>
        <v>1686.1379661948713</v>
      </c>
      <c r="S52" s="16">
        <f>'[1]功能-行军令'!P52</f>
        <v>1885.4623072330214</v>
      </c>
      <c r="T52" s="16">
        <f>'[1]功能-行军令'!Q52</f>
        <v>1572.6316231897233</v>
      </c>
      <c r="U52" s="16">
        <f>'[1]功能-行军令'!R52</f>
        <v>880.3883704191951</v>
      </c>
      <c r="V52" s="16">
        <f>'[1]功能-行军令'!S52</f>
        <v>91.97413437028581</v>
      </c>
      <c r="W52" s="16">
        <f>'[1]功能-行军令'!T52</f>
        <v>116.64859859292187</v>
      </c>
      <c r="X52" s="16">
        <f>'[1]功能-行军令'!U52</f>
        <v>126.48438717593126</v>
      </c>
      <c r="Y52" s="16">
        <f>'[1]功能-行军令'!V52</f>
        <v>102.87802012537895</v>
      </c>
      <c r="Z52" s="16">
        <f>'[1]功能-行军令'!W52</f>
        <v>60.446778195834099</v>
      </c>
      <c r="AC52" s="21">
        <v>49</v>
      </c>
      <c r="AD52" s="21">
        <f>'[1]功能-实力'!BF53</f>
        <v>1512072</v>
      </c>
      <c r="AE52" s="21">
        <f>'[1]功能-实力'!BG53</f>
        <v>1575648</v>
      </c>
      <c r="AF52" s="21">
        <f>'[1]功能-实力'!BH53</f>
        <v>1714980</v>
      </c>
      <c r="AG52" s="21">
        <f>'[1]功能-实力'!BI53</f>
        <v>2047788</v>
      </c>
      <c r="AH52" s="21">
        <f>'[1]功能-实力'!BJ53</f>
        <v>2197350</v>
      </c>
      <c r="AL52" s="57">
        <f>[2]基础状态预期!C62</f>
        <v>0.85</v>
      </c>
      <c r="AM52" s="57">
        <f>[2]基础状态预期!D62</f>
        <v>9.9592453074578113</v>
      </c>
      <c r="AO52" s="57">
        <f>[2]基础状态预期!F62</f>
        <v>0</v>
      </c>
      <c r="AP52" s="57">
        <f>[2]基础状态预期!G62</f>
        <v>0</v>
      </c>
      <c r="AQ52" s="57">
        <f>[2]基础状态预期!H62</f>
        <v>2</v>
      </c>
      <c r="AR52" s="57">
        <f>[2]基础状态预期!I62</f>
        <v>4</v>
      </c>
      <c r="AS52" s="57">
        <f>[2]基础状态预期!J62</f>
        <v>0</v>
      </c>
      <c r="AW52" s="16">
        <v>46</v>
      </c>
      <c r="AX52" s="16">
        <f>[1]节奏总纲!BJ49</f>
        <v>2.3666666666666685</v>
      </c>
      <c r="AY52" s="16">
        <f>[1]节奏总纲!BK49</f>
        <v>2.4140000000000019</v>
      </c>
      <c r="AZ52" s="16">
        <f>[1]节奏总纲!BL49</f>
        <v>2.5086666666666688</v>
      </c>
      <c r="BA52" s="16">
        <f>[1]节奏总纲!BM49</f>
        <v>2.6980000000000017</v>
      </c>
      <c r="BB52" s="16">
        <f>[1]节奏总纲!BN49</f>
        <v>3.3133333333333357</v>
      </c>
      <c r="BF52" s="21">
        <f>'[1]功能-行军令'!FZ50</f>
        <v>46</v>
      </c>
      <c r="BG52" s="21">
        <f>'[1]功能-行军令'!GA50*'[1]功能-行军令'!GB50</f>
        <v>187.85028942351715</v>
      </c>
    </row>
    <row r="53" spans="2:59">
      <c r="B53" s="4">
        <v>50</v>
      </c>
      <c r="C53" s="16">
        <f>'[1]资源-钻石'!L53</f>
        <v>202464.08410567214</v>
      </c>
      <c r="D53" s="16">
        <f>'[1]资源-钻石'!M53</f>
        <v>245885.2853104354</v>
      </c>
      <c r="E53" s="16">
        <f>'[1]资源-钻石'!N53</f>
        <v>336561.942564325</v>
      </c>
      <c r="F53" s="16">
        <f>'[1]资源-钻石'!O53</f>
        <v>663475.72410607361</v>
      </c>
      <c r="G53" s="16">
        <f>'[1]资源-钻石'!P53</f>
        <v>948227.92893419019</v>
      </c>
      <c r="I53" s="4">
        <v>50</v>
      </c>
      <c r="J53" s="16">
        <f>'[1]资源-钻石'!T53</f>
        <v>315085.31399535894</v>
      </c>
      <c r="K53" s="16">
        <f>'[1]资源-钻石'!U53</f>
        <v>433113.84539489483</v>
      </c>
      <c r="L53" s="16">
        <f>'[1]资源-钻石'!V53</f>
        <v>705703.22993438446</v>
      </c>
      <c r="M53" s="16">
        <f>'[1]资源-钻石'!W53</f>
        <v>1807303.5529278228</v>
      </c>
      <c r="N53" s="16">
        <f>'[1]资源-钻石'!X53</f>
        <v>4246566.408220605</v>
      </c>
      <c r="P53" s="16">
        <v>50</v>
      </c>
      <c r="Q53" s="16">
        <f>'[1]功能-行军令'!N53</f>
        <v>1426</v>
      </c>
      <c r="R53" s="16">
        <f>'[1]功能-行军令'!O53</f>
        <v>1811.3516999999999</v>
      </c>
      <c r="S53" s="16">
        <f>'[1]功能-行军令'!P53</f>
        <v>2020.6823000000002</v>
      </c>
      <c r="T53" s="16">
        <f>'[1]功能-行军令'!Q53</f>
        <v>1687.8197999999998</v>
      </c>
      <c r="U53" s="16">
        <f>'[1]功能-行军令'!R53</f>
        <v>946.40519999999992</v>
      </c>
      <c r="V53" s="16">
        <f>'[1]功能-行军令'!S53</f>
        <v>98.575436457819478</v>
      </c>
      <c r="W53" s="16">
        <f>'[1]功能-行军令'!T53</f>
        <v>125.21373380512864</v>
      </c>
      <c r="X53" s="16">
        <f>'[1]功能-行军令'!U53</f>
        <v>135.21999276697875</v>
      </c>
      <c r="Y53" s="16">
        <f>'[1]功能-行军令'!V53</f>
        <v>115.18817681027645</v>
      </c>
      <c r="Z53" s="16">
        <f>'[1]功能-行军令'!W53</f>
        <v>66.016829580804824</v>
      </c>
      <c r="AC53" s="21">
        <v>50</v>
      </c>
      <c r="AD53" s="21">
        <f>'[1]功能-实力'!BF54</f>
        <v>1572492</v>
      </c>
      <c r="AE53" s="21">
        <f>'[1]功能-实力'!BG54</f>
        <v>1642182</v>
      </c>
      <c r="AF53" s="21">
        <f>'[1]功能-实力'!BH54</f>
        <v>1827534</v>
      </c>
      <c r="AG53" s="21">
        <f>'[1]功能-实力'!BI54</f>
        <v>2132826</v>
      </c>
      <c r="AH53" s="21">
        <f>'[1]功能-实力'!BJ54</f>
        <v>2289162</v>
      </c>
      <c r="AL53" s="57">
        <f>[2]基础状态预期!C63</f>
        <v>2.5499999999999998</v>
      </c>
      <c r="AM53" s="57">
        <f>[2]基础状态预期!D63</f>
        <v>19.766822802328868</v>
      </c>
      <c r="AO53" s="57">
        <f>[2]基础状态预期!F63</f>
        <v>0</v>
      </c>
      <c r="AP53" s="57">
        <f>[2]基础状态预期!G63</f>
        <v>0</v>
      </c>
      <c r="AQ53" s="57">
        <f>[2]基础状态预期!H63</f>
        <v>0</v>
      </c>
      <c r="AR53" s="57">
        <f>[2]基础状态预期!I63</f>
        <v>6</v>
      </c>
      <c r="AS53" s="57">
        <f>[2]基础状态预期!J63</f>
        <v>0</v>
      </c>
      <c r="AW53" s="16">
        <v>47</v>
      </c>
      <c r="AX53" s="16">
        <f>[1]节奏总纲!BJ50</f>
        <v>2.4000000000000017</v>
      </c>
      <c r="AY53" s="16">
        <f>[1]节奏总纲!BK50</f>
        <v>2.4480000000000017</v>
      </c>
      <c r="AZ53" s="16">
        <f>[1]节奏总纲!BL50</f>
        <v>2.5440000000000018</v>
      </c>
      <c r="BA53" s="16">
        <f>[1]节奏总纲!BM50</f>
        <v>2.7360000000000015</v>
      </c>
      <c r="BB53" s="16">
        <f>[1]节奏总纲!BN50</f>
        <v>3.3600000000000021</v>
      </c>
      <c r="BF53" s="21">
        <f>'[1]功能-行军令'!FZ51</f>
        <v>47</v>
      </c>
      <c r="BG53" s="21">
        <f>'[1]功能-行军令'!GA51*'[1]功能-行军令'!GB51</f>
        <v>191.60729521198749</v>
      </c>
    </row>
    <row r="54" spans="2:59">
      <c r="B54" s="4">
        <v>51</v>
      </c>
      <c r="C54" s="16">
        <f>'[1]资源-钻石'!L54</f>
        <v>216077.92094656249</v>
      </c>
      <c r="D54" s="16">
        <f>'[1]资源-钻石'!M54</f>
        <v>260714.6902641707</v>
      </c>
      <c r="E54" s="16">
        <f>'[1]资源-钻石'!N54</f>
        <v>356752.48777482286</v>
      </c>
      <c r="F54" s="16">
        <f>'[1]资源-钻石'!O54</f>
        <v>702905.98884572077</v>
      </c>
      <c r="G54" s="16">
        <f>'[1]资源-钻石'!P54</f>
        <v>1005478.5961148695</v>
      </c>
      <c r="I54" s="4">
        <v>51</v>
      </c>
      <c r="J54" s="16">
        <f>'[1]资源-钻石'!T54</f>
        <v>321012.74714744772</v>
      </c>
      <c r="K54" s="16">
        <f>'[1]资源-钻石'!U54</f>
        <v>441314.02186219243</v>
      </c>
      <c r="L54" s="16">
        <f>'[1]资源-钻石'!V54</f>
        <v>719175.42404841189</v>
      </c>
      <c r="M54" s="16">
        <f>'[1]资源-钻石'!W54</f>
        <v>1842142.9664532528</v>
      </c>
      <c r="N54" s="16">
        <f>'[1]资源-钻石'!X54</f>
        <v>4328744.763098578</v>
      </c>
      <c r="P54" s="16">
        <v>51</v>
      </c>
      <c r="Q54" s="16">
        <f>'[1]功能-行军令'!N54</f>
        <v>1531.6505368534229</v>
      </c>
      <c r="R54" s="16">
        <f>'[1]功能-行军令'!O54</f>
        <v>1938.1905454352827</v>
      </c>
      <c r="S54" s="16">
        <f>'[1]功能-行军令'!P54</f>
        <v>2164.3320878515306</v>
      </c>
      <c r="T54" s="16">
        <f>'[1]功能-行军令'!Q54</f>
        <v>1811.4964086368636</v>
      </c>
      <c r="U54" s="16">
        <f>'[1]功能-行军令'!R54</f>
        <v>1014.1224688260519</v>
      </c>
      <c r="V54" s="16">
        <f>'[1]功能-行军令'!S54</f>
        <v>105.65053685342286</v>
      </c>
      <c r="W54" s="16">
        <f>'[1]功能-行军令'!T54</f>
        <v>126.83884543528279</v>
      </c>
      <c r="X54" s="16">
        <f>'[1]功能-行军令'!U54</f>
        <v>143.64978785153039</v>
      </c>
      <c r="Y54" s="16">
        <f>'[1]功能-行军令'!V54</f>
        <v>123.67660863686388</v>
      </c>
      <c r="Z54" s="16">
        <f>'[1]功能-行军令'!W54</f>
        <v>67.717268826051964</v>
      </c>
      <c r="AC54" s="21">
        <v>51</v>
      </c>
      <c r="AD54" s="21">
        <f>'[1]功能-实力'!BF55</f>
        <v>1657446</v>
      </c>
      <c r="AE54" s="21">
        <f>'[1]功能-实力'!BG55</f>
        <v>1730064</v>
      </c>
      <c r="AF54" s="21">
        <f>'[1]功能-实力'!BH55</f>
        <v>1975692</v>
      </c>
      <c r="AG54" s="21">
        <f>'[1]功能-实力'!BI55</f>
        <v>2253024</v>
      </c>
      <c r="AH54" s="21">
        <f>'[1]功能-实力'!BJ55</f>
        <v>2425980</v>
      </c>
      <c r="AL54" s="57">
        <f>[2]基础状态预期!C64</f>
        <v>5.0999999999999996</v>
      </c>
      <c r="AM54" s="57">
        <f>[2]基础状态预期!D64</f>
        <v>27.773265580596355</v>
      </c>
      <c r="AO54" s="57">
        <f>[2]基础状态预期!F64</f>
        <v>0</v>
      </c>
      <c r="AP54" s="57">
        <f>[2]基础状态预期!G64</f>
        <v>0</v>
      </c>
      <c r="AQ54" s="57">
        <f>[2]基础状态预期!H64</f>
        <v>0</v>
      </c>
      <c r="AR54" s="57">
        <f>[2]基础状态预期!I64</f>
        <v>6</v>
      </c>
      <c r="AS54" s="57">
        <f>[2]基础状态预期!J64</f>
        <v>0</v>
      </c>
      <c r="AW54" s="16">
        <v>48</v>
      </c>
      <c r="AX54" s="16">
        <f>[1]节奏总纲!BJ51</f>
        <v>2.4333333333333349</v>
      </c>
      <c r="AY54" s="16">
        <f>[1]节奏总纲!BK51</f>
        <v>2.4820000000000015</v>
      </c>
      <c r="AZ54" s="16">
        <f>[1]节奏总纲!BL51</f>
        <v>2.5793333333333353</v>
      </c>
      <c r="BA54" s="16">
        <f>[1]节奏总纲!BM51</f>
        <v>2.7740000000000014</v>
      </c>
      <c r="BB54" s="16">
        <f>[1]节奏总纲!BN51</f>
        <v>3.4066666666666685</v>
      </c>
      <c r="BF54" s="21">
        <f>'[1]功能-行军令'!FZ52</f>
        <v>48</v>
      </c>
      <c r="BG54" s="21">
        <f>'[1]功能-行军令'!GA52*'[1]功能-行军令'!GB52</f>
        <v>195.43944111622724</v>
      </c>
    </row>
    <row r="55" spans="2:59">
      <c r="B55" s="4">
        <v>52</v>
      </c>
      <c r="C55" s="16">
        <f>'[1]资源-钻石'!L55</f>
        <v>230668.86999592787</v>
      </c>
      <c r="D55" s="16">
        <f>'[1]资源-钻石'!M55</f>
        <v>277975.98214441777</v>
      </c>
      <c r="E55" s="16">
        <f>'[1]资源-钻石'!N55</f>
        <v>380065.35549023282</v>
      </c>
      <c r="F55" s="16">
        <f>'[1]资源-钻石'!O55</f>
        <v>747011.80733607896</v>
      </c>
      <c r="G55" s="16">
        <f>'[1]资源-钻石'!P55</f>
        <v>1068552.2196363551</v>
      </c>
      <c r="I55" s="4">
        <v>52</v>
      </c>
      <c r="J55" s="16">
        <f>'[1]资源-钻石'!T55</f>
        <v>326940.1802995365</v>
      </c>
      <c r="K55" s="16">
        <f>'[1]资源-钻石'!U55</f>
        <v>449514.19832949014</v>
      </c>
      <c r="L55" s="16">
        <f>'[1]资源-钻石'!V55</f>
        <v>732647.61816243932</v>
      </c>
      <c r="M55" s="16">
        <f>'[1]资源-钻石'!W55</f>
        <v>1876982.3799786831</v>
      </c>
      <c r="N55" s="16">
        <f>'[1]资源-钻石'!X55</f>
        <v>4410923.1179765519</v>
      </c>
      <c r="P55" s="16">
        <v>52</v>
      </c>
      <c r="Q55" s="16">
        <f>'[1]功能-行军令'!N55</f>
        <v>1644.8839785556356</v>
      </c>
      <c r="R55" s="16">
        <f>'[1]功能-行军令'!O55</f>
        <v>2082.4374201903788</v>
      </c>
      <c r="S55" s="16">
        <f>'[1]功能-行军令'!P55</f>
        <v>2330.1962815429533</v>
      </c>
      <c r="T55" s="16">
        <f>'[1]功能-行军令'!Q55</f>
        <v>1949.8383165103787</v>
      </c>
      <c r="U55" s="16">
        <f>'[1]功能-行军令'!R55</f>
        <v>1088.7272503975591</v>
      </c>
      <c r="V55" s="16">
        <f>'[1]功能-行军令'!S55</f>
        <v>113.23344170221276</v>
      </c>
      <c r="W55" s="16">
        <f>'[1]功能-行军令'!T55</f>
        <v>144.24687475509609</v>
      </c>
      <c r="X55" s="16">
        <f>'[1]功能-行军令'!U55</f>
        <v>165.86419369142277</v>
      </c>
      <c r="Y55" s="16">
        <f>'[1]功能-行军令'!V55</f>
        <v>138.34190787351508</v>
      </c>
      <c r="Z55" s="16">
        <f>'[1]功能-行军令'!W55</f>
        <v>74.60478157150726</v>
      </c>
      <c r="AC55" s="21">
        <v>52</v>
      </c>
      <c r="AD55" s="21">
        <f>'[1]功能-实力'!BF56</f>
        <v>1744656</v>
      </c>
      <c r="AE55" s="21">
        <f>'[1]功能-实力'!BG56</f>
        <v>1823052</v>
      </c>
      <c r="AF55" s="21">
        <f>'[1]功能-实力'!BH56</f>
        <v>2129112</v>
      </c>
      <c r="AG55" s="21">
        <f>'[1]功能-实力'!BI56</f>
        <v>2377938</v>
      </c>
      <c r="AH55" s="21">
        <f>'[1]功能-实力'!BJ56</f>
        <v>2568096</v>
      </c>
      <c r="AL55" s="57">
        <f>[2]基础状态预期!C65</f>
        <v>8.5</v>
      </c>
      <c r="AM55" s="57">
        <f>[2]基础状态预期!D65</f>
        <v>34.250806171891597</v>
      </c>
      <c r="AO55" s="57">
        <f>[2]基础状态预期!F65</f>
        <v>0</v>
      </c>
      <c r="AP55" s="57">
        <f>[2]基础状态预期!G65</f>
        <v>0</v>
      </c>
      <c r="AQ55" s="57">
        <f>[2]基础状态预期!H65</f>
        <v>0</v>
      </c>
      <c r="AR55" s="57">
        <f>[2]基础状态预期!I65</f>
        <v>6</v>
      </c>
      <c r="AS55" s="57">
        <f>[2]基础状态预期!J65</f>
        <v>0</v>
      </c>
      <c r="AW55" s="16">
        <v>49</v>
      </c>
      <c r="AX55" s="16">
        <f>[1]节奏总纲!BJ52</f>
        <v>2.4666666666666681</v>
      </c>
      <c r="AY55" s="16">
        <f>[1]节奏总纲!BK52</f>
        <v>2.5160000000000013</v>
      </c>
      <c r="AZ55" s="16">
        <f>[1]节奏总纲!BL52</f>
        <v>2.6146666666666682</v>
      </c>
      <c r="BA55" s="16">
        <f>[1]节奏总纲!BM52</f>
        <v>2.8120000000000016</v>
      </c>
      <c r="BB55" s="16">
        <f>[1]节奏总纲!BN52</f>
        <v>3.4533333333333354</v>
      </c>
      <c r="BF55" s="21">
        <f>'[1]功能-行军令'!FZ53</f>
        <v>49</v>
      </c>
      <c r="BG55" s="21">
        <f>'[1]功能-行军令'!GA53*'[1]功能-行军令'!GB53</f>
        <v>199.34822993855178</v>
      </c>
    </row>
    <row r="56" spans="2:59">
      <c r="B56" s="4">
        <v>53</v>
      </c>
      <c r="C56" s="16">
        <f>'[1]资源-钻石'!L56</f>
        <v>246307.06198025664</v>
      </c>
      <c r="D56" s="16">
        <f>'[1]资源-钻石'!M56</f>
        <v>297221.32820633071</v>
      </c>
      <c r="E56" s="16">
        <f>'[1]资源-钻石'!N56</f>
        <v>405310.30455440679</v>
      </c>
      <c r="F56" s="16">
        <f>'[1]资源-钻石'!O56</f>
        <v>792624.81850703747</v>
      </c>
      <c r="G56" s="16">
        <f>'[1]资源-钻石'!P56</f>
        <v>1135460.5409884979</v>
      </c>
      <c r="I56" s="4">
        <v>53</v>
      </c>
      <c r="J56" s="16">
        <f>'[1]资源-钻石'!T56</f>
        <v>332867.61345162528</v>
      </c>
      <c r="K56" s="16">
        <f>'[1]资源-钻石'!U56</f>
        <v>457714.3747967878</v>
      </c>
      <c r="L56" s="16">
        <f>'[1]资源-钻石'!V56</f>
        <v>746119.81227646663</v>
      </c>
      <c r="M56" s="16">
        <f>'[1]资源-钻石'!W56</f>
        <v>1911821.7935041133</v>
      </c>
      <c r="N56" s="16">
        <f>'[1]资源-钻石'!X56</f>
        <v>4493101.4728545249</v>
      </c>
      <c r="P56" s="16">
        <v>53</v>
      </c>
      <c r="Q56" s="16">
        <f>'[1]功能-行军令'!N56</f>
        <v>1766.2445764437161</v>
      </c>
      <c r="R56" s="16">
        <f>'[1]功能-行军令'!O56</f>
        <v>2239.6825954973315</v>
      </c>
      <c r="S56" s="16">
        <f>'[1]功能-行军令'!P56</f>
        <v>2509.806665491662</v>
      </c>
      <c r="T56" s="16">
        <f>'[1]功能-行军令'!Q56</f>
        <v>2092.9076711948587</v>
      </c>
      <c r="U56" s="16">
        <f>'[1]功能-行军令'!R56</f>
        <v>1167.8677915794442</v>
      </c>
      <c r="V56" s="16">
        <f>'[1]功能-行军令'!S56</f>
        <v>121.36059788808052</v>
      </c>
      <c r="W56" s="16">
        <f>'[1]功能-行军令'!T56</f>
        <v>157.24517530695266</v>
      </c>
      <c r="X56" s="16">
        <f>'[1]功能-行军令'!U56</f>
        <v>179.61038394870866</v>
      </c>
      <c r="Y56" s="16">
        <f>'[1]功能-行军令'!V56</f>
        <v>143.06935468448</v>
      </c>
      <c r="Z56" s="16">
        <f>'[1]功能-行军令'!W56</f>
        <v>79.140541181885055</v>
      </c>
      <c r="AC56" s="21">
        <v>53</v>
      </c>
      <c r="AD56" s="21">
        <f>'[1]功能-实力'!BF57</f>
        <v>1835064</v>
      </c>
      <c r="AE56" s="21">
        <f>'[1]功能-实力'!BG57</f>
        <v>1919556</v>
      </c>
      <c r="AF56" s="21">
        <f>'[1]功能-实力'!BH57</f>
        <v>2288376</v>
      </c>
      <c r="AG56" s="21">
        <f>'[1]功能-实力'!BI57</f>
        <v>2509338</v>
      </c>
      <c r="AH56" s="21">
        <f>'[1]功能-实力'!BJ57</f>
        <v>2714076</v>
      </c>
      <c r="AL56" s="57">
        <f>[2]基础状态预期!C66</f>
        <v>12.75</v>
      </c>
      <c r="AM56" s="57">
        <f>[2]基础状态预期!D66</f>
        <v>39.661158518499626</v>
      </c>
      <c r="AO56" s="57">
        <f>[2]基础状态预期!F66</f>
        <v>0</v>
      </c>
      <c r="AP56" s="57">
        <f>[2]基础状态预期!G66</f>
        <v>0</v>
      </c>
      <c r="AQ56" s="57">
        <f>[2]基础状态预期!H66</f>
        <v>0</v>
      </c>
      <c r="AR56" s="57">
        <f>[2]基础状态预期!I66</f>
        <v>6</v>
      </c>
      <c r="AS56" s="57">
        <f>[2]基础状态预期!J66</f>
        <v>0</v>
      </c>
      <c r="AW56" s="16">
        <v>50</v>
      </c>
      <c r="AX56" s="16">
        <f>[1]节奏总纲!BJ53</f>
        <v>2.5000000000000013</v>
      </c>
      <c r="AY56" s="16">
        <f>[1]节奏总纲!BK53</f>
        <v>2.5500000000000016</v>
      </c>
      <c r="AZ56" s="16">
        <f>[1]节奏总纲!BL53</f>
        <v>2.6500000000000017</v>
      </c>
      <c r="BA56" s="16">
        <f>[1]节奏总纲!BM53</f>
        <v>2.8500000000000014</v>
      </c>
      <c r="BB56" s="16">
        <f>[1]节奏总纲!BN53</f>
        <v>3.5000000000000018</v>
      </c>
      <c r="BF56" s="21">
        <f>'[1]功能-行军令'!FZ54</f>
        <v>50</v>
      </c>
      <c r="BG56" s="21">
        <f>'[1]功能-行军令'!GA54*'[1]功能-行军令'!GB54</f>
        <v>203.33519453732282</v>
      </c>
    </row>
    <row r="57" spans="2:59">
      <c r="B57" s="4">
        <v>54</v>
      </c>
      <c r="C57" s="16">
        <f>'[1]资源-钻石'!L57</f>
        <v>263067.66115110822</v>
      </c>
      <c r="D57" s="16">
        <f>'[1]资源-钻石'!M57</f>
        <v>317881.26528289204</v>
      </c>
      <c r="E57" s="16">
        <f>'[1]资源-钻石'!N57</f>
        <v>430550.56681762933</v>
      </c>
      <c r="F57" s="16">
        <f>'[1]资源-钻石'!O57</f>
        <v>840003.48785740929</v>
      </c>
      <c r="G57" s="16">
        <f>'[1]资源-钻石'!P57</f>
        <v>1202787.5913941714</v>
      </c>
      <c r="I57" s="4">
        <v>54</v>
      </c>
      <c r="J57" s="16">
        <f>'[1]资源-钻石'!T57</f>
        <v>338795.04660371406</v>
      </c>
      <c r="K57" s="16">
        <f>'[1]资源-钻石'!U57</f>
        <v>465914.55126408546</v>
      </c>
      <c r="L57" s="16">
        <f>'[1]资源-钻石'!V57</f>
        <v>759592.00639049406</v>
      </c>
      <c r="M57" s="16">
        <f>'[1]资源-钻石'!W57</f>
        <v>1946661.2070295434</v>
      </c>
      <c r="N57" s="16">
        <f>'[1]资源-钻石'!X57</f>
        <v>4575279.8277324978</v>
      </c>
      <c r="P57" s="16">
        <v>54</v>
      </c>
      <c r="Q57" s="16">
        <f>'[1]功能-行军令'!N57</f>
        <v>1896.3156446577002</v>
      </c>
      <c r="R57" s="16">
        <f>'[1]功能-行军令'!O57</f>
        <v>2408.4857657278585</v>
      </c>
      <c r="S57" s="16">
        <f>'[1]功能-行军令'!P57</f>
        <v>2689.3837042307518</v>
      </c>
      <c r="T57" s="16">
        <f>'[1]功能-行军令'!Q57</f>
        <v>2241.5151732157478</v>
      </c>
      <c r="U57" s="16">
        <f>'[1]功能-行军令'!R57</f>
        <v>1247.5036141140115</v>
      </c>
      <c r="V57" s="16">
        <f>'[1]功能-行军令'!S57</f>
        <v>130.07106821398406</v>
      </c>
      <c r="W57" s="16">
        <f>'[1]功能-行军令'!T57</f>
        <v>168.80317023052703</v>
      </c>
      <c r="X57" s="16">
        <f>'[1]功能-行军令'!U57</f>
        <v>179.57703873908986</v>
      </c>
      <c r="Y57" s="16">
        <f>'[1]功能-行军令'!V57</f>
        <v>148.60750202088911</v>
      </c>
      <c r="Z57" s="16">
        <f>'[1]功能-行军令'!W57</f>
        <v>79.635822534567296</v>
      </c>
      <c r="AC57" s="21">
        <v>54</v>
      </c>
      <c r="AD57" s="21">
        <f>'[1]功能-实力'!BF58</f>
        <v>1930578</v>
      </c>
      <c r="AE57" s="21">
        <f>'[1]功能-实力'!BG58</f>
        <v>2023896</v>
      </c>
      <c r="AF57" s="21">
        <f>'[1]功能-实力'!BH58</f>
        <v>2387496</v>
      </c>
      <c r="AG57" s="21">
        <f>'[1]功能-实力'!BI58</f>
        <v>2655384</v>
      </c>
      <c r="AH57" s="21">
        <f>'[1]功能-实力'!BJ58</f>
        <v>2863866</v>
      </c>
      <c r="AL57" s="57">
        <f>[2]基础状态预期!C67</f>
        <v>17</v>
      </c>
      <c r="AM57" s="57">
        <f>[2]基础状态预期!D67</f>
        <v>43.535389560453282</v>
      </c>
      <c r="AO57" s="57">
        <f>[2]基础状态预期!F67</f>
        <v>0</v>
      </c>
      <c r="AP57" s="57">
        <f>[2]基础状态预期!G67</f>
        <v>0</v>
      </c>
      <c r="AQ57" s="57">
        <f>[2]基础状态预期!H67</f>
        <v>0</v>
      </c>
      <c r="AR57" s="57">
        <f>[2]基础状态预期!I67</f>
        <v>6</v>
      </c>
      <c r="AS57" s="57">
        <f>[2]基础状态预期!J67</f>
        <v>0</v>
      </c>
      <c r="AW57" s="16">
        <v>51</v>
      </c>
      <c r="AX57" s="16">
        <f>[1]节奏总纲!BJ54</f>
        <v>2.5333333333333345</v>
      </c>
      <c r="AY57" s="16">
        <f>[1]节奏总纲!BK54</f>
        <v>2.5840000000000014</v>
      </c>
      <c r="AZ57" s="16">
        <f>[1]节奏总纲!BL54</f>
        <v>2.6853333333333347</v>
      </c>
      <c r="BA57" s="16">
        <f>[1]节奏总纲!BM54</f>
        <v>2.8880000000000012</v>
      </c>
      <c r="BB57" s="16">
        <f>[1]节奏总纲!BN54</f>
        <v>3.5466666666666682</v>
      </c>
      <c r="BF57" s="21">
        <f>'[1]功能-行军令'!FZ55</f>
        <v>51</v>
      </c>
      <c r="BG57" s="21">
        <f>'[1]功能-行军令'!GA55*'[1]功能-行军令'!GB55</f>
        <v>207.40189842806927</v>
      </c>
    </row>
    <row r="58" spans="2:59">
      <c r="B58" s="4">
        <v>55</v>
      </c>
      <c r="C58" s="16">
        <f>'[1]资源-钻石'!L58</f>
        <v>281031.2265586346</v>
      </c>
      <c r="D58" s="16">
        <f>'[1]资源-钻石'!M58</f>
        <v>339079.83026278776</v>
      </c>
      <c r="E58" s="16">
        <f>'[1]资源-钻石'!N58</f>
        <v>458383.46979831893</v>
      </c>
      <c r="F58" s="16">
        <f>'[1]资源-钻石'!O58</f>
        <v>889923.62534934084</v>
      </c>
      <c r="G58" s="16">
        <f>'[1]资源-钻石'!P58</f>
        <v>1275312.4499331585</v>
      </c>
      <c r="I58" s="4">
        <v>55</v>
      </c>
      <c r="J58" s="16">
        <f>'[1]资源-钻石'!T58</f>
        <v>344722.47975580284</v>
      </c>
      <c r="K58" s="16">
        <f>'[1]资源-钻石'!U58</f>
        <v>474114.72773138311</v>
      </c>
      <c r="L58" s="16">
        <f>'[1]资源-钻石'!V58</f>
        <v>773064.20050452149</v>
      </c>
      <c r="M58" s="16">
        <f>'[1]资源-钻石'!W58</f>
        <v>1981500.6205549736</v>
      </c>
      <c r="N58" s="16">
        <f>'[1]资源-钻石'!X58</f>
        <v>4657458.1826104717</v>
      </c>
      <c r="P58" s="16">
        <v>55</v>
      </c>
      <c r="Q58" s="16">
        <f>'[1]功能-行军令'!N58</f>
        <v>2035.7223638131961</v>
      </c>
      <c r="R58" s="16">
        <f>'[1]功能-行军令'!O58</f>
        <v>2581.6898253376967</v>
      </c>
      <c r="S58" s="16">
        <f>'[1]功能-行军令'!P58</f>
        <v>2879.4407739457738</v>
      </c>
      <c r="T58" s="16">
        <f>'[1]功能-行军令'!Q58</f>
        <v>2398.0942210221438</v>
      </c>
      <c r="U58" s="16">
        <f>'[1]功能-行军令'!R58</f>
        <v>1333.2875112126535</v>
      </c>
      <c r="V58" s="16">
        <f>'[1]功能-行军令'!S58</f>
        <v>139.40671915549592</v>
      </c>
      <c r="W58" s="16">
        <f>'[1]功能-行军令'!T58</f>
        <v>173.20405960983817</v>
      </c>
      <c r="X58" s="16">
        <f>'[1]功能-行军令'!U58</f>
        <v>190.05706971502195</v>
      </c>
      <c r="Y58" s="16">
        <f>'[1]功能-行军令'!V58</f>
        <v>156.57904780639592</v>
      </c>
      <c r="Z58" s="16">
        <f>'[1]功能-行军令'!W58</f>
        <v>85.783897098642001</v>
      </c>
      <c r="AC58" s="21">
        <v>55</v>
      </c>
      <c r="AD58" s="21">
        <f>'[1]功能-实力'!BF59</f>
        <v>2032668</v>
      </c>
      <c r="AE58" s="21">
        <f>'[1]功能-实力'!BG59</f>
        <v>2132664</v>
      </c>
      <c r="AF58" s="21">
        <f>'[1]功能-实力'!BH59</f>
        <v>2474268</v>
      </c>
      <c r="AG58" s="21">
        <f>'[1]功能-实力'!BI59</f>
        <v>2806188</v>
      </c>
      <c r="AH58" s="21">
        <f>'[1]功能-实力'!BJ59</f>
        <v>3019692</v>
      </c>
      <c r="AL58" s="57">
        <f>[2]基础状态预期!C68</f>
        <v>25.5</v>
      </c>
      <c r="AM58" s="57">
        <f>[2]基础状态预期!D68</f>
        <v>49.178590903134719</v>
      </c>
      <c r="AO58" s="57">
        <f>[2]基础状态预期!F68</f>
        <v>0</v>
      </c>
      <c r="AP58" s="57">
        <f>[2]基础状态预期!G68</f>
        <v>0</v>
      </c>
      <c r="AQ58" s="57">
        <f>[2]基础状态预期!H68</f>
        <v>0</v>
      </c>
      <c r="AR58" s="57">
        <f>[2]基础状态预期!I68</f>
        <v>6</v>
      </c>
      <c r="AS58" s="57">
        <f>[2]基础状态预期!J68</f>
        <v>0</v>
      </c>
      <c r="AW58" s="16">
        <v>52</v>
      </c>
      <c r="AX58" s="16">
        <f>[1]节奏总纲!BJ55</f>
        <v>2.5666666666666678</v>
      </c>
      <c r="AY58" s="16">
        <f>[1]节奏总纲!BK55</f>
        <v>2.6180000000000012</v>
      </c>
      <c r="AZ58" s="16">
        <f>[1]节奏总纲!BL55</f>
        <v>2.7206666666666681</v>
      </c>
      <c r="BA58" s="16">
        <f>[1]节奏总纲!BM55</f>
        <v>2.926000000000001</v>
      </c>
      <c r="BB58" s="16">
        <f>[1]节奏总纲!BN55</f>
        <v>3.5933333333333346</v>
      </c>
      <c r="BF58" s="21">
        <f>'[1]功能-行军令'!FZ56</f>
        <v>52</v>
      </c>
      <c r="BG58" s="21">
        <f>'[1]功能-行军令'!GA56*'[1]功能-行军令'!GB56</f>
        <v>211.54993639663067</v>
      </c>
    </row>
    <row r="59" spans="2:59">
      <c r="B59" s="4">
        <v>56</v>
      </c>
      <c r="C59" s="16">
        <f>'[1]资源-钻石'!L59</f>
        <v>300284.09925495624</v>
      </c>
      <c r="D59" s="16">
        <f>'[1]资源-钻石'!M59</f>
        <v>361569.73287572316</v>
      </c>
      <c r="E59" s="16">
        <f>'[1]资源-钻石'!N59</f>
        <v>488647.19172683056</v>
      </c>
      <c r="F59" s="16">
        <f>'[1]资源-钻石'!O59</f>
        <v>943386.46165567264</v>
      </c>
      <c r="G59" s="16">
        <f>'[1]资源-钻石'!P59</f>
        <v>1353080.501680641</v>
      </c>
      <c r="I59" s="4">
        <v>56</v>
      </c>
      <c r="J59" s="16">
        <f>'[1]资源-钻石'!T59</f>
        <v>350649.91290789162</v>
      </c>
      <c r="K59" s="16">
        <f>'[1]资源-钻石'!U59</f>
        <v>482314.90419868077</v>
      </c>
      <c r="L59" s="16">
        <f>'[1]资源-钻石'!V59</f>
        <v>786536.39461854892</v>
      </c>
      <c r="M59" s="16">
        <f>'[1]资源-钻石'!W59</f>
        <v>2016340.0340804036</v>
      </c>
      <c r="N59" s="16">
        <f>'[1]资源-钻石'!X59</f>
        <v>4739636.5374884447</v>
      </c>
      <c r="P59" s="16">
        <v>56</v>
      </c>
      <c r="Q59" s="16">
        <f>'[1]功能-行军令'!N59</f>
        <v>2185.1347859033053</v>
      </c>
      <c r="R59" s="16">
        <f>'[1]功能-行军令'!O59</f>
        <v>2765.4448312300565</v>
      </c>
      <c r="S59" s="16">
        <f>'[1]功能-行军令'!P59</f>
        <v>3083.8617221732834</v>
      </c>
      <c r="T59" s="16">
        <f>'[1]功能-行军令'!Q59</f>
        <v>2565.7852656076611</v>
      </c>
      <c r="U59" s="16">
        <f>'[1]功能-行军令'!R59</f>
        <v>1425.2731652774821</v>
      </c>
      <c r="V59" s="16">
        <f>'[1]功能-行军令'!S59</f>
        <v>149.4124220901092</v>
      </c>
      <c r="W59" s="16">
        <f>'[1]功能-行军令'!T59</f>
        <v>183.7550058923598</v>
      </c>
      <c r="X59" s="16">
        <f>'[1]功能-行军令'!U59</f>
        <v>204.4209482275096</v>
      </c>
      <c r="Y59" s="16">
        <f>'[1]功能-行军令'!V59</f>
        <v>167.69104458551737</v>
      </c>
      <c r="Z59" s="16">
        <f>'[1]功能-行军令'!W59</f>
        <v>91.985654064828623</v>
      </c>
      <c r="AC59" s="21">
        <v>56</v>
      </c>
      <c r="AD59" s="21">
        <f>'[1]功能-实力'!BF60</f>
        <v>2140152</v>
      </c>
      <c r="AE59" s="21">
        <f>'[1]功能-实力'!BG60</f>
        <v>2244600</v>
      </c>
      <c r="AF59" s="21">
        <f>'[1]功能-实力'!BH60</f>
        <v>2563104</v>
      </c>
      <c r="AG59" s="21">
        <f>'[1]功能-实力'!BI60</f>
        <v>2962128</v>
      </c>
      <c r="AH59" s="21">
        <f>'[1]功能-实力'!BJ60</f>
        <v>3180276</v>
      </c>
      <c r="AL59" s="57">
        <f>[2]基础状态预期!C69</f>
        <v>34</v>
      </c>
      <c r="AM59" s="57">
        <f>[2]基础状态预期!D69</f>
        <v>53.226994578658328</v>
      </c>
      <c r="AO59" s="57">
        <f>[2]基础状态预期!F69</f>
        <v>0</v>
      </c>
      <c r="AP59" s="57">
        <f>[2]基础状态预期!G69</f>
        <v>0</v>
      </c>
      <c r="AQ59" s="57">
        <f>[2]基础状态预期!H69</f>
        <v>0</v>
      </c>
      <c r="AR59" s="57">
        <f>[2]基础状态预期!I69</f>
        <v>5</v>
      </c>
      <c r="AS59" s="57">
        <f>[2]基础状态预期!J69</f>
        <v>1</v>
      </c>
      <c r="AW59" s="16">
        <v>53</v>
      </c>
      <c r="AX59" s="16">
        <f>[1]节奏总纲!BJ56</f>
        <v>2.600000000000001</v>
      </c>
      <c r="AY59" s="16">
        <f>[1]节奏总纲!BK56</f>
        <v>2.652000000000001</v>
      </c>
      <c r="AZ59" s="16">
        <f>[1]节奏总纲!BL56</f>
        <v>2.7560000000000011</v>
      </c>
      <c r="BA59" s="16">
        <f>[1]节奏总纲!BM56</f>
        <v>2.9640000000000009</v>
      </c>
      <c r="BB59" s="16">
        <f>[1]节奏总纲!BN56</f>
        <v>3.640000000000001</v>
      </c>
      <c r="BF59" s="21">
        <f>'[1]功能-行军令'!FZ57</f>
        <v>53</v>
      </c>
      <c r="BG59" s="21">
        <f>'[1]功能-行军令'!GA57*'[1]功能-行军令'!GB57</f>
        <v>215.78093512456331</v>
      </c>
    </row>
    <row r="60" spans="2:59">
      <c r="B60" s="4">
        <v>57</v>
      </c>
      <c r="C60" s="16">
        <f>'[1]资源-钻石'!L60</f>
        <v>320918.81728846359</v>
      </c>
      <c r="D60" s="16">
        <f>'[1]资源-钻石'!M60</f>
        <v>386457.52842069557</v>
      </c>
      <c r="E60" s="16">
        <f>'[1]资源-钻石'!N60</f>
        <v>521349.89331484796</v>
      </c>
      <c r="F60" s="16">
        <f>'[1]资源-钻石'!O60</f>
        <v>1000990.4333649687</v>
      </c>
      <c r="G60" s="16">
        <f>'[1]资源-钻石'!P60</f>
        <v>1430246.2374665507</v>
      </c>
      <c r="I60" s="4">
        <v>57</v>
      </c>
      <c r="J60" s="16">
        <f>'[1]资源-钻石'!T60</f>
        <v>356577.34605998034</v>
      </c>
      <c r="K60" s="16">
        <f>'[1]资源-钻石'!U60</f>
        <v>490515.08066597843</v>
      </c>
      <c r="L60" s="16">
        <f>'[1]资源-钻石'!V60</f>
        <v>800008.58873257635</v>
      </c>
      <c r="M60" s="16">
        <f>'[1]资源-钻石'!W60</f>
        <v>2051179.4476058339</v>
      </c>
      <c r="N60" s="16">
        <f>'[1]资源-钻石'!X60</f>
        <v>4821814.8923664177</v>
      </c>
      <c r="P60" s="16">
        <v>57</v>
      </c>
      <c r="Q60" s="16">
        <f>'[1]功能-行军令'!N60</f>
        <v>2345.2710548727578</v>
      </c>
      <c r="R60" s="16">
        <f>'[1]功能-行军令'!O60</f>
        <v>2968.7919553027004</v>
      </c>
      <c r="S60" s="16">
        <f>'[1]功能-行军令'!P60</f>
        <v>3304.7571323285597</v>
      </c>
      <c r="T60" s="16">
        <f>'[1]功能-行军令'!Q60</f>
        <v>2746.4653577160998</v>
      </c>
      <c r="U60" s="16">
        <f>'[1]功能-行军令'!R60</f>
        <v>1526.0474817443567</v>
      </c>
      <c r="V60" s="16">
        <f>'[1]功能-行军令'!S60</f>
        <v>160.13626896945243</v>
      </c>
      <c r="W60" s="16">
        <f>'[1]功能-行军令'!T60</f>
        <v>203.34712407264396</v>
      </c>
      <c r="X60" s="16">
        <f>'[1]功能-行军令'!U60</f>
        <v>220.89541015527629</v>
      </c>
      <c r="Y60" s="16">
        <f>'[1]功能-行军令'!V60</f>
        <v>180.68009210843866</v>
      </c>
      <c r="Z60" s="16">
        <f>'[1]功能-行军令'!W60</f>
        <v>100.77431646687455</v>
      </c>
      <c r="AC60" s="21">
        <v>57</v>
      </c>
      <c r="AD60" s="21">
        <f>'[1]功能-实力'!BF61</f>
        <v>2251128</v>
      </c>
      <c r="AE60" s="21">
        <f>'[1]功能-实力'!BG61</f>
        <v>2360580</v>
      </c>
      <c r="AF60" s="21">
        <f>'[1]功能-实力'!BH61</f>
        <v>2654628</v>
      </c>
      <c r="AG60" s="21">
        <f>'[1]功能-实力'!BI61</f>
        <v>3123636</v>
      </c>
      <c r="AH60" s="21">
        <f>'[1]功能-实力'!BJ61</f>
        <v>3677058</v>
      </c>
      <c r="AL60" s="57">
        <f>[2]基础状态预期!C70</f>
        <v>51</v>
      </c>
      <c r="AM60" s="57">
        <f>[2]基础状态预期!D70</f>
        <v>59.016342740868758</v>
      </c>
      <c r="AO60" s="57">
        <f>[2]基础状态预期!F70</f>
        <v>0</v>
      </c>
      <c r="AP60" s="57">
        <f>[2]基础状态预期!G70</f>
        <v>0</v>
      </c>
      <c r="AQ60" s="57">
        <f>[2]基础状态预期!H70</f>
        <v>0</v>
      </c>
      <c r="AR60" s="57">
        <f>[2]基础状态预期!I70</f>
        <v>4</v>
      </c>
      <c r="AS60" s="57">
        <f>[2]基础状态预期!J70</f>
        <v>2</v>
      </c>
      <c r="AW60" s="16">
        <v>54</v>
      </c>
      <c r="AX60" s="16">
        <f>[1]节奏总纲!BJ57</f>
        <v>2.6333333333333342</v>
      </c>
      <c r="AY60" s="16">
        <f>[1]节奏总纲!BK57</f>
        <v>2.6860000000000008</v>
      </c>
      <c r="AZ60" s="16">
        <f>[1]节奏总纲!BL57</f>
        <v>2.7913333333333346</v>
      </c>
      <c r="BA60" s="16">
        <f>[1]节奏总纲!BM57</f>
        <v>3.0020000000000007</v>
      </c>
      <c r="BB60" s="16">
        <f>[1]节奏总纲!BN57</f>
        <v>3.6866666666666674</v>
      </c>
      <c r="BF60" s="21">
        <f>'[1]功能-行军令'!FZ58</f>
        <v>54</v>
      </c>
      <c r="BG60" s="21">
        <f>'[1]功能-行军令'!GA58*'[1]功能-行军令'!GB58</f>
        <v>220.09655382705461</v>
      </c>
    </row>
    <row r="61" spans="2:59">
      <c r="B61" s="4">
        <v>58</v>
      </c>
      <c r="C61" s="16">
        <f>'[1]资源-钻石'!L61</f>
        <v>343034.56048369553</v>
      </c>
      <c r="D61" s="16">
        <f>'[1]资源-钻石'!M61</f>
        <v>412285.36232209357</v>
      </c>
      <c r="E61" s="16">
        <f>'[1]资源-钻石'!N61</f>
        <v>556343.42493231257</v>
      </c>
      <c r="F61" s="16">
        <f>'[1]资源-钻石'!O61</f>
        <v>1063632.0609803707</v>
      </c>
      <c r="G61" s="16">
        <f>'[1]资源-钻石'!P61</f>
        <v>1510608.8710470924</v>
      </c>
      <c r="I61" s="4">
        <v>58</v>
      </c>
      <c r="J61" s="16">
        <f>'[1]资源-钻石'!T61</f>
        <v>362504.77921206912</v>
      </c>
      <c r="K61" s="16">
        <f>'[1]资源-钻石'!U61</f>
        <v>498715.25713327609</v>
      </c>
      <c r="L61" s="16">
        <f>'[1]资源-钻石'!V61</f>
        <v>813480.78284660366</v>
      </c>
      <c r="M61" s="16">
        <f>'[1]资源-钻石'!W61</f>
        <v>2086018.8611312639</v>
      </c>
      <c r="N61" s="16">
        <f>'[1]资源-钻石'!X61</f>
        <v>4903993.2472443907</v>
      </c>
      <c r="P61" s="16">
        <v>58</v>
      </c>
      <c r="Q61" s="16">
        <f>'[1]功能-行军令'!N61</f>
        <v>2516.9008583437885</v>
      </c>
      <c r="R61" s="16">
        <f>'[1]功能-行军令'!O61</f>
        <v>3179.8197152899115</v>
      </c>
      <c r="S61" s="16">
        <f>'[1]功能-行军令'!P61</f>
        <v>3541.126305028768</v>
      </c>
      <c r="T61" s="16">
        <f>'[1]功能-行军令'!Q61</f>
        <v>2942.9465153781307</v>
      </c>
      <c r="U61" s="16">
        <f>'[1]功能-行军令'!R61</f>
        <v>1633.2169669792843</v>
      </c>
      <c r="V61" s="16">
        <f>'[1]功能-行军令'!S61</f>
        <v>171.62980347103075</v>
      </c>
      <c r="W61" s="16">
        <f>'[1]功能-行军令'!T61</f>
        <v>211.02775998721108</v>
      </c>
      <c r="X61" s="16">
        <f>'[1]功能-行军令'!U61</f>
        <v>236.36917270020831</v>
      </c>
      <c r="Y61" s="16">
        <f>'[1]功能-行军令'!V61</f>
        <v>196.48115766203091</v>
      </c>
      <c r="Z61" s="16">
        <f>'[1]功能-行军令'!W61</f>
        <v>107.16948523492761</v>
      </c>
      <c r="AC61" s="21">
        <v>58</v>
      </c>
      <c r="AD61" s="21">
        <f>'[1]功能-实力'!BF62</f>
        <v>2366166</v>
      </c>
      <c r="AE61" s="21">
        <f>'[1]功能-实力'!BG62</f>
        <v>2479410</v>
      </c>
      <c r="AF61" s="21">
        <f>'[1]功能-实力'!BH62</f>
        <v>2749380</v>
      </c>
      <c r="AG61" s="21">
        <f>'[1]功能-实力'!BI62</f>
        <v>3292596</v>
      </c>
      <c r="AH61" s="21">
        <f>'[1]功能-实力'!BJ62</f>
        <v>4019490</v>
      </c>
      <c r="AL61" s="57">
        <f>[2]基础状态预期!C71</f>
        <v>76.5</v>
      </c>
      <c r="AM61" s="57">
        <f>[2]基础状态预期!D71</f>
        <v>64.781009552500748</v>
      </c>
      <c r="AO61" s="57">
        <f>[2]基础状态预期!F71</f>
        <v>0</v>
      </c>
      <c r="AP61" s="57">
        <f>[2]基础状态预期!G71</f>
        <v>0</v>
      </c>
      <c r="AQ61" s="57">
        <f>[2]基础状态预期!H71</f>
        <v>0</v>
      </c>
      <c r="AR61" s="57">
        <f>[2]基础状态预期!I71</f>
        <v>3</v>
      </c>
      <c r="AS61" s="57">
        <f>[2]基础状态预期!J71</f>
        <v>3</v>
      </c>
      <c r="AW61" s="16">
        <v>55</v>
      </c>
      <c r="AX61" s="16">
        <f>[1]节奏总纲!BJ58</f>
        <v>2.6666666666666674</v>
      </c>
      <c r="AY61" s="16">
        <f>[1]节奏总纲!BK58</f>
        <v>2.7200000000000006</v>
      </c>
      <c r="AZ61" s="16">
        <f>[1]节奏总纲!BL58</f>
        <v>2.8266666666666675</v>
      </c>
      <c r="BA61" s="16">
        <f>[1]节奏总纲!BM58</f>
        <v>3.0400000000000005</v>
      </c>
      <c r="BB61" s="16">
        <f>[1]节奏总纲!BN58</f>
        <v>3.7333333333333343</v>
      </c>
      <c r="BF61" s="21">
        <f>'[1]功能-行军令'!FZ59</f>
        <v>55</v>
      </c>
      <c r="BG61" s="21">
        <f>'[1]功能-行军令'!GA59*'[1]功能-行军令'!GB59</f>
        <v>224.49848490359568</v>
      </c>
    </row>
    <row r="62" spans="2:59">
      <c r="B62" s="4">
        <v>59</v>
      </c>
      <c r="C62" s="16">
        <f>'[1]资源-钻石'!L62</f>
        <v>366737.62714461319</v>
      </c>
      <c r="D62" s="16">
        <f>'[1]资源-钻石'!M62</f>
        <v>440824.98876863928</v>
      </c>
      <c r="E62" s="16">
        <f>'[1]资源-钻石'!N62</f>
        <v>594262.8435954958</v>
      </c>
      <c r="F62" s="16">
        <f>'[1]资源-钻石'!O62</f>
        <v>1131686.0200432963</v>
      </c>
      <c r="G62" s="16">
        <f>'[1]资源-钻石'!P62</f>
        <v>1599208.7971112158</v>
      </c>
      <c r="I62" s="4">
        <v>59</v>
      </c>
      <c r="J62" s="16">
        <f>'[1]资源-钻石'!T62</f>
        <v>368432.21236415789</v>
      </c>
      <c r="K62" s="16">
        <f>'[1]资源-钻石'!U62</f>
        <v>506915.43360057374</v>
      </c>
      <c r="L62" s="16">
        <f>'[1]资源-钻石'!V62</f>
        <v>826952.97696063109</v>
      </c>
      <c r="M62" s="16">
        <f>'[1]资源-钻石'!W62</f>
        <v>2120858.2746566939</v>
      </c>
      <c r="N62" s="16">
        <f>'[1]资源-钻石'!X62</f>
        <v>4986171.6021223646</v>
      </c>
      <c r="P62" s="16">
        <v>59</v>
      </c>
      <c r="Q62" s="16">
        <f>'[1]功能-行军令'!N62</f>
        <v>2700.8491270843624</v>
      </c>
      <c r="R62" s="16">
        <f>'[1]功能-行军令'!O62</f>
        <v>3413.0043277850505</v>
      </c>
      <c r="S62" s="16">
        <f>'[1]功能-行军令'!P62</f>
        <v>3797.2588302242589</v>
      </c>
      <c r="T62" s="16">
        <f>'[1]功能-行军令'!Q62</f>
        <v>3152.5896292338052</v>
      </c>
      <c r="U62" s="16">
        <f>'[1]功能-行军令'!R62</f>
        <v>1751.3714878690009</v>
      </c>
      <c r="V62" s="16">
        <f>'[1]功能-行军令'!S62</f>
        <v>183.94826874057389</v>
      </c>
      <c r="W62" s="16">
        <f>'[1]功能-行军令'!T62</f>
        <v>233.18461249513894</v>
      </c>
      <c r="X62" s="16">
        <f>'[1]功能-行军令'!U62</f>
        <v>256.13252519549087</v>
      </c>
      <c r="Y62" s="16">
        <f>'[1]功能-行军令'!V62</f>
        <v>209.64311385567453</v>
      </c>
      <c r="Z62" s="16">
        <f>'[1]功能-行军令'!W62</f>
        <v>118.15452088971665</v>
      </c>
      <c r="AC62" s="21">
        <v>59</v>
      </c>
      <c r="AD62" s="21">
        <f>'[1]功能-实力'!BF63</f>
        <v>2484480</v>
      </c>
      <c r="AE62" s="21">
        <f>'[1]功能-实力'!BG63</f>
        <v>2602194</v>
      </c>
      <c r="AF62" s="21">
        <f>'[1]功能-实力'!BH63</f>
        <v>2847624</v>
      </c>
      <c r="AG62" s="21">
        <f>'[1]功能-实力'!BI63</f>
        <v>3833340</v>
      </c>
      <c r="AH62" s="21">
        <f>'[1]功能-实力'!BJ63</f>
        <v>4279656</v>
      </c>
      <c r="AL62" s="57">
        <f>[2]基础状态预期!C72</f>
        <v>102</v>
      </c>
      <c r="AM62" s="57">
        <f>[2]基础状态预期!D72</f>
        <v>68.923431594456531</v>
      </c>
      <c r="AO62" s="57">
        <f>[2]基础状态预期!F72</f>
        <v>0</v>
      </c>
      <c r="AP62" s="57">
        <f>[2]基础状态预期!G72</f>
        <v>0</v>
      </c>
      <c r="AQ62" s="57">
        <f>[2]基础状态预期!H72</f>
        <v>0</v>
      </c>
      <c r="AR62" s="57">
        <f>[2]基础状态预期!I72</f>
        <v>2</v>
      </c>
      <c r="AS62" s="57">
        <f>[2]基础状态预期!J72</f>
        <v>4</v>
      </c>
      <c r="AW62" s="16">
        <v>56</v>
      </c>
      <c r="AX62" s="16">
        <f>[1]节奏总纲!BJ59</f>
        <v>2.7000000000000006</v>
      </c>
      <c r="AY62" s="16">
        <f>[1]节奏总纲!BK59</f>
        <v>2.7540000000000009</v>
      </c>
      <c r="AZ62" s="16">
        <f>[1]节奏总纲!BL59</f>
        <v>2.862000000000001</v>
      </c>
      <c r="BA62" s="16">
        <f>[1]节奏总纲!BM59</f>
        <v>3.0780000000000003</v>
      </c>
      <c r="BB62" s="16">
        <f>[1]节奏总纲!BN59</f>
        <v>3.7800000000000007</v>
      </c>
      <c r="BF62" s="21">
        <f>'[1]功能-行军令'!FZ60</f>
        <v>56</v>
      </c>
      <c r="BG62" s="21">
        <f>'[1]功能-行军令'!GA60*'[1]功能-行军令'!GB60</f>
        <v>228.9884546016676</v>
      </c>
    </row>
    <row r="63" spans="2:59">
      <c r="B63" s="4">
        <v>60</v>
      </c>
      <c r="C63" s="16">
        <f>'[1]资源-钻石'!L63</f>
        <v>392141.94497251301</v>
      </c>
      <c r="D63" s="16">
        <f>'[1]资源-钻石'!M63</f>
        <v>470748.55529155745</v>
      </c>
      <c r="E63" s="16">
        <f>'[1]资源-钻石'!N63</f>
        <v>634535.01730762306</v>
      </c>
      <c r="F63" s="16">
        <f>'[1]资源-钻石'!O63</f>
        <v>1208427.9701910885</v>
      </c>
      <c r="G63" s="16">
        <f>'[1]资源-钻石'!P63</f>
        <v>1697506.6441617273</v>
      </c>
      <c r="I63" s="4">
        <v>60</v>
      </c>
      <c r="J63" s="16">
        <f>'[1]资源-钻石'!T63</f>
        <v>374359.64551624667</v>
      </c>
      <c r="K63" s="16">
        <f>'[1]资源-钻石'!U63</f>
        <v>515115.61006787134</v>
      </c>
      <c r="L63" s="16">
        <f>'[1]资源-钻石'!V63</f>
        <v>840425.17107465852</v>
      </c>
      <c r="M63" s="16">
        <f>'[1]资源-钻石'!W63</f>
        <v>2155697.6881821244</v>
      </c>
      <c r="N63" s="16">
        <f>'[1]资源-钻石'!X63</f>
        <v>5068349.9570003375</v>
      </c>
      <c r="P63" s="16">
        <v>60</v>
      </c>
      <c r="Q63" s="16">
        <f>'[1]功能-行军令'!N63</f>
        <v>2898</v>
      </c>
      <c r="R63" s="16">
        <f>'[1]功能-行军令'!O63</f>
        <v>3657.4965000000002</v>
      </c>
      <c r="S63" s="16">
        <f>'[1]功能-行军令'!P63</f>
        <v>4069.2833999999998</v>
      </c>
      <c r="T63" s="16">
        <f>'[1]功能-行军令'!Q63</f>
        <v>3379.4712</v>
      </c>
      <c r="U63" s="16">
        <f>'[1]功能-行军令'!R63</f>
        <v>1882.4589000000003</v>
      </c>
      <c r="V63" s="16">
        <f>'[1]功能-行军令'!S63</f>
        <v>197.15087291563759</v>
      </c>
      <c r="W63" s="16">
        <f>'[1]功能-行军令'!T63</f>
        <v>244.49217221494973</v>
      </c>
      <c r="X63" s="16">
        <f>'[1]功能-行军令'!U63</f>
        <v>272.02456977574093</v>
      </c>
      <c r="Y63" s="16">
        <f>'[1]功能-行军令'!V63</f>
        <v>226.88157076619473</v>
      </c>
      <c r="Z63" s="16">
        <f>'[1]功能-行军令'!W63</f>
        <v>131.08741213099938</v>
      </c>
      <c r="AC63" s="21">
        <v>60</v>
      </c>
      <c r="AD63" s="21">
        <f>'[1]功能-实力'!BF64</f>
        <v>2627670</v>
      </c>
      <c r="AE63" s="21">
        <f>'[1]功能-实力'!BG64</f>
        <v>2783250</v>
      </c>
      <c r="AF63" s="21">
        <f>'[1]功能-实力'!BH64</f>
        <v>3381930</v>
      </c>
      <c r="AG63" s="21">
        <f>'[1]功能-实力'!BI64</f>
        <v>4215522</v>
      </c>
      <c r="AH63" s="21">
        <f>'[1]功能-实力'!BJ64</f>
        <v>4740816</v>
      </c>
      <c r="AL63" s="57">
        <f>[2]基础状态预期!C73</f>
        <v>127.5</v>
      </c>
      <c r="AM63" s="57">
        <f>[2]基础状态预期!D73</f>
        <v>72.103942950990486</v>
      </c>
      <c r="AO63" s="57">
        <f>[2]基础状态预期!F73</f>
        <v>0</v>
      </c>
      <c r="AP63" s="57">
        <f>[2]基础状态预期!G73</f>
        <v>0</v>
      </c>
      <c r="AQ63" s="57">
        <f>[2]基础状态预期!H73</f>
        <v>0</v>
      </c>
      <c r="AR63" s="57">
        <f>[2]基础状态预期!I73</f>
        <v>1</v>
      </c>
      <c r="AS63" s="57">
        <f>[2]基础状态预期!J73</f>
        <v>5</v>
      </c>
      <c r="AW63" s="16">
        <v>57</v>
      </c>
      <c r="AX63" s="16">
        <f>[1]节奏总纲!BJ60</f>
        <v>2.7333333333333338</v>
      </c>
      <c r="AY63" s="16">
        <f>[1]节奏总纲!BK60</f>
        <v>2.7880000000000007</v>
      </c>
      <c r="AZ63" s="16">
        <f>[1]节奏总纲!BL60</f>
        <v>2.897333333333334</v>
      </c>
      <c r="BA63" s="16">
        <f>[1]节奏总纲!BM60</f>
        <v>3.1160000000000001</v>
      </c>
      <c r="BB63" s="16">
        <f>[1]节奏总纲!BN60</f>
        <v>3.8266666666666671</v>
      </c>
      <c r="BF63" s="21">
        <f>'[1]功能-行军令'!FZ61</f>
        <v>57</v>
      </c>
      <c r="BG63" s="21">
        <f>'[1]功能-行军令'!GA61*'[1]功能-行军令'!GB61</f>
        <v>233.56822369370093</v>
      </c>
    </row>
    <row r="64" spans="2:59">
      <c r="B64" s="4">
        <v>61</v>
      </c>
      <c r="C64" s="16">
        <f>'[1]资源-钻石'!L64</f>
        <v>419369.61865429371</v>
      </c>
      <c r="D64" s="16">
        <f>'[1]资源-钻石'!M64</f>
        <v>503609.17607035255</v>
      </c>
      <c r="E64" s="16">
        <f>'[1]资源-钻石'!N64</f>
        <v>678460.66752578062</v>
      </c>
      <c r="F64" s="16">
        <f>'[1]资源-钻石'!O64</f>
        <v>1292716.1142577378</v>
      </c>
      <c r="G64" s="16">
        <f>'[1]资源-钻石'!P64</f>
        <v>1799907.4374602123</v>
      </c>
      <c r="I64" s="4">
        <v>61</v>
      </c>
      <c r="J64" s="16">
        <f>'[1]资源-钻石'!T64</f>
        <v>380287.07866833545</v>
      </c>
      <c r="K64" s="16">
        <f>'[1]资源-钻石'!U64</f>
        <v>523315.786535169</v>
      </c>
      <c r="L64" s="16">
        <f>'[1]资源-钻石'!V64</f>
        <v>853897.36518868594</v>
      </c>
      <c r="M64" s="16">
        <f>'[1]资源-钻石'!W64</f>
        <v>2190537.1017075544</v>
      </c>
      <c r="N64" s="16">
        <f>'[1]资源-钻石'!X64</f>
        <v>5150528.3118783105</v>
      </c>
      <c r="P64" s="16">
        <v>61</v>
      </c>
      <c r="Q64" s="16">
        <f>'[1]功能-行军令'!N64</f>
        <v>3109.3010737068457</v>
      </c>
      <c r="R64" s="16">
        <f>'[1]功能-行军令'!O64</f>
        <v>3925.9860381165895</v>
      </c>
      <c r="S64" s="16">
        <f>'[1]功能-行军令'!P64</f>
        <v>4365.9859367969093</v>
      </c>
      <c r="T64" s="16">
        <f>'[1]功能-行军令'!Q64</f>
        <v>3628.6625026184524</v>
      </c>
      <c r="U64" s="16">
        <f>'[1]功能-行军令'!R64</f>
        <v>2019.01789286138</v>
      </c>
      <c r="V64" s="16">
        <f>'[1]功能-行军令'!S64</f>
        <v>211.30107370684573</v>
      </c>
      <c r="W64" s="16">
        <f>'[1]功能-行军令'!T64</f>
        <v>268.4895381165893</v>
      </c>
      <c r="X64" s="16">
        <f>'[1]功能-行军令'!U64</f>
        <v>296.7025367969095</v>
      </c>
      <c r="Y64" s="16">
        <f>'[1]功能-行军令'!V64</f>
        <v>249.19130261845248</v>
      </c>
      <c r="Z64" s="16">
        <f>'[1]功能-行军令'!W64</f>
        <v>136.55899286137969</v>
      </c>
      <c r="AC64" s="21">
        <v>61</v>
      </c>
      <c r="AD64" s="21">
        <f>'[1]功能-实力'!BF65</f>
        <v>2805408</v>
      </c>
      <c r="AE64" s="21">
        <f>'[1]功能-实力'!BG65</f>
        <v>3006762</v>
      </c>
      <c r="AF64" s="21">
        <f>'[1]功能-实力'!BH65</f>
        <v>3701694</v>
      </c>
      <c r="AG64" s="21">
        <f>'[1]功能-实力'!BI65</f>
        <v>4602228</v>
      </c>
      <c r="AH64" s="21">
        <f>'[1]功能-实力'!BJ65</f>
        <v>5147544</v>
      </c>
      <c r="AL64" s="57">
        <f>[2]基础状态预期!C74</f>
        <v>153</v>
      </c>
      <c r="AM64" s="57">
        <f>[2]基础状态预期!D74</f>
        <v>74.74003809013405</v>
      </c>
      <c r="AO64" s="57">
        <f>[2]基础状态预期!F74</f>
        <v>0</v>
      </c>
      <c r="AP64" s="57">
        <f>[2]基础状态预期!G74</f>
        <v>0</v>
      </c>
      <c r="AQ64" s="57">
        <f>[2]基础状态预期!H74</f>
        <v>0</v>
      </c>
      <c r="AR64" s="57">
        <f>[2]基础状态预期!I74</f>
        <v>0.5</v>
      </c>
      <c r="AS64" s="57">
        <f>[2]基础状态预期!J74</f>
        <v>5.5</v>
      </c>
      <c r="AW64" s="16">
        <v>58</v>
      </c>
      <c r="AX64" s="16">
        <f>[1]节奏总纲!BJ61</f>
        <v>2.7666666666666671</v>
      </c>
      <c r="AY64" s="16">
        <f>[1]节奏总纲!BK61</f>
        <v>2.8220000000000005</v>
      </c>
      <c r="AZ64" s="16">
        <f>[1]节奏总纲!BL61</f>
        <v>2.9326666666666674</v>
      </c>
      <c r="BA64" s="16">
        <f>[1]节奏总纲!BM61</f>
        <v>3.1540000000000004</v>
      </c>
      <c r="BB64" s="16">
        <f>[1]节奏总纲!BN61</f>
        <v>3.8733333333333335</v>
      </c>
      <c r="BF64" s="21">
        <f>'[1]功能-行军令'!FZ62</f>
        <v>58</v>
      </c>
      <c r="BG64" s="21">
        <f>'[1]功能-行军令'!GA62*'[1]功能-行军令'!GB62</f>
        <v>238.23958816757496</v>
      </c>
    </row>
    <row r="65" spans="2:59">
      <c r="B65" s="4">
        <v>62</v>
      </c>
      <c r="C65" s="16">
        <f>'[1]资源-钻石'!L65</f>
        <v>448551.51675302436</v>
      </c>
      <c r="D65" s="16">
        <f>'[1]资源-钻石'!M65</f>
        <v>538428.44644102664</v>
      </c>
      <c r="E65" s="16">
        <f>'[1]资源-钻石'!N65</f>
        <v>726027.49324814021</v>
      </c>
      <c r="F65" s="16">
        <f>'[1]资源-钻石'!O65</f>
        <v>1383881.4506917524</v>
      </c>
      <c r="G65" s="16">
        <f>'[1]资源-钻石'!P65</f>
        <v>1917460.5787300309</v>
      </c>
      <c r="I65" s="4">
        <v>62</v>
      </c>
      <c r="J65" s="16">
        <f>'[1]资源-钻石'!T65</f>
        <v>386214.51182042423</v>
      </c>
      <c r="K65" s="16">
        <f>'[1]资源-钻石'!U65</f>
        <v>531515.9630024666</v>
      </c>
      <c r="L65" s="16">
        <f>'[1]资源-钻石'!V65</f>
        <v>867369.55930271337</v>
      </c>
      <c r="M65" s="16">
        <f>'[1]资源-钻石'!W65</f>
        <v>2225376.5152329844</v>
      </c>
      <c r="N65" s="16">
        <f>'[1]资源-钻石'!X65</f>
        <v>5232706.6667562826</v>
      </c>
      <c r="P65" s="16">
        <v>62</v>
      </c>
      <c r="Q65" s="16">
        <f>'[1]功能-行军令'!N65</f>
        <v>3335.7679571112699</v>
      </c>
      <c r="R65" s="16">
        <f>'[1]功能-行军令'!O65</f>
        <v>4210.4788321605647</v>
      </c>
      <c r="S65" s="16">
        <f>'[1]功能-行军令'!P65</f>
        <v>4687.2833516127894</v>
      </c>
      <c r="T65" s="16">
        <f>'[1]功能-行军令'!Q65</f>
        <v>3898.1856863497019</v>
      </c>
      <c r="U65" s="16">
        <f>'[1]功能-行军令'!R65</f>
        <v>2175.7836567037139</v>
      </c>
      <c r="V65" s="16">
        <f>'[1]功能-行军令'!S65</f>
        <v>226.46688340442415</v>
      </c>
      <c r="W65" s="16">
        <f>'[1]功能-行军令'!T65</f>
        <v>284.49279404397521</v>
      </c>
      <c r="X65" s="16">
        <f>'[1]功能-行军令'!U65</f>
        <v>321.29741481588007</v>
      </c>
      <c r="Y65" s="16">
        <f>'[1]功能-行军令'!V65</f>
        <v>269.52318373124945</v>
      </c>
      <c r="Z65" s="16">
        <f>'[1]功能-行军令'!W65</f>
        <v>156.76576384233385</v>
      </c>
      <c r="AC65" s="21">
        <v>62</v>
      </c>
      <c r="AD65" s="21">
        <f>'[1]功能-实力'!BF66</f>
        <v>2993460</v>
      </c>
      <c r="AE65" s="21">
        <f>'[1]功能-实力'!BG66</f>
        <v>3467118</v>
      </c>
      <c r="AF65" s="21">
        <f>'[1]功能-实力'!BH66</f>
        <v>4042200</v>
      </c>
      <c r="AG65" s="21">
        <f>'[1]功能-实力'!BI66</f>
        <v>5012946</v>
      </c>
      <c r="AH65" s="21">
        <f>'[1]功能-实力'!BJ66</f>
        <v>5579226</v>
      </c>
      <c r="AL65" s="57">
        <f>[2]基础状态预期!C75</f>
        <v>187</v>
      </c>
      <c r="AM65" s="57">
        <f>[2]基础状态预期!D75</f>
        <v>77.609642525433856</v>
      </c>
      <c r="AO65" s="57">
        <f>[2]基础状态预期!F75</f>
        <v>0</v>
      </c>
      <c r="AP65" s="57">
        <f>[2]基础状态预期!G75</f>
        <v>0</v>
      </c>
      <c r="AQ65" s="57">
        <f>[2]基础状态预期!H75</f>
        <v>0</v>
      </c>
      <c r="AR65" s="57">
        <f>[2]基础状态预期!I75</f>
        <v>0</v>
      </c>
      <c r="AS65" s="57">
        <f>[2]基础状态预期!J75</f>
        <v>6</v>
      </c>
      <c r="AW65" s="16">
        <v>59</v>
      </c>
      <c r="AX65" s="16">
        <f>[1]节奏总纲!BJ62</f>
        <v>2.8000000000000003</v>
      </c>
      <c r="AY65" s="16">
        <f>[1]节奏总纲!BK62</f>
        <v>2.8560000000000003</v>
      </c>
      <c r="AZ65" s="16">
        <f>[1]节奏总纲!BL62</f>
        <v>2.9680000000000004</v>
      </c>
      <c r="BA65" s="16">
        <f>[1]节奏总纲!BM62</f>
        <v>3.1920000000000002</v>
      </c>
      <c r="BB65" s="16">
        <f>[1]节奏总纲!BN62</f>
        <v>3.92</v>
      </c>
      <c r="BF65" s="21">
        <f>'[1]功能-行军令'!FZ63</f>
        <v>59</v>
      </c>
      <c r="BG65" s="21">
        <f>'[1]功能-行军令'!GA63*'[1]功能-行军令'!GB63</f>
        <v>243.00437993092646</v>
      </c>
    </row>
    <row r="66" spans="2:59">
      <c r="B66" s="4">
        <v>63</v>
      </c>
      <c r="C66" s="16">
        <f>'[1]资源-钻石'!L66</f>
        <v>479827.90072168206</v>
      </c>
      <c r="D66" s="16">
        <f>'[1]资源-钻石'!M66</f>
        <v>576371.57757199276</v>
      </c>
      <c r="E66" s="16">
        <f>'[1]资源-钻石'!N66</f>
        <v>776834.77243250725</v>
      </c>
      <c r="F66" s="16">
        <f>'[1]资源-钻石'!O66</f>
        <v>1482533.5529296137</v>
      </c>
      <c r="G66" s="16">
        <f>'[1]资源-钻石'!P66</f>
        <v>2039181.1681087164</v>
      </c>
      <c r="I66" s="4">
        <v>63</v>
      </c>
      <c r="J66" s="16">
        <f>'[1]资源-钻石'!T66</f>
        <v>392141.94497251301</v>
      </c>
      <c r="K66" s="16">
        <f>'[1]资源-钻石'!U66</f>
        <v>539716.13946976431</v>
      </c>
      <c r="L66" s="16">
        <f>'[1]资源-钻石'!V66</f>
        <v>880841.7534167408</v>
      </c>
      <c r="M66" s="16">
        <f>'[1]资源-钻石'!W66</f>
        <v>2260215.9287584145</v>
      </c>
      <c r="N66" s="16">
        <f>'[1]资源-钻石'!X66</f>
        <v>5314885.0216342555</v>
      </c>
      <c r="P66" s="16">
        <v>63</v>
      </c>
      <c r="Q66" s="16">
        <f>'[1]功能-行军令'!N66</f>
        <v>3578.4891528874323</v>
      </c>
      <c r="R66" s="16">
        <f>'[1]功能-行军令'!O66</f>
        <v>4520.4953050880667</v>
      </c>
      <c r="S66" s="16">
        <f>'[1]功能-行军令'!P66</f>
        <v>5030.4689059957536</v>
      </c>
      <c r="T66" s="16">
        <f>'[1]功能-行军令'!Q66</f>
        <v>4189.8429073612688</v>
      </c>
      <c r="U66" s="16">
        <f>'[1]功能-行军令'!R66</f>
        <v>2338.1070192541943</v>
      </c>
      <c r="V66" s="16">
        <f>'[1]功能-行军令'!S66</f>
        <v>242.7211957761624</v>
      </c>
      <c r="W66" s="16">
        <f>'[1]功能-行军令'!T66</f>
        <v>310.01647292750204</v>
      </c>
      <c r="X66" s="16">
        <f>'[1]功能-行军令'!U66</f>
        <v>343.18555438296426</v>
      </c>
      <c r="Y66" s="16">
        <f>'[1]功能-行军令'!V66</f>
        <v>291.65722101156689</v>
      </c>
      <c r="Z66" s="16">
        <f>'[1]功能-行军令'!W66</f>
        <v>162.3233625504804</v>
      </c>
      <c r="AC66" s="21">
        <v>63</v>
      </c>
      <c r="AD66" s="21">
        <f>'[1]功能-实力'!BF67</f>
        <v>3534324</v>
      </c>
      <c r="AE66" s="21">
        <f>'[1]功能-实力'!BG67</f>
        <v>3894132</v>
      </c>
      <c r="AF66" s="21">
        <f>'[1]功能-实力'!BH67</f>
        <v>4403154</v>
      </c>
      <c r="AG66" s="21">
        <f>'[1]功能-实力'!BI67</f>
        <v>5449938</v>
      </c>
      <c r="AH66" s="21">
        <f>'[1]功能-实力'!BJ67</f>
        <v>6034878</v>
      </c>
      <c r="AL66" s="57">
        <f>[2]基础状态预期!C76</f>
        <v>221</v>
      </c>
      <c r="AM66" s="57">
        <f>[2]基础状态预期!D76</f>
        <v>79.994335665275713</v>
      </c>
      <c r="AO66" s="57">
        <f>[2]基础状态预期!F76</f>
        <v>0</v>
      </c>
      <c r="AP66" s="57">
        <f>[2]基础状态预期!G76</f>
        <v>0</v>
      </c>
      <c r="AQ66" s="57">
        <f>[2]基础状态预期!H76</f>
        <v>0</v>
      </c>
      <c r="AR66" s="57">
        <f>[2]基础状态预期!I76</f>
        <v>0</v>
      </c>
      <c r="AS66" s="57">
        <f>[2]基础状态预期!J76</f>
        <v>6</v>
      </c>
      <c r="AW66" s="16">
        <v>60</v>
      </c>
      <c r="AX66" s="16">
        <f>[1]节奏总纲!BJ63</f>
        <v>2.8333333333333335</v>
      </c>
      <c r="AY66" s="16">
        <f>[1]节奏总纲!BK63</f>
        <v>2.89</v>
      </c>
      <c r="AZ66" s="16">
        <f>[1]节奏总纲!BL63</f>
        <v>3.0033333333333339</v>
      </c>
      <c r="BA66" s="16">
        <f>[1]节奏总纲!BM63</f>
        <v>3.23</v>
      </c>
      <c r="BB66" s="16">
        <f>[1]节奏总纲!BN63</f>
        <v>3.9666666666666668</v>
      </c>
      <c r="BF66" s="21">
        <f>'[1]功能-行军令'!FZ64</f>
        <v>60</v>
      </c>
      <c r="BG66" s="21">
        <f>'[1]功能-行军令'!GA64*'[1]功能-行军令'!GB64</f>
        <v>247.86446752954498</v>
      </c>
    </row>
    <row r="67" spans="2:59">
      <c r="B67" s="4">
        <v>64</v>
      </c>
      <c r="C67" s="16">
        <f>'[1]资源-钻石'!L67</f>
        <v>513349.09906338493</v>
      </c>
      <c r="D67" s="16">
        <f>'[1]资源-钻石'!M67</f>
        <v>616797.17551422887</v>
      </c>
      <c r="E67" s="16">
        <f>'[1]资源-钻石'!N67</f>
        <v>831873.929931066</v>
      </c>
      <c r="F67" s="16">
        <f>'[1]资源-钻石'!O67</f>
        <v>1588465.7847522693</v>
      </c>
      <c r="G67" s="16">
        <f>'[1]资源-钻石'!P67</f>
        <v>2165992.0911573763</v>
      </c>
      <c r="I67" s="4">
        <v>64</v>
      </c>
      <c r="J67" s="16">
        <f>'[1]资源-钻石'!T67</f>
        <v>398069.37812460179</v>
      </c>
      <c r="K67" s="16">
        <f>'[1]资源-钻石'!U67</f>
        <v>547916.31593706203</v>
      </c>
      <c r="L67" s="16">
        <f>'[1]资源-钻石'!V67</f>
        <v>894313.94753076823</v>
      </c>
      <c r="M67" s="16">
        <f>'[1]资源-钻石'!W67</f>
        <v>2295055.3422838449</v>
      </c>
      <c r="N67" s="16">
        <f>'[1]资源-钻石'!X67</f>
        <v>5397063.3765122285</v>
      </c>
      <c r="P67" s="16">
        <v>64</v>
      </c>
      <c r="Q67" s="16">
        <f>'[1]功能-行军令'!N67</f>
        <v>3838.631289315399</v>
      </c>
      <c r="R67" s="16">
        <f>'[1]功能-行军令'!O67</f>
        <v>4850.7949118015804</v>
      </c>
      <c r="S67" s="16">
        <f>'[1]功能-行军令'!P67</f>
        <v>5402.2393310636253</v>
      </c>
      <c r="T67" s="16">
        <f>'[1]功能-行军令'!Q67</f>
        <v>4503.0232618402342</v>
      </c>
      <c r="U67" s="16">
        <f>'[1]功能-行军令'!R67</f>
        <v>2507.2187163176109</v>
      </c>
      <c r="V67" s="16">
        <f>'[1]功能-行军令'!S67</f>
        <v>260.14213642796676</v>
      </c>
      <c r="W67" s="16">
        <f>'[1]功能-行军令'!T67</f>
        <v>330.29960671351364</v>
      </c>
      <c r="X67" s="16">
        <f>'[1]功能-行军令'!U67</f>
        <v>371.77042506787166</v>
      </c>
      <c r="Y67" s="16">
        <f>'[1]功能-行军令'!V67</f>
        <v>313.18035447896546</v>
      </c>
      <c r="Z67" s="16">
        <f>'[1]功能-行军令'!W67</f>
        <v>169.11169706341661</v>
      </c>
      <c r="AC67" s="21">
        <v>64</v>
      </c>
      <c r="AD67" s="21">
        <f>'[1]功能-实力'!BF68</f>
        <v>3805836</v>
      </c>
      <c r="AE67" s="21">
        <f>'[1]功能-实力'!BG68</f>
        <v>4225758</v>
      </c>
      <c r="AF67" s="21">
        <f>'[1]功能-实力'!BH68</f>
        <v>4788342</v>
      </c>
      <c r="AG67" s="21">
        <f>'[1]功能-实力'!BI68</f>
        <v>5913024</v>
      </c>
      <c r="AH67" s="21">
        <f>'[1]功能-实力'!BJ68</f>
        <v>6512496</v>
      </c>
      <c r="AL67" s="57">
        <f>[2]基础状态预期!C77</f>
        <v>255</v>
      </c>
      <c r="AM67" s="57">
        <f>[2]基础状态预期!D77</f>
        <v>82.100546804797787</v>
      </c>
      <c r="AO67" s="57">
        <f>[2]基础状态预期!F77</f>
        <v>0</v>
      </c>
      <c r="AP67" s="57">
        <f>[2]基础状态预期!G77</f>
        <v>0</v>
      </c>
      <c r="AQ67" s="57">
        <f>[2]基础状态预期!H77</f>
        <v>0</v>
      </c>
      <c r="AR67" s="57">
        <f>[2]基础状态预期!I77</f>
        <v>0</v>
      </c>
      <c r="AS67" s="57">
        <f>[2]基础状态预期!J77</f>
        <v>6</v>
      </c>
      <c r="AW67" s="16">
        <v>61</v>
      </c>
      <c r="AX67" s="16">
        <f>[1]节奏总纲!BJ64</f>
        <v>2.8666666666666667</v>
      </c>
      <c r="AY67" s="16">
        <f>[1]节奏总纲!BK64</f>
        <v>2.9239999999999999</v>
      </c>
      <c r="AZ67" s="16">
        <f>[1]节奏总纲!BL64</f>
        <v>3.0386666666666668</v>
      </c>
      <c r="BA67" s="16">
        <f>[1]节奏总纲!BM64</f>
        <v>3.2679999999999998</v>
      </c>
      <c r="BB67" s="16">
        <f>[1]节奏总纲!BN64</f>
        <v>4.0133333333333328</v>
      </c>
      <c r="BF67" s="21">
        <f>'[1]功能-行军令'!FZ65</f>
        <v>61</v>
      </c>
      <c r="BG67" s="21">
        <f>'[1]功能-行军令'!GA65*'[1]功能-行军令'!GB65</f>
        <v>252.82175688013592</v>
      </c>
    </row>
    <row r="68" spans="2:59">
      <c r="B68" s="4">
        <v>65</v>
      </c>
      <c r="C68" s="16">
        <f>'[1]资源-钻石'!L68</f>
        <v>549276.22987843782</v>
      </c>
      <c r="D68" s="16">
        <f>'[1]资源-钻石'!M68</f>
        <v>659845.74791183905</v>
      </c>
      <c r="E68" s="16">
        <f>'[1]资源-钻石'!N68</f>
        <v>891653.07258616271</v>
      </c>
      <c r="F68" s="16">
        <f>'[1]资源-钻石'!O68</f>
        <v>1700343.7289087544</v>
      </c>
      <c r="G68" s="16">
        <f>'[1]资源-钻石'!P68</f>
        <v>2293561.2534739906</v>
      </c>
      <c r="I68" s="4">
        <v>65</v>
      </c>
      <c r="J68" s="16">
        <f>'[1]资源-钻石'!T68</f>
        <v>403996.81127669057</v>
      </c>
      <c r="K68" s="16">
        <f>'[1]资源-钻石'!U68</f>
        <v>556116.49240435963</v>
      </c>
      <c r="L68" s="16">
        <f>'[1]资源-钻石'!V68</f>
        <v>907786.14164479566</v>
      </c>
      <c r="M68" s="16">
        <f>'[1]资源-钻石'!W68</f>
        <v>2329894.755809275</v>
      </c>
      <c r="N68" s="16">
        <f>'[1]资源-钻石'!X68</f>
        <v>5479241.7313902024</v>
      </c>
      <c r="P68" s="16">
        <v>65</v>
      </c>
      <c r="Q68" s="16">
        <f>'[1]功能-行军令'!N68</f>
        <v>4117.4447276263909</v>
      </c>
      <c r="R68" s="16">
        <f>'[1]功能-行军令'!O68</f>
        <v>5202.5256778579324</v>
      </c>
      <c r="S68" s="16">
        <f>'[1]功能-行军令'!P68</f>
        <v>5806.0267123595722</v>
      </c>
      <c r="T68" s="16">
        <f>'[1]功能-行军令'!Q68</f>
        <v>4833.7816495985917</v>
      </c>
      <c r="U68" s="16">
        <f>'[1]功能-行军令'!R68</f>
        <v>2677.3415812386629</v>
      </c>
      <c r="V68" s="16">
        <f>'[1]功能-行军令'!S68</f>
        <v>278.81343831099184</v>
      </c>
      <c r="W68" s="16">
        <f>'[1]功能-行军令'!T68</f>
        <v>351.73076605635197</v>
      </c>
      <c r="X68" s="16">
        <f>'[1]功能-行军令'!U68</f>
        <v>403.78738129594694</v>
      </c>
      <c r="Y68" s="16">
        <f>'[1]功能-行军令'!V68</f>
        <v>330.75838775835746</v>
      </c>
      <c r="Z68" s="16">
        <f>'[1]功能-行军令'!W68</f>
        <v>170.12286492105204</v>
      </c>
      <c r="AC68" s="21">
        <v>65</v>
      </c>
      <c r="AD68" s="21">
        <f>'[1]功能-实力'!BF69</f>
        <v>4092432</v>
      </c>
      <c r="AE68" s="21">
        <f>'[1]功能-实力'!BG69</f>
        <v>4580088</v>
      </c>
      <c r="AF68" s="21">
        <f>'[1]功能-实力'!BH69</f>
        <v>5201664</v>
      </c>
      <c r="AG68" s="21">
        <f>'[1]功能-实力'!BI69</f>
        <v>6396246</v>
      </c>
      <c r="AH68" s="21">
        <f>'[1]功能-实力'!BJ69</f>
        <v>7004832</v>
      </c>
      <c r="AL68" s="57">
        <f>[2]基础状态预期!C78</f>
        <v>289</v>
      </c>
      <c r="AM68" s="57">
        <f>[2]基础状态预期!D78</f>
        <v>83.885420957389968</v>
      </c>
      <c r="AO68" s="57">
        <f>[2]基础状态预期!F78</f>
        <v>0</v>
      </c>
      <c r="AP68" s="57">
        <f>[2]基础状态预期!G78</f>
        <v>0</v>
      </c>
      <c r="AQ68" s="57">
        <f>[2]基础状态预期!H78</f>
        <v>0</v>
      </c>
      <c r="AR68" s="57">
        <f>[2]基础状态预期!I78</f>
        <v>0</v>
      </c>
      <c r="AS68" s="57">
        <f>[2]基础状态预期!J78</f>
        <v>6</v>
      </c>
      <c r="AW68" s="16">
        <v>62</v>
      </c>
      <c r="AX68" s="16">
        <f>[1]节奏总纲!BJ65</f>
        <v>2.9</v>
      </c>
      <c r="AY68" s="16">
        <f>[1]节奏总纲!BK65</f>
        <v>2.9579999999999997</v>
      </c>
      <c r="AZ68" s="16">
        <f>[1]节奏总纲!BL65</f>
        <v>3.0739999999999998</v>
      </c>
      <c r="BA68" s="16">
        <f>[1]节奏总纲!BM65</f>
        <v>3.3059999999999996</v>
      </c>
      <c r="BB68" s="16">
        <f>[1]节奏总纲!BN65</f>
        <v>4.0599999999999996</v>
      </c>
      <c r="BF68" s="21">
        <f>'[1]功能-行军令'!FZ66</f>
        <v>62</v>
      </c>
      <c r="BG68" s="21">
        <f>'[1]功能-行军令'!GA66*'[1]功能-行军令'!GB66</f>
        <v>257.87819201773863</v>
      </c>
    </row>
    <row r="69" spans="2:59">
      <c r="B69" s="4">
        <v>66</v>
      </c>
      <c r="C69" s="16">
        <f>'[1]资源-钻石'!L69</f>
        <v>578208.18137042806</v>
      </c>
      <c r="D69" s="16">
        <f>'[1]资源-钻石'!M69</f>
        <v>706608.49155666959</v>
      </c>
      <c r="E69" s="16">
        <f>'[1]资源-钻石'!N69</f>
        <v>954811.92250159499</v>
      </c>
      <c r="F69" s="16">
        <f>'[1]资源-钻石'!O69</f>
        <v>1812984.5368224278</v>
      </c>
      <c r="G69" s="16">
        <f>'[1]资源-钻石'!P69</f>
        <v>2437042.1437460529</v>
      </c>
      <c r="I69" s="4">
        <v>66</v>
      </c>
      <c r="J69" s="16">
        <f>'[1]资源-钻石'!T69</f>
        <v>409924.24442877935</v>
      </c>
      <c r="K69" s="16">
        <f>'[1]资源-钻石'!U69</f>
        <v>564316.66887165734</v>
      </c>
      <c r="L69" s="16">
        <f>'[1]资源-钻石'!V69</f>
        <v>921258.33575882309</v>
      </c>
      <c r="M69" s="16">
        <f>'[1]资源-钻石'!W69</f>
        <v>2364734.169334705</v>
      </c>
      <c r="N69" s="16">
        <f>'[1]资源-钻石'!X69</f>
        <v>5561420.0862681754</v>
      </c>
      <c r="P69" s="16">
        <v>66</v>
      </c>
      <c r="Q69" s="16">
        <f>'[1]功能-行军令'!N69</f>
        <v>4416.2695718066107</v>
      </c>
      <c r="R69" s="16">
        <f>'[1]功能-行军令'!O69</f>
        <v>5584.6032876140744</v>
      </c>
      <c r="S69" s="16">
        <f>'[1]功能-行军令'!P69</f>
        <v>6232.6428443465666</v>
      </c>
      <c r="T69" s="16">
        <f>'[1]功能-行军令'!Q69</f>
        <v>5166.7953843630921</v>
      </c>
      <c r="U69" s="16">
        <f>'[1]功能-行军令'!R69</f>
        <v>2868.6839062272406</v>
      </c>
      <c r="V69" s="16">
        <f>'[1]功能-行军令'!S69</f>
        <v>298.82484418021977</v>
      </c>
      <c r="W69" s="16">
        <f>'[1]功能-行军令'!T69</f>
        <v>382.07760975614201</v>
      </c>
      <c r="X69" s="16">
        <f>'[1]功能-行军令'!U69</f>
        <v>426.61613198699433</v>
      </c>
      <c r="Y69" s="16">
        <f>'[1]功能-行军令'!V69</f>
        <v>333.01373476450044</v>
      </c>
      <c r="Z69" s="16">
        <f>'[1]功能-行军令'!W69</f>
        <v>191.34232498857773</v>
      </c>
      <c r="AC69" s="21">
        <v>66</v>
      </c>
      <c r="AD69" s="21">
        <f>'[1]功能-实力'!BF70</f>
        <v>4369608</v>
      </c>
      <c r="AE69" s="21">
        <f>'[1]功能-实力'!BG70</f>
        <v>4935402</v>
      </c>
      <c r="AF69" s="21">
        <f>'[1]功能-实力'!BH70</f>
        <v>5628414</v>
      </c>
      <c r="AG69" s="21">
        <f>'[1]功能-实力'!BI70</f>
        <v>6888342</v>
      </c>
      <c r="AH69" s="21">
        <f>'[1]功能-实力'!BJ70</f>
        <v>7527522</v>
      </c>
      <c r="AL69" s="57">
        <f>[2]基础状态预期!C79</f>
        <v>340</v>
      </c>
      <c r="AM69" s="57">
        <f>[2]基础状态预期!D79</f>
        <v>86.247032860782397</v>
      </c>
      <c r="AO69" s="57">
        <f>[2]基础状态预期!F79</f>
        <v>0</v>
      </c>
      <c r="AP69" s="57">
        <f>[2]基础状态预期!G79</f>
        <v>0</v>
      </c>
      <c r="AQ69" s="57">
        <f>[2]基础状态预期!H79</f>
        <v>0</v>
      </c>
      <c r="AR69" s="57">
        <f>[2]基础状态预期!I79</f>
        <v>0</v>
      </c>
      <c r="AS69" s="57">
        <f>[2]基础状态预期!J79</f>
        <v>6</v>
      </c>
      <c r="AW69" s="16">
        <v>63</v>
      </c>
      <c r="AX69" s="16">
        <f>[1]节奏总纲!BJ66</f>
        <v>2.9333333333333331</v>
      </c>
      <c r="AY69" s="16">
        <f>[1]节奏总纲!BK66</f>
        <v>2.992</v>
      </c>
      <c r="AZ69" s="16">
        <f>[1]节奏总纲!BL66</f>
        <v>3.1093333333333333</v>
      </c>
      <c r="BA69" s="16">
        <f>[1]节奏总纲!BM66</f>
        <v>3.3439999999999994</v>
      </c>
      <c r="BB69" s="16">
        <f>[1]节奏总纲!BN66</f>
        <v>4.1066666666666665</v>
      </c>
      <c r="BF69" s="21">
        <f>'[1]功能-行军令'!FZ67</f>
        <v>63</v>
      </c>
      <c r="BG69" s="21">
        <f>'[1]功能-行军令'!GA67*'[1]功能-行军令'!GB67</f>
        <v>263.03575585809341</v>
      </c>
    </row>
    <row r="70" spans="2:59">
      <c r="B70" s="4">
        <v>67</v>
      </c>
      <c r="C70" s="16">
        <f>'[1]资源-钻石'!L70</f>
        <v>608378.95300539816</v>
      </c>
      <c r="D70" s="16">
        <f>'[1]资源-钻石'!M70</f>
        <v>756767.93652195623</v>
      </c>
      <c r="E70" s="16">
        <f>'[1]资源-钻石'!N70</f>
        <v>1019508.9017561502</v>
      </c>
      <c r="F70" s="16">
        <f>'[1]资源-钻石'!O70</f>
        <v>1933627.578509642</v>
      </c>
      <c r="G70" s="16">
        <f>'[1]资源-钻石'!P70</f>
        <v>2587477.018167248</v>
      </c>
      <c r="I70" s="4">
        <v>67</v>
      </c>
      <c r="J70" s="16">
        <f>'[1]资源-钻石'!T70</f>
        <v>415851.67758086813</v>
      </c>
      <c r="K70" s="16">
        <f>'[1]资源-钻石'!U70</f>
        <v>572516.84533895506</v>
      </c>
      <c r="L70" s="16">
        <f>'[1]资源-钻石'!V70</f>
        <v>934730.52987285051</v>
      </c>
      <c r="M70" s="16">
        <f>'[1]资源-钻石'!W70</f>
        <v>2399573.582860135</v>
      </c>
      <c r="N70" s="16">
        <f>'[1]资源-钻石'!X70</f>
        <v>5643598.4411461493</v>
      </c>
      <c r="P70" s="16">
        <v>67</v>
      </c>
      <c r="Q70" s="16">
        <f>'[1]功能-行军令'!N70</f>
        <v>4736.5421097455128</v>
      </c>
      <c r="R70" s="16">
        <f>'[1]功能-行军令'!O70</f>
        <v>5994.4338352951672</v>
      </c>
      <c r="S70" s="16">
        <f>'[1]功能-行军令'!P70</f>
        <v>6669.648506700737</v>
      </c>
      <c r="T70" s="16">
        <f>'[1]功能-行军令'!Q70</f>
        <v>5523.467097126364</v>
      </c>
      <c r="U70" s="16">
        <f>'[1]功能-行军令'!R70</f>
        <v>3069.2998807764393</v>
      </c>
      <c r="V70" s="16">
        <f>'[1]功能-行军令'!S70</f>
        <v>320.27253793890213</v>
      </c>
      <c r="W70" s="16">
        <f>'[1]功能-行军令'!T70</f>
        <v>409.83054768109287</v>
      </c>
      <c r="X70" s="16">
        <f>'[1]功能-行军令'!U70</f>
        <v>437.00566235417045</v>
      </c>
      <c r="Y70" s="16">
        <f>'[1]功能-行军令'!V70</f>
        <v>356.6717127632719</v>
      </c>
      <c r="Z70" s="16">
        <f>'[1]功能-行军令'!W70</f>
        <v>200.61597454919865</v>
      </c>
      <c r="AC70" s="21">
        <v>67</v>
      </c>
      <c r="AD70" s="21">
        <f>'[1]功能-实力'!BF71</f>
        <v>4657770</v>
      </c>
      <c r="AE70" s="21">
        <f>'[1]功能-实力'!BG71</f>
        <v>5309232</v>
      </c>
      <c r="AF70" s="21">
        <f>'[1]功能-实力'!BH71</f>
        <v>6071502</v>
      </c>
      <c r="AG70" s="21">
        <f>'[1]功能-实力'!BI71</f>
        <v>7413366</v>
      </c>
      <c r="AH70" s="21">
        <f>'[1]功能-实力'!BJ71</f>
        <v>8088714</v>
      </c>
      <c r="AL70" s="57">
        <f>[2]基础状态预期!C80</f>
        <v>442</v>
      </c>
      <c r="AM70" s="57">
        <f>[2]基础状态预期!D80</f>
        <v>90.122782504866933</v>
      </c>
      <c r="AO70" s="57">
        <f>[2]基础状态预期!F80</f>
        <v>0</v>
      </c>
      <c r="AP70" s="57">
        <f>[2]基础状态预期!G80</f>
        <v>0</v>
      </c>
      <c r="AQ70" s="57">
        <f>[2]基础状态预期!H80</f>
        <v>0</v>
      </c>
      <c r="AR70" s="57">
        <f>[2]基础状态预期!I80</f>
        <v>0</v>
      </c>
      <c r="AS70" s="57">
        <f>[2]基础状态预期!J80</f>
        <v>6</v>
      </c>
      <c r="AW70" s="16">
        <v>64</v>
      </c>
      <c r="AX70" s="16">
        <f>[1]节奏总纲!BJ67</f>
        <v>2.9666666666666663</v>
      </c>
      <c r="AY70" s="16">
        <f>[1]节奏总纲!BK67</f>
        <v>3.0259999999999998</v>
      </c>
      <c r="AZ70" s="16">
        <f>[1]节奏总纲!BL67</f>
        <v>3.1446666666666663</v>
      </c>
      <c r="BA70" s="16">
        <f>[1]节奏总纲!BM67</f>
        <v>3.3819999999999992</v>
      </c>
      <c r="BB70" s="16">
        <f>[1]节奏总纲!BN67</f>
        <v>4.1533333333333324</v>
      </c>
      <c r="BF70" s="21">
        <f>'[1]功能-行军令'!FZ68</f>
        <v>64</v>
      </c>
      <c r="BG70" s="21">
        <f>'[1]功能-行军令'!GA68*'[1]功能-行军令'!GB68</f>
        <v>268.29647097525526</v>
      </c>
    </row>
    <row r="71" spans="2:59">
      <c r="B71" s="4">
        <v>68</v>
      </c>
      <c r="C71" s="16">
        <f>'[1]资源-钻石'!L71</f>
        <v>640715.18538800185</v>
      </c>
      <c r="D71" s="16">
        <f>'[1]资源-钻石'!M71</f>
        <v>798715.20818464796</v>
      </c>
      <c r="E71" s="16">
        <f>'[1]资源-钻石'!N71</f>
        <v>1086306.624119231</v>
      </c>
      <c r="F71" s="16">
        <f>'[1]资源-钻石'!O71</f>
        <v>2065561.2427186659</v>
      </c>
      <c r="G71" s="16">
        <f>'[1]资源-钻石'!P71</f>
        <v>2755784.5849957354</v>
      </c>
      <c r="I71" s="4">
        <v>68</v>
      </c>
      <c r="J71" s="16">
        <f>'[1]资源-钻石'!T71</f>
        <v>421779.11073295691</v>
      </c>
      <c r="K71" s="16">
        <f>'[1]资源-钻石'!U71</f>
        <v>580717.02180625277</v>
      </c>
      <c r="L71" s="16">
        <f>'[1]资源-钻石'!V71</f>
        <v>948202.72398687794</v>
      </c>
      <c r="M71" s="16">
        <f>'[1]资源-钻石'!W71</f>
        <v>2434412.9963855655</v>
      </c>
      <c r="N71" s="16">
        <f>'[1]资源-钻石'!X71</f>
        <v>5725776.7960241223</v>
      </c>
      <c r="P71" s="16">
        <v>68</v>
      </c>
      <c r="Q71" s="16">
        <f>'[1]功能-行军令'!N71</f>
        <v>5079.8017166875779</v>
      </c>
      <c r="R71" s="16">
        <f>'[1]功能-行军令'!O71</f>
        <v>6420.7147672321553</v>
      </c>
      <c r="S71" s="16">
        <f>'[1]功能-行军令'!P71</f>
        <v>7120.8439603582265</v>
      </c>
      <c r="T71" s="16">
        <f>'[1]功能-行军令'!Q71</f>
        <v>5913.5186519153212</v>
      </c>
      <c r="U71" s="16">
        <f>'[1]功能-行军令'!R71</f>
        <v>3281.4966937441241</v>
      </c>
      <c r="V71" s="16">
        <f>'[1]功能-行军令'!S71</f>
        <v>343.25960694206515</v>
      </c>
      <c r="W71" s="16">
        <f>'[1]功能-行军令'!T71</f>
        <v>426.28093193698805</v>
      </c>
      <c r="X71" s="16">
        <f>'[1]功能-行军令'!U71</f>
        <v>451.19545365748945</v>
      </c>
      <c r="Y71" s="16">
        <f>'[1]功能-行军令'!V71</f>
        <v>390.05155478895722</v>
      </c>
      <c r="Z71" s="16">
        <f>'[1]功能-行军令'!W71</f>
        <v>212.19681296768476</v>
      </c>
      <c r="AC71" s="21">
        <v>68</v>
      </c>
      <c r="AD71" s="21">
        <f>'[1]功能-实力'!BF72</f>
        <v>4956642</v>
      </c>
      <c r="AE71" s="21">
        <f>'[1]功能-实力'!BG72</f>
        <v>5701410</v>
      </c>
      <c r="AF71" s="21">
        <f>'[1]功能-实力'!BH72</f>
        <v>6536208</v>
      </c>
      <c r="AG71" s="21">
        <f>'[1]功能-实力'!BI72</f>
        <v>7987770</v>
      </c>
      <c r="AH71" s="21">
        <f>'[1]功能-实力'!BJ72</f>
        <v>8693394</v>
      </c>
      <c r="AL71" s="57">
        <f>[2]基础状态预期!C81</f>
        <v>544</v>
      </c>
      <c r="AM71" s="57">
        <f>[2]基础状态预期!D81</f>
        <v>93.149045658279036</v>
      </c>
      <c r="AO71" s="57">
        <f>[2]基础状态预期!F81</f>
        <v>0</v>
      </c>
      <c r="AP71" s="57">
        <f>[2]基础状态预期!G81</f>
        <v>0</v>
      </c>
      <c r="AQ71" s="57">
        <f>[2]基础状态预期!H81</f>
        <v>0</v>
      </c>
      <c r="AR71" s="57">
        <f>[2]基础状态预期!I81</f>
        <v>0</v>
      </c>
      <c r="AS71" s="57">
        <f>[2]基础状态预期!J81</f>
        <v>6</v>
      </c>
      <c r="AW71" s="16">
        <v>65</v>
      </c>
      <c r="AX71" s="16">
        <f>[1]节奏总纲!BJ68</f>
        <v>2.9999999999999996</v>
      </c>
      <c r="AY71" s="16">
        <f>[1]节奏总纲!BK68</f>
        <v>3.0599999999999996</v>
      </c>
      <c r="AZ71" s="16">
        <f>[1]节奏总纲!BL68</f>
        <v>3.1799999999999997</v>
      </c>
      <c r="BA71" s="16">
        <f>[1]节奏总纲!BM68</f>
        <v>3.419999999999999</v>
      </c>
      <c r="BB71" s="16">
        <f>[1]节奏总纲!BN68</f>
        <v>4.1999999999999993</v>
      </c>
      <c r="BF71" s="21">
        <f>'[1]功能-行军令'!FZ69</f>
        <v>65</v>
      </c>
      <c r="BG71" s="21">
        <f>'[1]功能-行军令'!GA69*'[1]功能-行军令'!GB69</f>
        <v>273.66240039476037</v>
      </c>
    </row>
    <row r="72" spans="2:59">
      <c r="B72" s="4">
        <v>69</v>
      </c>
      <c r="C72" s="16">
        <f>'[1]资源-钻石'!L72</f>
        <v>675372.30113408319</v>
      </c>
      <c r="D72" s="16">
        <f>'[1]资源-钻石'!M72</f>
        <v>841778.51562049228</v>
      </c>
      <c r="E72" s="16">
        <f>'[1]资源-钻石'!N72</f>
        <v>1162337.2288970766</v>
      </c>
      <c r="F72" s="16">
        <f>'[1]资源-钻石'!O72</f>
        <v>2209186.8009879114</v>
      </c>
      <c r="G72" s="16">
        <f>'[1]资源-钻石'!P72</f>
        <v>2936639.8904699385</v>
      </c>
      <c r="I72" s="4">
        <v>69</v>
      </c>
      <c r="J72" s="16">
        <f>'[1]资源-钻石'!T72</f>
        <v>427706.54388504568</v>
      </c>
      <c r="K72" s="16">
        <f>'[1]资源-钻石'!U72</f>
        <v>588917.19827355037</v>
      </c>
      <c r="L72" s="16">
        <f>'[1]资源-钻石'!V72</f>
        <v>961674.91810090537</v>
      </c>
      <c r="M72" s="16">
        <f>'[1]资源-钻石'!W72</f>
        <v>2469252.4099109955</v>
      </c>
      <c r="N72" s="16">
        <f>'[1]资源-钻石'!X72</f>
        <v>5807955.1509020953</v>
      </c>
      <c r="P72" s="16">
        <v>69</v>
      </c>
      <c r="Q72" s="16">
        <f>'[1]功能-行军令'!N72</f>
        <v>5447.6982541687212</v>
      </c>
      <c r="R72" s="16">
        <f>'[1]功能-行军令'!O72</f>
        <v>6868.2684736992569</v>
      </c>
      <c r="S72" s="16">
        <f>'[1]功能-行军令'!P72</f>
        <v>7634.4043333920454</v>
      </c>
      <c r="T72" s="16">
        <f>'[1]功能-行军令'!Q72</f>
        <v>6338.1363766348895</v>
      </c>
      <c r="U72" s="16">
        <f>'[1]功能-行军令'!R72</f>
        <v>3508.175561817156</v>
      </c>
      <c r="V72" s="16">
        <f>'[1]功能-行军令'!S72</f>
        <v>367.89653748114324</v>
      </c>
      <c r="W72" s="16">
        <f>'[1]功能-行军令'!T72</f>
        <v>447.55370646710162</v>
      </c>
      <c r="X72" s="16">
        <f>'[1]功能-行军令'!U72</f>
        <v>513.56037303381891</v>
      </c>
      <c r="Y72" s="16">
        <f>'[1]功能-行军令'!V72</f>
        <v>424.61772471956829</v>
      </c>
      <c r="Z72" s="16">
        <f>'[1]功能-行军令'!W72</f>
        <v>226.67886807303194</v>
      </c>
      <c r="AC72" s="21">
        <v>69</v>
      </c>
      <c r="AD72" s="21">
        <f>'[1]功能-实力'!BF73</f>
        <v>5268684</v>
      </c>
      <c r="AE72" s="21">
        <f>'[1]功能-实力'!BG73</f>
        <v>6112692</v>
      </c>
      <c r="AF72" s="21">
        <f>'[1]功能-实力'!BH73</f>
        <v>7040916</v>
      </c>
      <c r="AG72" s="21">
        <f>'[1]功能-实力'!BI73</f>
        <v>8587782</v>
      </c>
      <c r="AH72" s="21">
        <f>'[1]功能-实力'!BJ73</f>
        <v>9333948</v>
      </c>
      <c r="AL72" s="57">
        <f>[2]基础状态预期!C82</f>
        <v>697</v>
      </c>
      <c r="AM72" s="57">
        <f>[2]基础状态预期!D82</f>
        <v>96.770480813454071</v>
      </c>
      <c r="AO72" s="57">
        <f>[2]基础状态预期!F82</f>
        <v>0</v>
      </c>
      <c r="AP72" s="57">
        <f>[2]基础状态预期!G82</f>
        <v>0</v>
      </c>
      <c r="AQ72" s="57">
        <f>[2]基础状态预期!H82</f>
        <v>0</v>
      </c>
      <c r="AR72" s="57">
        <f>[2]基础状态预期!I82</f>
        <v>0</v>
      </c>
      <c r="AS72" s="57">
        <f>[2]基础状态预期!J82</f>
        <v>6</v>
      </c>
      <c r="AW72" s="16">
        <v>66</v>
      </c>
      <c r="AX72" s="16">
        <f>[1]节奏总纲!BJ69</f>
        <v>3.0333333333333328</v>
      </c>
      <c r="AY72" s="16">
        <f>[1]节奏总纲!BK69</f>
        <v>3.0939999999999994</v>
      </c>
      <c r="AZ72" s="16">
        <f>[1]节奏总纲!BL69</f>
        <v>3.2153333333333327</v>
      </c>
      <c r="BA72" s="16">
        <f>[1]节奏总纲!BM69</f>
        <v>3.4579999999999989</v>
      </c>
      <c r="BB72" s="16">
        <f>[1]节奏总纲!BN69</f>
        <v>4.2466666666666653</v>
      </c>
      <c r="BF72" s="21">
        <f>'[1]功能-行军令'!FZ70</f>
        <v>66</v>
      </c>
      <c r="BG72" s="21">
        <f>'[1]功能-行军令'!GA70*'[1]功能-行军令'!GB70</f>
        <v>279.13564840265559</v>
      </c>
    </row>
    <row r="73" spans="2:59">
      <c r="B73" s="4">
        <v>70</v>
      </c>
      <c r="C73" s="16">
        <f>'[1]资源-钻石'!L73</f>
        <v>712516.87807878188</v>
      </c>
      <c r="D73" s="16">
        <f>'[1]资源-钻石'!M73</f>
        <v>889856.8618376099</v>
      </c>
      <c r="E73" s="16">
        <f>'[1]资源-钻石'!N73</f>
        <v>1245820.362646288</v>
      </c>
      <c r="F73" s="16">
        <f>'[1]资源-钻石'!O73</f>
        <v>2362145.6009097658</v>
      </c>
      <c r="G73" s="16">
        <f>'[1]资源-钻石'!P73</f>
        <v>3137142.1816969919</v>
      </c>
      <c r="I73" s="4">
        <v>70</v>
      </c>
      <c r="J73" s="16">
        <f>'[1]资源-钻石'!T73</f>
        <v>433633.97703713446</v>
      </c>
      <c r="K73" s="16">
        <f>'[1]资源-钻石'!U73</f>
        <v>597117.37474084797</v>
      </c>
      <c r="L73" s="16">
        <f>'[1]资源-钻石'!V73</f>
        <v>975147.1122149328</v>
      </c>
      <c r="M73" s="16">
        <f>'[1]资源-钻石'!W73</f>
        <v>2504091.8234364255</v>
      </c>
      <c r="N73" s="16">
        <f>'[1]资源-钻石'!X73</f>
        <v>5890133.5057800682</v>
      </c>
      <c r="P73" s="16">
        <v>70</v>
      </c>
      <c r="Q73" s="16">
        <f>'[1]功能-行军令'!N73</f>
        <v>5842</v>
      </c>
      <c r="R73" s="16">
        <f>'[1]功能-行军令'!O73</f>
        <v>7367.9431000000004</v>
      </c>
      <c r="S73" s="16">
        <f>'[1]功能-行军令'!P73</f>
        <v>8199.691499999999</v>
      </c>
      <c r="T73" s="16">
        <f>'[1]功能-行军令'!Q73</f>
        <v>6790.3471000000009</v>
      </c>
      <c r="U73" s="16">
        <f>'[1]功能-行军令'!R73</f>
        <v>3759.4794000000002</v>
      </c>
      <c r="V73" s="16">
        <f>'[1]功能-行军令'!S73</f>
        <v>394.30174583127882</v>
      </c>
      <c r="W73" s="16">
        <f>'[1]功能-行军令'!T73</f>
        <v>499.67462630074351</v>
      </c>
      <c r="X73" s="16">
        <f>'[1]功能-行军令'!U73</f>
        <v>565.28716660795362</v>
      </c>
      <c r="Y73" s="16">
        <f>'[1]功能-行军令'!V73</f>
        <v>452.21072336511133</v>
      </c>
      <c r="Z73" s="16">
        <f>'[1]功能-行军令'!W73</f>
        <v>251.30383818284417</v>
      </c>
      <c r="AC73" s="21">
        <v>70</v>
      </c>
      <c r="AD73" s="21">
        <f>'[1]功能-实力'!BF74</f>
        <v>5602770</v>
      </c>
      <c r="AE73" s="21">
        <f>'[1]功能-实力'!BG74</f>
        <v>6559248</v>
      </c>
      <c r="AF73" s="21">
        <f>'[1]功能-实力'!BH74</f>
        <v>7552314</v>
      </c>
      <c r="AG73" s="21">
        <f>'[1]功能-实力'!BI74</f>
        <v>9199062</v>
      </c>
      <c r="AH73" s="21">
        <f>'[1]功能-实力'!BJ74</f>
        <v>10017786</v>
      </c>
      <c r="AL73" s="57">
        <f>[2]基础状态预期!C83</f>
        <v>901</v>
      </c>
      <c r="AM73" s="57">
        <f>[2]基础状态预期!D83</f>
        <v>100.40175326279811</v>
      </c>
      <c r="AO73" s="57">
        <f>[2]基础状态预期!F83</f>
        <v>0</v>
      </c>
      <c r="AP73" s="57">
        <f>[2]基础状态预期!G83</f>
        <v>0</v>
      </c>
      <c r="AQ73" s="57">
        <f>[2]基础状态预期!H83</f>
        <v>0</v>
      </c>
      <c r="AR73" s="57">
        <f>[2]基础状态预期!I83</f>
        <v>0</v>
      </c>
      <c r="AS73" s="57">
        <f>[2]基础状态预期!J83</f>
        <v>6</v>
      </c>
      <c r="AW73" s="16">
        <v>67</v>
      </c>
      <c r="AX73" s="16">
        <f>[1]节奏总纲!BJ70</f>
        <v>3.066666666666666</v>
      </c>
      <c r="AY73" s="16">
        <f>[1]节奏总纲!BK70</f>
        <v>3.1279999999999992</v>
      </c>
      <c r="AZ73" s="16">
        <f>[1]节奏总纲!BL70</f>
        <v>3.2506666666666661</v>
      </c>
      <c r="BA73" s="16">
        <f>[1]节奏总纲!BM70</f>
        <v>3.4959999999999991</v>
      </c>
      <c r="BB73" s="16">
        <f>[1]节奏总纲!BN70</f>
        <v>4.2933333333333321</v>
      </c>
      <c r="BF73" s="21">
        <f>'[1]功能-行军令'!FZ71</f>
        <v>67</v>
      </c>
      <c r="BG73" s="21">
        <f>'[1]功能-行军令'!GA71*'[1]功能-行军令'!GB71</f>
        <v>284.71836137070869</v>
      </c>
    </row>
    <row r="74" spans="2:59">
      <c r="B74" s="4">
        <v>71</v>
      </c>
      <c r="C74" s="16">
        <f>'[1]资源-钻石'!L74</f>
        <v>752327.44992524723</v>
      </c>
      <c r="D74" s="16">
        <f>'[1]资源-钻石'!M74</f>
        <v>941842.84192293312</v>
      </c>
      <c r="E74" s="16">
        <f>'[1]资源-钻石'!N74</f>
        <v>1320590.4489970768</v>
      </c>
      <c r="F74" s="16">
        <f>'[1]资源-钻石'!O74</f>
        <v>2525447.0308207385</v>
      </c>
      <c r="G74" s="16">
        <f>'[1]资源-钻石'!P74</f>
        <v>3353002.2047928427</v>
      </c>
      <c r="I74" s="4">
        <v>71</v>
      </c>
      <c r="J74" s="16">
        <f>'[1]资源-钻石'!T74</f>
        <v>439561.41018922324</v>
      </c>
      <c r="K74" s="16">
        <f>'[1]资源-钻石'!U74</f>
        <v>605317.55120814568</v>
      </c>
      <c r="L74" s="16">
        <f>'[1]资源-钻石'!V74</f>
        <v>988619.30632896023</v>
      </c>
      <c r="M74" s="16">
        <f>'[1]资源-钻石'!W74</f>
        <v>2538931.236961856</v>
      </c>
      <c r="N74" s="16">
        <f>'[1]资源-钻石'!X74</f>
        <v>5972311.8606580412</v>
      </c>
      <c r="P74" s="16">
        <v>71</v>
      </c>
      <c r="Q74" s="16">
        <f>'[1]功能-行军令'!N74</f>
        <v>6264.6021474136924</v>
      </c>
      <c r="R74" s="16">
        <f>'[1]功能-行军令'!O74</f>
        <v>7908.2294703902389</v>
      </c>
      <c r="S74" s="16">
        <f>'[1]功能-行军令'!P74</f>
        <v>8789.1278632188478</v>
      </c>
      <c r="T74" s="16">
        <f>'[1]功能-行军令'!Q74</f>
        <v>7273.1349996456938</v>
      </c>
      <c r="U74" s="16">
        <f>'[1]功能-行军令'!R74</f>
        <v>4030.0321801315486</v>
      </c>
      <c r="V74" s="16">
        <f>'[1]功能-行军令'!S74</f>
        <v>422.60214741369236</v>
      </c>
      <c r="W74" s="16">
        <f>'[1]功能-行军令'!T74</f>
        <v>540.28637039023852</v>
      </c>
      <c r="X74" s="16">
        <f>'[1]功能-行军令'!U74</f>
        <v>589.43636321884878</v>
      </c>
      <c r="Y74" s="16">
        <f>'[1]功能-行军令'!V74</f>
        <v>482.78789964569296</v>
      </c>
      <c r="Z74" s="16">
        <f>'[1]功能-行军令'!W74</f>
        <v>270.55278013154839</v>
      </c>
      <c r="AC74" s="21">
        <v>71</v>
      </c>
      <c r="AD74" s="21">
        <f>'[1]功能-实力'!BF75</f>
        <v>5970864</v>
      </c>
      <c r="AE74" s="21">
        <f>'[1]功能-实力'!BG75</f>
        <v>6985362</v>
      </c>
      <c r="AF74" s="21">
        <f>'[1]功能-实力'!BH75</f>
        <v>8007984</v>
      </c>
      <c r="AG74" s="21">
        <f>'[1]功能-实力'!BI75</f>
        <v>9790638</v>
      </c>
      <c r="AH74" s="21">
        <f>'[1]功能-实力'!BJ75</f>
        <v>10695138</v>
      </c>
      <c r="AL74" s="57">
        <f>[2]基础状态预期!C84</f>
        <v>1156</v>
      </c>
      <c r="AM74" s="57">
        <f>[2]基础状态预期!D84</f>
        <v>104.06236366727887</v>
      </c>
      <c r="AO74" s="57">
        <f>[2]基础状态预期!F84</f>
        <v>0</v>
      </c>
      <c r="AP74" s="57">
        <f>[2]基础状态预期!G84</f>
        <v>0</v>
      </c>
      <c r="AQ74" s="57">
        <f>[2]基础状态预期!H84</f>
        <v>0</v>
      </c>
      <c r="AR74" s="57">
        <f>[2]基础状态预期!I84</f>
        <v>0</v>
      </c>
      <c r="AS74" s="57">
        <f>[2]基础状态预期!J84</f>
        <v>6</v>
      </c>
      <c r="AW74" s="16">
        <v>68</v>
      </c>
      <c r="AX74" s="16">
        <f>[1]节奏总纲!BJ71</f>
        <v>3.0999999999999992</v>
      </c>
      <c r="AY74" s="16">
        <f>[1]节奏总纲!BK71</f>
        <v>3.161999999999999</v>
      </c>
      <c r="AZ74" s="16">
        <f>[1]节奏总纲!BL71</f>
        <v>3.2859999999999991</v>
      </c>
      <c r="BA74" s="16">
        <f>[1]节奏总纲!BM71</f>
        <v>3.5339999999999989</v>
      </c>
      <c r="BB74" s="16">
        <f>[1]节奏总纲!BN71</f>
        <v>4.339999999999999</v>
      </c>
      <c r="BF74" s="21">
        <f>'[1]功能-行军令'!FZ72</f>
        <v>68</v>
      </c>
      <c r="BG74" s="21">
        <f>'[1]功能-行军令'!GA72*'[1]功能-行军令'!GB72</f>
        <v>290.41272859812284</v>
      </c>
    </row>
    <row r="75" spans="2:59">
      <c r="B75" s="4">
        <v>72</v>
      </c>
      <c r="C75" s="16">
        <f>'[1]资源-钻石'!L75</f>
        <v>794995.36435868323</v>
      </c>
      <c r="D75" s="16">
        <f>'[1]资源-钻石'!M75</f>
        <v>996952.18451324687</v>
      </c>
      <c r="E75" s="16">
        <f>'[1]资源-钻石'!N75</f>
        <v>1398332.6936868359</v>
      </c>
      <c r="F75" s="16">
        <f>'[1]资源-钻石'!O75</f>
        <v>2698735.5287803207</v>
      </c>
      <c r="G75" s="16">
        <f>'[1]资源-钻石'!P75</f>
        <v>3580673.5082542915</v>
      </c>
      <c r="I75" s="4">
        <v>72</v>
      </c>
      <c r="J75" s="16">
        <f>'[1]资源-钻石'!T75</f>
        <v>445488.84334131208</v>
      </c>
      <c r="K75" s="16">
        <f>'[1]资源-钻石'!U75</f>
        <v>613517.72767544328</v>
      </c>
      <c r="L75" s="16">
        <f>'[1]资源-钻石'!V75</f>
        <v>1002091.5004429877</v>
      </c>
      <c r="M75" s="16">
        <f>'[1]资源-钻石'!W75</f>
        <v>2573770.650487286</v>
      </c>
      <c r="N75" s="16">
        <f>'[1]资源-钻石'!X75</f>
        <v>6054490.2155360151</v>
      </c>
      <c r="P75" s="16">
        <v>72</v>
      </c>
      <c r="Q75" s="16">
        <f>'[1]功能-行军令'!N75</f>
        <v>6717.5359142225398</v>
      </c>
      <c r="R75" s="16">
        <f>'[1]功能-行军令'!O75</f>
        <v>8480.9767117396204</v>
      </c>
      <c r="S75" s="16">
        <f>'[1]功能-行军令'!P75</f>
        <v>9401.9946955963624</v>
      </c>
      <c r="T75" s="16">
        <f>'[1]功能-行军令'!Q75</f>
        <v>7785.4488845165961</v>
      </c>
      <c r="U75" s="16">
        <f>'[1]功能-行军令'!R75</f>
        <v>4315.3888813133908</v>
      </c>
      <c r="V75" s="16">
        <f>'[1]功能-行军令'!S75</f>
        <v>452.93376680884739</v>
      </c>
      <c r="W75" s="16">
        <f>'[1]功能-行军令'!T75</f>
        <v>572.74724134938151</v>
      </c>
      <c r="X75" s="16">
        <f>'[1]功能-行军令'!U75</f>
        <v>612.86683237751458</v>
      </c>
      <c r="Y75" s="16">
        <f>'[1]功能-行军令'!V75</f>
        <v>512.31388487090226</v>
      </c>
      <c r="Z75" s="16">
        <f>'[1]功能-行军令'!W75</f>
        <v>285.35670118184225</v>
      </c>
      <c r="AC75" s="21">
        <v>72</v>
      </c>
      <c r="AD75" s="21">
        <f>'[1]功能-实力'!BF76</f>
        <v>6368574</v>
      </c>
      <c r="AE75" s="21">
        <f>'[1]功能-实力'!BG76</f>
        <v>7434516</v>
      </c>
      <c r="AF75" s="21">
        <f>'[1]功能-实力'!BH76</f>
        <v>8483466</v>
      </c>
      <c r="AG75" s="21">
        <f>'[1]功能-实力'!BI76</f>
        <v>10421238</v>
      </c>
      <c r="AH75" s="21">
        <f>'[1]功能-实力'!BJ76</f>
        <v>11428950</v>
      </c>
      <c r="AL75" s="57">
        <f>[2]基础状态预期!C85</f>
        <v>1462</v>
      </c>
      <c r="AM75" s="57">
        <f>[2]基础状态预期!D85</f>
        <v>107.42257994053838</v>
      </c>
      <c r="AO75" s="57">
        <f>[2]基础状态预期!F85</f>
        <v>0</v>
      </c>
      <c r="AP75" s="57">
        <f>[2]基础状态预期!G85</f>
        <v>0</v>
      </c>
      <c r="AQ75" s="57">
        <f>[2]基础状态预期!H85</f>
        <v>0</v>
      </c>
      <c r="AR75" s="57">
        <f>[2]基础状态预期!I85</f>
        <v>0</v>
      </c>
      <c r="AS75" s="57">
        <f>[2]基础状态预期!J85</f>
        <v>6</v>
      </c>
      <c r="AW75" s="16">
        <v>69</v>
      </c>
      <c r="AX75" s="16">
        <f>[1]节奏总纲!BJ72</f>
        <v>3.1333333333333324</v>
      </c>
      <c r="AY75" s="16">
        <f>[1]节奏总纲!BK72</f>
        <v>3.1959999999999993</v>
      </c>
      <c r="AZ75" s="16">
        <f>[1]节奏总纲!BL72</f>
        <v>3.3213333333333326</v>
      </c>
      <c r="BA75" s="16">
        <f>[1]节奏总纲!BM72</f>
        <v>3.5719999999999987</v>
      </c>
      <c r="BB75" s="16">
        <f>[1]节奏总纲!BN72</f>
        <v>4.3866666666666649</v>
      </c>
      <c r="BF75" s="21">
        <f>'[1]功能-行军令'!FZ73</f>
        <v>69</v>
      </c>
      <c r="BG75" s="21">
        <f>'[1]功能-行军令'!GA73*'[1]功能-行军令'!GB73</f>
        <v>296.22098317008533</v>
      </c>
    </row>
    <row r="76" spans="2:59">
      <c r="B76" s="4">
        <v>73</v>
      </c>
      <c r="C76" s="16">
        <f>'[1]资源-钻石'!L76</f>
        <v>840725.70275020949</v>
      </c>
      <c r="D76" s="16">
        <f>'[1]资源-钻石'!M76</f>
        <v>1053903.8882900055</v>
      </c>
      <c r="E76" s="16">
        <f>'[1]资源-钻石'!N76</f>
        <v>1482169.2828920323</v>
      </c>
      <c r="F76" s="16">
        <f>'[1]资源-钻石'!O76</f>
        <v>2885765.0088641308</v>
      </c>
      <c r="G76" s="16">
        <f>'[1]资源-钻石'!P76</f>
        <v>3825623.1177580887</v>
      </c>
      <c r="I76" s="4">
        <v>73</v>
      </c>
      <c r="J76" s="16">
        <f>'[1]资源-钻石'!T76</f>
        <v>451416.27649340086</v>
      </c>
      <c r="K76" s="16">
        <f>'[1]资源-钻石'!U76</f>
        <v>621717.90414274088</v>
      </c>
      <c r="L76" s="16">
        <f>'[1]资源-钻石'!V76</f>
        <v>1015563.6945570151</v>
      </c>
      <c r="M76" s="16">
        <f>'[1]资源-钻石'!W76</f>
        <v>2608610.0640127161</v>
      </c>
      <c r="N76" s="16">
        <f>'[1]资源-钻石'!X76</f>
        <v>6136668.5704139881</v>
      </c>
      <c r="P76" s="16">
        <v>73</v>
      </c>
      <c r="Q76" s="16">
        <f>'[1]功能-行军令'!N76</f>
        <v>7202.9783057748664</v>
      </c>
      <c r="R76" s="16">
        <f>'[1]功能-行军令'!O76</f>
        <v>9072.871473954021</v>
      </c>
      <c r="S76" s="16">
        <f>'[1]功能-行军令'!P76</f>
        <v>10062.905183434286</v>
      </c>
      <c r="T76" s="16">
        <f>'[1]功能-行军令'!Q76</f>
        <v>8338.3869078438565</v>
      </c>
      <c r="U76" s="16">
        <f>'[1]功能-行军令'!R76</f>
        <v>4622.4017171915848</v>
      </c>
      <c r="V76" s="16">
        <f>'[1]功能-行军令'!S76</f>
        <v>485.44239155232663</v>
      </c>
      <c r="W76" s="16">
        <f>'[1]功能-行军令'!T76</f>
        <v>591.89476221440054</v>
      </c>
      <c r="X76" s="16">
        <f>'[1]功能-行军令'!U76</f>
        <v>660.91048783792394</v>
      </c>
      <c r="Y76" s="16">
        <f>'[1]功能-行军令'!V76</f>
        <v>552.93802332726045</v>
      </c>
      <c r="Z76" s="16">
        <f>'[1]功能-行军令'!W76</f>
        <v>307.01283587819398</v>
      </c>
      <c r="AC76" s="21">
        <v>73</v>
      </c>
      <c r="AD76" s="21">
        <f>'[1]功能-实力'!BF77</f>
        <v>6796284</v>
      </c>
      <c r="AE76" s="21">
        <f>'[1]功能-实力'!BG77</f>
        <v>7899996</v>
      </c>
      <c r="AF76" s="21">
        <f>'[1]功能-实力'!BH77</f>
        <v>8998134</v>
      </c>
      <c r="AG76" s="21">
        <f>'[1]功能-实力'!BI77</f>
        <v>11178198</v>
      </c>
      <c r="AH76" s="21">
        <f>'[1]功能-实力'!BJ77</f>
        <v>12259176</v>
      </c>
      <c r="AL76" s="57">
        <f>[2]基础状态预期!C86</f>
        <v>1870</v>
      </c>
      <c r="AM76" s="57">
        <f>[2]基础状态预期!D86</f>
        <v>111.00691759243479</v>
      </c>
      <c r="AO76" s="57">
        <f>[2]基础状态预期!F86</f>
        <v>0</v>
      </c>
      <c r="AP76" s="57">
        <f>[2]基础状态预期!G86</f>
        <v>0</v>
      </c>
      <c r="AQ76" s="57">
        <f>[2]基础状态预期!H86</f>
        <v>0</v>
      </c>
      <c r="AR76" s="57">
        <f>[2]基础状态预期!I86</f>
        <v>0</v>
      </c>
      <c r="AS76" s="57">
        <f>[2]基础状态预期!J86</f>
        <v>6</v>
      </c>
      <c r="AW76" s="16">
        <v>70</v>
      </c>
      <c r="AX76" s="16">
        <f>[1]节奏总纲!BJ73</f>
        <v>3.1666666666666656</v>
      </c>
      <c r="AY76" s="16">
        <f>[1]节奏总纲!BK73</f>
        <v>3.2299999999999991</v>
      </c>
      <c r="AZ76" s="16">
        <f>[1]节奏总纲!BL73</f>
        <v>3.3566666666666656</v>
      </c>
      <c r="BA76" s="16">
        <f>[1]节奏总纲!BM73</f>
        <v>3.6099999999999985</v>
      </c>
      <c r="BB76" s="16">
        <f>[1]节奏总纲!BN73</f>
        <v>4.4333333333333318</v>
      </c>
      <c r="BF76" s="21">
        <f>'[1]功能-行军令'!FZ74</f>
        <v>70</v>
      </c>
      <c r="BG76" s="21">
        <f>'[1]功能-行军令'!GA74*'[1]功能-行军令'!GB74</f>
        <v>302.14540283348703</v>
      </c>
    </row>
    <row r="77" spans="2:59">
      <c r="B77" s="4">
        <v>74</v>
      </c>
      <c r="C77" s="16">
        <f>'[1]资源-钻石'!L77</f>
        <v>889738.2658710517</v>
      </c>
      <c r="D77" s="16">
        <f>'[1]资源-钻石'!M77</f>
        <v>1116744.7416914625</v>
      </c>
      <c r="E77" s="16">
        <f>'[1]资源-钻石'!N77</f>
        <v>1575922.3092621714</v>
      </c>
      <c r="F77" s="16">
        <f>'[1]资源-钻石'!O77</f>
        <v>3091829.7441632054</v>
      </c>
      <c r="G77" s="16">
        <f>'[1]资源-钻石'!P77</f>
        <v>4096151.4954179237</v>
      </c>
      <c r="I77" s="4">
        <v>74</v>
      </c>
      <c r="J77" s="16">
        <f>'[1]资源-钻石'!T77</f>
        <v>457343.70964548958</v>
      </c>
      <c r="K77" s="16">
        <f>'[1]资源-钻石'!U77</f>
        <v>629918.0806100386</v>
      </c>
      <c r="L77" s="16">
        <f>'[1]资源-钻石'!V77</f>
        <v>1029035.8886710425</v>
      </c>
      <c r="M77" s="16">
        <f>'[1]资源-钻石'!W77</f>
        <v>2643449.4775381461</v>
      </c>
      <c r="N77" s="16">
        <f>'[1]资源-钻石'!X77</f>
        <v>6218846.9252919611</v>
      </c>
      <c r="P77" s="16">
        <v>74</v>
      </c>
      <c r="Q77" s="16">
        <f>'[1]功能-行军令'!N77</f>
        <v>7723.2625786307999</v>
      </c>
      <c r="R77" s="16">
        <f>'[1]功能-行军令'!O77</f>
        <v>9725.9717240747977</v>
      </c>
      <c r="S77" s="16">
        <f>'[1]功能-行军令'!P77</f>
        <v>10801.990098290646</v>
      </c>
      <c r="T77" s="16">
        <f>'[1]功能-行军令'!Q77</f>
        <v>8947.6011737588742</v>
      </c>
      <c r="U77" s="16">
        <f>'[1]功能-行军令'!R77</f>
        <v>4961.4742496161989</v>
      </c>
      <c r="V77" s="16">
        <f>'[1]功能-行军令'!S77</f>
        <v>520.28427285593352</v>
      </c>
      <c r="W77" s="16">
        <f>'[1]功能-行军令'!T77</f>
        <v>653.10025012077676</v>
      </c>
      <c r="X77" s="16">
        <f>'[1]功能-行军令'!U77</f>
        <v>739.08491485635932</v>
      </c>
      <c r="Y77" s="16">
        <f>'[1]功能-行军令'!V77</f>
        <v>609.21426591501768</v>
      </c>
      <c r="Z77" s="16">
        <f>'[1]功能-行军令'!W77</f>
        <v>339.07253242461411</v>
      </c>
      <c r="AC77" s="21">
        <v>74</v>
      </c>
      <c r="AD77" s="21">
        <f>'[1]功能-实力'!BF78</f>
        <v>7250856</v>
      </c>
      <c r="AE77" s="21">
        <f>'[1]功能-实力'!BG78</f>
        <v>8391630</v>
      </c>
      <c r="AF77" s="21">
        <f>'[1]功能-实力'!BH78</f>
        <v>9549504</v>
      </c>
      <c r="AG77" s="21">
        <f>'[1]功能-实力'!BI78</f>
        <v>11985168</v>
      </c>
      <c r="AH77" s="21">
        <f>'[1]功能-实力'!BJ78</f>
        <v>13188354</v>
      </c>
      <c r="AL77" s="57">
        <f>[2]基础状态预期!C87</f>
        <v>2380</v>
      </c>
      <c r="AM77" s="57">
        <f>[2]基础状态预期!D87</f>
        <v>114.47614359759058</v>
      </c>
      <c r="AO77" s="57">
        <f>[2]基础状态预期!F87</f>
        <v>0</v>
      </c>
      <c r="AP77" s="57">
        <f>[2]基础状态预期!G87</f>
        <v>0</v>
      </c>
      <c r="AQ77" s="57">
        <f>[2]基础状态预期!H87</f>
        <v>0</v>
      </c>
      <c r="AR77" s="57">
        <f>[2]基础状态预期!I87</f>
        <v>0</v>
      </c>
      <c r="AS77" s="57">
        <f>[2]基础状态预期!J87</f>
        <v>6</v>
      </c>
      <c r="AW77" s="16">
        <v>71</v>
      </c>
      <c r="AX77" s="16">
        <f>[1]节奏总纲!BJ74</f>
        <v>3.1999999999999988</v>
      </c>
      <c r="AY77" s="16">
        <f>[1]节奏总纲!BK74</f>
        <v>3.2639999999999989</v>
      </c>
      <c r="AZ77" s="16">
        <f>[1]节奏总纲!BL74</f>
        <v>3.391999999999999</v>
      </c>
      <c r="BA77" s="16">
        <f>[1]节奏总纲!BM74</f>
        <v>3.6479999999999984</v>
      </c>
      <c r="BB77" s="16">
        <f>[1]节奏总纲!BN74</f>
        <v>4.4799999999999978</v>
      </c>
      <c r="BF77" s="21">
        <f>'[1]功能-行军令'!FZ75</f>
        <v>71</v>
      </c>
      <c r="BG77" s="21">
        <f>'[1]功能-行军令'!GA75*'[1]功能-行军令'!GB75</f>
        <v>308.1883108901568</v>
      </c>
    </row>
    <row r="78" spans="2:59">
      <c r="B78" s="4">
        <v>75</v>
      </c>
      <c r="C78" s="16">
        <f>'[1]资源-钻石'!L78</f>
        <v>942260.01727511862</v>
      </c>
      <c r="D78" s="16">
        <f>'[1]资源-钻石'!M78</f>
        <v>1185008.6020046037</v>
      </c>
      <c r="E78" s="16">
        <f>'[1]资源-钻石'!N78</f>
        <v>1676101.3179611163</v>
      </c>
      <c r="F78" s="16">
        <f>'[1]资源-钻石'!O78</f>
        <v>3306035.1774592092</v>
      </c>
      <c r="G78" s="16">
        <f>'[1]资源-钻石'!P78</f>
        <v>4390835.3665658776</v>
      </c>
      <c r="I78" s="4">
        <v>75</v>
      </c>
      <c r="J78" s="16">
        <f>'[1]资源-钻石'!T78</f>
        <v>463271.14279757836</v>
      </c>
      <c r="K78" s="16">
        <f>'[1]资源-钻石'!U78</f>
        <v>638118.25707733631</v>
      </c>
      <c r="L78" s="16">
        <f>'[1]资源-钻石'!V78</f>
        <v>1042508.0827850699</v>
      </c>
      <c r="M78" s="16">
        <f>'[1]资源-钻石'!W78</f>
        <v>2678288.8910635766</v>
      </c>
      <c r="N78" s="16">
        <f>'[1]资源-钻石'!X78</f>
        <v>6301025.280169934</v>
      </c>
      <c r="P78" s="16">
        <v>75</v>
      </c>
      <c r="Q78" s="16">
        <f>'[1]功能-行军令'!N78</f>
        <v>8280.8894552527818</v>
      </c>
      <c r="R78" s="16">
        <f>'[1]功能-行军令'!O78</f>
        <v>10435.432876040768</v>
      </c>
      <c r="S78" s="16">
        <f>'[1]功能-行军令'!P78</f>
        <v>11591.73307493163</v>
      </c>
      <c r="T78" s="16">
        <f>'[1]功能-行军令'!Q78</f>
        <v>9601.0432537560609</v>
      </c>
      <c r="U78" s="16">
        <f>'[1]功能-行军令'!R78</f>
        <v>5330.8225868189775</v>
      </c>
      <c r="V78" s="16">
        <f>'[1]功能-行军令'!S78</f>
        <v>557.62687662198186</v>
      </c>
      <c r="W78" s="16">
        <f>'[1]功能-行军令'!T78</f>
        <v>709.4611519659702</v>
      </c>
      <c r="X78" s="16">
        <f>'[1]功能-行军令'!U78</f>
        <v>789.74297664098412</v>
      </c>
      <c r="Y78" s="16">
        <f>'[1]功能-行军令'!V78</f>
        <v>653.44207999718674</v>
      </c>
      <c r="Z78" s="16">
        <f>'[1]功能-行军令'!W78</f>
        <v>369.34833720277857</v>
      </c>
      <c r="AC78" s="21">
        <v>75</v>
      </c>
      <c r="AD78" s="21">
        <f>'[1]功能-实力'!BF79</f>
        <v>7733088</v>
      </c>
      <c r="AE78" s="21">
        <f>'[1]功能-实力'!BG79</f>
        <v>8935428</v>
      </c>
      <c r="AF78" s="21">
        <f>'[1]功能-实力'!BH79</f>
        <v>10147566</v>
      </c>
      <c r="AG78" s="21">
        <f>'[1]功能-实力'!BI79</f>
        <v>12838602</v>
      </c>
      <c r="AH78" s="21">
        <f>'[1]功能-实力'!BJ79</f>
        <v>14169498</v>
      </c>
      <c r="AL78" s="57">
        <f>[2]基础状态预期!C88</f>
        <v>3043</v>
      </c>
      <c r="AM78" s="57">
        <f>[2]基础状态预期!D88</f>
        <v>118.05724034557241</v>
      </c>
      <c r="AO78" s="57">
        <f>[2]基础状态预期!F88</f>
        <v>0</v>
      </c>
      <c r="AP78" s="57">
        <f>[2]基础状态预期!G88</f>
        <v>0</v>
      </c>
      <c r="AQ78" s="57">
        <f>[2]基础状态预期!H88</f>
        <v>0</v>
      </c>
      <c r="AR78" s="57">
        <f>[2]基础状态预期!I88</f>
        <v>0</v>
      </c>
      <c r="AS78" s="57">
        <f>[2]基础状态预期!J88</f>
        <v>6</v>
      </c>
      <c r="AW78" s="16">
        <v>72</v>
      </c>
      <c r="AX78" s="16">
        <f>[1]节奏总纲!BJ75</f>
        <v>3.2333333333333321</v>
      </c>
      <c r="AY78" s="16">
        <f>[1]节奏总纲!BK75</f>
        <v>3.2979999999999987</v>
      </c>
      <c r="AZ78" s="16">
        <f>[1]节奏总纲!BL75</f>
        <v>3.427333333333332</v>
      </c>
      <c r="BA78" s="16">
        <f>[1]节奏总纲!BM75</f>
        <v>3.6859999999999982</v>
      </c>
      <c r="BB78" s="16">
        <f>[1]节奏总纲!BN75</f>
        <v>4.5266666666666646</v>
      </c>
      <c r="BF78" s="21">
        <f>'[1]功能-行军令'!FZ76</f>
        <v>72</v>
      </c>
      <c r="BG78" s="21">
        <f>'[1]功能-行军令'!GA76*'[1]功能-行军令'!GB76</f>
        <v>314.35207710795993</v>
      </c>
    </row>
    <row r="79" spans="2:59">
      <c r="B79" s="4">
        <v>76</v>
      </c>
      <c r="C79" s="16">
        <f>'[1]资源-钻石'!L79</f>
        <v>992773.3004085588</v>
      </c>
      <c r="D79" s="16">
        <f>'[1]资源-钻石'!M79</f>
        <v>1257351.5271212088</v>
      </c>
      <c r="E79" s="16">
        <f>'[1]资源-钻石'!N79</f>
        <v>1781555.799674347</v>
      </c>
      <c r="F79" s="16">
        <f>'[1]资源-钻石'!O79</f>
        <v>3529299.5322354301</v>
      </c>
      <c r="G79" s="16">
        <f>'[1]资源-钻石'!P79</f>
        <v>4712072.2898059003</v>
      </c>
      <c r="I79" s="4">
        <v>76</v>
      </c>
      <c r="J79" s="16">
        <f>'[1]资源-钻石'!T79</f>
        <v>469198.57594966714</v>
      </c>
      <c r="K79" s="16">
        <f>'[1]资源-钻石'!U79</f>
        <v>646318.43354463391</v>
      </c>
      <c r="L79" s="16">
        <f>'[1]资源-钻石'!V79</f>
        <v>1055980.2768990973</v>
      </c>
      <c r="M79" s="16">
        <f>'[1]资源-钻石'!W79</f>
        <v>2713128.3045890066</v>
      </c>
      <c r="N79" s="16">
        <f>'[1]资源-钻石'!X79</f>
        <v>6383203.635047907</v>
      </c>
      <c r="P79" s="16">
        <v>76</v>
      </c>
      <c r="Q79" s="16">
        <f>'[1]功能-行军令'!N79</f>
        <v>8878.5391436132213</v>
      </c>
      <c r="R79" s="16">
        <f>'[1]功能-行军令'!O79</f>
        <v>11187.287440877531</v>
      </c>
      <c r="S79" s="16">
        <f>'[1]功能-行军令'!P79</f>
        <v>12423.064282636185</v>
      </c>
      <c r="T79" s="16">
        <f>'[1]功能-行军令'!Q79</f>
        <v>10303.911398432119</v>
      </c>
      <c r="U79" s="16">
        <f>'[1]功能-行军令'!R79</f>
        <v>5733.4517601925972</v>
      </c>
      <c r="V79" s="16">
        <f>'[1]功能-行军令'!S79</f>
        <v>597.64968836043954</v>
      </c>
      <c r="W79" s="16">
        <f>'[1]功能-行军令'!T79</f>
        <v>751.85456483676353</v>
      </c>
      <c r="X79" s="16">
        <f>'[1]功能-行军令'!U79</f>
        <v>831.33120770455571</v>
      </c>
      <c r="Y79" s="16">
        <f>'[1]功能-行军令'!V79</f>
        <v>702.86814467605836</v>
      </c>
      <c r="Z79" s="16">
        <f>'[1]功能-行军令'!W79</f>
        <v>402.62917337361978</v>
      </c>
      <c r="AC79" s="21">
        <v>76</v>
      </c>
      <c r="AD79" s="21">
        <f>'[1]功能-实力'!BF80</f>
        <v>8255886</v>
      </c>
      <c r="AE79" s="21">
        <f>'[1]功能-实力'!BG80</f>
        <v>9518898</v>
      </c>
      <c r="AF79" s="21">
        <f>'[1]功能-实力'!BH80</f>
        <v>10826880</v>
      </c>
      <c r="AG79" s="21">
        <f>'[1]功能-实力'!BI80</f>
        <v>13757484</v>
      </c>
      <c r="AH79" s="21">
        <f>'[1]功能-实力'!BJ80</f>
        <v>15275772</v>
      </c>
      <c r="AL79" s="57">
        <f>[2]基础状态预期!C89</f>
        <v>3859</v>
      </c>
      <c r="AM79" s="57">
        <f>[2]基础状态预期!D89</f>
        <v>121.49411884885473</v>
      </c>
      <c r="AO79" s="57">
        <f>[2]基础状态预期!F89</f>
        <v>0</v>
      </c>
      <c r="AP79" s="57">
        <f>[2]基础状态预期!G89</f>
        <v>0</v>
      </c>
      <c r="AQ79" s="57">
        <f>[2]基础状态预期!H89</f>
        <v>0</v>
      </c>
      <c r="AR79" s="57">
        <f>[2]基础状态预期!I89</f>
        <v>0</v>
      </c>
      <c r="AS79" s="57">
        <f>[2]基础状态预期!J89</f>
        <v>6</v>
      </c>
      <c r="AW79" s="16">
        <v>73</v>
      </c>
      <c r="AX79" s="16">
        <f>[1]节奏总纲!BJ76</f>
        <v>3.2666666666666653</v>
      </c>
      <c r="AY79" s="16">
        <f>[1]节奏总纲!BK76</f>
        <v>3.3319999999999985</v>
      </c>
      <c r="AZ79" s="16">
        <f>[1]节奏总纲!BL76</f>
        <v>3.4626666666666654</v>
      </c>
      <c r="BA79" s="16">
        <f>[1]节奏总纲!BM76</f>
        <v>3.723999999999998</v>
      </c>
      <c r="BB79" s="16">
        <f>[1]节奏总纲!BN76</f>
        <v>4.5733333333333315</v>
      </c>
      <c r="BF79" s="21">
        <f>'[1]功能-行军令'!FZ77</f>
        <v>73</v>
      </c>
      <c r="BG79" s="21">
        <f>'[1]功能-行军令'!GA77*'[1]功能-行军令'!GB77</f>
        <v>320.63911865011914</v>
      </c>
    </row>
    <row r="80" spans="2:59">
      <c r="B80" s="4">
        <v>77</v>
      </c>
      <c r="C80" s="16">
        <f>'[1]资源-钻石'!L80</f>
        <v>1046912.096776562</v>
      </c>
      <c r="D80" s="16">
        <f>'[1]资源-钻石'!M80</f>
        <v>1335678.1654017968</v>
      </c>
      <c r="E80" s="16">
        <f>'[1]资源-钻石'!N80</f>
        <v>1897158.2629734648</v>
      </c>
      <c r="F80" s="16">
        <f>'[1]资源-钻石'!O80</f>
        <v>3770848.4591382518</v>
      </c>
      <c r="G80" s="16">
        <f>'[1]资源-钻石'!P80</f>
        <v>5030191.5633052476</v>
      </c>
      <c r="I80" s="4">
        <v>77</v>
      </c>
      <c r="J80" s="16">
        <f>'[1]资源-钻石'!T80</f>
        <v>475126.00910175592</v>
      </c>
      <c r="K80" s="16">
        <f>'[1]资源-钻石'!U80</f>
        <v>654518.61001193163</v>
      </c>
      <c r="L80" s="16">
        <f>'[1]资源-钻石'!V80</f>
        <v>1069452.4710131248</v>
      </c>
      <c r="M80" s="16">
        <f>'[1]资源-钻石'!W80</f>
        <v>2747967.7181144371</v>
      </c>
      <c r="N80" s="16">
        <f>'[1]资源-钻石'!X80</f>
        <v>6465381.9899258809</v>
      </c>
      <c r="P80" s="16">
        <v>77</v>
      </c>
      <c r="Q80" s="16">
        <f>'[1]功能-行军令'!N80</f>
        <v>9519.0842194910274</v>
      </c>
      <c r="R80" s="16">
        <f>'[1]功能-行军令'!O80</f>
        <v>12001.33028535274</v>
      </c>
      <c r="S80" s="16">
        <f>'[1]功能-行军令'!P80</f>
        <v>13334.39525564707</v>
      </c>
      <c r="T80" s="16">
        <f>'[1]功能-行军令'!Q80</f>
        <v>11064.341993234622</v>
      </c>
      <c r="U80" s="16">
        <f>'[1]功能-行军令'!R80</f>
        <v>6132.1733605347736</v>
      </c>
      <c r="V80" s="16">
        <f>'[1]功能-行军令'!S80</f>
        <v>640.54507587780608</v>
      </c>
      <c r="W80" s="16">
        <f>'[1]功能-行军令'!T80</f>
        <v>814.04284447520877</v>
      </c>
      <c r="X80" s="16">
        <f>'[1]功能-行军令'!U80</f>
        <v>911.33097301088492</v>
      </c>
      <c r="Y80" s="16">
        <f>'[1]功能-行军令'!V80</f>
        <v>760.43059480250304</v>
      </c>
      <c r="Z80" s="16">
        <f>'[1]功能-行军令'!W80</f>
        <v>398.72160034217632</v>
      </c>
      <c r="AC80" s="21">
        <v>77</v>
      </c>
      <c r="AD80" s="21">
        <f>'[1]功能-实力'!BF81</f>
        <v>8810046</v>
      </c>
      <c r="AE80" s="21">
        <f>'[1]功能-实力'!BG81</f>
        <v>10132434</v>
      </c>
      <c r="AF80" s="21">
        <f>'[1]功能-实力'!BH81</f>
        <v>11553960</v>
      </c>
      <c r="AG80" s="21">
        <f>'[1]功能-实力'!BI81</f>
        <v>14710278</v>
      </c>
      <c r="AH80" s="21">
        <f>'[1]功能-实力'!BJ81</f>
        <v>16425684</v>
      </c>
      <c r="AL80" s="57">
        <f>[2]基础状态预期!C90</f>
        <v>4930</v>
      </c>
      <c r="AM80" s="57">
        <f>[2]基础状态预期!D90</f>
        <v>125.03100311549058</v>
      </c>
      <c r="AO80" s="57">
        <f>[2]基础状态预期!F90</f>
        <v>0</v>
      </c>
      <c r="AP80" s="57">
        <f>[2]基础状态预期!G90</f>
        <v>0</v>
      </c>
      <c r="AQ80" s="57">
        <f>[2]基础状态预期!H90</f>
        <v>0</v>
      </c>
      <c r="AR80" s="57">
        <f>[2]基础状态预期!I90</f>
        <v>0</v>
      </c>
      <c r="AS80" s="57">
        <f>[2]基础状态预期!J90</f>
        <v>6</v>
      </c>
      <c r="AW80" s="16">
        <v>74</v>
      </c>
      <c r="AX80" s="16">
        <f>[1]节奏总纲!BJ77</f>
        <v>3.2999999999999985</v>
      </c>
      <c r="AY80" s="16">
        <f>[1]节奏总纲!BK77</f>
        <v>3.3659999999999983</v>
      </c>
      <c r="AZ80" s="16">
        <f>[1]节奏总纲!BL77</f>
        <v>3.4979999999999984</v>
      </c>
      <c r="BA80" s="16">
        <f>[1]节奏总纲!BM77</f>
        <v>3.7619999999999978</v>
      </c>
      <c r="BB80" s="16">
        <f>[1]节奏总纲!BN77</f>
        <v>4.6199999999999974</v>
      </c>
      <c r="BF80" s="21">
        <f>'[1]功能-行军令'!FZ78</f>
        <v>74</v>
      </c>
      <c r="BG80" s="21">
        <f>'[1]功能-行军令'!GA78*'[1]功能-行军令'!GB78</f>
        <v>327.0519010231215</v>
      </c>
    </row>
    <row r="81" spans="2:59">
      <c r="B81" s="4">
        <v>78</v>
      </c>
      <c r="C81" s="16">
        <f>'[1]资源-钻石'!L81</f>
        <v>1104936.6220174441</v>
      </c>
      <c r="D81" s="16">
        <f>'[1]资源-钻石'!M81</f>
        <v>1413058.9444595983</v>
      </c>
      <c r="E81" s="16">
        <f>'[1]资源-钻石'!N81</f>
        <v>2020684.1954405201</v>
      </c>
      <c r="F81" s="16">
        <f>'[1]资源-钻石'!O81</f>
        <v>4024319.6756068617</v>
      </c>
      <c r="G81" s="16">
        <f>'[1]资源-钻石'!P81</f>
        <v>5368457.4932016712</v>
      </c>
      <c r="I81" s="4">
        <v>78</v>
      </c>
      <c r="J81" s="16">
        <f>'[1]资源-钻石'!T81</f>
        <v>481053.4422538447</v>
      </c>
      <c r="K81" s="16">
        <f>'[1]资源-钻石'!U81</f>
        <v>662718.78647922922</v>
      </c>
      <c r="L81" s="16">
        <f>'[1]资源-钻石'!V81</f>
        <v>1082924.6651271521</v>
      </c>
      <c r="M81" s="16">
        <f>'[1]资源-钻石'!W81</f>
        <v>2782807.1316398671</v>
      </c>
      <c r="N81" s="16">
        <f>'[1]资源-钻石'!X81</f>
        <v>6547560.3448038539</v>
      </c>
      <c r="P81" s="16">
        <v>78</v>
      </c>
      <c r="Q81" s="16">
        <f>'[1]功能-行军令'!N81</f>
        <v>10205.603433375156</v>
      </c>
      <c r="R81" s="16">
        <f>'[1]功能-行军令'!O81</f>
        <v>12866.869831288672</v>
      </c>
      <c r="S81" s="16">
        <f>'[1]功能-行军令'!P81</f>
        <v>14308.189455308708</v>
      </c>
      <c r="T81" s="16">
        <f>'[1]功能-行军令'!Q81</f>
        <v>11862.30566202825</v>
      </c>
      <c r="U81" s="16">
        <f>'[1]功能-行军令'!R81</f>
        <v>6556.1462038834607</v>
      </c>
      <c r="V81" s="16">
        <f>'[1]功能-行军令'!S81</f>
        <v>686.51921388412848</v>
      </c>
      <c r="W81" s="16">
        <f>'[1]功能-行军令'!T81</f>
        <v>865.53954593593153</v>
      </c>
      <c r="X81" s="16">
        <f>'[1]功能-行军令'!U81</f>
        <v>973.79419966163732</v>
      </c>
      <c r="Y81" s="16">
        <f>'[1]功能-行军令'!V81</f>
        <v>797.96366879362722</v>
      </c>
      <c r="Z81" s="16">
        <f>'[1]功能-行军令'!W81</f>
        <v>423.97284334868709</v>
      </c>
      <c r="AC81" s="21">
        <v>78</v>
      </c>
      <c r="AD81" s="21">
        <f>'[1]功能-实力'!BF82</f>
        <v>9319722</v>
      </c>
      <c r="AE81" s="21">
        <f>'[1]功能-实力'!BG82</f>
        <v>10719852</v>
      </c>
      <c r="AF81" s="21">
        <f>'[1]功能-实力'!BH82</f>
        <v>12291678</v>
      </c>
      <c r="AG81" s="21">
        <f>'[1]功能-实力'!BI82</f>
        <v>15722964</v>
      </c>
      <c r="AH81" s="21">
        <f>'[1]功能-实力'!BJ82</f>
        <v>17581740</v>
      </c>
      <c r="AL81" s="57">
        <f>[2]基础状态预期!C91</f>
        <v>6307</v>
      </c>
      <c r="AM81" s="57">
        <f>[2]基础状态预期!D91</f>
        <v>128.62542789463421</v>
      </c>
      <c r="AO81" s="57">
        <f>[2]基础状态预期!F91</f>
        <v>0</v>
      </c>
      <c r="AP81" s="57">
        <f>[2]基础状态预期!G91</f>
        <v>0</v>
      </c>
      <c r="AQ81" s="57">
        <f>[2]基础状态预期!H91</f>
        <v>0</v>
      </c>
      <c r="AR81" s="57">
        <f>[2]基础状态预期!I91</f>
        <v>0</v>
      </c>
      <c r="AS81" s="57">
        <f>[2]基础状态预期!J91</f>
        <v>6</v>
      </c>
      <c r="AW81" s="16">
        <v>75</v>
      </c>
      <c r="AX81" s="16">
        <f>[1]节奏总纲!BJ78</f>
        <v>3.3333333333333317</v>
      </c>
      <c r="AY81" s="16">
        <f>[1]节奏总纲!BK78</f>
        <v>3.3999999999999986</v>
      </c>
      <c r="AZ81" s="16">
        <f>[1]节奏总纲!BL78</f>
        <v>3.5333333333333319</v>
      </c>
      <c r="BA81" s="16">
        <f>[1]节奏总纲!BM78</f>
        <v>3.7999999999999976</v>
      </c>
      <c r="BB81" s="16">
        <f>[1]节奏总纲!BN78</f>
        <v>4.6666666666666643</v>
      </c>
      <c r="BF81" s="21">
        <f>'[1]功能-行军令'!FZ79</f>
        <v>75</v>
      </c>
      <c r="BG81" s="21">
        <f>'[1]功能-行军令'!GA79*'[1]功能-行军令'!GB79</f>
        <v>333.59293904358395</v>
      </c>
    </row>
    <row r="82" spans="2:59">
      <c r="B82" s="4">
        <v>79</v>
      </c>
      <c r="C82" s="16">
        <f>'[1]资源-钻石'!L82</f>
        <v>1167125.7683468889</v>
      </c>
      <c r="D82" s="16">
        <f>'[1]资源-钻石'!M82</f>
        <v>1496667.2212345796</v>
      </c>
      <c r="E82" s="16">
        <f>'[1]资源-钻石'!N82</f>
        <v>2153461.8603539318</v>
      </c>
      <c r="F82" s="16">
        <f>'[1]资源-钻石'!O82</f>
        <v>4284310.2254597275</v>
      </c>
      <c r="G82" s="16">
        <f>'[1]资源-钻石'!P82</f>
        <v>5735809.6297819801</v>
      </c>
      <c r="I82" s="4">
        <v>79</v>
      </c>
      <c r="J82" s="16">
        <f>'[1]资源-钻石'!T82</f>
        <v>486980.87540593348</v>
      </c>
      <c r="K82" s="16">
        <f>'[1]资源-钻石'!U82</f>
        <v>670918.96294652694</v>
      </c>
      <c r="L82" s="16">
        <f>'[1]资源-钻石'!V82</f>
        <v>1096396.8592411797</v>
      </c>
      <c r="M82" s="16">
        <f>'[1]资源-钻石'!W82</f>
        <v>2817646.5451652976</v>
      </c>
      <c r="N82" s="16">
        <f>'[1]资源-钻石'!X82</f>
        <v>6629738.6996818269</v>
      </c>
      <c r="P82" s="16">
        <v>79</v>
      </c>
      <c r="Q82" s="16">
        <f>'[1]功能-行军令'!N82</f>
        <v>10941.396508337442</v>
      </c>
      <c r="R82" s="16">
        <f>'[1]功能-行军令'!O82</f>
        <v>13807.281252895182</v>
      </c>
      <c r="S82" s="16">
        <f>'[1]功能-行军令'!P82</f>
        <v>15354.918003354933</v>
      </c>
      <c r="T82" s="16">
        <f>'[1]功能-行军令'!Q82</f>
        <v>12680.793125428094</v>
      </c>
      <c r="U82" s="16">
        <f>'[1]功能-行军令'!R82</f>
        <v>7016.5748669292998</v>
      </c>
      <c r="V82" s="16">
        <f>'[1]功能-行军令'!S82</f>
        <v>735.79307496228648</v>
      </c>
      <c r="W82" s="16">
        <f>'[1]功能-行军令'!T82</f>
        <v>940.41142160650998</v>
      </c>
      <c r="X82" s="16">
        <f>'[1]功能-行军令'!U82</f>
        <v>1046.7285480462251</v>
      </c>
      <c r="Y82" s="16">
        <f>'[1]功能-行军令'!V82</f>
        <v>818.48746339984427</v>
      </c>
      <c r="Z82" s="16">
        <f>'[1]功能-行军令'!W82</f>
        <v>460.42866304583913</v>
      </c>
      <c r="AC82" s="21">
        <v>79</v>
      </c>
      <c r="AD82" s="21">
        <f>'[1]功能-实力'!BF83</f>
        <v>9837834</v>
      </c>
      <c r="AE82" s="21">
        <f>'[1]功能-实力'!BG83</f>
        <v>11369448</v>
      </c>
      <c r="AF82" s="21">
        <f>'[1]功能-实力'!BH83</f>
        <v>13054872</v>
      </c>
      <c r="AG82" s="21">
        <f>'[1]功能-实力'!BI83</f>
        <v>16761750</v>
      </c>
      <c r="AH82" s="21">
        <f>'[1]功能-实力'!BJ83</f>
        <v>18803538</v>
      </c>
      <c r="AL82" s="57">
        <f>[2]基础状态预期!C92</f>
        <v>8041</v>
      </c>
      <c r="AM82" s="57">
        <f>[2]基础状态预期!D92</f>
        <v>132.09902390525281</v>
      </c>
      <c r="AO82" s="57">
        <f>[2]基础状态预期!F92</f>
        <v>0</v>
      </c>
      <c r="AP82" s="57">
        <f>[2]基础状态预期!G92</f>
        <v>0</v>
      </c>
      <c r="AQ82" s="57">
        <f>[2]基础状态预期!H92</f>
        <v>0</v>
      </c>
      <c r="AR82" s="57">
        <f>[2]基础状态预期!I92</f>
        <v>0</v>
      </c>
      <c r="AS82" s="57">
        <f>[2]基础状态预期!J92</f>
        <v>6</v>
      </c>
      <c r="AW82" s="16">
        <v>76</v>
      </c>
      <c r="AX82" s="16">
        <f>[1]节奏总纲!BJ79</f>
        <v>3.3666666666666649</v>
      </c>
      <c r="AY82" s="16">
        <f>[1]节奏总纲!BK79</f>
        <v>3.4339999999999984</v>
      </c>
      <c r="AZ82" s="16">
        <f>[1]节奏总纲!BL79</f>
        <v>3.5686666666666649</v>
      </c>
      <c r="BA82" s="16">
        <f>[1]节奏总纲!BM79</f>
        <v>3.8379999999999979</v>
      </c>
      <c r="BB82" s="16">
        <f>[1]节奏总纲!BN79</f>
        <v>4.7133333333333303</v>
      </c>
      <c r="BF82" s="21">
        <f>'[1]功能-行军令'!FZ80</f>
        <v>76</v>
      </c>
      <c r="BG82" s="21">
        <f>'[1]功能-行军令'!GA80*'[1]功能-行军令'!GB80</f>
        <v>340.26479782445563</v>
      </c>
    </row>
    <row r="83" spans="2:59">
      <c r="B83" s="4">
        <v>80</v>
      </c>
      <c r="C83" s="16">
        <f>'[1]资源-钻石'!L83</f>
        <v>1233778.4450405743</v>
      </c>
      <c r="D83" s="16">
        <f>'[1]资源-钻石'!M83</f>
        <v>1586054.5988333216</v>
      </c>
      <c r="E83" s="16">
        <f>'[1]资源-钻石'!N83</f>
        <v>2287191.1277600061</v>
      </c>
      <c r="F83" s="16">
        <f>'[1]资源-钻石'!O83</f>
        <v>4561282.0271056285</v>
      </c>
      <c r="G83" s="16">
        <f>'[1]资源-钻石'!P83</f>
        <v>6118342.7972761998</v>
      </c>
      <c r="I83" s="4">
        <v>80</v>
      </c>
      <c r="J83" s="16">
        <f>'[1]资源-钻石'!T83</f>
        <v>492908.30855802225</v>
      </c>
      <c r="K83" s="16">
        <f>'[1]资源-钻石'!U83</f>
        <v>679119.13941382454</v>
      </c>
      <c r="L83" s="16">
        <f>'[1]资源-钻石'!V83</f>
        <v>1109869.053355207</v>
      </c>
      <c r="M83" s="16">
        <f>'[1]资源-钻石'!W83</f>
        <v>2852485.9586907276</v>
      </c>
      <c r="N83" s="16">
        <f>'[1]资源-钻石'!X83</f>
        <v>6711917.0545597998</v>
      </c>
      <c r="P83" s="16">
        <v>80</v>
      </c>
      <c r="Q83" s="16">
        <f>'[1]功能-行军令'!N83</f>
        <v>11730</v>
      </c>
      <c r="R83" s="16">
        <f>'[1]功能-行军令'!O83</f>
        <v>14812.695</v>
      </c>
      <c r="S83" s="16">
        <f>'[1]功能-行军令'!P83</f>
        <v>16410.576000000001</v>
      </c>
      <c r="T83" s="16">
        <f>'[1]功能-行军令'!Q83</f>
        <v>13552.740000000002</v>
      </c>
      <c r="U83" s="16">
        <f>'[1]功能-行军令'!R83</f>
        <v>7496.0309999999999</v>
      </c>
      <c r="V83" s="16">
        <f>'[1]功能-行军令'!S83</f>
        <v>788.60349166255764</v>
      </c>
      <c r="W83" s="16">
        <f>'[1]功能-行军令'!T83</f>
        <v>1005.413747104818</v>
      </c>
      <c r="X83" s="16">
        <f>'[1]功能-行军令'!U83</f>
        <v>1055.6579966450681</v>
      </c>
      <c r="Y83" s="16">
        <f>'[1]功能-行军令'!V83</f>
        <v>871.94687457190776</v>
      </c>
      <c r="Z83" s="16">
        <f>'[1]功能-行军令'!W83</f>
        <v>479.45613307070016</v>
      </c>
      <c r="AC83" s="21">
        <v>80</v>
      </c>
      <c r="AD83" s="21">
        <f>'[1]功能-实力'!BF84</f>
        <v>10377846</v>
      </c>
      <c r="AE83" s="21">
        <f>'[1]功能-实力'!BG84</f>
        <v>12075708</v>
      </c>
      <c r="AF83" s="21">
        <f>'[1]功能-实力'!BH84</f>
        <v>13840038</v>
      </c>
      <c r="AG83" s="21">
        <f>'[1]功能-实力'!BI84</f>
        <v>17822838</v>
      </c>
      <c r="AH83" s="21">
        <f>'[1]功能-实力'!BJ84</f>
        <v>20116668</v>
      </c>
      <c r="AL83" s="57">
        <f>[2]基础状态预期!C93</f>
        <v>10234</v>
      </c>
      <c r="AM83" s="57">
        <f>[2]基础状态预期!D93</f>
        <v>135.61521761503846</v>
      </c>
      <c r="AO83" s="57">
        <f>[2]基础状态预期!F93</f>
        <v>0</v>
      </c>
      <c r="AP83" s="57">
        <f>[2]基础状态预期!G93</f>
        <v>0</v>
      </c>
      <c r="AQ83" s="57">
        <f>[2]基础状态预期!H93</f>
        <v>0</v>
      </c>
      <c r="AR83" s="57">
        <f>[2]基础状态预期!I93</f>
        <v>0</v>
      </c>
      <c r="AS83" s="57">
        <f>[2]基础状态预期!J93</f>
        <v>6</v>
      </c>
      <c r="AW83" s="16">
        <v>77</v>
      </c>
      <c r="AX83" s="16">
        <f>[1]节奏总纲!BJ80</f>
        <v>3.3999999999999981</v>
      </c>
      <c r="AY83" s="16">
        <f>[1]节奏总纲!BK80</f>
        <v>3.4679999999999982</v>
      </c>
      <c r="AZ83" s="16">
        <f>[1]节奏总纲!BL80</f>
        <v>3.6039999999999983</v>
      </c>
      <c r="BA83" s="16">
        <f>[1]节奏总纲!BM80</f>
        <v>3.8759999999999977</v>
      </c>
      <c r="BB83" s="16">
        <f>[1]节奏总纲!BN80</f>
        <v>4.7599999999999971</v>
      </c>
      <c r="BF83" s="21">
        <f>'[1]功能-行军令'!FZ81</f>
        <v>77</v>
      </c>
      <c r="BG83" s="21">
        <f>'[1]功能-行军令'!GA81*'[1]功能-行军令'!GB81</f>
        <v>347.07009378094472</v>
      </c>
    </row>
    <row r="84" spans="2:59">
      <c r="B84" s="4">
        <v>81</v>
      </c>
      <c r="C84" s="16">
        <f>'[1]资源-钻石'!L84</f>
        <v>1305215.0151278772</v>
      </c>
      <c r="D84" s="16">
        <f>'[1]资源-钻石'!M84</f>
        <v>1677038.3177689395</v>
      </c>
      <c r="E84" s="16">
        <f>'[1]资源-钻石'!N84</f>
        <v>2422963.1258291933</v>
      </c>
      <c r="F84" s="16">
        <f>'[1]资源-钻石'!O84</f>
        <v>4861639.5326732919</v>
      </c>
      <c r="G84" s="16">
        <f>'[1]资源-钻石'!P84</f>
        <v>6535802.0213373909</v>
      </c>
      <c r="I84" s="4">
        <v>81</v>
      </c>
      <c r="J84" s="16">
        <f>'[1]资源-钻石'!T84</f>
        <v>498835.74171011103</v>
      </c>
      <c r="K84" s="16">
        <f>'[1]资源-钻石'!U84</f>
        <v>687319.31588112214</v>
      </c>
      <c r="L84" s="16">
        <f>'[1]资源-钻石'!V84</f>
        <v>1123341.2474692345</v>
      </c>
      <c r="M84" s="16">
        <f>'[1]资源-钻石'!W84</f>
        <v>2887325.3722161576</v>
      </c>
      <c r="N84" s="16">
        <f>'[1]资源-钻石'!X84</f>
        <v>6794095.4094377728</v>
      </c>
      <c r="P84" s="16">
        <v>81</v>
      </c>
      <c r="Q84" s="16">
        <f>'[1]功能-行军令'!N84</f>
        <v>12575.204294827385</v>
      </c>
      <c r="R84" s="16">
        <f>'[1]功能-行军令'!O84</f>
        <v>15836.064118078692</v>
      </c>
      <c r="S84" s="16">
        <f>'[1]功能-行军令'!P84</f>
        <v>17533.333974271412</v>
      </c>
      <c r="T84" s="16">
        <f>'[1]功能-行军令'!Q84</f>
        <v>14498.308417714825</v>
      </c>
      <c r="U84" s="16">
        <f>'[1]功能-行军令'!R84</f>
        <v>8019.2624536127059</v>
      </c>
      <c r="V84" s="16">
        <f>'[1]功能-行军令'!S84</f>
        <v>845.20429482738473</v>
      </c>
      <c r="W84" s="16">
        <f>'[1]功能-行军令'!T84</f>
        <v>1023.3691180786918</v>
      </c>
      <c r="X84" s="16">
        <f>'[1]功能-行军令'!U84</f>
        <v>1122.7579742714115</v>
      </c>
      <c r="Y84" s="16">
        <f>'[1]功能-行军令'!V84</f>
        <v>945.56841771482323</v>
      </c>
      <c r="Z84" s="16">
        <f>'[1]功能-行军令'!W84</f>
        <v>523.23145361270599</v>
      </c>
      <c r="AC84" s="21">
        <v>81</v>
      </c>
      <c r="AD84" s="21">
        <f>'[1]功能-实力'!BF85</f>
        <v>10921032</v>
      </c>
      <c r="AE84" s="21">
        <f>'[1]功能-实力'!BG85</f>
        <v>12914160</v>
      </c>
      <c r="AF84" s="21">
        <f>'[1]功能-实力'!BH85</f>
        <v>14675118</v>
      </c>
      <c r="AG84" s="21">
        <f>'[1]功能-实力'!BI85</f>
        <v>19204578</v>
      </c>
      <c r="AH84" s="21">
        <f>'[1]功能-实力'!BJ85</f>
        <v>21716766</v>
      </c>
      <c r="AL84" s="57">
        <f>[2]基础状态预期!C94</f>
        <v>13039</v>
      </c>
      <c r="AM84" s="57">
        <f>[2]基础状态预期!D94</f>
        <v>139.08794136138388</v>
      </c>
      <c r="AO84" s="57">
        <f>[2]基础状态预期!F94</f>
        <v>0</v>
      </c>
      <c r="AP84" s="57">
        <f>[2]基础状态预期!G94</f>
        <v>0</v>
      </c>
      <c r="AQ84" s="57">
        <f>[2]基础状态预期!H94</f>
        <v>0</v>
      </c>
      <c r="AR84" s="57">
        <f>[2]基础状态预期!I94</f>
        <v>0</v>
      </c>
      <c r="AS84" s="57">
        <f>[2]基础状态预期!J94</f>
        <v>6</v>
      </c>
      <c r="AW84" s="16">
        <v>78</v>
      </c>
      <c r="AX84" s="16">
        <f>[1]节奏总纲!BJ81</f>
        <v>3.4333333333333313</v>
      </c>
      <c r="AY84" s="16">
        <f>[1]节奏总纲!BK81</f>
        <v>3.501999999999998</v>
      </c>
      <c r="AZ84" s="16">
        <f>[1]节奏总纲!BL81</f>
        <v>3.6393333333333313</v>
      </c>
      <c r="BA84" s="16">
        <f>[1]节奏总纲!BM81</f>
        <v>3.9139999999999975</v>
      </c>
      <c r="BB84" s="16">
        <f>[1]节奏总纲!BN81</f>
        <v>4.806666666666664</v>
      </c>
      <c r="BF84" s="21">
        <f>'[1]功能-行军令'!FZ82</f>
        <v>78</v>
      </c>
      <c r="BG84" s="21">
        <f>'[1]功能-行军令'!GA82*'[1]功能-行军令'!GB82</f>
        <v>354.01149565656362</v>
      </c>
    </row>
    <row r="85" spans="2:59">
      <c r="B85" s="4">
        <v>82</v>
      </c>
      <c r="C85" s="16">
        <f>'[1]资源-钻石'!L85</f>
        <v>1381778.8352020616</v>
      </c>
      <c r="D85" s="16">
        <f>'[1]资源-钻石'!M85</f>
        <v>1777062.8377403398</v>
      </c>
      <c r="E85" s="16">
        <f>'[1]资源-钻石'!N85</f>
        <v>2573762.9897704134</v>
      </c>
      <c r="F85" s="16">
        <f>'[1]资源-钻石'!O85</f>
        <v>5190514.1974744778</v>
      </c>
      <c r="G85" s="16">
        <f>'[1]资源-钻石'!P85</f>
        <v>6977432.4595038407</v>
      </c>
      <c r="I85" s="4">
        <v>82</v>
      </c>
      <c r="J85" s="16">
        <f>'[1]资源-钻石'!T85</f>
        <v>504763.17486219981</v>
      </c>
      <c r="K85" s="16">
        <f>'[1]资源-钻石'!U85</f>
        <v>695519.49234841985</v>
      </c>
      <c r="L85" s="16">
        <f>'[1]资源-钻石'!V85</f>
        <v>1136813.4415832618</v>
      </c>
      <c r="M85" s="16">
        <f>'[1]资源-钻石'!W85</f>
        <v>2922164.7857415881</v>
      </c>
      <c r="N85" s="16">
        <f>'[1]资源-钻石'!X85</f>
        <v>6876273.7643157458</v>
      </c>
      <c r="P85" s="16">
        <v>82</v>
      </c>
      <c r="Q85" s="16">
        <f>'[1]功能-行军令'!N85</f>
        <v>13481.07182844507</v>
      </c>
      <c r="R85" s="16">
        <f>'[1]功能-行军令'!O85</f>
        <v>16961.1226009245</v>
      </c>
      <c r="S85" s="16">
        <f>'[1]功能-行军令'!P85</f>
        <v>18780.363937495276</v>
      </c>
      <c r="T85" s="16">
        <f>'[1]功能-行军令'!Q85</f>
        <v>15533.652934359494</v>
      </c>
      <c r="U85" s="16">
        <f>'[1]功能-行军令'!R85</f>
        <v>8572.7894157755472</v>
      </c>
      <c r="V85" s="16">
        <f>'[1]功能-行军令'!S85</f>
        <v>905.86753361768569</v>
      </c>
      <c r="W85" s="16">
        <f>'[1]功能-行军令'!T85</f>
        <v>1125.0584828458086</v>
      </c>
      <c r="X85" s="16">
        <f>'[1]功能-行军令'!U85</f>
        <v>1247.0299632238639</v>
      </c>
      <c r="Y85" s="16">
        <f>'[1]功能-行军令'!V85</f>
        <v>1035.3445166446691</v>
      </c>
      <c r="Z85" s="16">
        <f>'[1]功能-行军令'!W85</f>
        <v>553.5269621628413</v>
      </c>
      <c r="AC85" s="21">
        <v>82</v>
      </c>
      <c r="AD85" s="21">
        <f>'[1]功能-实力'!BF86</f>
        <v>11539548</v>
      </c>
      <c r="AE85" s="21">
        <f>'[1]功能-实力'!BG86</f>
        <v>13732176</v>
      </c>
      <c r="AF85" s="21">
        <f>'[1]功能-实力'!BH86</f>
        <v>15548166</v>
      </c>
      <c r="AG85" s="21">
        <f>'[1]功能-实力'!BI86</f>
        <v>20661156</v>
      </c>
      <c r="AH85" s="21">
        <f>'[1]功能-实力'!BJ86</f>
        <v>23367870</v>
      </c>
      <c r="AL85" s="57">
        <f>[2]基础状态预期!C95</f>
        <v>16609</v>
      </c>
      <c r="AM85" s="57">
        <f>[2]基础状态预期!D95</f>
        <v>142.60670974426387</v>
      </c>
      <c r="AO85" s="57">
        <f>[2]基础状态预期!F95</f>
        <v>0</v>
      </c>
      <c r="AP85" s="57">
        <f>[2]基础状态预期!G95</f>
        <v>0</v>
      </c>
      <c r="AQ85" s="57">
        <f>[2]基础状态预期!H95</f>
        <v>0</v>
      </c>
      <c r="AR85" s="57">
        <f>[2]基础状态预期!I95</f>
        <v>0</v>
      </c>
      <c r="AS85" s="57">
        <f>[2]基础状态预期!J95</f>
        <v>6</v>
      </c>
      <c r="AW85" s="16">
        <v>79</v>
      </c>
      <c r="AX85" s="16">
        <f>[1]节奏总纲!BJ82</f>
        <v>3.4666666666666646</v>
      </c>
      <c r="AY85" s="16">
        <f>[1]节奏总纲!BK82</f>
        <v>3.5359999999999978</v>
      </c>
      <c r="AZ85" s="16">
        <f>[1]节奏总纲!BL82</f>
        <v>3.6746666666666647</v>
      </c>
      <c r="BA85" s="16">
        <f>[1]节奏总纲!BM82</f>
        <v>3.9519999999999973</v>
      </c>
      <c r="BB85" s="16">
        <f>[1]节奏总纲!BN82</f>
        <v>4.8533333333333299</v>
      </c>
      <c r="BF85" s="21">
        <f>'[1]功能-行军令'!FZ83</f>
        <v>79</v>
      </c>
      <c r="BG85" s="21">
        <f>'[1]功能-行军令'!GA83*'[1]功能-行军令'!GB83</f>
        <v>361.09172556969492</v>
      </c>
    </row>
    <row r="86" spans="2:59">
      <c r="B86" s="4">
        <v>83</v>
      </c>
      <c r="C86" s="16">
        <f>'[1]资源-钻石'!L86</f>
        <v>1463837.9057479792</v>
      </c>
      <c r="D86" s="16">
        <f>'[1]资源-钻石'!M86</f>
        <v>1886598.4100187661</v>
      </c>
      <c r="E86" s="16">
        <f>'[1]资源-钻石'!N86</f>
        <v>2740778.0963098295</v>
      </c>
      <c r="F86" s="16">
        <f>'[1]资源-钻石'!O86</f>
        <v>5542785.4674281906</v>
      </c>
      <c r="G86" s="16">
        <f>'[1]资源-钻石'!P86</f>
        <v>7467440.6996243615</v>
      </c>
      <c r="I86" s="4">
        <v>83</v>
      </c>
      <c r="J86" s="16">
        <f>'[1]资源-钻石'!T86</f>
        <v>510690.60801428859</v>
      </c>
      <c r="K86" s="16">
        <f>'[1]资源-钻石'!U86</f>
        <v>703719.66881571745</v>
      </c>
      <c r="L86" s="16">
        <f>'[1]资源-钻石'!V86</f>
        <v>1150285.6356972894</v>
      </c>
      <c r="M86" s="16">
        <f>'[1]资源-钻石'!W86</f>
        <v>2957004.1992670181</v>
      </c>
      <c r="N86" s="16">
        <f>'[1]资源-钻石'!X86</f>
        <v>6958452.1191937188</v>
      </c>
      <c r="P86" s="16">
        <v>83</v>
      </c>
      <c r="Q86" s="16">
        <f>'[1]功能-行军令'!N86</f>
        <v>14451.956611549746</v>
      </c>
      <c r="R86" s="16">
        <f>'[1]功能-行军令'!O86</f>
        <v>18193.159753419211</v>
      </c>
      <c r="S86" s="16">
        <f>'[1]功能-行军令'!P86</f>
        <v>20161.484826615306</v>
      </c>
      <c r="T86" s="16">
        <f>'[1]功能-行军令'!Q86</f>
        <v>16642.653312781815</v>
      </c>
      <c r="U86" s="16">
        <f>'[1]功能-行军令'!R86</f>
        <v>9186.9517314772656</v>
      </c>
      <c r="V86" s="16">
        <f>'[1]功能-行军令'!S86</f>
        <v>970.88478310467508</v>
      </c>
      <c r="W86" s="16">
        <f>'[1]功能-行军令'!T86</f>
        <v>1232.0371524947113</v>
      </c>
      <c r="X86" s="16">
        <f>'[1]功能-行军令'!U86</f>
        <v>1381.1208891200295</v>
      </c>
      <c r="Y86" s="16">
        <f>'[1]功能-行军令'!V86</f>
        <v>1109.0003784223209</v>
      </c>
      <c r="Z86" s="16">
        <f>'[1]功能-行军令'!W86</f>
        <v>614.1623157017184</v>
      </c>
      <c r="AC86" s="21">
        <v>83</v>
      </c>
      <c r="AD86" s="21">
        <f>'[1]功能-实力'!BF87</f>
        <v>12166800</v>
      </c>
      <c r="AE86" s="21">
        <f>'[1]功能-实力'!BG87</f>
        <v>14536902</v>
      </c>
      <c r="AF86" s="21">
        <f>'[1]功能-实力'!BH87</f>
        <v>16499406</v>
      </c>
      <c r="AG86" s="21">
        <f>'[1]功能-实力'!BI87</f>
        <v>22101444</v>
      </c>
      <c r="AH86" s="21">
        <f>'[1]功能-实力'!BJ87</f>
        <v>24853368</v>
      </c>
      <c r="AL86" s="57">
        <f>[2]基础状态预期!C96</f>
        <v>21148</v>
      </c>
      <c r="AM86" s="57">
        <f>[2]基础状态预期!D96</f>
        <v>146.07830147206653</v>
      </c>
      <c r="AO86" s="57">
        <f>[2]基础状态预期!F96</f>
        <v>0</v>
      </c>
      <c r="AP86" s="57">
        <f>[2]基础状态预期!G96</f>
        <v>0</v>
      </c>
      <c r="AQ86" s="57">
        <f>[2]基础状态预期!H96</f>
        <v>0</v>
      </c>
      <c r="AR86" s="57">
        <f>[2]基础状态预期!I96</f>
        <v>0</v>
      </c>
      <c r="AS86" s="57">
        <f>[2]基础状态预期!J96</f>
        <v>6</v>
      </c>
      <c r="AW86" s="67">
        <v>80</v>
      </c>
      <c r="AX86" s="16">
        <f>[1]节奏总纲!BJ83</f>
        <v>3.4999999999999978</v>
      </c>
      <c r="AY86" s="16">
        <f>[1]节奏总纲!BK83</f>
        <v>3.5699999999999976</v>
      </c>
      <c r="AZ86" s="16">
        <f>[1]节奏总纲!BL83</f>
        <v>3.7099999999999977</v>
      </c>
      <c r="BA86" s="16">
        <f>[1]节奏总纲!BM83</f>
        <v>3.9899999999999971</v>
      </c>
      <c r="BB86" s="16">
        <f>[1]节奏总纲!BN83</f>
        <v>4.8999999999999968</v>
      </c>
      <c r="BF86" s="21">
        <f>'[1]功能-行军令'!FZ84</f>
        <v>80</v>
      </c>
      <c r="BG86" s="21">
        <f>'[1]功能-行军令'!GA84*'[1]功能-行军令'!GB84</f>
        <v>368.31356008108878</v>
      </c>
    </row>
    <row r="87" spans="2:59">
      <c r="B87" s="4">
        <v>84</v>
      </c>
      <c r="C87" s="16">
        <f>'[1]资源-钻石'!L87</f>
        <v>1551786.6399194838</v>
      </c>
      <c r="D87" s="16">
        <f>'[1]资源-钻石'!M87</f>
        <v>2004063.3168475013</v>
      </c>
      <c r="E87" s="16">
        <f>'[1]资源-钻石'!N87</f>
        <v>2913729.6215637578</v>
      </c>
      <c r="F87" s="16">
        <f>'[1]资源-钻石'!O87</f>
        <v>5915710.0787900444</v>
      </c>
      <c r="G87" s="16">
        <f>'[1]资源-钻石'!P87</f>
        <v>7984782.1827939106</v>
      </c>
      <c r="I87" s="4">
        <v>84</v>
      </c>
      <c r="J87" s="16">
        <f>'[1]资源-钻石'!T87</f>
        <v>516618.04116637737</v>
      </c>
      <c r="K87" s="16">
        <f>'[1]资源-钻石'!U87</f>
        <v>711919.84528301517</v>
      </c>
      <c r="L87" s="16">
        <f>'[1]资源-钻石'!V87</f>
        <v>1163754.342828128</v>
      </c>
      <c r="M87" s="16">
        <f>'[1]资源-钻石'!W87</f>
        <v>2991843.6127924481</v>
      </c>
      <c r="N87" s="16">
        <f>'[1]资源-钻石'!X87</f>
        <v>7040630.4740716927</v>
      </c>
      <c r="P87" s="16">
        <v>84</v>
      </c>
      <c r="Q87" s="16">
        <f>'[1]功能-行军令'!N87</f>
        <v>15492.5251572616</v>
      </c>
      <c r="R87" s="16">
        <f>'[1]功能-行军令'!O87</f>
        <v>19514.384688086713</v>
      </c>
      <c r="S87" s="16">
        <f>'[1]功能-行军令'!P87</f>
        <v>21591.696555857881</v>
      </c>
      <c r="T87" s="16">
        <f>'[1]功能-行军令'!Q87</f>
        <v>17816.673366070961</v>
      </c>
      <c r="U87" s="16">
        <f>'[1]功能-行军令'!R87</f>
        <v>9851.8988239177452</v>
      </c>
      <c r="V87" s="16">
        <f>'[1]功能-行军令'!S87</f>
        <v>1040.5685457118543</v>
      </c>
      <c r="W87" s="16">
        <f>'[1]功能-行军令'!T87</f>
        <v>1321.2249346675017</v>
      </c>
      <c r="X87" s="16">
        <f>'[1]功能-行军令'!U87</f>
        <v>1430.2117292425755</v>
      </c>
      <c r="Y87" s="16">
        <f>'[1]功能-行军令'!V87</f>
        <v>1174.0200532891467</v>
      </c>
      <c r="Z87" s="16">
        <f>'[1]功能-行军令'!W87</f>
        <v>664.94709244047954</v>
      </c>
      <c r="AC87" s="21">
        <v>84</v>
      </c>
      <c r="AD87" s="21">
        <f>'[1]功能-实力'!BF88</f>
        <v>12808284</v>
      </c>
      <c r="AE87" s="21">
        <f>'[1]功能-实力'!BG88</f>
        <v>15375210</v>
      </c>
      <c r="AF87" s="21">
        <f>'[1]功能-实力'!BH88</f>
        <v>17502642</v>
      </c>
      <c r="AG87" s="21">
        <f>'[1]功能-实力'!BI88</f>
        <v>23575740</v>
      </c>
      <c r="AH87" s="21">
        <f>'[1]功能-实力'!BJ88</f>
        <v>26399580</v>
      </c>
      <c r="AL87" s="57">
        <f>[2]基础状态预期!C97</f>
        <v>26962</v>
      </c>
      <c r="AM87" s="57">
        <f>[2]基础状态预期!D97</f>
        <v>149.61701338734093</v>
      </c>
      <c r="AO87" s="57">
        <f>[2]基础状态预期!F97</f>
        <v>0</v>
      </c>
      <c r="AP87" s="57">
        <f>[2]基础状态预期!G97</f>
        <v>0</v>
      </c>
      <c r="AQ87" s="57">
        <f>[2]基础状态预期!H97</f>
        <v>0</v>
      </c>
      <c r="AR87" s="57">
        <f>[2]基础状态预期!I97</f>
        <v>0</v>
      </c>
      <c r="AS87" s="57">
        <f>[2]基础状态预期!J97</f>
        <v>6</v>
      </c>
      <c r="AW87" s="16">
        <v>81</v>
      </c>
      <c r="AX87" s="16">
        <f>[1]节奏总纲!BJ84</f>
        <v>3.4999999999999978</v>
      </c>
      <c r="AY87" s="16">
        <f>[1]节奏总纲!BK84</f>
        <v>3.5699999999999976</v>
      </c>
      <c r="AZ87" s="16">
        <f>[1]节奏总纲!BL84</f>
        <v>3.7099999999999977</v>
      </c>
      <c r="BA87" s="16">
        <f>[1]节奏总纲!BM84</f>
        <v>3.9899999999999971</v>
      </c>
      <c r="BB87" s="16">
        <f>[1]节奏总纲!BN84</f>
        <v>4.8999999999999968</v>
      </c>
      <c r="BF87" s="21">
        <f>'[1]功能-行军令'!FZ85</f>
        <v>81</v>
      </c>
      <c r="BG87" s="21">
        <f>'[1]功能-行军令'!GA85*'[1]功能-行军令'!GB85</f>
        <v>375.67983128271061</v>
      </c>
    </row>
    <row r="88" spans="2:59">
      <c r="B88" s="4">
        <v>85</v>
      </c>
      <c r="C88" s="16">
        <f>'[1]资源-钻石'!L88</f>
        <v>1645681.2115073304</v>
      </c>
      <c r="D88" s="16">
        <f>'[1]资源-钻石'!M88</f>
        <v>2125945.3671908407</v>
      </c>
      <c r="E88" s="16">
        <f>'[1]资源-钻石'!N88</f>
        <v>3096920.662903918</v>
      </c>
      <c r="F88" s="16">
        <f>'[1]资源-钻石'!O88</f>
        <v>6324532.800104253</v>
      </c>
      <c r="G88" s="16">
        <f>'[1]资源-钻石'!P88</f>
        <v>8534549.653670514</v>
      </c>
      <c r="I88" s="4">
        <v>85</v>
      </c>
      <c r="J88" s="16">
        <f>'[1]资源-钻石'!T88</f>
        <v>522545.47431846615</v>
      </c>
      <c r="K88" s="16">
        <f>'[1]资源-钻石'!U88</f>
        <v>720120.02175031276</v>
      </c>
      <c r="L88" s="16">
        <f>'[1]资源-钻石'!V88</f>
        <v>1177193.4683203346</v>
      </c>
      <c r="M88" s="16">
        <f>'[1]资源-钻石'!W88</f>
        <v>3026683.0263178786</v>
      </c>
      <c r="N88" s="16">
        <f>'[1]资源-钻石'!X88</f>
        <v>7122808.8289496657</v>
      </c>
      <c r="P88" s="16">
        <v>85</v>
      </c>
      <c r="Q88" s="16">
        <f>'[1]功能-行军令'!N88</f>
        <v>16607.778910505567</v>
      </c>
      <c r="R88" s="16">
        <f>'[1]功能-行军令'!O88</f>
        <v>20885.292888242257</v>
      </c>
      <c r="S88" s="16">
        <f>'[1]功能-行军令'!P88</f>
        <v>23106.583317522378</v>
      </c>
      <c r="T88" s="16">
        <f>'[1]功能-行军令'!Q88</f>
        <v>19114.109371304035</v>
      </c>
      <c r="U88" s="16">
        <f>'[1]功能-行军令'!R88</f>
        <v>10561.103232393669</v>
      </c>
      <c r="V88" s="16">
        <f>'[1]功能-行军令'!S88</f>
        <v>1115.2537532439674</v>
      </c>
      <c r="W88" s="16">
        <f>'[1]功能-行军令'!T88</f>
        <v>1370.9082001555435</v>
      </c>
      <c r="X88" s="16">
        <f>'[1]功能-行军令'!U88</f>
        <v>1514.8867616644966</v>
      </c>
      <c r="Y88" s="16">
        <f>'[1]功能-行军令'!V88</f>
        <v>1297.436005233074</v>
      </c>
      <c r="Z88" s="16">
        <f>'[1]功能-行军令'!W88</f>
        <v>709.20440847592363</v>
      </c>
      <c r="AC88" s="21">
        <v>85</v>
      </c>
      <c r="AD88" s="21">
        <f>'[1]功能-实力'!BF89</f>
        <v>13486830</v>
      </c>
      <c r="AE88" s="21">
        <f>'[1]功能-实力'!BG89</f>
        <v>16266216</v>
      </c>
      <c r="AF88" s="21">
        <f>'[1]功能-实力'!BH89</f>
        <v>18574098</v>
      </c>
      <c r="AG88" s="21">
        <f>'[1]功能-实力'!BI89</f>
        <v>24980514</v>
      </c>
      <c r="AH88" s="21">
        <f>'[1]功能-实力'!BJ89</f>
        <v>27979920</v>
      </c>
      <c r="AL88" s="57">
        <f>[2]基础状态预期!C98</f>
        <v>34357</v>
      </c>
      <c r="AM88" s="57">
        <f>[2]基础状态预期!D98</f>
        <v>153.01012120353457</v>
      </c>
      <c r="AO88" s="57">
        <f>[2]基础状态预期!F98</f>
        <v>0</v>
      </c>
      <c r="AP88" s="57">
        <f>[2]基础状态预期!G98</f>
        <v>0</v>
      </c>
      <c r="AQ88" s="57">
        <f>[2]基础状态预期!H98</f>
        <v>0</v>
      </c>
      <c r="AR88" s="57">
        <f>[2]基础状态预期!I98</f>
        <v>0</v>
      </c>
      <c r="AS88" s="57">
        <f>[2]基础状态预期!J98</f>
        <v>6</v>
      </c>
      <c r="AW88" s="16">
        <v>82</v>
      </c>
      <c r="AX88" s="16">
        <f>[1]节奏总纲!BJ85</f>
        <v>3.4999999999999978</v>
      </c>
      <c r="AY88" s="16">
        <f>[1]节奏总纲!BK85</f>
        <v>3.5699999999999976</v>
      </c>
      <c r="AZ88" s="16">
        <f>[1]节奏总纲!BL85</f>
        <v>3.7099999999999977</v>
      </c>
      <c r="BA88" s="16">
        <f>[1]节奏总纲!BM85</f>
        <v>3.9899999999999971</v>
      </c>
      <c r="BB88" s="16">
        <f>[1]节奏总纲!BN85</f>
        <v>4.8999999999999968</v>
      </c>
      <c r="BF88" s="21">
        <f>'[1]功能-行军令'!FZ86</f>
        <v>82</v>
      </c>
      <c r="BG88" s="21">
        <f>'[1]功能-行军令'!GA86*'[1]功能-行军令'!GB86</f>
        <v>383.19342790836481</v>
      </c>
    </row>
    <row r="89" spans="2:59">
      <c r="B89" s="4">
        <v>86</v>
      </c>
      <c r="C89" s="16">
        <f>'[1]资源-钻石'!L89</f>
        <v>1737537.7421784848</v>
      </c>
      <c r="D89" s="16">
        <f>'[1]资源-钻石'!M89</f>
        <v>2258663.4036026709</v>
      </c>
      <c r="E89" s="16">
        <f>'[1]资源-钻石'!N89</f>
        <v>3298452.5136889042</v>
      </c>
      <c r="F89" s="16">
        <f>'[1]资源-钻石'!O89</f>
        <v>6768516.992928803</v>
      </c>
      <c r="G89" s="16">
        <f>'[1]资源-钻石'!P89</f>
        <v>9046521.636546459</v>
      </c>
      <c r="I89" s="4">
        <v>86</v>
      </c>
      <c r="J89" s="16">
        <f>'[1]资源-钻石'!T89</f>
        <v>528472.90747055493</v>
      </c>
      <c r="K89" s="16">
        <f>'[1]资源-钻石'!U89</f>
        <v>728320.19821761036</v>
      </c>
      <c r="L89" s="16">
        <f>'[1]资源-钻石'!V89</f>
        <v>1190632.5938125413</v>
      </c>
      <c r="M89" s="16">
        <f>'[1]资源-钻石'!W89</f>
        <v>3061522.4398433086</v>
      </c>
      <c r="N89" s="16">
        <f>'[1]资源-钻石'!X89</f>
        <v>7204987.1838276386</v>
      </c>
      <c r="P89" s="16">
        <v>86</v>
      </c>
      <c r="Q89" s="16">
        <f>'[1]功能-行军令'!N89</f>
        <v>17803.078287226446</v>
      </c>
      <c r="R89" s="16">
        <f>'[1]功能-行军令'!O89</f>
        <v>22378.082383602617</v>
      </c>
      <c r="S89" s="16">
        <f>'[1]功能-行军令'!P89</f>
        <v>24773.138246052011</v>
      </c>
      <c r="T89" s="16">
        <f>'[1]功能-行军令'!Q89</f>
        <v>20537.631112144427</v>
      </c>
      <c r="U89" s="16">
        <f>'[1]功能-行军令'!R89</f>
        <v>11221.551160847546</v>
      </c>
      <c r="V89" s="16">
        <f>'[1]功能-行军令'!S89</f>
        <v>1195.2993767208791</v>
      </c>
      <c r="W89" s="16">
        <f>'[1]功能-行军令'!T89</f>
        <v>1492.7894953603609</v>
      </c>
      <c r="X89" s="16">
        <f>'[1]功能-行军令'!U89</f>
        <v>1666.5549285296329</v>
      </c>
      <c r="Y89" s="16">
        <f>'[1]功能-行军令'!V89</f>
        <v>1423.5217408403914</v>
      </c>
      <c r="Z89" s="16">
        <f>'[1]功能-行军令'!W89</f>
        <v>660.44792845387747</v>
      </c>
      <c r="AC89" s="21">
        <v>86</v>
      </c>
      <c r="AD89" s="21">
        <f>'[1]功能-实力'!BF90</f>
        <v>14263044</v>
      </c>
      <c r="AE89" s="21">
        <f>'[1]功能-实力'!BG90</f>
        <v>17245998</v>
      </c>
      <c r="AF89" s="21">
        <f>'[1]功能-实力'!BH90</f>
        <v>19704816</v>
      </c>
      <c r="AG89" s="21">
        <f>'[1]功能-实力'!BI90</f>
        <v>26446188</v>
      </c>
      <c r="AH89" s="21">
        <f>'[1]功能-实力'!BJ90</f>
        <v>29414394</v>
      </c>
      <c r="AL89" s="57">
        <f>[2]基础状态预期!C99</f>
        <v>43792</v>
      </c>
      <c r="AM89" s="57">
        <f>[2]基础状态预期!D99</f>
        <v>154.95970315183646</v>
      </c>
      <c r="AO89" s="57">
        <f>[2]基础状态预期!F99</f>
        <v>0</v>
      </c>
      <c r="AP89" s="57">
        <f>[2]基础状态预期!G99</f>
        <v>0</v>
      </c>
      <c r="AQ89" s="57">
        <f>[2]基础状态预期!H99</f>
        <v>0</v>
      </c>
      <c r="AR89" s="57">
        <f>[2]基础状态预期!I99</f>
        <v>0</v>
      </c>
      <c r="AS89" s="57">
        <f>[2]基础状态预期!J99</f>
        <v>6</v>
      </c>
      <c r="AW89" s="16">
        <v>83</v>
      </c>
      <c r="AX89" s="16">
        <f>[1]节奏总纲!BJ86</f>
        <v>3.4999999999999978</v>
      </c>
      <c r="AY89" s="16">
        <f>[1]节奏总纲!BK86</f>
        <v>3.5699999999999976</v>
      </c>
      <c r="AZ89" s="16">
        <f>[1]节奏总纲!BL86</f>
        <v>3.7099999999999977</v>
      </c>
      <c r="BA89" s="16">
        <f>[1]节奏总纲!BM86</f>
        <v>3.9899999999999971</v>
      </c>
      <c r="BB89" s="16">
        <f>[1]节奏总纲!BN86</f>
        <v>4.8999999999999968</v>
      </c>
      <c r="BF89" s="21">
        <f>'[1]功能-行军令'!FZ87</f>
        <v>83</v>
      </c>
      <c r="BG89" s="21">
        <f>'[1]功能-行军令'!GA87*'[1]功能-行军令'!GB87</f>
        <v>390.85729646653215</v>
      </c>
    </row>
    <row r="90" spans="2:59">
      <c r="B90" s="4">
        <v>87</v>
      </c>
      <c r="C90" s="16">
        <f>'[1]资源-钻石'!L90</f>
        <v>1835987.1341124773</v>
      </c>
      <c r="D90" s="16">
        <f>'[1]资源-钻石'!M90</f>
        <v>2403311.8227408277</v>
      </c>
      <c r="E90" s="16">
        <f>'[1]资源-钻石'!N90</f>
        <v>3520414.7768692896</v>
      </c>
      <c r="F90" s="16">
        <f>'[1]资源-钻石'!O90</f>
        <v>7192132.9366573216</v>
      </c>
      <c r="G90" s="16">
        <f>'[1]资源-钻石'!P90</f>
        <v>9589666.1661418863</v>
      </c>
      <c r="I90" s="4">
        <v>87</v>
      </c>
      <c r="J90" s="16">
        <f>'[1]资源-钻石'!T90</f>
        <v>534400.34062264371</v>
      </c>
      <c r="K90" s="16">
        <f>'[1]资源-钻石'!U90</f>
        <v>736520.37468490808</v>
      </c>
      <c r="L90" s="16">
        <f>'[1]资源-钻石'!V90</f>
        <v>1204071.7193047479</v>
      </c>
      <c r="M90" s="16">
        <f>'[1]资源-钻石'!W90</f>
        <v>3096222.0253897994</v>
      </c>
      <c r="N90" s="16">
        <f>'[1]资源-钻石'!X90</f>
        <v>7287165.5387056116</v>
      </c>
      <c r="P90" s="16">
        <v>87</v>
      </c>
      <c r="Q90" s="16">
        <f>'[1]功能-行军令'!N90</f>
        <v>19084.16843898204</v>
      </c>
      <c r="R90" s="16">
        <f>'[1]功能-行军令'!O90</f>
        <v>24005.062758296252</v>
      </c>
      <c r="S90" s="16">
        <f>'[1]功能-行军令'!P90</f>
        <v>26608.641181245723</v>
      </c>
      <c r="T90" s="16">
        <f>'[1]功能-行军令'!Q90</f>
        <v>21895.847272561801</v>
      </c>
      <c r="U90" s="16">
        <f>'[1]功能-行军令'!R90</f>
        <v>11922.21192241363</v>
      </c>
      <c r="V90" s="16">
        <f>'[1]功能-行军令'!S90</f>
        <v>1281.090151755594</v>
      </c>
      <c r="W90" s="16">
        <f>'[1]功能-行军令'!T90</f>
        <v>1626.9803746936341</v>
      </c>
      <c r="X90" s="16">
        <f>'[1]功能-行军令'!U90</f>
        <v>1835.5029351937119</v>
      </c>
      <c r="Y90" s="16">
        <f>'[1]功能-行军令'!V90</f>
        <v>1358.2161604173743</v>
      </c>
      <c r="Z90" s="16">
        <f>'[1]功能-行军令'!W90</f>
        <v>700.66076156608324</v>
      </c>
      <c r="AC90" s="21">
        <v>87</v>
      </c>
      <c r="AD90" s="21">
        <f>'[1]功能-实力'!BF91</f>
        <v>15095742</v>
      </c>
      <c r="AE90" s="21">
        <f>'[1]功能-实力'!BG91</f>
        <v>18222336</v>
      </c>
      <c r="AF90" s="21">
        <f>'[1]功能-实力'!BH91</f>
        <v>20950584</v>
      </c>
      <c r="AG90" s="21">
        <f>'[1]功能-实力'!BI91</f>
        <v>27938652</v>
      </c>
      <c r="AH90" s="21">
        <f>'[1]功能-实力'!BJ91</f>
        <v>30931314</v>
      </c>
      <c r="AL90" s="57">
        <f>[2]基础状态预期!C100</f>
        <v>55675</v>
      </c>
      <c r="AM90" s="57">
        <f>[2]基础状态预期!D100</f>
        <v>157.63974470288184</v>
      </c>
      <c r="AO90" s="57">
        <f>[2]基础状态预期!F100</f>
        <v>0</v>
      </c>
      <c r="AP90" s="57">
        <f>[2]基础状态预期!G100</f>
        <v>0</v>
      </c>
      <c r="AQ90" s="57">
        <f>[2]基础状态预期!H100</f>
        <v>0</v>
      </c>
      <c r="AR90" s="57">
        <f>[2]基础状态预期!I100</f>
        <v>0</v>
      </c>
      <c r="AS90" s="57">
        <f>[2]基础状态预期!J100</f>
        <v>6</v>
      </c>
      <c r="AW90" s="16">
        <v>84</v>
      </c>
      <c r="AX90" s="16">
        <f>[1]节奏总纲!BJ87</f>
        <v>3.4999999999999978</v>
      </c>
      <c r="AY90" s="16">
        <f>[1]节奏总纲!BK87</f>
        <v>3.5699999999999976</v>
      </c>
      <c r="AZ90" s="16">
        <f>[1]节奏总纲!BL87</f>
        <v>3.7099999999999977</v>
      </c>
      <c r="BA90" s="16">
        <f>[1]节奏总纲!BM87</f>
        <v>3.9899999999999971</v>
      </c>
      <c r="BB90" s="16">
        <f>[1]节奏总纲!BN87</f>
        <v>4.8999999999999968</v>
      </c>
      <c r="BF90" s="21">
        <f>'[1]功能-行军令'!FZ88</f>
        <v>84</v>
      </c>
      <c r="BG90" s="21">
        <f>'[1]功能-行军令'!GA88*'[1]功能-行军令'!GB88</f>
        <v>398.6744423958628</v>
      </c>
    </row>
    <row r="91" spans="2:59">
      <c r="B91" s="4">
        <v>88</v>
      </c>
      <c r="C91" s="16">
        <f>'[1]资源-钻石'!L91</f>
        <v>1941502.5797901682</v>
      </c>
      <c r="D91" s="16">
        <f>'[1]资源-钻石'!M91</f>
        <v>2551481.3850856088</v>
      </c>
      <c r="E91" s="16">
        <f>'[1]资源-钻石'!N91</f>
        <v>3746044.8914453089</v>
      </c>
      <c r="F91" s="16">
        <f>'[1]资源-钻石'!O91</f>
        <v>7623460.6844343161</v>
      </c>
      <c r="G91" s="16">
        <f>'[1]资源-钻石'!P91</f>
        <v>10183575.897720458</v>
      </c>
      <c r="I91" s="4">
        <v>88</v>
      </c>
      <c r="J91" s="16">
        <f>'[1]资源-钻石'!T91</f>
        <v>540327.77377473249</v>
      </c>
      <c r="K91" s="16">
        <f>'[1]资源-钻石'!U91</f>
        <v>744720.55115220568</v>
      </c>
      <c r="L91" s="16">
        <f>'[1]资源-钻石'!V91</f>
        <v>1217510.8447969547</v>
      </c>
      <c r="M91" s="16">
        <f>'[1]资源-钻石'!W91</f>
        <v>3129986.5476097078</v>
      </c>
      <c r="N91" s="16">
        <f>'[1]资源-钻石'!X91</f>
        <v>7369343.8935835855</v>
      </c>
      <c r="P91" s="16">
        <v>88</v>
      </c>
      <c r="Q91" s="16">
        <f>'[1]功能-行军令'!N91</f>
        <v>20457.206866750312</v>
      </c>
      <c r="R91" s="16">
        <f>'[1]功能-行军令'!O91</f>
        <v>25779.816315968015</v>
      </c>
      <c r="S91" s="16">
        <f>'[1]功能-行军令'!P91</f>
        <v>28474.475182207443</v>
      </c>
      <c r="T91" s="16">
        <f>'[1]功能-行军令'!Q91</f>
        <v>23278.789359941271</v>
      </c>
      <c r="U91" s="16">
        <f>'[1]功能-行军令'!R91</f>
        <v>12688.360198157678</v>
      </c>
      <c r="V91" s="16">
        <f>'[1]功能-行军令'!S91</f>
        <v>1373.0384277682715</v>
      </c>
      <c r="W91" s="16">
        <f>'[1]功能-行军令'!T91</f>
        <v>1774.7535576717637</v>
      </c>
      <c r="X91" s="16">
        <f>'[1]功能-行军令'!U91</f>
        <v>1865.8340009617204</v>
      </c>
      <c r="Y91" s="16">
        <f>'[1]功能-行军令'!V91</f>
        <v>1382.9420873794697</v>
      </c>
      <c r="Z91" s="16">
        <f>'[1]功能-行军令'!W91</f>
        <v>766.14827574404808</v>
      </c>
      <c r="AC91" s="21">
        <v>88</v>
      </c>
      <c r="AD91" s="21">
        <f>'[1]功能-实力'!BF92</f>
        <v>15817002</v>
      </c>
      <c r="AE91" s="21">
        <f>'[1]功能-实力'!BG92</f>
        <v>19186452</v>
      </c>
      <c r="AF91" s="21">
        <f>'[1]功能-实力'!BH92</f>
        <v>22276332</v>
      </c>
      <c r="AG91" s="21">
        <f>'[1]功能-实力'!BI92</f>
        <v>29472528</v>
      </c>
      <c r="AH91" s="21">
        <f>'[1]功能-实力'!BJ92</f>
        <v>32437440</v>
      </c>
      <c r="AW91" s="16">
        <v>85</v>
      </c>
      <c r="AX91" s="16">
        <f>[1]节奏总纲!BJ88</f>
        <v>3.4999999999999978</v>
      </c>
      <c r="AY91" s="16">
        <f>[1]节奏总纲!BK88</f>
        <v>3.5699999999999976</v>
      </c>
      <c r="AZ91" s="16">
        <f>[1]节奏总纲!BL88</f>
        <v>3.7099999999999977</v>
      </c>
      <c r="BA91" s="16">
        <f>[1]节奏总纲!BM88</f>
        <v>3.9899999999999971</v>
      </c>
      <c r="BB91" s="16">
        <f>[1]节奏总纲!BN88</f>
        <v>4.8999999999999968</v>
      </c>
      <c r="BF91" s="21">
        <f>'[1]功能-行军令'!FZ89</f>
        <v>85</v>
      </c>
      <c r="BG91" s="21">
        <f>'[1]功能-行军令'!GA89*'[1]功能-行军令'!GB89</f>
        <v>406.64793124378002</v>
      </c>
    </row>
    <row r="92" spans="2:59">
      <c r="B92" s="4">
        <v>89</v>
      </c>
      <c r="C92" s="16">
        <f>'[1]资源-钻石'!L92</f>
        <v>2054591.2343552057</v>
      </c>
      <c r="D92" s="16">
        <f>'[1]资源-钻石'!M92</f>
        <v>2701893.7777782041</v>
      </c>
      <c r="E92" s="16">
        <f>'[1]资源-钻石'!N92</f>
        <v>3962790.0005633235</v>
      </c>
      <c r="F92" s="16">
        <f>'[1]资源-钻石'!O92</f>
        <v>8082951.7043096367</v>
      </c>
      <c r="G92" s="16">
        <f>'[1]资源-钻石'!P92</f>
        <v>10776929.628632817</v>
      </c>
      <c r="I92" s="4">
        <v>89</v>
      </c>
      <c r="J92" s="16">
        <f>'[1]资源-钻石'!T92</f>
        <v>546255.20692682127</v>
      </c>
      <c r="K92" s="16">
        <f>'[1]资源-钻石'!U92</f>
        <v>752920.72761950339</v>
      </c>
      <c r="L92" s="16">
        <f>'[1]资源-钻石'!V92</f>
        <v>1230949.9702891614</v>
      </c>
      <c r="M92" s="16">
        <f>'[1]资源-钻石'!W92</f>
        <v>3163751.0698296167</v>
      </c>
      <c r="N92" s="16">
        <f>'[1]资源-钻石'!X92</f>
        <v>7451522.2484615585</v>
      </c>
      <c r="P92" s="16">
        <v>89</v>
      </c>
      <c r="Q92" s="16">
        <f>'[1]功能-行军令'!N92</f>
        <v>21928.793016674885</v>
      </c>
      <c r="R92" s="16">
        <f>'[1]功能-行军令'!O92</f>
        <v>27589.567920062011</v>
      </c>
      <c r="S92" s="16">
        <f>'[1]功能-行军令'!P92</f>
        <v>30266.835190952177</v>
      </c>
      <c r="T92" s="16">
        <f>'[1]功能-行军令'!Q92</f>
        <v>24752.029774993443</v>
      </c>
      <c r="U92" s="16">
        <f>'[1]功能-行军令'!R92</f>
        <v>13453.791228621709</v>
      </c>
      <c r="V92" s="16">
        <f>'[1]功能-行军令'!S92</f>
        <v>1471.586149924573</v>
      </c>
      <c r="W92" s="16">
        <f>'[1]功能-行军令'!T92</f>
        <v>1809.7516040939954</v>
      </c>
      <c r="X92" s="16">
        <f>'[1]功能-行军令'!U92</f>
        <v>1792.3600087447339</v>
      </c>
      <c r="Y92" s="16">
        <f>'[1]功能-行军令'!V92</f>
        <v>1473.2404150521725</v>
      </c>
      <c r="Z92" s="16">
        <f>'[1]功能-行军令'!W92</f>
        <v>765.43103046403121</v>
      </c>
      <c r="AC92" s="21">
        <v>89</v>
      </c>
      <c r="AD92" s="21">
        <f>'[1]功能-实力'!BF93</f>
        <v>16538184</v>
      </c>
      <c r="AE92" s="21">
        <f>'[1]功能-实力'!BG93</f>
        <v>20189460</v>
      </c>
      <c r="AF92" s="21">
        <f>'[1]功能-实力'!BH93</f>
        <v>23650704</v>
      </c>
      <c r="AG92" s="21">
        <f>'[1]功能-实力'!BI93</f>
        <v>31061574</v>
      </c>
      <c r="AH92" s="21">
        <f>'[1]功能-实力'!BJ93</f>
        <v>33944052</v>
      </c>
      <c r="AW92" s="16">
        <v>86</v>
      </c>
      <c r="AX92" s="16">
        <f>[1]节奏总纲!BJ89</f>
        <v>3.4999999999999978</v>
      </c>
      <c r="AY92" s="16">
        <f>[1]节奏总纲!BK89</f>
        <v>3.5699999999999976</v>
      </c>
      <c r="AZ92" s="16">
        <f>[1]节奏总纲!BL89</f>
        <v>3.7099999999999977</v>
      </c>
      <c r="BA92" s="16">
        <f>[1]节奏总纲!BM89</f>
        <v>3.9899999999999971</v>
      </c>
      <c r="BB92" s="16">
        <f>[1]节奏总纲!BN89</f>
        <v>4.8999999999999968</v>
      </c>
      <c r="BF92" s="21">
        <f>'[1]功能-行军令'!FZ90</f>
        <v>86</v>
      </c>
      <c r="BG92" s="21">
        <f>'[1]功能-行军令'!GA90*'[1]功能-行军令'!GB90</f>
        <v>414.78088986865561</v>
      </c>
    </row>
    <row r="93" spans="2:59">
      <c r="B93" s="4">
        <v>90</v>
      </c>
      <c r="C93" s="16">
        <f>'[1]资源-钻石'!L93</f>
        <v>2175796.6532319468</v>
      </c>
      <c r="D93" s="16">
        <f>'[1]资源-钻石'!M93</f>
        <v>2848606.3717980972</v>
      </c>
      <c r="E93" s="16">
        <f>'[1]资源-钻石'!N93</f>
        <v>4199608.7618296258</v>
      </c>
      <c r="F93" s="16">
        <f>'[1]资源-钻石'!O93</f>
        <v>8551197.5813476294</v>
      </c>
      <c r="G93" s="16">
        <f>'[1]资源-钻石'!P93</f>
        <v>11404640.311290829</v>
      </c>
      <c r="I93" s="4">
        <v>90</v>
      </c>
      <c r="J93" s="16">
        <f>'[1]资源-钻石'!T93</f>
        <v>551460.0109759972</v>
      </c>
      <c r="K93" s="16">
        <f>'[1]资源-钻石'!U93</f>
        <v>760267.74958207726</v>
      </c>
      <c r="L93" s="16">
        <f>'[1]资源-钻石'!V93</f>
        <v>1244389.095781368</v>
      </c>
      <c r="M93" s="16">
        <f>'[1]资源-钻石'!W93</f>
        <v>3197515.5920495256</v>
      </c>
      <c r="N93" s="16">
        <f>'[1]资源-钻石'!X93</f>
        <v>7532053.8318579765</v>
      </c>
      <c r="P93" s="16">
        <v>90</v>
      </c>
      <c r="Q93" s="16">
        <f>'[1]功能-行军令'!N93</f>
        <v>23506</v>
      </c>
      <c r="R93" s="16">
        <f>'[1]功能-行军令'!O93</f>
        <v>29354.803800000002</v>
      </c>
      <c r="S93" s="16">
        <f>'[1]功能-行军令'!P93</f>
        <v>32225.192999999999</v>
      </c>
      <c r="T93" s="16">
        <f>'[1]功能-行军令'!Q93</f>
        <v>26253.340400000001</v>
      </c>
      <c r="U93" s="16">
        <f>'[1]功能-行军令'!R93</f>
        <v>14263.543000000001</v>
      </c>
      <c r="V93" s="16">
        <f>'[1]功能-行军令'!S93</f>
        <v>1577.2069833251153</v>
      </c>
      <c r="W93" s="16">
        <f>'[1]功能-行军令'!T93</f>
        <v>1765.2358799379908</v>
      </c>
      <c r="X93" s="16">
        <f>'[1]功能-行军令'!U93</f>
        <v>1958.3578090478222</v>
      </c>
      <c r="Y93" s="16">
        <f>'[1]功能-行军令'!V93</f>
        <v>1501.3106250065575</v>
      </c>
      <c r="Z93" s="16">
        <f>'[1]功能-行军令'!W93</f>
        <v>809.75177137829269</v>
      </c>
      <c r="AC93" s="21">
        <v>90</v>
      </c>
      <c r="AD93" s="21">
        <f>'[1]功能-实力'!BF94</f>
        <v>17291256</v>
      </c>
      <c r="AE93" s="21">
        <f>'[1]功能-实力'!BG94</f>
        <v>21228654</v>
      </c>
      <c r="AF93" s="21">
        <f>'[1]功能-实力'!BH94</f>
        <v>25183194</v>
      </c>
      <c r="AG93" s="21">
        <f>'[1]功能-实力'!BI94</f>
        <v>32642424</v>
      </c>
      <c r="AH93" s="21">
        <f>'[1]功能-实力'!BJ94</f>
        <v>35527968</v>
      </c>
      <c r="AW93" s="16">
        <v>87</v>
      </c>
      <c r="AX93" s="16">
        <f>[1]节奏总纲!BJ90</f>
        <v>3.4999999999999978</v>
      </c>
      <c r="AY93" s="16">
        <f>[1]节奏总纲!BK90</f>
        <v>3.5699999999999976</v>
      </c>
      <c r="AZ93" s="16">
        <f>[1]节奏总纲!BL90</f>
        <v>3.7099999999999977</v>
      </c>
      <c r="BA93" s="16">
        <f>[1]节奏总纲!BM90</f>
        <v>3.9899999999999971</v>
      </c>
      <c r="BB93" s="16">
        <f>[1]节奏总纲!BN90</f>
        <v>4.8999999999999968</v>
      </c>
      <c r="BF93" s="21">
        <f>'[1]功能-行军令'!FZ91</f>
        <v>87</v>
      </c>
      <c r="BG93" s="21">
        <f>'[1]功能-行军令'!GA91*'[1]功能-行军令'!GB91</f>
        <v>423.07650766602876</v>
      </c>
    </row>
    <row r="94" spans="2:59">
      <c r="B94" s="4">
        <v>91</v>
      </c>
      <c r="C94" s="16">
        <f>'[1]资源-钻石'!L94</f>
        <v>2305701.4046996329</v>
      </c>
      <c r="D94" s="16">
        <f>'[1]资源-钻石'!M94</f>
        <v>3024057.7526976266</v>
      </c>
      <c r="E94" s="16">
        <f>'[1]资源-钻石'!N94</f>
        <v>4459318.6399757573</v>
      </c>
      <c r="F94" s="16">
        <f>'[1]资源-钻石'!O94</f>
        <v>9120686.5675153062</v>
      </c>
      <c r="G94" s="16">
        <f>'[1]资源-钻石'!P94</f>
        <v>12156053.692849174</v>
      </c>
      <c r="I94" s="4">
        <v>91</v>
      </c>
      <c r="J94" s="16">
        <f>'[1]资源-钻石'!T94</f>
        <v>555913.689425266</v>
      </c>
      <c r="K94" s="16">
        <f>'[1]资源-钻石'!U94</f>
        <v>766860.74258467252</v>
      </c>
      <c r="L94" s="16">
        <f>'[1]资源-钻石'!V94</f>
        <v>1256134.3574138554</v>
      </c>
      <c r="M94" s="16">
        <f>'[1]资源-钻石'!W94</f>
        <v>3231280.1142694345</v>
      </c>
      <c r="N94" s="16">
        <f>'[1]资源-钻石'!X94</f>
        <v>7612189.7906015413</v>
      </c>
      <c r="P94" s="16">
        <v>91</v>
      </c>
      <c r="Q94" s="16">
        <f>'[1]功能-行军令'!N94</f>
        <v>25196.408589654777</v>
      </c>
      <c r="R94" s="16">
        <f>'[1]功能-行军令'!O94</f>
        <v>31465.822794773703</v>
      </c>
      <c r="S94" s="16">
        <f>'[1]功能-行军令'!P94</f>
        <v>34437.958287128611</v>
      </c>
      <c r="T94" s="16">
        <f>'[1]功能-行军令'!Q94</f>
        <v>28079.261155920252</v>
      </c>
      <c r="U94" s="16">
        <f>'[1]功能-行军令'!R94</f>
        <v>15232.872236484771</v>
      </c>
      <c r="V94" s="16">
        <f>'[1]功能-行军令'!S94</f>
        <v>1690.4085896547767</v>
      </c>
      <c r="W94" s="16">
        <f>'[1]功能-行军令'!T94</f>
        <v>2111.0189947737017</v>
      </c>
      <c r="X94" s="16">
        <f>'[1]功能-行军令'!U94</f>
        <v>2212.7652871286118</v>
      </c>
      <c r="Y94" s="16">
        <f>'[1]功能-行军令'!V94</f>
        <v>1825.9207559202514</v>
      </c>
      <c r="Z94" s="16">
        <f>'[1]功能-行军令'!W94</f>
        <v>969.32923648476935</v>
      </c>
      <c r="AC94" s="21">
        <v>91</v>
      </c>
      <c r="AD94" s="21">
        <f>'[1]功能-实力'!BF95</f>
        <v>18098580</v>
      </c>
      <c r="AE94" s="21">
        <f>'[1]功能-实力'!BG95</f>
        <v>22438716</v>
      </c>
      <c r="AF94" s="21">
        <f>'[1]功能-实力'!BH95</f>
        <v>26665692</v>
      </c>
      <c r="AG94" s="21">
        <f>'[1]功能-实力'!BI95</f>
        <v>34201908</v>
      </c>
      <c r="AH94" s="21">
        <f>'[1]功能-实力'!BJ95</f>
        <v>37126566</v>
      </c>
      <c r="AL94" s="167" t="s">
        <v>355</v>
      </c>
      <c r="AM94" s="167"/>
      <c r="AO94" s="5"/>
      <c r="AP94" s="5"/>
      <c r="AQ94" s="5"/>
      <c r="AR94" s="5"/>
      <c r="AS94" s="5"/>
      <c r="AW94" s="16">
        <v>88</v>
      </c>
      <c r="AX94" s="16">
        <f>[1]节奏总纲!BJ91</f>
        <v>3.4999999999999978</v>
      </c>
      <c r="AY94" s="16">
        <f>[1]节奏总纲!BK91</f>
        <v>3.5699999999999976</v>
      </c>
      <c r="AZ94" s="16">
        <f>[1]节奏总纲!BL91</f>
        <v>3.7099999999999977</v>
      </c>
      <c r="BA94" s="16">
        <f>[1]节奏总纲!BM91</f>
        <v>3.9899999999999971</v>
      </c>
      <c r="BB94" s="16">
        <f>[1]节奏总纲!BN91</f>
        <v>4.8999999999999968</v>
      </c>
      <c r="BF94" s="21">
        <f>'[1]功能-行军令'!FZ92</f>
        <v>88</v>
      </c>
      <c r="BG94" s="21">
        <f>'[1]功能-行军令'!GA92*'[1]功能-行军令'!GB92</f>
        <v>431.53803781934931</v>
      </c>
    </row>
    <row r="95" spans="2:59">
      <c r="B95" s="4">
        <v>92</v>
      </c>
      <c r="C95" s="16">
        <f>'[1]资源-钻石'!L95</f>
        <v>2444929.8699800698</v>
      </c>
      <c r="D95" s="16">
        <f>'[1]资源-钻石'!M95</f>
        <v>3205889.9080303553</v>
      </c>
      <c r="E95" s="16">
        <f>'[1]资源-钻石'!N95</f>
        <v>4741555.090752501</v>
      </c>
      <c r="F95" s="16">
        <f>'[1]资源-钻石'!O95</f>
        <v>9729655.4351587482</v>
      </c>
      <c r="G95" s="16">
        <f>'[1]资源-钻石'!P95</f>
        <v>12934808.48234269</v>
      </c>
      <c r="I95" s="4">
        <v>92</v>
      </c>
      <c r="J95" s="16">
        <f>'[1]资源-钻石'!T95</f>
        <v>560367.3678745348</v>
      </c>
      <c r="K95" s="16">
        <f>'[1]资源-钻石'!U95</f>
        <v>773453.73558726779</v>
      </c>
      <c r="L95" s="16">
        <f>'[1]资源-钻石'!V95</f>
        <v>1267677.7203322295</v>
      </c>
      <c r="M95" s="16">
        <f>'[1]资源-钻石'!W95</f>
        <v>3265044.6364893434</v>
      </c>
      <c r="N95" s="16">
        <f>'[1]资源-钻石'!X95</f>
        <v>7692325.7493451061</v>
      </c>
      <c r="P95" s="16">
        <v>92</v>
      </c>
      <c r="Q95" s="16">
        <f>'[1]功能-行军令'!N95</f>
        <v>27008.143656890144</v>
      </c>
      <c r="R95" s="16">
        <f>'[1]功能-行军令'!O95</f>
        <v>33653.614830379513</v>
      </c>
      <c r="S95" s="16">
        <f>'[1]功能-行军令'!P95</f>
        <v>36866.116091655043</v>
      </c>
      <c r="T95" s="16">
        <f>'[1]功能-行军令'!Q95</f>
        <v>30031.764052634771</v>
      </c>
      <c r="U95" s="16">
        <f>'[1]功能-行军令'!R95</f>
        <v>16237.472106589683</v>
      </c>
      <c r="V95" s="16">
        <f>'[1]功能-行军令'!S95</f>
        <v>1811.7350672353678</v>
      </c>
      <c r="W95" s="16">
        <f>'[1]功能-行军令'!T95</f>
        <v>2187.7920356058094</v>
      </c>
      <c r="X95" s="16">
        <f>'[1]功能-行军令'!U95</f>
        <v>2428.1578045264323</v>
      </c>
      <c r="Y95" s="16">
        <f>'[1]功能-行军令'!V95</f>
        <v>1952.502896714519</v>
      </c>
      <c r="Z95" s="16">
        <f>'[1]功能-行军令'!W95</f>
        <v>1004.599870104912</v>
      </c>
      <c r="AC95" s="21">
        <v>92</v>
      </c>
      <c r="AD95" s="21">
        <f>'[1]功能-实力'!BF96</f>
        <v>19006596</v>
      </c>
      <c r="AE95" s="21">
        <f>'[1]功能-实力'!BG96</f>
        <v>23634072</v>
      </c>
      <c r="AF95" s="21">
        <f>'[1]功能-实力'!BH96</f>
        <v>28180896</v>
      </c>
      <c r="AG95" s="21">
        <f>'[1]功能-实力'!BI96</f>
        <v>35877588</v>
      </c>
      <c r="AH95" s="21">
        <f>'[1]功能-实力'!BJ96</f>
        <v>38795148</v>
      </c>
      <c r="AL95" s="167"/>
      <c r="AM95" s="167"/>
      <c r="AO95" s="167" t="s">
        <v>351</v>
      </c>
      <c r="AP95" s="167"/>
      <c r="AQ95" s="167"/>
      <c r="AR95" s="167"/>
      <c r="AS95" s="167"/>
      <c r="AW95" s="16">
        <v>89</v>
      </c>
      <c r="AX95" s="16">
        <f>[1]节奏总纲!BJ92</f>
        <v>3.4999999999999978</v>
      </c>
      <c r="AY95" s="16">
        <f>[1]节奏总纲!BK92</f>
        <v>3.5699999999999976</v>
      </c>
      <c r="AZ95" s="16">
        <f>[1]节奏总纲!BL92</f>
        <v>3.7099999999999977</v>
      </c>
      <c r="BA95" s="16">
        <f>[1]节奏总纲!BM92</f>
        <v>3.9899999999999971</v>
      </c>
      <c r="BB95" s="16">
        <f>[1]节奏总纲!BN92</f>
        <v>4.8999999999999968</v>
      </c>
      <c r="BF95" s="21">
        <f>'[1]功能-行军令'!FZ93</f>
        <v>89</v>
      </c>
      <c r="BG95" s="21">
        <f>'[1]功能-行军令'!GA93*'[1]功能-行军令'!GB93</f>
        <v>440.16879857573633</v>
      </c>
    </row>
    <row r="96" spans="2:59">
      <c r="B96" s="4">
        <v>93</v>
      </c>
      <c r="C96" s="16">
        <f>'[1]资源-钻石'!L96</f>
        <v>2594151.2442973014</v>
      </c>
      <c r="D96" s="16">
        <f>'[1]资源-钻石'!M96</f>
        <v>3406633.5537786563</v>
      </c>
      <c r="E96" s="16">
        <f>'[1]资源-钻石'!N96</f>
        <v>5043646.0993167479</v>
      </c>
      <c r="F96" s="16">
        <f>'[1]资源-钻石'!O96</f>
        <v>10370729.088515211</v>
      </c>
      <c r="G96" s="16">
        <f>'[1]资源-钻石'!P96</f>
        <v>13789517.861866554</v>
      </c>
      <c r="I96" s="4">
        <v>93</v>
      </c>
      <c r="J96" s="16">
        <f>'[1]资源-钻石'!T96</f>
        <v>564821.0463238036</v>
      </c>
      <c r="K96" s="16">
        <f>'[1]资源-钻石'!U96</f>
        <v>780046.72858986305</v>
      </c>
      <c r="L96" s="16">
        <f>'[1]资源-钻石'!V96</f>
        <v>1279221.0832506036</v>
      </c>
      <c r="M96" s="16">
        <f>'[1]资源-钻石'!W96</f>
        <v>3298809.1587092523</v>
      </c>
      <c r="N96" s="16">
        <f>'[1]资源-钻石'!X96</f>
        <v>7772461.7080886709</v>
      </c>
      <c r="P96" s="16">
        <v>93</v>
      </c>
      <c r="Q96" s="16">
        <f>'[1]功能-行军令'!N96</f>
        <v>28949.913223099466</v>
      </c>
      <c r="R96" s="16">
        <f>'[1]功能-行军令'!O96</f>
        <v>36068.948623035481</v>
      </c>
      <c r="S96" s="16">
        <f>'[1]功能-行军令'!P96</f>
        <v>39465.088117074862</v>
      </c>
      <c r="T96" s="16">
        <f>'[1]功能-行军令'!Q96</f>
        <v>32087.20273216796</v>
      </c>
      <c r="U96" s="16">
        <f>'[1]功能-行军令'!R96</f>
        <v>17340.054001727131</v>
      </c>
      <c r="V96" s="16">
        <f>'[1]功能-行军令'!S96</f>
        <v>1941.7695662093211</v>
      </c>
      <c r="W96" s="16">
        <f>'[1]功能-行军令'!T96</f>
        <v>2415.3337926559689</v>
      </c>
      <c r="X96" s="16">
        <f>'[1]功能-行军令'!U96</f>
        <v>2598.9720254198182</v>
      </c>
      <c r="Y96" s="16">
        <f>'[1]功能-行军令'!V96</f>
        <v>2055.4386795331884</v>
      </c>
      <c r="Z96" s="16">
        <f>'[1]功能-行军令'!W96</f>
        <v>1102.5818951374476</v>
      </c>
      <c r="AC96" s="21">
        <v>93</v>
      </c>
      <c r="AD96" s="21">
        <f>'[1]功能-实力'!BF97</f>
        <v>19904082</v>
      </c>
      <c r="AE96" s="21">
        <f>'[1]功能-实力'!BG97</f>
        <v>24859284</v>
      </c>
      <c r="AF96" s="21">
        <f>'[1]功能-实力'!BH97</f>
        <v>29798394</v>
      </c>
      <c r="AG96" s="21">
        <f>'[1]功能-实力'!BI97</f>
        <v>37686966</v>
      </c>
      <c r="AH96" s="21">
        <f>'[1]功能-实力'!BJ97</f>
        <v>40509822</v>
      </c>
      <c r="AL96" s="57" t="s">
        <v>352</v>
      </c>
      <c r="AM96" s="57" t="s">
        <v>353</v>
      </c>
      <c r="AO96" s="57" t="s">
        <v>25</v>
      </c>
      <c r="AP96" s="57" t="s">
        <v>1</v>
      </c>
      <c r="AQ96" s="57" t="s">
        <v>2</v>
      </c>
      <c r="AR96" s="57" t="s">
        <v>0</v>
      </c>
      <c r="AS96" s="57" t="s">
        <v>205</v>
      </c>
      <c r="AW96" s="16">
        <v>90</v>
      </c>
      <c r="AX96" s="16">
        <f>[1]节奏总纲!BJ93</f>
        <v>3.4999999999999978</v>
      </c>
      <c r="AY96" s="16">
        <f>[1]节奏总纲!BK93</f>
        <v>3.5699999999999976</v>
      </c>
      <c r="AZ96" s="16">
        <f>[1]节奏总纲!BL93</f>
        <v>3.7099999999999977</v>
      </c>
      <c r="BA96" s="16">
        <f>[1]节奏总纲!BM93</f>
        <v>3.9899999999999971</v>
      </c>
      <c r="BB96" s="16">
        <f>[1]节奏总纲!BN93</f>
        <v>4.8999999999999968</v>
      </c>
      <c r="BF96" s="21">
        <f>'[1]功能-行军令'!FZ94</f>
        <v>90</v>
      </c>
      <c r="BG96" s="21">
        <f>'[1]功能-行军令'!GA94*'[1]功能-行军令'!GB94</f>
        <v>448.97217454725109</v>
      </c>
    </row>
    <row r="97" spans="2:59">
      <c r="B97" s="4">
        <v>94</v>
      </c>
      <c r="C97" s="16">
        <f>'[1]资源-钻石'!L97</f>
        <v>2754082.7533337036</v>
      </c>
      <c r="D97" s="16">
        <f>'[1]资源-钻石'!M97</f>
        <v>3618003.5787739865</v>
      </c>
      <c r="E97" s="16">
        <f>'[1]资源-钻石'!N97</f>
        <v>5364847.2444486609</v>
      </c>
      <c r="F97" s="16">
        <f>'[1]资源-钻石'!O97</f>
        <v>11051151.494321905</v>
      </c>
      <c r="G97" s="16">
        <f>'[1]资源-钻石'!P97</f>
        <v>14691182.205045251</v>
      </c>
      <c r="I97" s="4">
        <v>94</v>
      </c>
      <c r="J97" s="16">
        <f>'[1]资源-钻石'!T97</f>
        <v>569274.7247730724</v>
      </c>
      <c r="K97" s="16">
        <f>'[1]资源-钻石'!U97</f>
        <v>786639.72159245831</v>
      </c>
      <c r="L97" s="16">
        <f>'[1]资源-钻石'!V97</f>
        <v>1290764.446168978</v>
      </c>
      <c r="M97" s="16">
        <f>'[1]资源-钻石'!W97</f>
        <v>3331750.8907858757</v>
      </c>
      <c r="N97" s="16">
        <f>'[1]资源-钻石'!X97</f>
        <v>7852597.6668322347</v>
      </c>
      <c r="P97" s="16">
        <v>94</v>
      </c>
      <c r="Q97" s="16">
        <f>'[1]功能-行军令'!N97</f>
        <v>31031.050314523203</v>
      </c>
      <c r="R97" s="16">
        <f>'[1]功能-行军令'!O97</f>
        <v>38612.138282776315</v>
      </c>
      <c r="S97" s="16">
        <f>'[1]功能-行军令'!P97</f>
        <v>42228.469902908837</v>
      </c>
      <c r="T97" s="16">
        <f>'[1]功能-行军令'!Q97</f>
        <v>34268.803120818542</v>
      </c>
      <c r="U97" s="16">
        <f>'[1]功能-行军令'!R97</f>
        <v>18503.208173304902</v>
      </c>
      <c r="V97" s="16">
        <f>'[1]功能-行军令'!S97</f>
        <v>2081.1370914237377</v>
      </c>
      <c r="W97" s="16">
        <f>'[1]功能-行军令'!T97</f>
        <v>2543.189659740834</v>
      </c>
      <c r="X97" s="16">
        <f>'[1]功能-行军令'!U97</f>
        <v>2763.3817858339753</v>
      </c>
      <c r="Y97" s="16">
        <f>'[1]功能-行军令'!V97</f>
        <v>2181.6003886505823</v>
      </c>
      <c r="Z97" s="16">
        <f>'[1]功能-行军令'!W97</f>
        <v>1163.1541715777712</v>
      </c>
      <c r="AC97" s="21">
        <v>94</v>
      </c>
      <c r="AD97" s="21">
        <f>'[1]功能-实力'!BF98</f>
        <v>20815824</v>
      </c>
      <c r="AE97" s="21">
        <f>'[1]功能-实力'!BG98</f>
        <v>26229192</v>
      </c>
      <c r="AF97" s="21">
        <f>'[1]功能-实力'!BH98</f>
        <v>31489416</v>
      </c>
      <c r="AG97" s="21">
        <f>'[1]功能-实力'!BI98</f>
        <v>39570000</v>
      </c>
      <c r="AH97" s="21">
        <f>'[1]功能-实力'!BJ98</f>
        <v>42273102</v>
      </c>
      <c r="AL97" s="57">
        <f>[2]基础状态预期!C107</f>
        <v>0.7</v>
      </c>
      <c r="AM97" s="57">
        <f>[2]基础状态预期!D107</f>
        <v>10.099965341977441</v>
      </c>
      <c r="AO97" s="57">
        <f>[2]基础状态预期!F107</f>
        <v>0</v>
      </c>
      <c r="AP97" s="57">
        <f>[2]基础状态预期!G107</f>
        <v>0</v>
      </c>
      <c r="AQ97" s="57">
        <f>[2]基础状态预期!H107</f>
        <v>2</v>
      </c>
      <c r="AR97" s="57">
        <f>[2]基础状态预期!I107</f>
        <v>4</v>
      </c>
      <c r="AS97" s="57">
        <f>[2]基础状态预期!J107</f>
        <v>0</v>
      </c>
      <c r="AW97" s="16">
        <v>91</v>
      </c>
      <c r="AX97" s="16">
        <f>[1]节奏总纲!BJ94</f>
        <v>3.4999999999999978</v>
      </c>
      <c r="AY97" s="16">
        <f>[1]节奏总纲!BK94</f>
        <v>3.5699999999999976</v>
      </c>
      <c r="AZ97" s="16">
        <f>[1]节奏总纲!BL94</f>
        <v>3.7099999999999977</v>
      </c>
      <c r="BA97" s="16">
        <f>[1]节奏总纲!BM94</f>
        <v>3.9899999999999971</v>
      </c>
      <c r="BB97" s="16">
        <f>[1]节奏总纲!BN94</f>
        <v>4.8999999999999968</v>
      </c>
      <c r="BF97" s="21">
        <f>'[1]功能-行军令'!FZ95</f>
        <v>91</v>
      </c>
      <c r="BG97" s="21">
        <f>'[1]功能-行军令'!GA95*'[1]功能-行军令'!GB95</f>
        <v>457.9516180381961</v>
      </c>
    </row>
    <row r="98" spans="2:59">
      <c r="B98" s="4">
        <v>95</v>
      </c>
      <c r="C98" s="16">
        <f>'[1]资源-钻石'!L98</f>
        <v>2924661.7427972769</v>
      </c>
      <c r="D98" s="16">
        <f>'[1]资源-钻石'!M98</f>
        <v>3851091.9028485566</v>
      </c>
      <c r="E98" s="16">
        <f>'[1]资源-钻石'!N98</f>
        <v>5702367.1263075275</v>
      </c>
      <c r="F98" s="16">
        <f>'[1]资源-钻石'!O98</f>
        <v>11779925.01724546</v>
      </c>
      <c r="G98" s="16">
        <f>'[1]资源-钻石'!P98</f>
        <v>15736906.296819471</v>
      </c>
      <c r="I98" s="4">
        <v>95</v>
      </c>
      <c r="J98" s="16">
        <f>'[1]资源-钻石'!T98</f>
        <v>573728.40322234121</v>
      </c>
      <c r="K98" s="16">
        <f>'[1]资源-钻石'!U98</f>
        <v>793232.71459505358</v>
      </c>
      <c r="L98" s="16">
        <f>'[1]资源-钻石'!V98</f>
        <v>1302307.8090873521</v>
      </c>
      <c r="M98" s="16">
        <f>'[1]资源-钻石'!W98</f>
        <v>3364468.5899960874</v>
      </c>
      <c r="N98" s="16">
        <f>'[1]资源-钻石'!X98</f>
        <v>7932733.6255757995</v>
      </c>
      <c r="P98" s="16">
        <v>95</v>
      </c>
      <c r="Q98" s="16">
        <f>'[1]功能-行军令'!N98</f>
        <v>33261.557821011134</v>
      </c>
      <c r="R98" s="16">
        <f>'[1]功能-行军令'!O98</f>
        <v>41416.641029113518</v>
      </c>
      <c r="S98" s="16">
        <f>'[1]功能-行军令'!P98</f>
        <v>45132.246268658033</v>
      </c>
      <c r="T98" s="16">
        <f>'[1]功能-行军令'!Q98</f>
        <v>36605.428998038653</v>
      </c>
      <c r="U98" s="16">
        <f>'[1]功能-行军令'!R98</f>
        <v>19863.00694562952</v>
      </c>
      <c r="V98" s="16">
        <f>'[1]功能-行军令'!S98</f>
        <v>2230.5075064879311</v>
      </c>
      <c r="W98" s="16">
        <f>'[1]功能-行军令'!T98</f>
        <v>2804.5027463372026</v>
      </c>
      <c r="X98" s="16">
        <f>'[1]功能-行军令'!U98</f>
        <v>2903.776365749196</v>
      </c>
      <c r="Y98" s="16">
        <f>'[1]功能-行军令'!V98</f>
        <v>2336.6258772201109</v>
      </c>
      <c r="Z98" s="16">
        <f>'[1]功能-行军令'!W98</f>
        <v>1359.7987723246188</v>
      </c>
      <c r="AC98" s="21">
        <v>95</v>
      </c>
      <c r="AD98" s="21">
        <f>'[1]功能-实力'!BF99</f>
        <v>21781194</v>
      </c>
      <c r="AE98" s="21">
        <f>'[1]功能-实力'!BG99</f>
        <v>27716802</v>
      </c>
      <c r="AF98" s="21">
        <f>'[1]功能-实力'!BH99</f>
        <v>33124146</v>
      </c>
      <c r="AG98" s="21">
        <f>'[1]功能-实力'!BI99</f>
        <v>41333814</v>
      </c>
      <c r="AH98" s="21">
        <f>'[1]功能-实力'!BJ99</f>
        <v>43861572</v>
      </c>
      <c r="AL98" s="57">
        <f>[2]基础状态预期!C108</f>
        <v>2.0999999999999996</v>
      </c>
      <c r="AM98" s="57">
        <f>[2]基础状态预期!D108</f>
        <v>19.800198258084681</v>
      </c>
      <c r="AO98" s="57">
        <f>[2]基础状态预期!F108</f>
        <v>0</v>
      </c>
      <c r="AP98" s="57">
        <f>[2]基础状态预期!G108</f>
        <v>0</v>
      </c>
      <c r="AQ98" s="57">
        <f>[2]基础状态预期!H108</f>
        <v>0</v>
      </c>
      <c r="AR98" s="57">
        <f>[2]基础状态预期!I108</f>
        <v>6</v>
      </c>
      <c r="AS98" s="57">
        <f>[2]基础状态预期!J108</f>
        <v>0</v>
      </c>
      <c r="AW98" s="16">
        <v>92</v>
      </c>
      <c r="AX98" s="16">
        <f>[1]节奏总纲!BJ95</f>
        <v>3.4999999999999978</v>
      </c>
      <c r="AY98" s="16">
        <f>[1]节奏总纲!BK95</f>
        <v>3.5699999999999976</v>
      </c>
      <c r="AZ98" s="16">
        <f>[1]节奏总纲!BL95</f>
        <v>3.7099999999999977</v>
      </c>
      <c r="BA98" s="16">
        <f>[1]节奏总纲!BM95</f>
        <v>3.9899999999999971</v>
      </c>
      <c r="BB98" s="16">
        <f>[1]节奏总纲!BN95</f>
        <v>4.8999999999999968</v>
      </c>
      <c r="BF98" s="21">
        <f>'[1]功能-行军令'!FZ96</f>
        <v>92</v>
      </c>
      <c r="BG98" s="21">
        <f>'[1]功能-行军令'!GA96*'[1]功能-行军令'!GB96</f>
        <v>467.11065039896005</v>
      </c>
    </row>
    <row r="99" spans="2:59">
      <c r="B99" s="4">
        <v>96</v>
      </c>
      <c r="C99" s="16">
        <f>'[1]资源-钻石'!L99</f>
        <v>3094335.0091305487</v>
      </c>
      <c r="D99" s="16">
        <f>'[1]资源-钻石'!M99</f>
        <v>4089862.4207360642</v>
      </c>
      <c r="E99" s="16">
        <f>'[1]资源-钻石'!N99</f>
        <v>6062191.2630684217</v>
      </c>
      <c r="F99" s="16">
        <f>'[1]资源-钻石'!O99</f>
        <v>12583296.153171927</v>
      </c>
      <c r="G99" s="16">
        <f>'[1]资源-钻石'!P99</f>
        <v>16846808.909609322</v>
      </c>
      <c r="I99" s="4">
        <v>96</v>
      </c>
      <c r="J99" s="16">
        <f>'[1]资源-钻石'!T99</f>
        <v>578182.08167161001</v>
      </c>
      <c r="K99" s="16">
        <f>'[1]资源-钻石'!U99</f>
        <v>799801.06545975129</v>
      </c>
      <c r="L99" s="16">
        <f>'[1]资源-钻石'!V99</f>
        <v>1313851.1720057263</v>
      </c>
      <c r="M99" s="16">
        <f>'[1]资源-钻石'!W99</f>
        <v>3397186.289206299</v>
      </c>
      <c r="N99" s="16">
        <f>'[1]资源-钻石'!X99</f>
        <v>8012767.4181269277</v>
      </c>
      <c r="P99" s="16">
        <v>96</v>
      </c>
      <c r="Q99" s="16">
        <f>'[1]功能-行军令'!N99</f>
        <v>35652.156574452893</v>
      </c>
      <c r="R99" s="16">
        <f>'[1]功能-行军令'!O99</f>
        <v>44289.511542119748</v>
      </c>
      <c r="S99" s="16">
        <f>'[1]功能-行军令'!P99</f>
        <v>48227.912273273716</v>
      </c>
      <c r="T99" s="16">
        <f>'[1]功能-行军令'!Q99</f>
        <v>39212.411931853043</v>
      </c>
      <c r="U99" s="16">
        <f>'[1]功能-行军令'!R99</f>
        <v>21306.581320463309</v>
      </c>
      <c r="V99" s="16">
        <f>'[1]功能-行军令'!S99</f>
        <v>2390.5987534417582</v>
      </c>
      <c r="W99" s="16">
        <f>'[1]功能-行军令'!T99</f>
        <v>2872.8705130062299</v>
      </c>
      <c r="X99" s="16">
        <f>'[1]功能-行军令'!U99</f>
        <v>3095.6660046156831</v>
      </c>
      <c r="Y99" s="16">
        <f>'[1]功能-行军令'!V99</f>
        <v>2606.98293381439</v>
      </c>
      <c r="Z99" s="16">
        <f>'[1]功能-行军令'!W99</f>
        <v>1443.5743748337882</v>
      </c>
      <c r="AC99" s="21">
        <v>96</v>
      </c>
      <c r="AD99" s="21">
        <f>'[1]功能-实力'!BF100</f>
        <v>22829142</v>
      </c>
      <c r="AE99" s="21">
        <f>'[1]功能-实力'!BG100</f>
        <v>29476164</v>
      </c>
      <c r="AF99" s="21">
        <f>'[1]功能-实力'!BH100</f>
        <v>34755150</v>
      </c>
      <c r="AG99" s="21">
        <f>'[1]功能-实力'!BI100</f>
        <v>43071978</v>
      </c>
      <c r="AH99" s="21">
        <f>'[1]功能-实力'!BJ100</f>
        <v>45475242</v>
      </c>
      <c r="AL99" s="57">
        <f>[2]基础状态预期!C109</f>
        <v>4.1999999999999993</v>
      </c>
      <c r="AM99" s="57">
        <f>[2]基础状态预期!D109</f>
        <v>27.769105021676069</v>
      </c>
      <c r="AO99" s="57">
        <f>[2]基础状态预期!F109</f>
        <v>0</v>
      </c>
      <c r="AP99" s="57">
        <f>[2]基础状态预期!G109</f>
        <v>0</v>
      </c>
      <c r="AQ99" s="57">
        <f>[2]基础状态预期!H109</f>
        <v>0</v>
      </c>
      <c r="AR99" s="57">
        <f>[2]基础状态预期!I109</f>
        <v>6</v>
      </c>
      <c r="AS99" s="57">
        <f>[2]基础状态预期!J109</f>
        <v>0</v>
      </c>
      <c r="AW99" s="16">
        <v>93</v>
      </c>
      <c r="AX99" s="16">
        <f>[1]节奏总纲!BJ96</f>
        <v>3.4999999999999978</v>
      </c>
      <c r="AY99" s="16">
        <f>[1]节奏总纲!BK96</f>
        <v>3.5699999999999976</v>
      </c>
      <c r="AZ99" s="16">
        <f>[1]节奏总纲!BL96</f>
        <v>3.7099999999999977</v>
      </c>
      <c r="BA99" s="16">
        <f>[1]节奏总纲!BM96</f>
        <v>3.9899999999999971</v>
      </c>
      <c r="BB99" s="16">
        <f>[1]节奏总纲!BN96</f>
        <v>4.8999999999999968</v>
      </c>
      <c r="BF99" s="21">
        <f>'[1]功能-行军令'!FZ97</f>
        <v>93</v>
      </c>
      <c r="BG99" s="21">
        <f>'[1]功能-行军令'!GA97*'[1]功能-行军令'!GB97</f>
        <v>476.45286340693923</v>
      </c>
    </row>
    <row r="100" spans="2:59">
      <c r="B100" s="4">
        <v>97</v>
      </c>
      <c r="C100" s="16">
        <f>'[1]资源-钻石'!L100</f>
        <v>3276186.3132883999</v>
      </c>
      <c r="D100" s="16">
        <f>'[1]资源-钻石'!M100</f>
        <v>4349775.2229271745</v>
      </c>
      <c r="E100" s="16">
        <f>'[1]资源-钻石'!N100</f>
        <v>6478236.0020442484</v>
      </c>
      <c r="F100" s="16">
        <f>'[1]资源-钻石'!O100</f>
        <v>13504592.544950774</v>
      </c>
      <c r="G100" s="16">
        <f>'[1]资源-钻石'!P100</f>
        <v>18149097.230531126</v>
      </c>
      <c r="I100" s="4">
        <v>97</v>
      </c>
      <c r="J100" s="16">
        <f>'[1]资源-钻石'!T100</f>
        <v>582516.14456537226</v>
      </c>
      <c r="K100" s="16">
        <f>'[1]资源-钻石'!U100</f>
        <v>806247.75902190967</v>
      </c>
      <c r="L100" s="16">
        <f>'[1]资源-钻石'!V100</f>
        <v>1325394.5349241006</v>
      </c>
      <c r="M100" s="16">
        <f>'[1]资源-钻石'!W100</f>
        <v>3429903.9884165106</v>
      </c>
      <c r="N100" s="16">
        <f>'[1]资源-钻石'!X100</f>
        <v>8092611.8872581609</v>
      </c>
      <c r="P100" s="16">
        <v>97</v>
      </c>
      <c r="Q100" s="16">
        <f>'[1]功能-行军令'!N100</f>
        <v>38214.336877964088</v>
      </c>
      <c r="R100" s="16">
        <f>'[1]功能-行军令'!O100</f>
        <v>47416.764571404769</v>
      </c>
      <c r="S100" s="16">
        <f>'[1]功能-行军令'!P100</f>
        <v>51807.259580101301</v>
      </c>
      <c r="T100" s="16">
        <f>'[1]功能-行军令'!Q100</f>
        <v>42210.144246427553</v>
      </c>
      <c r="U100" s="16">
        <f>'[1]功能-行军令'!R100</f>
        <v>23000.378620392712</v>
      </c>
      <c r="V100" s="16">
        <f>'[1]功能-行军令'!S100</f>
        <v>2562.1803035111952</v>
      </c>
      <c r="W100" s="16">
        <f>'[1]功能-行军令'!T100</f>
        <v>3127.2530292850206</v>
      </c>
      <c r="X100" s="16">
        <f>'[1]功能-行军令'!U100</f>
        <v>3579.3473068275853</v>
      </c>
      <c r="Y100" s="16">
        <f>'[1]功能-行军令'!V100</f>
        <v>2997.7323145745104</v>
      </c>
      <c r="Z100" s="16">
        <f>'[1]功能-行军令'!W100</f>
        <v>1693.7972999294034</v>
      </c>
      <c r="AC100" s="21">
        <v>97</v>
      </c>
      <c r="AD100" s="21">
        <f>'[1]功能-实力'!BF101</f>
        <v>24095190</v>
      </c>
      <c r="AE100" s="21">
        <f>'[1]功能-实力'!BG101</f>
        <v>31042554</v>
      </c>
      <c r="AF100" s="21">
        <f>'[1]功能-实力'!BH101</f>
        <v>36402156</v>
      </c>
      <c r="AG100" s="21">
        <f>'[1]功能-实力'!BI101</f>
        <v>44869992</v>
      </c>
      <c r="AH100" s="21">
        <f>'[1]功能-实力'!BJ101</f>
        <v>47178978</v>
      </c>
      <c r="AL100" s="57">
        <f>[2]基础状态预期!C110</f>
        <v>7</v>
      </c>
      <c r="AM100" s="57">
        <f>[2]基础状态预期!D110</f>
        <v>34.192155176139416</v>
      </c>
      <c r="AO100" s="57">
        <f>[2]基础状态预期!F110</f>
        <v>0</v>
      </c>
      <c r="AP100" s="57">
        <f>[2]基础状态预期!G110</f>
        <v>0</v>
      </c>
      <c r="AQ100" s="57">
        <f>[2]基础状态预期!H110</f>
        <v>0</v>
      </c>
      <c r="AR100" s="57">
        <f>[2]基础状态预期!I110</f>
        <v>6</v>
      </c>
      <c r="AS100" s="57">
        <f>[2]基础状态预期!J110</f>
        <v>0</v>
      </c>
      <c r="AW100" s="16">
        <v>94</v>
      </c>
      <c r="AX100" s="16">
        <f>[1]节奏总纲!BJ97</f>
        <v>3.4999999999999978</v>
      </c>
      <c r="AY100" s="16">
        <f>[1]节奏总纲!BK97</f>
        <v>3.5699999999999976</v>
      </c>
      <c r="AZ100" s="16">
        <f>[1]节奏总纲!BL97</f>
        <v>3.7099999999999977</v>
      </c>
      <c r="BA100" s="16">
        <f>[1]节奏总纲!BM97</f>
        <v>3.9899999999999971</v>
      </c>
      <c r="BB100" s="16">
        <f>[1]节奏总纲!BN97</f>
        <v>4.8999999999999968</v>
      </c>
      <c r="BF100" s="21">
        <f>'[1]功能-行军令'!FZ98</f>
        <v>94</v>
      </c>
      <c r="BG100" s="21">
        <f>'[1]功能-行军令'!GA98*'[1]功能-行军令'!GB98</f>
        <v>485.98192067507802</v>
      </c>
    </row>
    <row r="101" spans="2:59">
      <c r="B101" s="4">
        <v>98</v>
      </c>
      <c r="C101" s="16">
        <f>'[1]资源-钻石'!L101</f>
        <v>3471089.7152124052</v>
      </c>
      <c r="D101" s="16">
        <f>'[1]资源-钻石'!M101</f>
        <v>4630894.6105433023</v>
      </c>
      <c r="E101" s="16">
        <f>'[1]资源-钻石'!N101</f>
        <v>6940159.6934923707</v>
      </c>
      <c r="F101" s="16">
        <f>'[1]资源-钻石'!O101</f>
        <v>14521355.143789764</v>
      </c>
      <c r="G101" s="16">
        <f>'[1]资源-钻石'!P101</f>
        <v>19532693.586081833</v>
      </c>
      <c r="I101" s="4">
        <v>98</v>
      </c>
      <c r="J101" s="16">
        <f>'[1]资源-钻石'!T101</f>
        <v>586849.50234915258</v>
      </c>
      <c r="K101" s="16">
        <f>'[1]资源-钻石'!U101</f>
        <v>812694.45258406794</v>
      </c>
      <c r="L101" s="16">
        <f>'[1]资源-钻石'!V101</f>
        <v>1336937.8978424747</v>
      </c>
      <c r="M101" s="16">
        <f>'[1]资源-钻石'!W101</f>
        <v>3462621.6876267218</v>
      </c>
      <c r="N101" s="16">
        <f>'[1]资源-钻石'!X101</f>
        <v>8172456.356389394</v>
      </c>
      <c r="P101" s="16">
        <v>98</v>
      </c>
      <c r="Q101" s="16">
        <f>'[1]功能-行军令'!N101</f>
        <v>40960.413733500631</v>
      </c>
      <c r="R101" s="16">
        <f>'[1]功能-行军令'!O101</f>
        <v>50943.446048509235</v>
      </c>
      <c r="S101" s="16">
        <f>'[1]功能-行军令'!P101</f>
        <v>55781.316132324064</v>
      </c>
      <c r="T101" s="16">
        <f>'[1]功能-行军令'!Q101</f>
        <v>45518.506382640116</v>
      </c>
      <c r="U101" s="16">
        <f>'[1]功能-行军令'!R101</f>
        <v>24799.927716836362</v>
      </c>
      <c r="V101" s="16">
        <f>'[1]功能-行军令'!S101</f>
        <v>2746.076855536543</v>
      </c>
      <c r="W101" s="16">
        <f>'[1]功能-行军令'!T101</f>
        <v>3526.6814771044665</v>
      </c>
      <c r="X101" s="16">
        <f>'[1]功能-行军令'!U101</f>
        <v>3974.0565522227625</v>
      </c>
      <c r="Y101" s="16">
        <f>'[1]功能-行军令'!V101</f>
        <v>3308.3621362125632</v>
      </c>
      <c r="Z101" s="16">
        <f>'[1]功能-行军令'!W101</f>
        <v>1799.5490964436503</v>
      </c>
      <c r="AC101" s="21">
        <v>98</v>
      </c>
      <c r="AD101" s="21">
        <f>'[1]功能-实力'!BF102</f>
        <v>25382688</v>
      </c>
      <c r="AE101" s="21">
        <f>'[1]功能-实力'!BG102</f>
        <v>32405550</v>
      </c>
      <c r="AF101" s="21">
        <f>'[1]功能-实力'!BH102</f>
        <v>38074512</v>
      </c>
      <c r="AG101" s="21">
        <f>'[1]功能-实力'!BI102</f>
        <v>46679910</v>
      </c>
      <c r="AH101" s="21">
        <f>'[1]功能-实力'!BJ102</f>
        <v>48939996</v>
      </c>
      <c r="AL101" s="57">
        <f>[2]基础状态预期!C111</f>
        <v>10.5</v>
      </c>
      <c r="AM101" s="57">
        <f>[2]基础状态预期!D111</f>
        <v>39.631851677253941</v>
      </c>
      <c r="AO101" s="57">
        <f>[2]基础状态预期!F111</f>
        <v>0</v>
      </c>
      <c r="AP101" s="57">
        <f>[2]基础状态预期!G111</f>
        <v>0</v>
      </c>
      <c r="AQ101" s="57">
        <f>[2]基础状态预期!H111</f>
        <v>0</v>
      </c>
      <c r="AR101" s="57">
        <f>[2]基础状态预期!I111</f>
        <v>6</v>
      </c>
      <c r="AS101" s="57">
        <f>[2]基础状态预期!J111</f>
        <v>0</v>
      </c>
      <c r="AW101" s="16">
        <v>95</v>
      </c>
      <c r="AX101" s="16">
        <f>[1]节奏总纲!BJ98</f>
        <v>3.4999999999999978</v>
      </c>
      <c r="AY101" s="16">
        <f>[1]节奏总纲!BK98</f>
        <v>3.5699999999999976</v>
      </c>
      <c r="AZ101" s="16">
        <f>[1]节奏总纲!BL98</f>
        <v>3.7099999999999977</v>
      </c>
      <c r="BA101" s="16">
        <f>[1]节奏总纲!BM98</f>
        <v>3.9899999999999971</v>
      </c>
      <c r="BB101" s="16">
        <f>[1]节奏总纲!BN98</f>
        <v>4.8999999999999968</v>
      </c>
      <c r="BF101" s="21">
        <f>'[1]功能-行军令'!FZ99</f>
        <v>95</v>
      </c>
      <c r="BG101" s="21">
        <f>'[1]功能-行军令'!GA99*'[1]功能-行军令'!GB99</f>
        <v>495.70155908857953</v>
      </c>
    </row>
    <row r="102" spans="2:59">
      <c r="B102" s="4">
        <v>99</v>
      </c>
      <c r="C102" s="16">
        <f>'[1]资源-钻石'!L102</f>
        <v>3679982.0091525968</v>
      </c>
      <c r="D102" s="16">
        <f>'[1]资源-钻石'!M102</f>
        <v>4926940.3423935231</v>
      </c>
      <c r="E102" s="16">
        <f>'[1]资源-钻石'!N102</f>
        <v>7423204.1238851706</v>
      </c>
      <c r="F102" s="16">
        <f>'[1]资源-钻石'!O102</f>
        <v>15580922.265153006</v>
      </c>
      <c r="G102" s="16">
        <f>'[1]资源-钻石'!P102</f>
        <v>20864986.893163215</v>
      </c>
      <c r="I102" s="4">
        <v>99</v>
      </c>
      <c r="J102" s="16">
        <f>'[1]资源-钻石'!T102</f>
        <v>591182.8601329329</v>
      </c>
      <c r="K102" s="16">
        <f>'[1]资源-钻石'!U102</f>
        <v>819141.14614622633</v>
      </c>
      <c r="L102" s="16">
        <f>'[1]资源-钻石'!V102</f>
        <v>1348481.2607608489</v>
      </c>
      <c r="M102" s="16">
        <f>'[1]资源-钻石'!W102</f>
        <v>3495339.3868369334</v>
      </c>
      <c r="N102" s="16">
        <f>'[1]资源-钻石'!X102</f>
        <v>8252300.8255206263</v>
      </c>
      <c r="P102" s="16">
        <v>99</v>
      </c>
      <c r="Q102" s="16">
        <f>'[1]功能-行军令'!N102</f>
        <v>43903.586033349777</v>
      </c>
      <c r="R102" s="16">
        <f>'[1]功能-行军令'!O102</f>
        <v>54706.25426201216</v>
      </c>
      <c r="S102" s="16">
        <f>'[1]功能-行军令'!P102</f>
        <v>59937.080210150787</v>
      </c>
      <c r="T102" s="16">
        <f>'[1]功能-行军令'!Q102</f>
        <v>48966.146715886673</v>
      </c>
      <c r="U102" s="16">
        <f>'[1]功能-行军令'!R102</f>
        <v>26532.750448941599</v>
      </c>
      <c r="V102" s="16">
        <f>'[1]功能-行军令'!S102</f>
        <v>2943.1722998491459</v>
      </c>
      <c r="W102" s="16">
        <f>'[1]功能-行军令'!T102</f>
        <v>3762.8082135029254</v>
      </c>
      <c r="X102" s="16">
        <f>'[1]功能-行军令'!U102</f>
        <v>4155.7640778267232</v>
      </c>
      <c r="Y102" s="16">
        <f>'[1]功能-行军令'!V102</f>
        <v>3447.6403332465561</v>
      </c>
      <c r="Z102" s="16">
        <f>'[1]功能-行军令'!W102</f>
        <v>1732.8227321052364</v>
      </c>
      <c r="AC102" s="21">
        <v>99</v>
      </c>
      <c r="AD102" s="21">
        <f>'[1]功能-实力'!BF103</f>
        <v>26683890</v>
      </c>
      <c r="AE102" s="21">
        <f>'[1]功能-实力'!BG103</f>
        <v>33707160</v>
      </c>
      <c r="AF102" s="21">
        <f>'[1]功能-实力'!BH103</f>
        <v>39800592</v>
      </c>
      <c r="AG102" s="21">
        <f>'[1]功能-实力'!BI103</f>
        <v>48540606</v>
      </c>
      <c r="AH102" s="21">
        <f>'[1]功能-实力'!BJ103</f>
        <v>50718744</v>
      </c>
      <c r="AL102" s="57">
        <f>[2]基础状态预期!C112</f>
        <v>14</v>
      </c>
      <c r="AM102" s="57">
        <f>[2]基础状态预期!D112</f>
        <v>43.484929789964411</v>
      </c>
      <c r="AO102" s="57">
        <f>[2]基础状态预期!F112</f>
        <v>0</v>
      </c>
      <c r="AP102" s="57">
        <f>[2]基础状态预期!G112</f>
        <v>0</v>
      </c>
      <c r="AQ102" s="57">
        <f>[2]基础状态预期!H112</f>
        <v>0</v>
      </c>
      <c r="AR102" s="57">
        <f>[2]基础状态预期!I112</f>
        <v>6</v>
      </c>
      <c r="AS102" s="57">
        <f>[2]基础状态预期!J112</f>
        <v>0</v>
      </c>
      <c r="AW102" s="16">
        <v>96</v>
      </c>
      <c r="AX102" s="16">
        <f>[1]节奏总纲!BJ99</f>
        <v>3.4999999999999978</v>
      </c>
      <c r="AY102" s="16">
        <f>[1]节奏总纲!BK99</f>
        <v>3.5699999999999976</v>
      </c>
      <c r="AZ102" s="16">
        <f>[1]节奏总纲!BL99</f>
        <v>3.7099999999999977</v>
      </c>
      <c r="BA102" s="16">
        <f>[1]节奏总纲!BM99</f>
        <v>3.9899999999999971</v>
      </c>
      <c r="BB102" s="16">
        <f>[1]节奏总纲!BN99</f>
        <v>4.8999999999999968</v>
      </c>
      <c r="BF102" s="21">
        <f>'[1]功能-行军令'!FZ100</f>
        <v>96</v>
      </c>
      <c r="BG102" s="21">
        <f>'[1]功能-行军令'!GA100*'[1]功能-行军令'!GB100</f>
        <v>505.61559027035111</v>
      </c>
    </row>
    <row r="103" spans="2:59">
      <c r="B103" s="4">
        <v>100</v>
      </c>
      <c r="C103" s="16">
        <f>'[1]资源-钻石'!L103</f>
        <v>3903867.2263260251</v>
      </c>
      <c r="D103" s="16">
        <f>'[1]资源-钻石'!M103</f>
        <v>5237263.6505681509</v>
      </c>
      <c r="E103" s="16">
        <f>'[1]资源-钻石'!N103</f>
        <v>7931332.0383830452</v>
      </c>
      <c r="F103" s="16">
        <f>'[1]资源-钻石'!O103</f>
        <v>16620061.748838918</v>
      </c>
      <c r="G103" s="16">
        <f>'[1]资源-钻石'!P103</f>
        <v>22225374.412219442</v>
      </c>
      <c r="I103" s="4">
        <v>100</v>
      </c>
      <c r="J103" s="16">
        <f>'[1]资源-钻石'!T103</f>
        <v>595516.21791671321</v>
      </c>
      <c r="K103" s="16">
        <f>'[1]资源-钻石'!U103</f>
        <v>825587.83970838471</v>
      </c>
      <c r="L103" s="16">
        <f>'[1]资源-钻石'!V103</f>
        <v>1360024.6236792232</v>
      </c>
      <c r="M103" s="16">
        <f>'[1]资源-钻石'!W103</f>
        <v>3528057.0860471451</v>
      </c>
      <c r="N103" s="16">
        <f>'[1]资源-钻石'!X103</f>
        <v>8332145.2946518594</v>
      </c>
      <c r="P103" s="16">
        <v>100</v>
      </c>
      <c r="Q103" s="16">
        <f>'[1]功能-行军令'!N103</f>
        <v>47058</v>
      </c>
      <c r="R103" s="16">
        <f>'[1]功能-行军令'!O103</f>
        <v>58650.533700000007</v>
      </c>
      <c r="S103" s="16">
        <f>'[1]功能-行军令'!P103</f>
        <v>64308.644399999997</v>
      </c>
      <c r="T103" s="16">
        <f>'[1]功能-行军令'!Q103</f>
        <v>52347.319199999998</v>
      </c>
      <c r="U103" s="16">
        <f>'[1]功能-行军令'!R103</f>
        <v>28302.113400000002</v>
      </c>
      <c r="V103" s="16">
        <f>'[1]功能-行军令'!S103</f>
        <v>3154.4139666502233</v>
      </c>
      <c r="W103" s="16">
        <f>'[1]功能-行军令'!T103</f>
        <v>3944.2794379878469</v>
      </c>
      <c r="X103" s="16">
        <f>'[1]功能-行军令'!U103</f>
        <v>4371.5641898492104</v>
      </c>
      <c r="Y103" s="16">
        <f>'[1]功能-行军令'!V103</f>
        <v>3381.1724841133255</v>
      </c>
      <c r="Z103" s="16">
        <f>'[1]功能-行军令'!W103</f>
        <v>1769.3629510584033</v>
      </c>
      <c r="AC103" s="21">
        <v>100</v>
      </c>
      <c r="AD103" s="21">
        <f>'[1]功能-实力'!BF104</f>
        <v>28032600</v>
      </c>
      <c r="AE103" s="21">
        <f>'[1]功能-实力'!BG104</f>
        <v>35026062</v>
      </c>
      <c r="AF103" s="21">
        <f>'[1]功能-实力'!BH104</f>
        <v>41578920</v>
      </c>
      <c r="AG103" s="21">
        <f>'[1]功能-实力'!BI104</f>
        <v>50433888</v>
      </c>
      <c r="AH103" s="21">
        <f>'[1]功能-实力'!BJ104</f>
        <v>52547082</v>
      </c>
      <c r="AL103" s="57">
        <f>[2]基础状态预期!C113</f>
        <v>21</v>
      </c>
      <c r="AM103" s="57">
        <f>[2]基础状态预期!D113</f>
        <v>49.18886033229559</v>
      </c>
      <c r="AO103" s="57">
        <f>[2]基础状态预期!F113</f>
        <v>0</v>
      </c>
      <c r="AP103" s="57">
        <f>[2]基础状态预期!G113</f>
        <v>0</v>
      </c>
      <c r="AQ103" s="57">
        <f>[2]基础状态预期!H113</f>
        <v>0</v>
      </c>
      <c r="AR103" s="57">
        <f>[2]基础状态预期!I113</f>
        <v>6</v>
      </c>
      <c r="AS103" s="57">
        <f>[2]基础状态预期!J113</f>
        <v>0</v>
      </c>
      <c r="AW103" s="16">
        <v>97</v>
      </c>
      <c r="AX103" s="16">
        <f>[1]节奏总纲!BJ100</f>
        <v>3.4999999999999978</v>
      </c>
      <c r="AY103" s="16">
        <f>[1]节奏总纲!BK100</f>
        <v>3.5699999999999976</v>
      </c>
      <c r="AZ103" s="16">
        <f>[1]节奏总纲!BL100</f>
        <v>3.7099999999999977</v>
      </c>
      <c r="BA103" s="16">
        <f>[1]节奏总纲!BM100</f>
        <v>3.9899999999999971</v>
      </c>
      <c r="BB103" s="16">
        <f>[1]节奏总纲!BN100</f>
        <v>4.8999999999999968</v>
      </c>
      <c r="BF103" s="21">
        <f>'[1]功能-行军令'!FZ101</f>
        <v>97</v>
      </c>
      <c r="BG103" s="21">
        <f>'[1]功能-行军令'!GA101*'[1]功能-行军令'!GB101</f>
        <v>515.72790207575815</v>
      </c>
    </row>
    <row r="104" spans="2:59">
      <c r="B104" s="4">
        <v>101</v>
      </c>
      <c r="C104" s="16">
        <f>'[1]资源-钻石'!L104</f>
        <v>4143821.4607466767</v>
      </c>
      <c r="D104" s="16">
        <f>'[1]资源-钻石'!M104</f>
        <v>5573405.5033057407</v>
      </c>
      <c r="E104" s="16">
        <f>'[1]资源-钻石'!N104</f>
        <v>8443747.5607369058</v>
      </c>
      <c r="F104" s="16">
        <f>'[1]资源-钻石'!O104</f>
        <v>17689104.801142946</v>
      </c>
      <c r="G104" s="16">
        <f>'[1]资源-钻石'!P104</f>
        <v>23701878.06144619</v>
      </c>
      <c r="I104" s="4">
        <v>101</v>
      </c>
      <c r="J104" s="16">
        <f>'[1]资源-钻石'!T104</f>
        <v>599849.57570049353</v>
      </c>
      <c r="K104" s="16">
        <f>'[1]资源-钻石'!U104</f>
        <v>832034.53327054298</v>
      </c>
      <c r="L104" s="16">
        <f>'[1]资源-钻石'!V104</f>
        <v>1371567.9865975974</v>
      </c>
      <c r="M104" s="16">
        <f>'[1]资源-钻石'!W104</f>
        <v>3560774.7852573567</v>
      </c>
      <c r="N104" s="16">
        <f>'[1]资源-钻石'!X104</f>
        <v>8411989.7637830917</v>
      </c>
      <c r="P104" s="16">
        <v>101</v>
      </c>
      <c r="Q104" s="16">
        <f>'[1]功能-行军令'!N104</f>
        <v>50438.81717930951</v>
      </c>
      <c r="R104" s="16">
        <f>'[1]功能-行军令'!O104</f>
        <v>62922.972679201433</v>
      </c>
      <c r="S104" s="16">
        <f>'[1]功能-行军令'!P104</f>
        <v>68819.051108257583</v>
      </c>
      <c r="T104" s="16">
        <f>'[1]功能-行军令'!Q104</f>
        <v>55825.792503662335</v>
      </c>
      <c r="U104" s="16">
        <f>'[1]功能-行军令'!R104</f>
        <v>30222.500655432003</v>
      </c>
      <c r="V104" s="16">
        <f>'[1]功能-行军令'!S104</f>
        <v>3380.8171793095098</v>
      </c>
      <c r="W104" s="16">
        <f>'[1]功能-行军令'!T104</f>
        <v>4272.4389792014263</v>
      </c>
      <c r="X104" s="16">
        <f>'[1]功能-行军令'!U104</f>
        <v>4510.4067082575857</v>
      </c>
      <c r="Y104" s="16">
        <f>'[1]功能-行军令'!V104</f>
        <v>3478.4733036623365</v>
      </c>
      <c r="Z104" s="16">
        <f>'[1]功能-行军令'!W104</f>
        <v>1920.3872554320005</v>
      </c>
      <c r="AC104" s="21">
        <v>101</v>
      </c>
      <c r="AD104" s="21">
        <f>'[1]功能-实力'!BF105</f>
        <v>29383224</v>
      </c>
      <c r="AE104" s="21">
        <f>'[1]功能-实力'!BG105</f>
        <v>36499212</v>
      </c>
      <c r="AF104" s="21">
        <f>'[1]功能-实力'!BH105</f>
        <v>42905862</v>
      </c>
      <c r="AG104" s="21">
        <f>'[1]功能-实力'!BI105</f>
        <v>51779076</v>
      </c>
      <c r="AH104" s="21">
        <f>'[1]功能-实力'!BJ105</f>
        <v>53863188</v>
      </c>
      <c r="AL104" s="57">
        <f>[2]基础状态预期!C114</f>
        <v>28</v>
      </c>
      <c r="AM104" s="57">
        <f>[2]基础状态预期!D114</f>
        <v>53.212684955585161</v>
      </c>
      <c r="AO104" s="57">
        <f>[2]基础状态预期!F114</f>
        <v>0</v>
      </c>
      <c r="AP104" s="57">
        <f>[2]基础状态预期!G114</f>
        <v>0</v>
      </c>
      <c r="AQ104" s="57">
        <f>[2]基础状态预期!H114</f>
        <v>0</v>
      </c>
      <c r="AR104" s="57">
        <f>[2]基础状态预期!I114</f>
        <v>5</v>
      </c>
      <c r="AS104" s="57">
        <f>[2]基础状态预期!J114</f>
        <v>1</v>
      </c>
      <c r="AW104" s="16">
        <v>98</v>
      </c>
      <c r="AX104" s="16">
        <f>[1]节奏总纲!BJ101</f>
        <v>3.4999999999999978</v>
      </c>
      <c r="AY104" s="16">
        <f>[1]节奏总纲!BK101</f>
        <v>3.5699999999999976</v>
      </c>
      <c r="AZ104" s="16">
        <f>[1]节奏总纲!BL101</f>
        <v>3.7099999999999977</v>
      </c>
      <c r="BA104" s="16">
        <f>[1]节奏总纲!BM101</f>
        <v>3.9899999999999971</v>
      </c>
      <c r="BB104" s="16">
        <f>[1]节奏总纲!BN101</f>
        <v>4.8999999999999968</v>
      </c>
      <c r="BF104" s="21">
        <f>'[1]功能-行军令'!FZ102</f>
        <v>98</v>
      </c>
      <c r="BG104" s="21">
        <f>'[1]功能-行军令'!GA102*'[1]功能-行军令'!GB102</f>
        <v>526.04246011727332</v>
      </c>
    </row>
    <row r="105" spans="2:59">
      <c r="B105" s="4">
        <v>102</v>
      </c>
      <c r="C105" s="16">
        <f>'[1]资源-钻石'!L105</f>
        <v>4400998.041421948</v>
      </c>
      <c r="D105" s="16">
        <f>'[1]资源-钻石'!M105</f>
        <v>5916659.2362165749</v>
      </c>
      <c r="E105" s="16">
        <f>'[1]资源-钻石'!N105</f>
        <v>8956065.887940675</v>
      </c>
      <c r="F105" s="16">
        <f>'[1]资源-钻石'!O105</f>
        <v>18828637.327303059</v>
      </c>
      <c r="G105" s="16">
        <f>'[1]资源-钻石'!P105</f>
        <v>25296726.162904508</v>
      </c>
      <c r="I105" s="4">
        <v>102</v>
      </c>
      <c r="J105" s="16">
        <f>'[1]资源-钻石'!T105</f>
        <v>604182.93348427385</v>
      </c>
      <c r="K105" s="16">
        <f>'[1]资源-钻石'!U105</f>
        <v>838481.22683270136</v>
      </c>
      <c r="L105" s="16">
        <f>'[1]资源-钻石'!V105</f>
        <v>1383111.3495159715</v>
      </c>
      <c r="M105" s="16">
        <f>'[1]资源-钻石'!W105</f>
        <v>3593492.4844675683</v>
      </c>
      <c r="N105" s="16">
        <f>'[1]资源-钻石'!X105</f>
        <v>8491834.2329143248</v>
      </c>
      <c r="P105" s="16">
        <v>102</v>
      </c>
      <c r="Q105" s="16">
        <f>'[1]功能-行军令'!N105</f>
        <v>54062.287313780289</v>
      </c>
      <c r="R105" s="16">
        <f>'[1]功能-行军令'!O105</f>
        <v>67285.805264019393</v>
      </c>
      <c r="S105" s="16">
        <f>'[1]功能-行军令'!P105</f>
        <v>73367.224953261932</v>
      </c>
      <c r="T105" s="16">
        <f>'[1]功能-行军令'!Q105</f>
        <v>59533.625843357957</v>
      </c>
      <c r="U105" s="16">
        <f>'[1]功能-行军令'!R105</f>
        <v>32296.810441252339</v>
      </c>
      <c r="V105" s="16">
        <f>'[1]功能-行军令'!S105</f>
        <v>3623.4701344707792</v>
      </c>
      <c r="W105" s="16">
        <f>'[1]功能-行军令'!T105</f>
        <v>4362.8325848179593</v>
      </c>
      <c r="X105" s="16">
        <f>'[1]功能-行军令'!U105</f>
        <v>4548.1738450043485</v>
      </c>
      <c r="Y105" s="16">
        <f>'[1]功能-行军令'!V105</f>
        <v>3707.8333396956223</v>
      </c>
      <c r="Z105" s="16">
        <f>'[1]功能-行军令'!W105</f>
        <v>2074.3097858203364</v>
      </c>
      <c r="AC105" s="21">
        <v>102</v>
      </c>
      <c r="AD105" s="21">
        <f>'[1]功能-实力'!BF106</f>
        <v>30593802</v>
      </c>
      <c r="AE105" s="21">
        <f>'[1]功能-实力'!BG106</f>
        <v>38009940</v>
      </c>
      <c r="AF105" s="21">
        <f>'[1]功能-实力'!BH106</f>
        <v>44243268</v>
      </c>
      <c r="AG105" s="21">
        <f>'[1]功能-实力'!BI106</f>
        <v>53160024</v>
      </c>
      <c r="AH105" s="21">
        <f>'[1]功能-实力'!BJ106</f>
        <v>55209306</v>
      </c>
      <c r="AL105" s="57">
        <f>[2]基础状态预期!C115</f>
        <v>42</v>
      </c>
      <c r="AM105" s="57">
        <f>[2]基础状态预期!D115</f>
        <v>59.09095196730258</v>
      </c>
      <c r="AO105" s="57">
        <f>[2]基础状态预期!F115</f>
        <v>0</v>
      </c>
      <c r="AP105" s="57">
        <f>[2]基础状态预期!G115</f>
        <v>0</v>
      </c>
      <c r="AQ105" s="57">
        <f>[2]基础状态预期!H115</f>
        <v>0</v>
      </c>
      <c r="AR105" s="57">
        <f>[2]基础状态预期!I115</f>
        <v>4</v>
      </c>
      <c r="AS105" s="57">
        <f>[2]基础状态预期!J115</f>
        <v>2</v>
      </c>
      <c r="AW105" s="16">
        <v>99</v>
      </c>
      <c r="AX105" s="16">
        <f>[1]节奏总纲!BJ102</f>
        <v>3.4999999999999978</v>
      </c>
      <c r="AY105" s="16">
        <f>[1]节奏总纲!BK102</f>
        <v>3.5699999999999976</v>
      </c>
      <c r="AZ105" s="16">
        <f>[1]节奏总纲!BL102</f>
        <v>3.7099999999999977</v>
      </c>
      <c r="BA105" s="16">
        <f>[1]节奏总纲!BM102</f>
        <v>3.9899999999999971</v>
      </c>
      <c r="BB105" s="16">
        <f>[1]节奏总纲!BN102</f>
        <v>4.8999999999999968</v>
      </c>
      <c r="BF105" s="21">
        <f>'[1]功能-行军令'!FZ103</f>
        <v>99</v>
      </c>
      <c r="BG105" s="21">
        <f>'[1]功能-行军令'!GA103*'[1]功能-行军令'!GB103</f>
        <v>536.56330931961872</v>
      </c>
    </row>
    <row r="106" spans="2:59">
      <c r="B106" s="4">
        <v>103</v>
      </c>
      <c r="C106" s="16">
        <f>'[1]资源-钻石'!L106</f>
        <v>4676633.0757755302</v>
      </c>
      <c r="D106" s="16">
        <f>'[1]资源-钻石'!M106</f>
        <v>6281002.5483988523</v>
      </c>
      <c r="E106" s="16">
        <f>'[1]资源-钻石'!N106</f>
        <v>9522610.3094585855</v>
      </c>
      <c r="F106" s="16">
        <f>'[1]资源-钻石'!O106</f>
        <v>20127010.104631633</v>
      </c>
      <c r="G106" s="16">
        <f>'[1]资源-钻石'!P106</f>
        <v>27060543.590263713</v>
      </c>
      <c r="I106" s="4">
        <v>103</v>
      </c>
      <c r="J106" s="16">
        <f>'[1]资源-钻石'!T106</f>
        <v>608516.29126805416</v>
      </c>
      <c r="K106" s="16">
        <f>'[1]资源-钻石'!U106</f>
        <v>844927.92039485974</v>
      </c>
      <c r="L106" s="16">
        <f>'[1]资源-钻石'!V106</f>
        <v>1394654.7124343459</v>
      </c>
      <c r="M106" s="16">
        <f>'[1]资源-钻石'!W106</f>
        <v>3626210.18367778</v>
      </c>
      <c r="N106" s="16">
        <f>'[1]资源-钻石'!X106</f>
        <v>8571678.702045558</v>
      </c>
      <c r="P106" s="16">
        <v>103</v>
      </c>
      <c r="Q106" s="16">
        <f>'[1]功能-行军令'!N106</f>
        <v>57945.826446198938</v>
      </c>
      <c r="R106" s="16">
        <f>'[1]功能-行军令'!O106</f>
        <v>71916.691171565428</v>
      </c>
      <c r="S106" s="16">
        <f>'[1]功能-行军令'!P106</f>
        <v>78396.798136881436</v>
      </c>
      <c r="T106" s="16">
        <f>'[1]功能-行军令'!Q106</f>
        <v>63758.296715504403</v>
      </c>
      <c r="U106" s="16">
        <f>'[1]功能-行军令'!R106</f>
        <v>34590.887066246381</v>
      </c>
      <c r="V106" s="16">
        <f>'[1]功能-行军令'!S106</f>
        <v>3883.5391324186494</v>
      </c>
      <c r="W106" s="16">
        <f>'[1]功能-行军令'!T106</f>
        <v>4630.885907546035</v>
      </c>
      <c r="X106" s="16">
        <f>'[1]功能-行军令'!U106</f>
        <v>5029.5731836195046</v>
      </c>
      <c r="Y106" s="16">
        <f>'[1]功能-行军令'!V106</f>
        <v>4224.6708721464456</v>
      </c>
      <c r="Z106" s="16">
        <f>'[1]功能-行军令'!W106</f>
        <v>2294.0766249940425</v>
      </c>
      <c r="AC106" s="21">
        <v>103</v>
      </c>
      <c r="AD106" s="21">
        <f>'[1]功能-实力'!BF107</f>
        <v>31843374</v>
      </c>
      <c r="AE106" s="21">
        <f>'[1]功能-实力'!BG107</f>
        <v>39568560</v>
      </c>
      <c r="AF106" s="21">
        <f>'[1]功能-实力'!BH107</f>
        <v>45640866</v>
      </c>
      <c r="AG106" s="21">
        <f>'[1]功能-实力'!BI107</f>
        <v>54594072</v>
      </c>
      <c r="AH106" s="21">
        <f>'[1]功能-实力'!BJ107</f>
        <v>56636340</v>
      </c>
      <c r="AL106" s="57">
        <f>[2]基础状态预期!C116</f>
        <v>62.999999999999993</v>
      </c>
      <c r="AM106" s="57">
        <f>[2]基础状态预期!D116</f>
        <v>64.819145630244321</v>
      </c>
      <c r="AO106" s="57">
        <f>[2]基础状态预期!F116</f>
        <v>0</v>
      </c>
      <c r="AP106" s="57">
        <f>[2]基础状态预期!G116</f>
        <v>0</v>
      </c>
      <c r="AQ106" s="57">
        <f>[2]基础状态预期!H116</f>
        <v>0</v>
      </c>
      <c r="AR106" s="57">
        <f>[2]基础状态预期!I116</f>
        <v>3</v>
      </c>
      <c r="AS106" s="57">
        <f>[2]基础状态预期!J116</f>
        <v>3</v>
      </c>
      <c r="AW106" s="16">
        <v>100</v>
      </c>
      <c r="AX106" s="16">
        <f>[1]节奏总纲!BJ103</f>
        <v>3.4999999999999978</v>
      </c>
      <c r="AY106" s="16">
        <f>[1]节奏总纲!BK103</f>
        <v>3.5699999999999976</v>
      </c>
      <c r="AZ106" s="16">
        <f>[1]节奏总纲!BL103</f>
        <v>3.7099999999999977</v>
      </c>
      <c r="BA106" s="16">
        <f>[1]节奏总纲!BM103</f>
        <v>3.9899999999999971</v>
      </c>
      <c r="BB106" s="16">
        <f>[1]节奏总纲!BN103</f>
        <v>4.8999999999999968</v>
      </c>
      <c r="BF106" s="21">
        <f>'[1]功能-行军令'!FZ104</f>
        <v>100</v>
      </c>
      <c r="BG106" s="21">
        <f>'[1]功能-行军令'!GA104*'[1]功能-行军令'!GB104</f>
        <v>547.29457550601114</v>
      </c>
    </row>
    <row r="107" spans="2:59">
      <c r="B107" s="4">
        <v>104</v>
      </c>
      <c r="C107" s="16">
        <f>'[1]资源-钻石'!L107</f>
        <v>4972051.3909409763</v>
      </c>
      <c r="D107" s="16">
        <f>'[1]资源-钻石'!M107</f>
        <v>6688855.2349086739</v>
      </c>
      <c r="E107" s="16">
        <f>'[1]资源-钻石'!N107</f>
        <v>10177692.110752419</v>
      </c>
      <c r="F107" s="16">
        <f>'[1]资源-钻石'!O107</f>
        <v>21585808.912013665</v>
      </c>
      <c r="G107" s="16">
        <f>'[1]资源-钻石'!P107</f>
        <v>29013419.360997062</v>
      </c>
      <c r="I107" s="4">
        <v>104</v>
      </c>
      <c r="J107" s="16">
        <f>'[1]资源-钻石'!T107</f>
        <v>612849.64905183448</v>
      </c>
      <c r="K107" s="16">
        <f>'[1]资源-钻石'!U107</f>
        <v>851374.61395701801</v>
      </c>
      <c r="L107" s="16">
        <f>'[1]资源-钻石'!V107</f>
        <v>1406198.07535272</v>
      </c>
      <c r="M107" s="16">
        <f>'[1]资源-钻石'!W107</f>
        <v>3658927.8828879916</v>
      </c>
      <c r="N107" s="16">
        <f>'[1]资源-钻石'!X107</f>
        <v>8651523.1711767912</v>
      </c>
      <c r="P107" s="16">
        <v>104</v>
      </c>
      <c r="Q107" s="16">
        <f>'[1]功能-行军令'!N107</f>
        <v>62108.100629046407</v>
      </c>
      <c r="R107" s="16">
        <f>'[1]功能-行军令'!O107</f>
        <v>77100.591068068024</v>
      </c>
      <c r="S107" s="16">
        <f>'[1]功能-行军令'!P107</f>
        <v>84212.373642924023</v>
      </c>
      <c r="T107" s="16">
        <f>'[1]功能-行军令'!Q107</f>
        <v>68504.96495861806</v>
      </c>
      <c r="U107" s="16">
        <f>'[1]功能-行军令'!R107</f>
        <v>37131.192943465336</v>
      </c>
      <c r="V107" s="16">
        <f>'[1]功能-行军令'!S107</f>
        <v>4162.2741828474682</v>
      </c>
      <c r="W107" s="16">
        <f>'[1]功能-行军令'!T107</f>
        <v>5183.8998965025967</v>
      </c>
      <c r="X107" s="16">
        <f>'[1]功能-行军令'!U107</f>
        <v>5815.5755060425872</v>
      </c>
      <c r="Y107" s="16">
        <f>'[1]功能-行军令'!V107</f>
        <v>4746.6682431136578</v>
      </c>
      <c r="Z107" s="16">
        <f>'[1]功能-行军令'!W107</f>
        <v>2540.3058772189543</v>
      </c>
      <c r="AC107" s="21">
        <v>104</v>
      </c>
      <c r="AD107" s="21">
        <f>'[1]功能-实力'!BF108</f>
        <v>33129204</v>
      </c>
      <c r="AE107" s="21">
        <f>'[1]功能-实力'!BG108</f>
        <v>41090652</v>
      </c>
      <c r="AF107" s="21">
        <f>'[1]功能-实力'!BH108</f>
        <v>47102370</v>
      </c>
      <c r="AG107" s="21">
        <f>'[1]功能-实力'!BI108</f>
        <v>56104620</v>
      </c>
      <c r="AH107" s="21">
        <f>'[1]功能-实力'!BJ108</f>
        <v>58171056</v>
      </c>
      <c r="AL107" s="57">
        <f>[2]基础状态预期!C117</f>
        <v>84</v>
      </c>
      <c r="AM107" s="57">
        <f>[2]基础状态预期!D117</f>
        <v>69.01697485309198</v>
      </c>
      <c r="AO107" s="57">
        <f>[2]基础状态预期!F117</f>
        <v>0</v>
      </c>
      <c r="AP107" s="57">
        <f>[2]基础状态预期!G117</f>
        <v>0</v>
      </c>
      <c r="AQ107" s="57">
        <f>[2]基础状态预期!H117</f>
        <v>0</v>
      </c>
      <c r="AR107" s="57">
        <f>[2]基础状态预期!I117</f>
        <v>2</v>
      </c>
      <c r="AS107" s="57">
        <f>[2]基础状态预期!J117</f>
        <v>4</v>
      </c>
      <c r="AW107" s="16">
        <v>101</v>
      </c>
      <c r="AX107" s="16">
        <f>[1]节奏总纲!BJ104</f>
        <v>3.4999999999999978</v>
      </c>
      <c r="AY107" s="16">
        <f>[1]节奏总纲!BK104</f>
        <v>3.5699999999999976</v>
      </c>
      <c r="AZ107" s="16">
        <f>[1]节奏总纲!BL104</f>
        <v>3.7099999999999977</v>
      </c>
      <c r="BA107" s="16">
        <f>[1]节奏总纲!BM104</f>
        <v>3.9899999999999971</v>
      </c>
      <c r="BB107" s="16">
        <f>[1]节奏总纲!BN104</f>
        <v>4.8999999999999968</v>
      </c>
      <c r="BF107" s="21">
        <f>'[1]功能-行军令'!FZ105</f>
        <v>101</v>
      </c>
      <c r="BG107" s="21">
        <f>'[1]功能-行军令'!GA105*'[1]功能-行军令'!GB105</f>
        <v>558.24046701613133</v>
      </c>
    </row>
    <row r="108" spans="2:59">
      <c r="B108" s="4">
        <v>105</v>
      </c>
      <c r="C108" s="16">
        <f>'[1]资源-钻石'!L108</f>
        <v>5287316.0016192785</v>
      </c>
      <c r="D108" s="16">
        <f>'[1]资源-钻石'!M108</f>
        <v>7132186.0006032009</v>
      </c>
      <c r="E108" s="16">
        <f>'[1]资源-钻石'!N108</f>
        <v>10872383.201795192</v>
      </c>
      <c r="F108" s="16">
        <f>'[1]资源-钻石'!O108</f>
        <v>23120930.445503563</v>
      </c>
      <c r="G108" s="16">
        <f>'[1]资源-钻石'!P108</f>
        <v>31050589.295172971</v>
      </c>
      <c r="I108" s="4">
        <v>105</v>
      </c>
      <c r="J108" s="16">
        <f>'[1]资源-钻石'!T108</f>
        <v>617183.0068356148</v>
      </c>
      <c r="K108" s="16">
        <f>'[1]资源-钻石'!U108</f>
        <v>857821.30751917639</v>
      </c>
      <c r="L108" s="16">
        <f>'[1]资源-钻石'!V108</f>
        <v>1417741.4382710941</v>
      </c>
      <c r="M108" s="16">
        <f>'[1]资源-钻石'!W108</f>
        <v>3691645.5820982032</v>
      </c>
      <c r="N108" s="16">
        <f>'[1]资源-钻石'!X108</f>
        <v>8731367.6403080244</v>
      </c>
      <c r="P108" s="16">
        <v>105</v>
      </c>
      <c r="Q108" s="16">
        <f>'[1]功能-行军令'!N108</f>
        <v>66569.115642022269</v>
      </c>
      <c r="R108" s="16">
        <f>'[1]功能-行军令'!O108</f>
        <v>82735.42537568738</v>
      </c>
      <c r="S108" s="16">
        <f>'[1]功能-行军令'!P108</f>
        <v>90379.585867954564</v>
      </c>
      <c r="T108" s="16">
        <f>'[1]功能-行军令'!Q108</f>
        <v>73499.973588638299</v>
      </c>
      <c r="U108" s="16">
        <f>'[1]功能-行军令'!R108</f>
        <v>39798.201071114236</v>
      </c>
      <c r="V108" s="16">
        <f>'[1]功能-行军令'!S108</f>
        <v>4461.0150129758622</v>
      </c>
      <c r="W108" s="16">
        <f>'[1]功能-行军令'!T108</f>
        <v>5634.834307619356</v>
      </c>
      <c r="X108" s="16">
        <f>'[1]功能-行军令'!U108</f>
        <v>6167.2122250305401</v>
      </c>
      <c r="Y108" s="16">
        <f>'[1]功能-行军令'!V108</f>
        <v>4995.0086300202383</v>
      </c>
      <c r="Z108" s="16">
        <f>'[1]功能-行军令'!W108</f>
        <v>2667.0081276489</v>
      </c>
      <c r="AC108" s="21">
        <v>105</v>
      </c>
      <c r="AD108" s="21">
        <f>'[1]功能-实力'!BF109</f>
        <v>34317504</v>
      </c>
      <c r="AE108" s="21">
        <f>'[1]功能-实力'!BG109</f>
        <v>42634938</v>
      </c>
      <c r="AF108" s="21">
        <f>'[1]功能-实力'!BH109</f>
        <v>48616944</v>
      </c>
      <c r="AG108" s="21">
        <f>'[1]功能-实力'!BI109</f>
        <v>57633126</v>
      </c>
      <c r="AH108" s="21">
        <f>'[1]功能-实力'!BJ109</f>
        <v>59767812</v>
      </c>
      <c r="AL108" s="57">
        <f>[2]基础状态预期!C118</f>
        <v>105</v>
      </c>
      <c r="AM108" s="57">
        <f>[2]基础状态预期!D118</f>
        <v>72.23150684883845</v>
      </c>
      <c r="AO108" s="57">
        <f>[2]基础状态预期!F118</f>
        <v>0</v>
      </c>
      <c r="AP108" s="57">
        <f>[2]基础状态预期!G118</f>
        <v>0</v>
      </c>
      <c r="AQ108" s="57">
        <f>[2]基础状态预期!H118</f>
        <v>0</v>
      </c>
      <c r="AR108" s="57">
        <f>[2]基础状态预期!I118</f>
        <v>1</v>
      </c>
      <c r="AS108" s="57">
        <f>[2]基础状态预期!J118</f>
        <v>5</v>
      </c>
      <c r="AW108" s="16">
        <v>102</v>
      </c>
      <c r="AX108" s="16">
        <f>[1]节奏总纲!BJ105</f>
        <v>3.4999999999999978</v>
      </c>
      <c r="AY108" s="16">
        <f>[1]节奏总纲!BK105</f>
        <v>3.5699999999999976</v>
      </c>
      <c r="AZ108" s="16">
        <f>[1]节奏总纲!BL105</f>
        <v>3.7099999999999977</v>
      </c>
      <c r="BA108" s="16">
        <f>[1]节奏总纲!BM105</f>
        <v>3.9899999999999971</v>
      </c>
      <c r="BB108" s="16">
        <f>[1]节奏总纲!BN105</f>
        <v>4.8999999999999968</v>
      </c>
      <c r="BF108" s="21">
        <f>'[1]功能-行军令'!FZ106</f>
        <v>102</v>
      </c>
      <c r="BG108" s="21">
        <f>'[1]功能-行军令'!GA106*'[1]功能-行军令'!GB106</f>
        <v>569.40527635645401</v>
      </c>
    </row>
    <row r="109" spans="2:59">
      <c r="B109" s="4">
        <v>106</v>
      </c>
      <c r="C109" s="16">
        <f>'[1]资源-钻石'!L109</f>
        <v>5606950.2951373328</v>
      </c>
      <c r="D109" s="16">
        <f>'[1]资源-钻石'!M109</f>
        <v>7604613.8868121523</v>
      </c>
      <c r="E109" s="16">
        <f>'[1]资源-钻石'!N109</f>
        <v>11605174.657679331</v>
      </c>
      <c r="F109" s="16">
        <f>'[1]资源-钻石'!O109</f>
        <v>24712641.577476706</v>
      </c>
      <c r="G109" s="16">
        <f>'[1]资源-钻石'!P109</f>
        <v>33111940.714318942</v>
      </c>
      <c r="I109" s="4">
        <v>106</v>
      </c>
      <c r="J109" s="16">
        <f>'[1]资源-钻石'!T109</f>
        <v>621516.36461939523</v>
      </c>
      <c r="K109" s="16">
        <f>'[1]资源-钻石'!U109</f>
        <v>864268.00108133478</v>
      </c>
      <c r="L109" s="16">
        <f>'[1]资源-钻石'!V109</f>
        <v>1429284.8011894682</v>
      </c>
      <c r="M109" s="16">
        <f>'[1]资源-钻石'!W109</f>
        <v>3724363.2813084149</v>
      </c>
      <c r="N109" s="16">
        <f>'[1]资源-钻石'!X109</f>
        <v>8811212.1094392557</v>
      </c>
      <c r="P109" s="16">
        <v>106</v>
      </c>
      <c r="Q109" s="16">
        <f>'[1]功能-行军令'!N109</f>
        <v>71350.313148905741</v>
      </c>
      <c r="R109" s="16">
        <f>'[1]功能-行军令'!O109</f>
        <v>88740.090666434582</v>
      </c>
      <c r="S109" s="16">
        <f>'[1]功能-行军令'!P109</f>
        <v>96885.039131134996</v>
      </c>
      <c r="T109" s="16">
        <f>'[1]功能-行军令'!Q109</f>
        <v>78731.037716030813</v>
      </c>
      <c r="U109" s="16">
        <f>'[1]功能-行军令'!R109</f>
        <v>42496.866948993898</v>
      </c>
      <c r="V109" s="16">
        <f>'[1]功能-行军令'!S109</f>
        <v>4781.1975068834727</v>
      </c>
      <c r="W109" s="16">
        <f>'[1]功能-行军令'!T109</f>
        <v>6004.6652907472017</v>
      </c>
      <c r="X109" s="16">
        <f>'[1]功能-行军令'!U109</f>
        <v>6505.4532631804323</v>
      </c>
      <c r="Y109" s="16">
        <f>'[1]功能-行军令'!V109</f>
        <v>5231.0641273925139</v>
      </c>
      <c r="Z109" s="16">
        <f>'[1]功能-行军令'!W109</f>
        <v>2698.6658778796627</v>
      </c>
      <c r="AC109" s="21">
        <v>106</v>
      </c>
      <c r="AD109" s="21">
        <f>'[1]功能-实力'!BF110</f>
        <v>35566662</v>
      </c>
      <c r="AE109" s="21">
        <f>'[1]功能-实力'!BG110</f>
        <v>44054688</v>
      </c>
      <c r="AF109" s="21">
        <f>'[1]功能-实力'!BH110</f>
        <v>50141880</v>
      </c>
      <c r="AG109" s="21">
        <f>'[1]功能-实力'!BI110</f>
        <v>59210448</v>
      </c>
      <c r="AH109" s="21">
        <f>'[1]功能-实力'!BJ110</f>
        <v>61224870</v>
      </c>
      <c r="AL109" s="57">
        <f>[2]基础状态预期!C119</f>
        <v>125.99999999999999</v>
      </c>
      <c r="AM109" s="57">
        <f>[2]基础状态预期!D119</f>
        <v>74.840792411391348</v>
      </c>
      <c r="AO109" s="57">
        <f>[2]基础状态预期!F119</f>
        <v>0</v>
      </c>
      <c r="AP109" s="57">
        <f>[2]基础状态预期!G119</f>
        <v>0</v>
      </c>
      <c r="AQ109" s="57">
        <f>[2]基础状态预期!H119</f>
        <v>0</v>
      </c>
      <c r="AR109" s="57">
        <f>[2]基础状态预期!I119</f>
        <v>0.5</v>
      </c>
      <c r="AS109" s="57">
        <f>[2]基础状态预期!J119</f>
        <v>5.5</v>
      </c>
      <c r="AW109" s="16">
        <v>103</v>
      </c>
      <c r="AX109" s="16">
        <f>[1]节奏总纲!BJ106</f>
        <v>3.4999999999999978</v>
      </c>
      <c r="AY109" s="16">
        <f>[1]节奏总纲!BK106</f>
        <v>3.5699999999999976</v>
      </c>
      <c r="AZ109" s="16">
        <f>[1]节奏总纲!BL106</f>
        <v>3.7099999999999977</v>
      </c>
      <c r="BA109" s="16">
        <f>[1]节奏总纲!BM106</f>
        <v>3.9899999999999971</v>
      </c>
      <c r="BB109" s="16">
        <f>[1]节奏总纲!BN106</f>
        <v>4.8999999999999968</v>
      </c>
      <c r="BF109" s="21">
        <f>'[1]功能-行军令'!FZ107</f>
        <v>103</v>
      </c>
      <c r="BG109" s="21">
        <f>'[1]功能-行军令'!GA107*'[1]功能-行军令'!GB107</f>
        <v>580.79338188358304</v>
      </c>
    </row>
    <row r="110" spans="2:59">
      <c r="B110" s="4">
        <v>107</v>
      </c>
      <c r="C110" s="16">
        <f>'[1]资源-钻石'!L110</f>
        <v>5949525.8486465234</v>
      </c>
      <c r="D110" s="16">
        <f>'[1]资源-钻石'!M110</f>
        <v>8102538.543933766</v>
      </c>
      <c r="E110" s="16">
        <f>'[1]资源-钻石'!N110</f>
        <v>12394083.626977185</v>
      </c>
      <c r="F110" s="16">
        <f>'[1]资源-钻石'!O110</f>
        <v>26331833.469624061</v>
      </c>
      <c r="G110" s="16">
        <f>'[1]资源-钻石'!P110</f>
        <v>35286312.889212817</v>
      </c>
      <c r="I110" s="4">
        <v>107</v>
      </c>
      <c r="J110" s="16">
        <f>'[1]资源-钻石'!T110</f>
        <v>625849.72240317555</v>
      </c>
      <c r="K110" s="16">
        <f>'[1]资源-钻石'!U110</f>
        <v>870714.69464349304</v>
      </c>
      <c r="L110" s="16">
        <f>'[1]资源-钻石'!V110</f>
        <v>1440828.1641078424</v>
      </c>
      <c r="M110" s="16">
        <f>'[1]资源-钻石'!W110</f>
        <v>3757080.9805186265</v>
      </c>
      <c r="N110" s="16">
        <f>'[1]资源-钻石'!X110</f>
        <v>8891056.5785704888</v>
      </c>
      <c r="P110" s="16">
        <v>107</v>
      </c>
      <c r="Q110" s="16">
        <f>'[1]功能-行军令'!N110</f>
        <v>76474.673755928176</v>
      </c>
      <c r="R110" s="16">
        <f>'[1]功能-行军令'!O110</f>
        <v>95068.825682519018</v>
      </c>
      <c r="S110" s="16">
        <f>'[1]功能-行军令'!P110</f>
        <v>103888.68305664834</v>
      </c>
      <c r="T110" s="16">
        <f>'[1]功能-行军令'!Q110</f>
        <v>84060.13014606238</v>
      </c>
      <c r="U110" s="16">
        <f>'[1]功能-行军令'!R110</f>
        <v>45343.496562797547</v>
      </c>
      <c r="V110" s="16">
        <f>'[1]功能-行军令'!S110</f>
        <v>5124.3606070224341</v>
      </c>
      <c r="W110" s="16">
        <f>'[1]功能-行军令'!T110</f>
        <v>6328.7350160844362</v>
      </c>
      <c r="X110" s="16">
        <f>'[1]功能-行军令'!U110</f>
        <v>7003.6439255133446</v>
      </c>
      <c r="Y110" s="16">
        <f>'[1]功能-行军令'!V110</f>
        <v>5329.0924300315673</v>
      </c>
      <c r="Z110" s="16">
        <f>'[1]功能-行军令'!W110</f>
        <v>2846.6296138036487</v>
      </c>
      <c r="AC110" s="21">
        <v>107</v>
      </c>
      <c r="AD110" s="21">
        <f>'[1]功能-实力'!BF111</f>
        <v>36864570</v>
      </c>
      <c r="AE110" s="21">
        <f>'[1]功能-实力'!BG111</f>
        <v>45500322</v>
      </c>
      <c r="AF110" s="21">
        <f>'[1]功能-实力'!BH111</f>
        <v>51598524</v>
      </c>
      <c r="AG110" s="21">
        <f>'[1]功能-实力'!BI111</f>
        <v>60739788</v>
      </c>
      <c r="AH110" s="21">
        <f>'[1]功能-实力'!BJ111</f>
        <v>62672808</v>
      </c>
      <c r="AL110" s="57">
        <f>[2]基础状态预期!C120</f>
        <v>154</v>
      </c>
      <c r="AM110" s="57">
        <f>[2]基础状态预期!D120</f>
        <v>77.697893604818219</v>
      </c>
      <c r="AO110" s="57">
        <f>[2]基础状态预期!F120</f>
        <v>0</v>
      </c>
      <c r="AP110" s="57">
        <f>[2]基础状态预期!G120</f>
        <v>0</v>
      </c>
      <c r="AQ110" s="57">
        <f>[2]基础状态预期!H120</f>
        <v>0</v>
      </c>
      <c r="AR110" s="57">
        <f>[2]基础状态预期!I120</f>
        <v>0</v>
      </c>
      <c r="AS110" s="57">
        <f>[2]基础状态预期!J120</f>
        <v>6</v>
      </c>
      <c r="AW110" s="16">
        <v>104</v>
      </c>
      <c r="AX110" s="16">
        <f>[1]节奏总纲!BJ107</f>
        <v>3.4999999999999978</v>
      </c>
      <c r="AY110" s="16">
        <f>[1]节奏总纲!BK107</f>
        <v>3.5699999999999976</v>
      </c>
      <c r="AZ110" s="16">
        <f>[1]节奏总纲!BL107</f>
        <v>3.7099999999999977</v>
      </c>
      <c r="BA110" s="16">
        <f>[1]节奏总纲!BM107</f>
        <v>3.9899999999999971</v>
      </c>
      <c r="BB110" s="16">
        <f>[1]节奏总纲!BN107</f>
        <v>4.8999999999999968</v>
      </c>
      <c r="BF110" s="21">
        <f>'[1]功能-行军令'!FZ108</f>
        <v>104</v>
      </c>
      <c r="BG110" s="21">
        <f>'[1]功能-行军令'!GA108*'[1]功能-行军令'!GB108</f>
        <v>592.40924952125476</v>
      </c>
    </row>
    <row r="111" spans="2:59">
      <c r="B111" s="4">
        <v>108</v>
      </c>
      <c r="C111" s="16">
        <f>'[1]资源-钻石'!L111</f>
        <v>6316689.235811362</v>
      </c>
      <c r="D111" s="16">
        <f>'[1]资源-钻石'!M111</f>
        <v>8622841.4403145257</v>
      </c>
      <c r="E111" s="16">
        <f>'[1]资源-钻石'!N111</f>
        <v>13177881.008156372</v>
      </c>
      <c r="F111" s="16">
        <f>'[1]资源-钻石'!O111</f>
        <v>28071289.739956029</v>
      </c>
      <c r="G111" s="16">
        <f>'[1]资源-钻石'!P111</f>
        <v>37717621.249749318</v>
      </c>
      <c r="I111" s="4">
        <v>108</v>
      </c>
      <c r="J111" s="16">
        <f>'[1]资源-钻石'!T111</f>
        <v>630183.08018695586</v>
      </c>
      <c r="K111" s="16">
        <f>'[1]资源-钻石'!U111</f>
        <v>877161.38820565143</v>
      </c>
      <c r="L111" s="16">
        <f>'[1]资源-钻石'!V111</f>
        <v>1452371.5270262167</v>
      </c>
      <c r="M111" s="16">
        <f>'[1]资源-钻石'!W111</f>
        <v>3789798.6797288381</v>
      </c>
      <c r="N111" s="16">
        <f>'[1]资源-钻石'!X111</f>
        <v>8970901.047701722</v>
      </c>
      <c r="P111" s="16">
        <v>108</v>
      </c>
      <c r="Q111" s="16">
        <f>'[1]功能-行军令'!N111</f>
        <v>81966.827467001276</v>
      </c>
      <c r="R111" s="16">
        <f>'[1]功能-行军令'!O111</f>
        <v>101896.34881058118</v>
      </c>
      <c r="S111" s="16">
        <f>'[1]功能-行军令'!P111</f>
        <v>110846.94818122237</v>
      </c>
      <c r="T111" s="16">
        <f>'[1]功能-行军令'!Q111</f>
        <v>89785.037297310293</v>
      </c>
      <c r="U111" s="16">
        <f>'[1]功能-行军令'!R111</f>
        <v>48526.500125529114</v>
      </c>
      <c r="V111" s="16">
        <f>'[1]功能-行军令'!S111</f>
        <v>5492.1537110731006</v>
      </c>
      <c r="W111" s="16">
        <f>'[1]功能-行军令'!T111</f>
        <v>6827.5231280621665</v>
      </c>
      <c r="X111" s="16">
        <f>'[1]功能-行军令'!U111</f>
        <v>6958.2651245740271</v>
      </c>
      <c r="Y111" s="16">
        <f>'[1]功能-行军令'!V111</f>
        <v>5724.9071512479131</v>
      </c>
      <c r="Z111" s="16">
        <f>'[1]功能-行军令'!W111</f>
        <v>3183.0035627315665</v>
      </c>
      <c r="AC111" s="21">
        <v>108</v>
      </c>
      <c r="AD111" s="21">
        <f>'[1]功能-实力'!BF112</f>
        <v>38184822</v>
      </c>
      <c r="AE111" s="21">
        <f>'[1]功能-实力'!BG112</f>
        <v>46986714</v>
      </c>
      <c r="AF111" s="21">
        <f>'[1]功能-实力'!BH112</f>
        <v>53021196</v>
      </c>
      <c r="AG111" s="21">
        <f>'[1]功能-实力'!BI112</f>
        <v>62188602</v>
      </c>
      <c r="AH111" s="21">
        <f>'[1]功能-实力'!BJ112</f>
        <v>64131576</v>
      </c>
      <c r="AL111" s="57">
        <f>[2]基础状态预期!C121</f>
        <v>182</v>
      </c>
      <c r="AM111" s="57">
        <f>[2]基础状态预期!D121</f>
        <v>80.134867890916794</v>
      </c>
      <c r="AO111" s="57">
        <f>[2]基础状态预期!F121</f>
        <v>0</v>
      </c>
      <c r="AP111" s="57">
        <f>[2]基础状态预期!G121</f>
        <v>0</v>
      </c>
      <c r="AQ111" s="57">
        <f>[2]基础状态预期!H121</f>
        <v>0</v>
      </c>
      <c r="AR111" s="57">
        <f>[2]基础状态预期!I121</f>
        <v>0</v>
      </c>
      <c r="AS111" s="57">
        <f>[2]基础状态预期!J121</f>
        <v>6</v>
      </c>
      <c r="AW111" s="16">
        <v>105</v>
      </c>
      <c r="AX111" s="16">
        <f>[1]节奏总纲!BJ108</f>
        <v>3.4999999999999978</v>
      </c>
      <c r="AY111" s="16">
        <f>[1]节奏总纲!BK108</f>
        <v>3.5699999999999976</v>
      </c>
      <c r="AZ111" s="16">
        <f>[1]节奏总纲!BL108</f>
        <v>3.7099999999999977</v>
      </c>
      <c r="BA111" s="16">
        <f>[1]节奏总纲!BM108</f>
        <v>3.9899999999999971</v>
      </c>
      <c r="BB111" s="16">
        <f>[1]节奏总纲!BN108</f>
        <v>4.8999999999999968</v>
      </c>
      <c r="BF111" s="21">
        <f>'[1]功能-行军令'!FZ109</f>
        <v>105</v>
      </c>
      <c r="BG111" s="21">
        <f>'[1]功能-行军令'!GA109*'[1]功能-行军令'!GB109</f>
        <v>604.25743451167989</v>
      </c>
    </row>
    <row r="112" spans="2:59">
      <c r="B112" s="1">
        <v>109</v>
      </c>
      <c r="C112" s="16">
        <f>'[1]资源-钻石'!L112</f>
        <v>6710205.2105895681</v>
      </c>
      <c r="D112" s="16">
        <f>'[1]资源-钻石'!M112</f>
        <v>9148705.5819281265</v>
      </c>
      <c r="E112" s="16">
        <f>'[1]资源-钻石'!N112</f>
        <v>14033442.609875198</v>
      </c>
      <c r="F112" s="16">
        <f>'[1]资源-钻石'!O112</f>
        <v>29952688.924554098</v>
      </c>
      <c r="G112" s="16">
        <f>'[1]资源-钻石'!P112</f>
        <v>40349455.46125254</v>
      </c>
      <c r="I112" s="1">
        <v>109</v>
      </c>
      <c r="J112" s="16">
        <f>'[1]资源-钻石'!T112</f>
        <v>634516.43797073618</v>
      </c>
      <c r="K112" s="16">
        <f>'[1]资源-钻石'!U112</f>
        <v>883608.08176780981</v>
      </c>
      <c r="L112" s="16">
        <f>'[1]资源-钻石'!V112</f>
        <v>1463914.8899445909</v>
      </c>
      <c r="M112" s="16">
        <f>'[1]资源-钻石'!W112</f>
        <v>3822516.3789390498</v>
      </c>
      <c r="N112" s="16">
        <f>'[1]资源-钻石'!X112</f>
        <v>9050745.5168329552</v>
      </c>
      <c r="P112" s="16">
        <v>109</v>
      </c>
      <c r="Q112" s="16">
        <f>'[1]功能-行军令'!N112</f>
        <v>87853.172066699568</v>
      </c>
      <c r="R112" s="16">
        <f>'[1]功能-行军令'!O112</f>
        <v>108855.61876018409</v>
      </c>
      <c r="S112" s="16">
        <f>'[1]功能-行军令'!P112</f>
        <v>118442.30968422769</v>
      </c>
      <c r="T112" s="16">
        <f>'[1]功能-行军令'!Q112</f>
        <v>95977.107675832609</v>
      </c>
      <c r="U112" s="16">
        <f>'[1]功能-行军令'!R112</f>
        <v>51972.026743092792</v>
      </c>
      <c r="V112" s="16">
        <f>'[1]功能-行军令'!S112</f>
        <v>5886.3445996982919</v>
      </c>
      <c r="W112" s="16">
        <f>'[1]功能-行军令'!T112</f>
        <v>6959.269949602909</v>
      </c>
      <c r="X112" s="16">
        <f>'[1]功能-行军令'!U112</f>
        <v>7595.3615030053188</v>
      </c>
      <c r="Y112" s="16">
        <f>'[1]功能-行军令'!V112</f>
        <v>6192.0703785223159</v>
      </c>
      <c r="Z112" s="16">
        <f>'[1]功能-行军令'!W112</f>
        <v>3445.5266175636789</v>
      </c>
      <c r="AC112" s="21">
        <v>109</v>
      </c>
      <c r="AD112" s="21">
        <f>'[1]功能-实力'!BF113</f>
        <v>39549222</v>
      </c>
      <c r="AE112" s="21">
        <f>'[1]功能-实力'!BG113</f>
        <v>48483138</v>
      </c>
      <c r="AF112" s="21">
        <f>'[1]功能-实力'!BH113</f>
        <v>54495672</v>
      </c>
      <c r="AG112" s="21">
        <f>'[1]功能-实力'!BI113</f>
        <v>63660042</v>
      </c>
      <c r="AH112" s="21">
        <f>'[1]功能-实力'!BJ113</f>
        <v>65634492</v>
      </c>
      <c r="AL112" s="57">
        <f>[2]基础状态预期!C122</f>
        <v>210</v>
      </c>
      <c r="AM112" s="57">
        <f>[2]基础状态预期!D122</f>
        <v>82.238672852681816</v>
      </c>
      <c r="AO112" s="57">
        <f>[2]基础状态预期!F122</f>
        <v>0</v>
      </c>
      <c r="AP112" s="57">
        <f>[2]基础状态预期!G122</f>
        <v>0</v>
      </c>
      <c r="AQ112" s="57">
        <f>[2]基础状态预期!H122</f>
        <v>0</v>
      </c>
      <c r="AR112" s="57">
        <f>[2]基础状态预期!I122</f>
        <v>0</v>
      </c>
      <c r="AS112" s="57">
        <f>[2]基础状态预期!J122</f>
        <v>6</v>
      </c>
      <c r="AW112" s="16">
        <v>106</v>
      </c>
      <c r="AX112" s="16">
        <f>[1]节奏总纲!BJ109</f>
        <v>3.4999999999999978</v>
      </c>
      <c r="AY112" s="16">
        <f>[1]节奏总纲!BK109</f>
        <v>3.5699999999999976</v>
      </c>
      <c r="AZ112" s="16">
        <f>[1]节奏总纲!BL109</f>
        <v>3.7099999999999977</v>
      </c>
      <c r="BA112" s="16">
        <f>[1]节奏总纲!BM109</f>
        <v>3.9899999999999971</v>
      </c>
      <c r="BB112" s="16">
        <f>[1]节奏总纲!BN109</f>
        <v>4.8999999999999968</v>
      </c>
      <c r="BF112" s="21">
        <f>'[1]功能-行军令'!FZ110</f>
        <v>106</v>
      </c>
      <c r="BG112" s="21">
        <f>'[1]功能-行军令'!GA110*'[1]功能-行军令'!GB110</f>
        <v>616.34258320191338</v>
      </c>
    </row>
    <row r="113" spans="2:59">
      <c r="B113" s="1">
        <v>110</v>
      </c>
      <c r="C113" s="16">
        <f>'[1]资源-钻石'!L113</f>
        <v>7131965.1894409508</v>
      </c>
      <c r="D113" s="16">
        <f>'[1]资源-钻石'!M113</f>
        <v>9739385.1666944623</v>
      </c>
      <c r="E113" s="16">
        <f>'[1]资源-钻石'!N113</f>
        <v>15014601.77485897</v>
      </c>
      <c r="F113" s="16">
        <f>'[1]资源-钻石'!O113</f>
        <v>32130101.013103947</v>
      </c>
      <c r="G113" s="16">
        <f>'[1]资源-钻石'!P113</f>
        <v>43296865.536363885</v>
      </c>
      <c r="I113" s="1">
        <v>110</v>
      </c>
      <c r="J113" s="16">
        <f>'[1]资源-钻石'!T113</f>
        <v>638849.7957545165</v>
      </c>
      <c r="K113" s="16">
        <f>'[1]资源-钻石'!U113</f>
        <v>890054.77532996819</v>
      </c>
      <c r="L113" s="16">
        <f>'[1]资源-钻石'!V113</f>
        <v>1475458.252862965</v>
      </c>
      <c r="M113" s="16">
        <f>'[1]资源-钻石'!W113</f>
        <v>3855234.0781492614</v>
      </c>
      <c r="N113" s="16">
        <f>'[1]资源-钻石'!X113</f>
        <v>9130589.9859641884</v>
      </c>
      <c r="P113" s="16">
        <v>110</v>
      </c>
      <c r="Q113" s="16">
        <f>'[1]功能-行军令'!N113</f>
        <v>94162</v>
      </c>
      <c r="R113" s="16">
        <f>'[1]功能-行军令'!O113</f>
        <v>116672.65430000001</v>
      </c>
      <c r="S113" s="16">
        <f>'[1]功能-行军令'!P113</f>
        <v>127152.68019999999</v>
      </c>
      <c r="T113" s="16">
        <f>'[1]功能-行军令'!Q113</f>
        <v>103143.41720000001</v>
      </c>
      <c r="U113" s="16">
        <f>'[1]功能-行军令'!R113</f>
        <v>55830.696799999991</v>
      </c>
      <c r="V113" s="16">
        <f>'[1]功能-行军令'!S113</f>
        <v>6308.8279333004321</v>
      </c>
      <c r="W113" s="16">
        <f>'[1]功能-行军令'!T113</f>
        <v>7817.0355398159154</v>
      </c>
      <c r="X113" s="16">
        <f>'[1]功能-行军令'!U113</f>
        <v>8710.3705157723016</v>
      </c>
      <c r="Y113" s="16">
        <f>'[1]功能-行军令'!V113</f>
        <v>7166.3095241674018</v>
      </c>
      <c r="Z113" s="16">
        <f>'[1]功能-行军令'!W113</f>
        <v>3858.6700569071982</v>
      </c>
      <c r="AC113" s="21">
        <v>110</v>
      </c>
      <c r="AD113" s="21">
        <f>'[1]功能-实力'!BF114</f>
        <v>40933854</v>
      </c>
      <c r="AE113" s="21">
        <f>'[1]功能-实力'!BG114</f>
        <v>50029830</v>
      </c>
      <c r="AF113" s="21">
        <f>'[1]功能-实力'!BH114</f>
        <v>56013246</v>
      </c>
      <c r="AG113" s="21">
        <f>'[1]功能-实力'!BI114</f>
        <v>65189592</v>
      </c>
      <c r="AH113" s="21">
        <f>'[1]功能-实力'!BJ114</f>
        <v>67275450</v>
      </c>
      <c r="AL113" s="57">
        <f>[2]基础状态预期!C123</f>
        <v>237.99999999999997</v>
      </c>
      <c r="AM113" s="57">
        <f>[2]基础状态预期!D123</f>
        <v>84.043767921022209</v>
      </c>
      <c r="AO113" s="57">
        <f>[2]基础状态预期!F123</f>
        <v>0</v>
      </c>
      <c r="AP113" s="57">
        <f>[2]基础状态预期!G123</f>
        <v>0</v>
      </c>
      <c r="AQ113" s="57">
        <f>[2]基础状态预期!H123</f>
        <v>0</v>
      </c>
      <c r="AR113" s="57">
        <f>[2]基础状态预期!I123</f>
        <v>0</v>
      </c>
      <c r="AS113" s="57">
        <f>[2]基础状态预期!J123</f>
        <v>6</v>
      </c>
      <c r="AW113" s="16">
        <v>107</v>
      </c>
      <c r="AX113" s="16">
        <f>[1]节奏总纲!BJ110</f>
        <v>3.4999999999999978</v>
      </c>
      <c r="AY113" s="16">
        <f>[1]节奏总纲!BK110</f>
        <v>3.5699999999999976</v>
      </c>
      <c r="AZ113" s="16">
        <f>[1]节奏总纲!BL110</f>
        <v>3.7099999999999977</v>
      </c>
      <c r="BA113" s="16">
        <f>[1]节奏总纲!BM110</f>
        <v>3.9899999999999971</v>
      </c>
      <c r="BB113" s="16">
        <f>[1]节奏总纲!BN110</f>
        <v>4.8999999999999968</v>
      </c>
      <c r="BF113" s="21">
        <f>'[1]功能-行军令'!FZ111</f>
        <v>107</v>
      </c>
      <c r="BG113" s="21">
        <f>'[1]功能-行军令'!GA111*'[1]功能-行军令'!GB111</f>
        <v>628.66943486595164</v>
      </c>
    </row>
    <row r="114" spans="2:59">
      <c r="B114" s="1">
        <v>111</v>
      </c>
      <c r="C114" s="16">
        <f>'[1]资源-钻石'!L114</f>
        <v>7583996.3423337257</v>
      </c>
      <c r="D114" s="16">
        <f>'[1]资源-钻石'!M114</f>
        <v>10385788.975014254</v>
      </c>
      <c r="E114" s="16">
        <f>'[1]资源-钻石'!N114</f>
        <v>16058461.400235761</v>
      </c>
      <c r="F114" s="16">
        <f>'[1]资源-钻石'!O114</f>
        <v>34483509.107027754</v>
      </c>
      <c r="G114" s="16">
        <f>'[1]资源-钻石'!P114</f>
        <v>46531809.109250382</v>
      </c>
      <c r="I114" s="4">
        <v>111</v>
      </c>
      <c r="J114" s="16">
        <f>'[1]资源-钻石'!T114</f>
        <v>643183.15353829681</v>
      </c>
      <c r="K114" s="16">
        <f>'[1]资源-钻石'!U114</f>
        <v>896501.46889212646</v>
      </c>
      <c r="L114" s="16">
        <f>'[1]资源-钻石'!V114</f>
        <v>1487001.6157813391</v>
      </c>
      <c r="M114" s="16">
        <f>'[1]资源-钻石'!W114</f>
        <v>3887951.7773594731</v>
      </c>
      <c r="N114" s="16">
        <f>'[1]资源-钻石'!X114</f>
        <v>9210434.4550954197</v>
      </c>
      <c r="P114" s="16">
        <v>111</v>
      </c>
      <c r="Q114" s="16">
        <f>'[1]功能-行军令'!N114</f>
        <v>100923.63435861902</v>
      </c>
      <c r="R114" s="16">
        <f>'[1]功能-行军令'!O114</f>
        <v>125227.14250820011</v>
      </c>
      <c r="S114" s="16">
        <f>'[1]功能-行军令'!P114</f>
        <v>136542.87591185258</v>
      </c>
      <c r="T114" s="16">
        <f>'[1]功能-行军令'!Q114</f>
        <v>110888.96565471216</v>
      </c>
      <c r="U114" s="16">
        <f>'[1]功能-行军令'!R114</f>
        <v>60065.79798455775</v>
      </c>
      <c r="V114" s="16">
        <f>'[1]功能-行军令'!S114</f>
        <v>6761.6343586190196</v>
      </c>
      <c r="W114" s="16">
        <f>'[1]功能-行军令'!T114</f>
        <v>8554.4882082000986</v>
      </c>
      <c r="X114" s="16">
        <f>'[1]功能-行军令'!U114</f>
        <v>9390.1957118525897</v>
      </c>
      <c r="Y114" s="16">
        <f>'[1]功能-行军令'!V114</f>
        <v>7745.548454712145</v>
      </c>
      <c r="Z114" s="16">
        <f>'[1]功能-行军令'!W114</f>
        <v>4235.1011845577596</v>
      </c>
      <c r="AC114" s="21">
        <v>111</v>
      </c>
      <c r="AD114" s="21">
        <f>'[1]功能-实力'!BF115</f>
        <v>42433902</v>
      </c>
      <c r="AE114" s="21">
        <f>'[1]功能-实力'!BG115</f>
        <v>51414678</v>
      </c>
      <c r="AF114" s="21">
        <f>'[1]功能-实力'!BH115</f>
        <v>57675132</v>
      </c>
      <c r="AG114" s="21">
        <f>'[1]功能-实力'!BI115</f>
        <v>66742326</v>
      </c>
      <c r="AH114" s="21">
        <f>'[1]功能-实力'!BJ115</f>
        <v>69008196</v>
      </c>
      <c r="AL114" s="57">
        <f>[2]基础状态预期!C124</f>
        <v>280</v>
      </c>
      <c r="AM114" s="57">
        <f>[2]基础状态预期!D124</f>
        <v>86.385105215793828</v>
      </c>
      <c r="AO114" s="57">
        <f>[2]基础状态预期!F124</f>
        <v>0</v>
      </c>
      <c r="AP114" s="57">
        <f>[2]基础状态预期!G124</f>
        <v>0</v>
      </c>
      <c r="AQ114" s="57">
        <f>[2]基础状态预期!H124</f>
        <v>0</v>
      </c>
      <c r="AR114" s="57">
        <f>[2]基础状态预期!I124</f>
        <v>0</v>
      </c>
      <c r="AS114" s="57">
        <f>[2]基础状态预期!J124</f>
        <v>6</v>
      </c>
      <c r="AW114" s="16">
        <v>108</v>
      </c>
      <c r="AX114" s="16">
        <f>[1]节奏总纲!BJ111</f>
        <v>3.4999999999999978</v>
      </c>
      <c r="AY114" s="16">
        <f>[1]节奏总纲!BK111</f>
        <v>3.5699999999999976</v>
      </c>
      <c r="AZ114" s="16">
        <f>[1]节奏总纲!BL111</f>
        <v>3.7099999999999977</v>
      </c>
      <c r="BA114" s="16">
        <f>[1]节奏总纲!BM111</f>
        <v>3.9899999999999971</v>
      </c>
      <c r="BB114" s="16">
        <f>[1]节奏总纲!BN111</f>
        <v>4.8999999999999968</v>
      </c>
      <c r="BF114" s="21">
        <f>'[1]功能-行军令'!FZ112</f>
        <v>108</v>
      </c>
      <c r="BG114" s="21">
        <f>'[1]功能-行军令'!GA112*'[1]功能-行军令'!GB112</f>
        <v>641.24282356327069</v>
      </c>
    </row>
    <row r="115" spans="2:59">
      <c r="B115" s="1">
        <v>112</v>
      </c>
      <c r="C115" s="16">
        <f>'[1]资源-钻石'!L115</f>
        <v>8068471.336243894</v>
      </c>
      <c r="D115" s="16">
        <f>'[1]资源-钻石'!M115</f>
        <v>11072401.862657852</v>
      </c>
      <c r="E115" s="16">
        <f>'[1]资源-钻石'!N115</f>
        <v>17149937.536610078</v>
      </c>
      <c r="F115" s="16">
        <f>'[1]资源-钻石'!O115</f>
        <v>36946995.110363379</v>
      </c>
      <c r="G115" s="16">
        <f>'[1]资源-钻石'!P115</f>
        <v>49678321.037087649</v>
      </c>
      <c r="I115" s="4">
        <v>112</v>
      </c>
      <c r="J115" s="16">
        <f>'[1]资源-钻石'!T115</f>
        <v>647516.51132207713</v>
      </c>
      <c r="K115" s="16">
        <f>'[1]资源-钻石'!U115</f>
        <v>902948.16245428484</v>
      </c>
      <c r="L115" s="16">
        <f>'[1]资源-钻石'!V115</f>
        <v>1498544.9786997135</v>
      </c>
      <c r="M115" s="16">
        <f>'[1]资源-钻石'!W115</f>
        <v>3920669.4765696847</v>
      </c>
      <c r="N115" s="16">
        <f>'[1]资源-钻石'!X115</f>
        <v>9290278.9242266528</v>
      </c>
      <c r="P115" s="16">
        <v>112</v>
      </c>
      <c r="Q115" s="16">
        <f>'[1]功能-行军令'!N115</f>
        <v>108170.57462756058</v>
      </c>
      <c r="R115" s="16">
        <f>'[1]功能-行军令'!O115</f>
        <v>134313.75644108024</v>
      </c>
      <c r="S115" s="16">
        <f>'[1]功能-行军令'!P115</f>
        <v>146454.49252248529</v>
      </c>
      <c r="T115" s="16">
        <f>'[1]功能-行军令'!Q115</f>
        <v>118996.80307381767</v>
      </c>
      <c r="U115" s="16">
        <f>'[1]功能-行军令'!R115</f>
        <v>64185.126836071002</v>
      </c>
      <c r="V115" s="16">
        <f>'[1]功能-行军令'!S115</f>
        <v>7246.9402689415583</v>
      </c>
      <c r="W115" s="16">
        <f>'[1]功能-行军令'!T115</f>
        <v>9086.6139328801364</v>
      </c>
      <c r="X115" s="16">
        <f>'[1]功能-行军令'!U115</f>
        <v>9911.6166106327146</v>
      </c>
      <c r="Y115" s="16">
        <f>'[1]功能-行军令'!V115</f>
        <v>8107.8374191055191</v>
      </c>
      <c r="Z115" s="16">
        <f>'[1]功能-行军令'!W115</f>
        <v>4119.3288515132517</v>
      </c>
      <c r="AC115" s="21">
        <v>112</v>
      </c>
      <c r="AD115" s="21">
        <f>'[1]功能-实力'!BF116</f>
        <v>43968048</v>
      </c>
      <c r="AE115" s="21">
        <f>'[1]功能-实力'!BG116</f>
        <v>52831218</v>
      </c>
      <c r="AF115" s="21">
        <f>'[1]功能-实力'!BH116</f>
        <v>59444214</v>
      </c>
      <c r="AG115" s="21">
        <f>'[1]功能-实力'!BI116</f>
        <v>68359926</v>
      </c>
      <c r="AH115" s="21">
        <f>'[1]功能-实力'!BJ116</f>
        <v>70740000</v>
      </c>
      <c r="AL115" s="57">
        <f>[2]基础状态预期!C125</f>
        <v>364</v>
      </c>
      <c r="AM115" s="57">
        <f>[2]基础状态预期!D125</f>
        <v>90.406191748048585</v>
      </c>
      <c r="AO115" s="57">
        <f>[2]基础状态预期!F125</f>
        <v>0</v>
      </c>
      <c r="AP115" s="57">
        <f>[2]基础状态预期!G125</f>
        <v>0</v>
      </c>
      <c r="AQ115" s="57">
        <f>[2]基础状态预期!H125</f>
        <v>0</v>
      </c>
      <c r="AR115" s="57">
        <f>[2]基础状态预期!I125</f>
        <v>0</v>
      </c>
      <c r="AS115" s="57">
        <f>[2]基础状态预期!J125</f>
        <v>6</v>
      </c>
      <c r="AW115" s="16">
        <v>109</v>
      </c>
      <c r="AX115" s="16">
        <f>[1]节奏总纲!BJ112</f>
        <v>3.4999999999999978</v>
      </c>
      <c r="AY115" s="16">
        <f>[1]节奏总纲!BK112</f>
        <v>3.5699999999999976</v>
      </c>
      <c r="AZ115" s="16">
        <f>[1]节奏总纲!BL112</f>
        <v>3.7099999999999977</v>
      </c>
      <c r="BA115" s="16">
        <f>[1]节奏总纲!BM112</f>
        <v>3.9899999999999971</v>
      </c>
      <c r="BB115" s="16">
        <f>[1]节奏总纲!BN112</f>
        <v>4.8999999999999968</v>
      </c>
      <c r="BF115" s="21">
        <f>'[1]功能-行军令'!FZ113</f>
        <v>109</v>
      </c>
      <c r="BG115" s="21">
        <f>'[1]功能-行军令'!GA113*'[1]功能-行军令'!GB113</f>
        <v>654.06768003453612</v>
      </c>
    </row>
    <row r="116" spans="2:59">
      <c r="B116" s="1">
        <v>113</v>
      </c>
      <c r="C116" s="16">
        <f>'[1]资源-钻石'!L116</f>
        <v>8587718.777979251</v>
      </c>
      <c r="D116" s="16">
        <f>'[1]资源-钻石'!M116</f>
        <v>11806256.452359673</v>
      </c>
      <c r="E116" s="16">
        <f>'[1]资源-钻石'!N116</f>
        <v>18325650.428964917</v>
      </c>
      <c r="F116" s="16">
        <f>'[1]资源-钻石'!O116</f>
        <v>39464263.135467231</v>
      </c>
      <c r="G116" s="16">
        <f>'[1]资源-钻石'!P116</f>
        <v>53020207.757090084</v>
      </c>
      <c r="I116" s="4">
        <v>113</v>
      </c>
      <c r="J116" s="16">
        <f>'[1]资源-钻石'!T116</f>
        <v>651849.86910585745</v>
      </c>
      <c r="K116" s="16">
        <f>'[1]资源-钻石'!U116</f>
        <v>909394.85601644323</v>
      </c>
      <c r="L116" s="16">
        <f>'[1]资源-钻石'!V116</f>
        <v>1510088.3416180876</v>
      </c>
      <c r="M116" s="16">
        <f>'[1]资源-钻石'!W116</f>
        <v>3953387.1757798963</v>
      </c>
      <c r="N116" s="16">
        <f>'[1]资源-钻石'!X116</f>
        <v>9370123.393357886</v>
      </c>
      <c r="P116" s="16">
        <v>113</v>
      </c>
      <c r="Q116" s="16">
        <f>'[1]功能-行军令'!N116</f>
        <v>115937.65289239788</v>
      </c>
      <c r="R116" s="16">
        <f>'[1]功能-行军令'!O116</f>
        <v>144025.56561258808</v>
      </c>
      <c r="S116" s="16">
        <f>'[1]功能-行军令'!P116</f>
        <v>157131.05708019441</v>
      </c>
      <c r="T116" s="16">
        <f>'[1]功能-行军令'!Q116</f>
        <v>127281.6481511673</v>
      </c>
      <c r="U116" s="16">
        <f>'[1]功能-行军令'!R116</f>
        <v>68560.235114671188</v>
      </c>
      <c r="V116" s="16">
        <f>'[1]功能-行军令'!S116</f>
        <v>7767.0782648372988</v>
      </c>
      <c r="W116" s="16">
        <f>'[1]功能-行军令'!T116</f>
        <v>9711.8091715078335</v>
      </c>
      <c r="X116" s="16">
        <f>'[1]功能-行军令'!U116</f>
        <v>10676.56455770912</v>
      </c>
      <c r="Y116" s="16">
        <f>'[1]功能-行军令'!V116</f>
        <v>8284.8450773496297</v>
      </c>
      <c r="Z116" s="16">
        <f>'[1]功能-行军令'!W116</f>
        <v>4375.1082786001862</v>
      </c>
      <c r="AC116" s="21">
        <v>113</v>
      </c>
      <c r="AD116" s="21">
        <f>'[1]功能-实力'!BF117</f>
        <v>45552240</v>
      </c>
      <c r="AE116" s="21">
        <f>'[1]功能-实力'!BG117</f>
        <v>54349854</v>
      </c>
      <c r="AF116" s="21">
        <f>'[1]功能-实力'!BH117</f>
        <v>61300356</v>
      </c>
      <c r="AG116" s="21">
        <f>'[1]功能-实力'!BI117</f>
        <v>69989712</v>
      </c>
      <c r="AH116" s="21">
        <f>'[1]功能-实力'!BJ117</f>
        <v>72512370</v>
      </c>
      <c r="AL116" s="57">
        <f>[2]基础状态预期!C126</f>
        <v>448</v>
      </c>
      <c r="AM116" s="57">
        <f>[2]基础状态预期!D126</f>
        <v>93.471491811086082</v>
      </c>
      <c r="AO116" s="57">
        <f>[2]基础状态预期!F126</f>
        <v>0</v>
      </c>
      <c r="AP116" s="57">
        <f>[2]基础状态预期!G126</f>
        <v>0</v>
      </c>
      <c r="AQ116" s="57">
        <f>[2]基础状态预期!H126</f>
        <v>0</v>
      </c>
      <c r="AR116" s="57">
        <f>[2]基础状态预期!I126</f>
        <v>0</v>
      </c>
      <c r="AS116" s="57">
        <f>[2]基础状态预期!J126</f>
        <v>6</v>
      </c>
      <c r="AW116" s="16">
        <v>110</v>
      </c>
      <c r="AX116" s="16">
        <f>[1]节奏总纲!BJ113</f>
        <v>3.4999999999999978</v>
      </c>
      <c r="AY116" s="16">
        <f>[1]节奏总纲!BK113</f>
        <v>3.5699999999999976</v>
      </c>
      <c r="AZ116" s="16">
        <f>[1]节奏总纲!BL113</f>
        <v>3.7099999999999977</v>
      </c>
      <c r="BA116" s="16">
        <f>[1]节奏总纲!BM113</f>
        <v>3.9899999999999971</v>
      </c>
      <c r="BB116" s="16">
        <f>[1]节奏总纲!BN113</f>
        <v>4.8999999999999968</v>
      </c>
      <c r="BF116" s="21">
        <f>'[1]功能-行军令'!FZ114</f>
        <v>110</v>
      </c>
      <c r="BG116" s="21">
        <f>'[1]功能-行军令'!GA114*'[1]功能-行军令'!GB114</f>
        <v>667.14903363522683</v>
      </c>
    </row>
    <row r="117" spans="2:59">
      <c r="B117" s="1">
        <v>114</v>
      </c>
      <c r="C117" s="16">
        <f>'[1]资源-钻石'!L117</f>
        <v>9144234.4065210596</v>
      </c>
      <c r="D117" s="16">
        <f>'[1]资源-钻石'!M117</f>
        <v>12590413.70717838</v>
      </c>
      <c r="E117" s="16">
        <f>'[1]资源-钻石'!N117</f>
        <v>19524756.662145667</v>
      </c>
      <c r="F117" s="16">
        <f>'[1]资源-钻石'!O117</f>
        <v>42080452.23287075</v>
      </c>
      <c r="G117" s="16">
        <f>'[1]资源-钻石'!P117</f>
        <v>56589134.153164648</v>
      </c>
      <c r="I117" s="4">
        <v>114</v>
      </c>
      <c r="J117" s="16">
        <f>'[1]资源-钻石'!T117</f>
        <v>656183.22688963776</v>
      </c>
      <c r="K117" s="16">
        <f>'[1]资源-钻石'!U117</f>
        <v>915841.54957860161</v>
      </c>
      <c r="L117" s="16">
        <f>'[1]资源-钻石'!V117</f>
        <v>1521631.7045364617</v>
      </c>
      <c r="M117" s="16">
        <f>'[1]资源-钻石'!W117</f>
        <v>3986104.874990108</v>
      </c>
      <c r="N117" s="16">
        <f>'[1]资源-钻石'!X117</f>
        <v>9449967.8624891192</v>
      </c>
      <c r="P117" s="16">
        <v>114</v>
      </c>
      <c r="Q117" s="16">
        <f>'[1]功能-行军令'!N117</f>
        <v>124262.20125809284</v>
      </c>
      <c r="R117" s="16">
        <f>'[1]功能-行军令'!O117</f>
        <v>154403.07871412375</v>
      </c>
      <c r="S117" s="16">
        <f>'[1]功能-行军令'!P117</f>
        <v>168020.05489024971</v>
      </c>
      <c r="T117" s="16">
        <f>'[1]功能-行军令'!Q117</f>
        <v>135892.06275496984</v>
      </c>
      <c r="U117" s="16">
        <f>'[1]功能-行军令'!R117</f>
        <v>73232.577635356385</v>
      </c>
      <c r="V117" s="16">
        <f>'[1]功能-行军令'!S117</f>
        <v>8324.5483656949655</v>
      </c>
      <c r="W117" s="16">
        <f>'[1]功能-行军令'!T117</f>
        <v>10377.513101535675</v>
      </c>
      <c r="X117" s="16">
        <f>'[1]功能-行军令'!U117</f>
        <v>10888.997810055298</v>
      </c>
      <c r="Y117" s="16">
        <f>'[1]功能-行军令'!V117</f>
        <v>8610.4146038025356</v>
      </c>
      <c r="Z117" s="16">
        <f>'[1]功能-行军令'!W117</f>
        <v>4672.3425206851971</v>
      </c>
      <c r="AC117" s="21">
        <v>114</v>
      </c>
      <c r="AD117" s="21">
        <f>'[1]功能-实力'!BF118</f>
        <v>47248842</v>
      </c>
      <c r="AE117" s="21">
        <f>'[1]功能-实力'!BG118</f>
        <v>55940922</v>
      </c>
      <c r="AF117" s="21">
        <f>'[1]功能-实力'!BH118</f>
        <v>63179628</v>
      </c>
      <c r="AG117" s="21">
        <f>'[1]功能-实力'!BI118</f>
        <v>71645928</v>
      </c>
      <c r="AH117" s="21">
        <f>'[1]功能-实力'!BJ118</f>
        <v>74326314</v>
      </c>
      <c r="AL117" s="57">
        <f>[2]基础状态预期!C127</f>
        <v>574</v>
      </c>
      <c r="AM117" s="57">
        <f>[2]基础状态预期!D127</f>
        <v>97.107381566993553</v>
      </c>
      <c r="AO117" s="57">
        <f>[2]基础状态预期!F127</f>
        <v>0</v>
      </c>
      <c r="AP117" s="57">
        <f>[2]基础状态预期!G127</f>
        <v>0</v>
      </c>
      <c r="AQ117" s="57">
        <f>[2]基础状态预期!H127</f>
        <v>0</v>
      </c>
      <c r="AR117" s="57">
        <f>[2]基础状态预期!I127</f>
        <v>0</v>
      </c>
      <c r="AS117" s="57">
        <f>[2]基础状态预期!J127</f>
        <v>6</v>
      </c>
      <c r="AW117" s="16">
        <v>111</v>
      </c>
      <c r="AX117" s="16">
        <f>[1]节奏总纲!BJ114</f>
        <v>3.4999999999999978</v>
      </c>
      <c r="AY117" s="16">
        <f>[1]节奏总纲!BK114</f>
        <v>3.5699999999999976</v>
      </c>
      <c r="AZ117" s="16">
        <f>[1]节奏总纲!BL114</f>
        <v>3.7099999999999977</v>
      </c>
      <c r="BA117" s="16">
        <f>[1]节奏总纲!BM114</f>
        <v>3.9899999999999971</v>
      </c>
      <c r="BB117" s="16">
        <f>[1]节奏总纲!BN114</f>
        <v>4.8999999999999968</v>
      </c>
      <c r="BF117" s="21">
        <f>'[1]功能-行军令'!FZ115</f>
        <v>111</v>
      </c>
      <c r="BG117" s="21">
        <f>'[1]功能-行军令'!GA115*'[1]功能-行军令'!GB115</f>
        <v>680.49201430793141</v>
      </c>
    </row>
    <row r="118" spans="2:59">
      <c r="B118" s="1">
        <v>115</v>
      </c>
      <c r="C118" s="16">
        <f>'[1]资源-钻石'!L118</f>
        <v>9738538.8935887981</v>
      </c>
      <c r="D118" s="16">
        <f>'[1]资源-钻石'!M118</f>
        <v>13392937.873347066</v>
      </c>
      <c r="E118" s="16">
        <f>'[1]资源-钻石'!N118</f>
        <v>20763295.067592066</v>
      </c>
      <c r="F118" s="16">
        <f>'[1]资源-钻石'!O118</f>
        <v>44827571.908513241</v>
      </c>
      <c r="G118" s="16">
        <f>'[1]资源-钻石'!P118</f>
        <v>60339547.251220301</v>
      </c>
      <c r="I118" s="1">
        <v>115</v>
      </c>
      <c r="J118" s="16">
        <f>'[1]资源-钻石'!T118</f>
        <v>660516.58467341808</v>
      </c>
      <c r="K118" s="16">
        <f>'[1]资源-钻石'!U118</f>
        <v>922288.24314075988</v>
      </c>
      <c r="L118" s="16">
        <f>'[1]资源-钻石'!V118</f>
        <v>1533175.0674548359</v>
      </c>
      <c r="M118" s="16">
        <f>'[1]资源-钻石'!W118</f>
        <v>4018822.5742003196</v>
      </c>
      <c r="N118" s="16">
        <f>'[1]资源-钻石'!X118</f>
        <v>9529812.3316203505</v>
      </c>
      <c r="P118" s="16">
        <v>115</v>
      </c>
      <c r="Q118" s="16">
        <f>'[1]功能-行军令'!N118</f>
        <v>133184.23128404454</v>
      </c>
      <c r="R118" s="16">
        <f>'[1]功能-行军令'!O118</f>
        <v>165023.65895812085</v>
      </c>
      <c r="S118" s="16">
        <f>'[1]功能-行军令'!P118</f>
        <v>179267.13343207428</v>
      </c>
      <c r="T118" s="16">
        <f>'[1]功能-行军令'!Q118</f>
        <v>144933.39673079786</v>
      </c>
      <c r="U118" s="16">
        <f>'[1]功能-行军令'!R118</f>
        <v>78162.640500292429</v>
      </c>
      <c r="V118" s="16">
        <f>'[1]功能-行军令'!S118</f>
        <v>8922.0300259516953</v>
      </c>
      <c r="W118" s="16">
        <f>'[1]功能-行军令'!T118</f>
        <v>10620.580243997101</v>
      </c>
      <c r="X118" s="16">
        <f>'[1]功能-行军令'!U118</f>
        <v>11247.078541824565</v>
      </c>
      <c r="Y118" s="16">
        <f>'[1]功能-行军令'!V118</f>
        <v>9041.3339758280199</v>
      </c>
      <c r="Z118" s="16">
        <f>'[1]功能-行军令'!W118</f>
        <v>4930.0628649360442</v>
      </c>
      <c r="AC118" s="21">
        <v>115</v>
      </c>
      <c r="AD118" s="21">
        <f>'[1]功能-实力'!BF119</f>
        <v>48995598</v>
      </c>
      <c r="AE118" s="21">
        <f>'[1]功能-实力'!BG119</f>
        <v>57538848</v>
      </c>
      <c r="AF118" s="21">
        <f>'[1]功能-实力'!BH119</f>
        <v>65092602</v>
      </c>
      <c r="AG118" s="21">
        <f>'[1]功能-实力'!BI119</f>
        <v>73356756</v>
      </c>
      <c r="AH118" s="21">
        <f>'[1]功能-实力'!BJ119</f>
        <v>76191246</v>
      </c>
      <c r="AL118" s="57">
        <f>[2]基础状态预期!C128</f>
        <v>742</v>
      </c>
      <c r="AM118" s="57">
        <f>[2]基础状态预期!D128</f>
        <v>100.71243145193914</v>
      </c>
      <c r="AO118" s="57">
        <f>[2]基础状态预期!F128</f>
        <v>0</v>
      </c>
      <c r="AP118" s="57">
        <f>[2]基础状态预期!G128</f>
        <v>0</v>
      </c>
      <c r="AQ118" s="57">
        <f>[2]基础状态预期!H128</f>
        <v>0</v>
      </c>
      <c r="AR118" s="57">
        <f>[2]基础状态预期!I128</f>
        <v>0</v>
      </c>
      <c r="AS118" s="57">
        <f>[2]基础状态预期!J128</f>
        <v>6</v>
      </c>
      <c r="AW118" s="16">
        <v>112</v>
      </c>
      <c r="AX118" s="16">
        <f>[1]节奏总纲!BJ115</f>
        <v>3.4999999999999978</v>
      </c>
      <c r="AY118" s="16">
        <f>[1]节奏总纲!BK115</f>
        <v>3.5699999999999976</v>
      </c>
      <c r="AZ118" s="16">
        <f>[1]节奏总纲!BL115</f>
        <v>3.7099999999999977</v>
      </c>
      <c r="BA118" s="16">
        <f>[1]节奏总纲!BM115</f>
        <v>3.9899999999999971</v>
      </c>
      <c r="BB118" s="16">
        <f>[1]节奏总纲!BN115</f>
        <v>4.8999999999999968</v>
      </c>
      <c r="BF118" s="21">
        <f>'[1]功能-行军令'!FZ116</f>
        <v>112</v>
      </c>
      <c r="BG118" s="21">
        <f>'[1]功能-行军令'!GA116*'[1]功能-行军令'!GB116</f>
        <v>694.10185459409013</v>
      </c>
    </row>
    <row r="119" spans="2:59">
      <c r="B119" s="1">
        <v>116</v>
      </c>
      <c r="C119" s="16">
        <f>'[1]资源-钻石'!L119</f>
        <v>10348556.771582669</v>
      </c>
      <c r="D119" s="16">
        <f>'[1]资源-钻石'!M119</f>
        <v>14272530.10812116</v>
      </c>
      <c r="E119" s="16">
        <f>'[1]资源-钻石'!N119</f>
        <v>22155790.886767384</v>
      </c>
      <c r="F119" s="16">
        <f>'[1]资源-钻石'!O119</f>
        <v>48001018.167546235</v>
      </c>
      <c r="G119" s="16">
        <f>'[1]资源-钻石'!P119</f>
        <v>64604626.828710958</v>
      </c>
      <c r="I119" s="1">
        <v>116</v>
      </c>
      <c r="J119" s="16">
        <f>'[1]资源-钻石'!T119</f>
        <v>664849.9424571984</v>
      </c>
      <c r="K119" s="16">
        <f>'[1]资源-钻石'!U119</f>
        <v>928734.93670291826</v>
      </c>
      <c r="L119" s="16">
        <f>'[1]资源-钻石'!V119</f>
        <v>1544718.4303732102</v>
      </c>
      <c r="M119" s="16">
        <f>'[1]资源-钻石'!W119</f>
        <v>4051540.2734105312</v>
      </c>
      <c r="N119" s="16">
        <f>'[1]资源-钻石'!X119</f>
        <v>9609656.8007515837</v>
      </c>
      <c r="P119" s="16">
        <v>116</v>
      </c>
      <c r="Q119" s="16">
        <f>'[1]功能-行军令'!N119</f>
        <v>142746.62629781148</v>
      </c>
      <c r="R119" s="16">
        <f>'[1]功能-行军令'!O119</f>
        <v>176664.15566242993</v>
      </c>
      <c r="S119" s="16">
        <f>'[1]功能-行军令'!P119</f>
        <v>191912.2882198116</v>
      </c>
      <c r="T119" s="16">
        <f>'[1]功能-行军令'!Q119</f>
        <v>155435.24978192279</v>
      </c>
      <c r="U119" s="16">
        <f>'[1]功能-行军令'!R119</f>
        <v>83774.581467904514</v>
      </c>
      <c r="V119" s="16">
        <f>'[1]功能-行军令'!S119</f>
        <v>9562.3950137669453</v>
      </c>
      <c r="W119" s="16">
        <f>'[1]功能-行军令'!T119</f>
        <v>11640.496704309073</v>
      </c>
      <c r="X119" s="16">
        <f>'[1]功能-行军令'!U119</f>
        <v>12645.154787737323</v>
      </c>
      <c r="Y119" s="16">
        <f>'[1]功能-行军令'!V119</f>
        <v>10501.853051124926</v>
      </c>
      <c r="Z119" s="16">
        <f>'[1]功能-行军令'!W119</f>
        <v>5611.9409676120849</v>
      </c>
      <c r="AC119" s="21">
        <v>116</v>
      </c>
      <c r="AD119" s="21">
        <f>'[1]功能-实力'!BF120</f>
        <v>50674194</v>
      </c>
      <c r="AE119" s="21">
        <f>'[1]功能-实力'!BG120</f>
        <v>59188842</v>
      </c>
      <c r="AF119" s="21">
        <f>'[1]功能-实力'!BH120</f>
        <v>67113756</v>
      </c>
      <c r="AG119" s="21">
        <f>'[1]功能-实力'!BI120</f>
        <v>75182988</v>
      </c>
      <c r="AH119" s="21">
        <f>'[1]功能-实力'!BJ120</f>
        <v>78129366</v>
      </c>
      <c r="AL119" s="57">
        <f>[2]基础状态预期!C129</f>
        <v>951.99999999999989</v>
      </c>
      <c r="AM119" s="57">
        <f>[2]基础状态预期!D129</f>
        <v>104.39233713204413</v>
      </c>
      <c r="AO119" s="57">
        <f>[2]基础状态预期!F129</f>
        <v>0</v>
      </c>
      <c r="AP119" s="57">
        <f>[2]基础状态预期!G129</f>
        <v>0</v>
      </c>
      <c r="AQ119" s="57">
        <f>[2]基础状态预期!H129</f>
        <v>0</v>
      </c>
      <c r="AR119" s="57">
        <f>[2]基础状态预期!I129</f>
        <v>0</v>
      </c>
      <c r="AS119" s="57">
        <f>[2]基础状态预期!J129</f>
        <v>6</v>
      </c>
      <c r="AW119" s="16">
        <v>113</v>
      </c>
      <c r="AX119" s="16">
        <f>[1]节奏总纲!BJ116</f>
        <v>3.4999999999999978</v>
      </c>
      <c r="AY119" s="16">
        <f>[1]节奏总纲!BK116</f>
        <v>3.5699999999999976</v>
      </c>
      <c r="AZ119" s="16">
        <f>[1]节奏总纲!BL116</f>
        <v>3.7099999999999977</v>
      </c>
      <c r="BA119" s="16">
        <f>[1]节奏总纲!BM116</f>
        <v>3.9899999999999971</v>
      </c>
      <c r="BB119" s="16">
        <f>[1]节奏总纲!BN116</f>
        <v>4.8999999999999968</v>
      </c>
      <c r="BF119" s="21">
        <f>'[1]功能-行军令'!FZ117</f>
        <v>113</v>
      </c>
      <c r="BG119" s="21">
        <f>'[1]功能-行军令'!GA117*'[1]功能-行军令'!GB117</f>
        <v>707.98389168597191</v>
      </c>
    </row>
    <row r="120" spans="2:59">
      <c r="B120" s="1">
        <v>117</v>
      </c>
      <c r="C120" s="16">
        <f>'[1]资源-钻石'!L120</f>
        <v>11002357.744889198</v>
      </c>
      <c r="D120" s="16">
        <f>'[1]资源-钻石'!M120</f>
        <v>15234331.670130363</v>
      </c>
      <c r="E120" s="16">
        <f>'[1]资源-钻石'!N120</f>
        <v>23696438.812443428</v>
      </c>
      <c r="F120" s="16">
        <f>'[1]资源-钻石'!O120</f>
        <v>51385088.939006463</v>
      </c>
      <c r="G120" s="16">
        <f>'[1]资源-钻石'!P120</f>
        <v>69279969.311791047</v>
      </c>
      <c r="I120" s="4">
        <v>117</v>
      </c>
      <c r="J120" s="16">
        <f>'[1]资源-钻石'!T120</f>
        <v>669183.30024097872</v>
      </c>
      <c r="K120" s="16">
        <f>'[1]资源-钻石'!U120</f>
        <v>935181.63026507664</v>
      </c>
      <c r="L120" s="16">
        <f>'[1]资源-钻石'!V120</f>
        <v>1556261.7932915844</v>
      </c>
      <c r="M120" s="16">
        <f>'[1]资源-钻石'!W120</f>
        <v>4084257.9726207429</v>
      </c>
      <c r="N120" s="16">
        <f>'[1]资源-钻石'!X120</f>
        <v>9689501.2698828168</v>
      </c>
      <c r="P120" s="16">
        <v>117</v>
      </c>
      <c r="Q120" s="16">
        <f>'[1]功能-行军令'!N120</f>
        <v>152995.34751185621</v>
      </c>
      <c r="R120" s="16">
        <f>'[1]功能-行军令'!O120</f>
        <v>189392.60808634528</v>
      </c>
      <c r="S120" s="16">
        <f>'[1]功能-行军令'!P120</f>
        <v>205902.80167436381</v>
      </c>
      <c r="T120" s="16">
        <f>'[1]功能-行军令'!Q120</f>
        <v>166663.48622055128</v>
      </c>
      <c r="U120" s="16">
        <f>'[1]功能-行军令'!R120</f>
        <v>89926.341485908968</v>
      </c>
      <c r="V120" s="16">
        <f>'[1]功能-行军令'!S120</f>
        <v>10248.721214044723</v>
      </c>
      <c r="W120" s="16">
        <f>'[1]功能-行军令'!T120</f>
        <v>12728.452423915354</v>
      </c>
      <c r="X120" s="16">
        <f>'[1]功能-行军令'!U120</f>
        <v>13990.513454552216</v>
      </c>
      <c r="Y120" s="16">
        <f>'[1]功能-行军令'!V120</f>
        <v>11228.23643862849</v>
      </c>
      <c r="Z120" s="16">
        <f>'[1]功能-行军令'!W120</f>
        <v>6151.7600180044537</v>
      </c>
      <c r="AC120" s="21">
        <v>117</v>
      </c>
      <c r="AD120" s="21">
        <f>'[1]功能-实力'!BF121</f>
        <v>52369938</v>
      </c>
      <c r="AE120" s="21">
        <f>'[1]功能-实力'!BG121</f>
        <v>60858264</v>
      </c>
      <c r="AF120" s="21">
        <f>'[1]功能-实力'!BH121</f>
        <v>69091866</v>
      </c>
      <c r="AG120" s="21">
        <f>'[1]功能-实力'!BI121</f>
        <v>76969926</v>
      </c>
      <c r="AH120" s="21">
        <f>'[1]功能-实力'!BJ121</f>
        <v>80050692</v>
      </c>
      <c r="AL120" s="57">
        <f>[2]基础状态预期!C130</f>
        <v>1204</v>
      </c>
      <c r="AM120" s="57">
        <f>[2]基础状态预期!D130</f>
        <v>107.81562240612369</v>
      </c>
      <c r="AO120" s="57">
        <f>[2]基础状态预期!F130</f>
        <v>0</v>
      </c>
      <c r="AP120" s="57">
        <f>[2]基础状态预期!G130</f>
        <v>0</v>
      </c>
      <c r="AQ120" s="57">
        <f>[2]基础状态预期!H130</f>
        <v>0</v>
      </c>
      <c r="AR120" s="57">
        <f>[2]基础状态预期!I130</f>
        <v>0</v>
      </c>
      <c r="AS120" s="57">
        <f>[2]基础状态预期!J130</f>
        <v>6</v>
      </c>
      <c r="AW120" s="16">
        <v>114</v>
      </c>
      <c r="AX120" s="16">
        <f>[1]节奏总纲!BJ117</f>
        <v>3.4999999999999978</v>
      </c>
      <c r="AY120" s="16">
        <f>[1]节奏总纲!BK117</f>
        <v>3.5699999999999976</v>
      </c>
      <c r="AZ120" s="16">
        <f>[1]节奏总纲!BL117</f>
        <v>3.7099999999999977</v>
      </c>
      <c r="BA120" s="16">
        <f>[1]节奏总纲!BM117</f>
        <v>3.9899999999999971</v>
      </c>
      <c r="BB120" s="16">
        <f>[1]节奏总纲!BN117</f>
        <v>4.8999999999999968</v>
      </c>
      <c r="BF120" s="21">
        <f>'[1]功能-行军令'!FZ118</f>
        <v>114</v>
      </c>
      <c r="BG120" s="21">
        <f>'[1]功能-行军令'!GA118*'[1]功能-行军令'!GB118</f>
        <v>722.14356951969137</v>
      </c>
    </row>
    <row r="121" spans="2:59">
      <c r="B121" s="1">
        <v>118</v>
      </c>
      <c r="C121" s="16">
        <f>'[1]资源-钻石'!L121</f>
        <v>11703084.277859572</v>
      </c>
      <c r="D121" s="16">
        <f>'[1]资源-钻石'!M121</f>
        <v>16242125.346185649</v>
      </c>
      <c r="E121" s="16">
        <f>'[1]资源-钻石'!N121</f>
        <v>25335050.866138194</v>
      </c>
      <c r="F121" s="16">
        <f>'[1]资源-钻石'!O121</f>
        <v>55090992.359062366</v>
      </c>
      <c r="G121" s="16">
        <f>'[1]资源-钻石'!P121</f>
        <v>74214641.27308093</v>
      </c>
      <c r="I121" s="4">
        <v>118</v>
      </c>
      <c r="J121" s="16">
        <f>'[1]资源-钻石'!T121</f>
        <v>673516.65802475903</v>
      </c>
      <c r="K121" s="16">
        <f>'[1]资源-钻石'!U121</f>
        <v>941628.32382723503</v>
      </c>
      <c r="L121" s="16">
        <f>'[1]资源-钻石'!V121</f>
        <v>1567805.1562099585</v>
      </c>
      <c r="M121" s="16">
        <f>'[1]资源-钻石'!W121</f>
        <v>4116975.6718309545</v>
      </c>
      <c r="N121" s="16">
        <f>'[1]资源-钻石'!X121</f>
        <v>9769345.73901405</v>
      </c>
      <c r="P121" s="16">
        <v>118</v>
      </c>
      <c r="Q121" s="16">
        <f>'[1]功能-行军令'!N121</f>
        <v>163979.6549340027</v>
      </c>
      <c r="R121" s="16">
        <f>'[1]功能-行军令'!O121</f>
        <v>203037.82635172849</v>
      </c>
      <c r="S121" s="16">
        <f>'[1]功能-行军令'!P121</f>
        <v>220782.92035816269</v>
      </c>
      <c r="T121" s="16">
        <f>'[1]功能-行军令'!Q121</f>
        <v>178959.55288973456</v>
      </c>
      <c r="U121" s="16">
        <f>'[1]功能-行军令'!R121</f>
        <v>96419.324146172134</v>
      </c>
      <c r="V121" s="16">
        <f>'[1]功能-行军令'!S121</f>
        <v>10984.307422146492</v>
      </c>
      <c r="W121" s="16">
        <f>'[1]功能-行军令'!T121</f>
        <v>13645.218265383213</v>
      </c>
      <c r="X121" s="16">
        <f>'[1]功能-行军令'!U121</f>
        <v>14880.118683798879</v>
      </c>
      <c r="Y121" s="16">
        <f>'[1]功能-行军令'!V121</f>
        <v>12296.066669183288</v>
      </c>
      <c r="Z121" s="16">
        <f>'[1]功能-行军令'!W121</f>
        <v>6492.9826602631656</v>
      </c>
      <c r="AC121" s="21">
        <v>118</v>
      </c>
      <c r="AD121" s="21">
        <f>'[1]功能-实力'!BF122</f>
        <v>54105114</v>
      </c>
      <c r="AE121" s="21">
        <f>'[1]功能-实力'!BG122</f>
        <v>62540472</v>
      </c>
      <c r="AF121" s="21">
        <f>'[1]功能-实力'!BH122</f>
        <v>71126316</v>
      </c>
      <c r="AG121" s="21">
        <f>'[1]功能-实力'!BI122</f>
        <v>78785904</v>
      </c>
      <c r="AH121" s="21">
        <f>'[1]功能-实力'!BJ122</f>
        <v>81985734</v>
      </c>
      <c r="AL121" s="57">
        <f>[2]基础状态预期!C131</f>
        <v>1540</v>
      </c>
      <c r="AM121" s="57">
        <f>[2]基础状态预期!D131</f>
        <v>111.36292001894914</v>
      </c>
      <c r="AO121" s="57">
        <f>[2]基础状态预期!F131</f>
        <v>0</v>
      </c>
      <c r="AP121" s="57">
        <f>[2]基础状态预期!G131</f>
        <v>0</v>
      </c>
      <c r="AQ121" s="57">
        <f>[2]基础状态预期!H131</f>
        <v>0</v>
      </c>
      <c r="AR121" s="57">
        <f>[2]基础状态预期!I131</f>
        <v>0</v>
      </c>
      <c r="AS121" s="57">
        <f>[2]基础状态预期!J131</f>
        <v>6</v>
      </c>
      <c r="AW121" s="16">
        <v>115</v>
      </c>
      <c r="AX121" s="16">
        <f>[1]节奏总纲!BJ118</f>
        <v>3.4999999999999978</v>
      </c>
      <c r="AY121" s="16">
        <f>[1]节奏总纲!BK118</f>
        <v>3.5699999999999976</v>
      </c>
      <c r="AZ121" s="16">
        <f>[1]节奏总纲!BL118</f>
        <v>3.7099999999999977</v>
      </c>
      <c r="BA121" s="16">
        <f>[1]节奏总纲!BM118</f>
        <v>3.9899999999999971</v>
      </c>
      <c r="BB121" s="16">
        <f>[1]节奏总纲!BN118</f>
        <v>4.8999999999999968</v>
      </c>
      <c r="BF121" s="21">
        <f>'[1]功能-行军令'!FZ119</f>
        <v>115</v>
      </c>
      <c r="BG121" s="21">
        <f>'[1]功能-行军令'!GA119*'[1]功能-行军令'!GB119</f>
        <v>736.58644091008523</v>
      </c>
    </row>
    <row r="122" spans="2:59">
      <c r="B122" s="1">
        <v>119</v>
      </c>
      <c r="C122" s="16">
        <f>'[1]资源-钻石'!L122</f>
        <v>12454104.380392246</v>
      </c>
      <c r="D122" s="16">
        <f>'[1]资源-钻石'!M122</f>
        <v>17321171.056574348</v>
      </c>
      <c r="E122" s="16">
        <f>'[1]资源-钻石'!N122</f>
        <v>27122671.211559452</v>
      </c>
      <c r="F122" s="16">
        <f>'[1]资源-钻石'!O122</f>
        <v>58998869.738176376</v>
      </c>
      <c r="G122" s="16">
        <f>'[1]资源-钻石'!P122</f>
        <v>79236319.238532424</v>
      </c>
      <c r="I122" s="4">
        <v>119</v>
      </c>
      <c r="J122" s="16">
        <f>'[1]资源-钻石'!T122</f>
        <v>677850.01580853935</v>
      </c>
      <c r="K122" s="16">
        <f>'[1]资源-钻石'!U122</f>
        <v>948075.0173893933</v>
      </c>
      <c r="L122" s="16">
        <f>'[1]资源-钻石'!V122</f>
        <v>1579348.5191283328</v>
      </c>
      <c r="M122" s="16">
        <f>'[1]资源-钻石'!W122</f>
        <v>4149693.3710411661</v>
      </c>
      <c r="N122" s="16">
        <f>'[1]资源-钻石'!X122</f>
        <v>9849190.2081452813</v>
      </c>
      <c r="P122" s="16">
        <v>119</v>
      </c>
      <c r="Q122" s="16">
        <f>'[1]功能-行军令'!N122</f>
        <v>175752.34413339914</v>
      </c>
      <c r="R122" s="16">
        <f>'[1]功能-行军令'!O122</f>
        <v>217768.23442036819</v>
      </c>
      <c r="S122" s="16">
        <f>'[1]功能-行军令'!P122</f>
        <v>237016.17266548204</v>
      </c>
      <c r="T122" s="16">
        <f>'[1]功能-行军令'!Q122</f>
        <v>191925.76256711851</v>
      </c>
      <c r="U122" s="16">
        <f>'[1]功能-行军令'!R122</f>
        <v>103026.78827162522</v>
      </c>
      <c r="V122" s="16">
        <f>'[1]功能-行军令'!S122</f>
        <v>11772.689199396438</v>
      </c>
      <c r="W122" s="16">
        <f>'[1]功能-行军令'!T122</f>
        <v>14730.408068639692</v>
      </c>
      <c r="X122" s="16">
        <f>'[1]功能-行军令'!U122</f>
        <v>16233.252307319344</v>
      </c>
      <c r="Y122" s="16">
        <f>'[1]功能-行军令'!V122</f>
        <v>12966.209677383944</v>
      </c>
      <c r="Z122" s="16">
        <f>'[1]功能-行军令'!W122</f>
        <v>6607.464125453087</v>
      </c>
      <c r="AC122" s="21">
        <v>119</v>
      </c>
      <c r="AD122" s="21">
        <f>'[1]功能-实力'!BF123</f>
        <v>55883148</v>
      </c>
      <c r="AE122" s="21">
        <f>'[1]功能-实力'!BG123</f>
        <v>64267350</v>
      </c>
      <c r="AF122" s="21">
        <f>'[1]功能-实力'!BH123</f>
        <v>73199424</v>
      </c>
      <c r="AG122" s="21">
        <f>'[1]功能-实力'!BI123</f>
        <v>80642184</v>
      </c>
      <c r="AH122" s="21">
        <f>'[1]功能-实力'!BJ123</f>
        <v>83929488</v>
      </c>
      <c r="AL122" s="57">
        <f>[2]基础状态预期!C132</f>
        <v>1959.9999999999998</v>
      </c>
      <c r="AM122" s="57">
        <f>[2]基础状态预期!D132</f>
        <v>114.91934497223426</v>
      </c>
      <c r="AO122" s="57">
        <f>[2]基础状态预期!F132</f>
        <v>0</v>
      </c>
      <c r="AP122" s="57">
        <f>[2]基础状态预期!G132</f>
        <v>0</v>
      </c>
      <c r="AQ122" s="57">
        <f>[2]基础状态预期!H132</f>
        <v>0</v>
      </c>
      <c r="AR122" s="57">
        <f>[2]基础状态预期!I132</f>
        <v>0</v>
      </c>
      <c r="AS122" s="57">
        <f>[2]基础状态预期!J132</f>
        <v>6</v>
      </c>
      <c r="AW122" s="16">
        <v>116</v>
      </c>
      <c r="AX122" s="16">
        <f>[1]节奏总纲!BJ119</f>
        <v>3.4999999999999978</v>
      </c>
      <c r="AY122" s="16">
        <f>[1]节奏总纲!BK119</f>
        <v>3.5699999999999976</v>
      </c>
      <c r="AZ122" s="16">
        <f>[1]节奏总纲!BL119</f>
        <v>3.7099999999999977</v>
      </c>
      <c r="BA122" s="16">
        <f>[1]节奏总纲!BM119</f>
        <v>3.9899999999999971</v>
      </c>
      <c r="BB122" s="16">
        <f>[1]节奏总纲!BN119</f>
        <v>4.8999999999999968</v>
      </c>
      <c r="BF122" s="21">
        <f>'[1]功能-行军令'!FZ120</f>
        <v>116</v>
      </c>
      <c r="BG122" s="21">
        <f>'[1]功能-行军令'!GA120*'[1]功能-行军令'!GB120</f>
        <v>751.31816972828699</v>
      </c>
    </row>
    <row r="123" spans="2:59">
      <c r="B123" s="1">
        <v>120</v>
      </c>
      <c r="C123" s="16">
        <f>'[1]资源-钻石'!L123</f>
        <v>13259027.79611806</v>
      </c>
      <c r="D123" s="16">
        <f>'[1]资源-钻石'!M123</f>
        <v>18478471.56588478</v>
      </c>
      <c r="E123" s="16">
        <f>'[1]资源-钻石'!N123</f>
        <v>29000583.64980448</v>
      </c>
      <c r="F123" s="16">
        <f>'[1]资源-钻石'!O123</f>
        <v>62884692.577243991</v>
      </c>
      <c r="G123" s="16">
        <f>'[1]资源-钻石'!P123</f>
        <v>84537126.952919662</v>
      </c>
      <c r="I123" s="4">
        <v>120</v>
      </c>
      <c r="J123" s="16">
        <f>'[1]资源-钻石'!T123</f>
        <v>682183.37359231967</v>
      </c>
      <c r="K123" s="16">
        <f>'[1]资源-钻石'!U123</f>
        <v>954521.71095155168</v>
      </c>
      <c r="L123" s="16">
        <f>'[1]资源-钻石'!V123</f>
        <v>1590891.882046707</v>
      </c>
      <c r="M123" s="16">
        <f>'[1]资源-钻石'!W123</f>
        <v>4182411.0702513778</v>
      </c>
      <c r="N123" s="16">
        <f>'[1]资源-钻石'!X123</f>
        <v>9929034.6772765145</v>
      </c>
      <c r="P123" s="16">
        <v>120</v>
      </c>
      <c r="Q123" s="16">
        <f>'[1]功能-行军令'!N123</f>
        <v>188370</v>
      </c>
      <c r="R123" s="16">
        <f>'[1]功能-行军令'!O123</f>
        <v>233566.92449999999</v>
      </c>
      <c r="S123" s="16">
        <f>'[1]功能-行军令'!P123</f>
        <v>254069.361</v>
      </c>
      <c r="T123" s="16">
        <f>'[1]功能-行军令'!Q123</f>
        <v>204818.796</v>
      </c>
      <c r="U123" s="16">
        <f>'[1]功能-行军令'!R123</f>
        <v>110001.52799999999</v>
      </c>
      <c r="V123" s="16">
        <f>'[1]功能-行军令'!S123</f>
        <v>12617.655866600864</v>
      </c>
      <c r="W123" s="16">
        <f>'[1]功能-行军令'!T123</f>
        <v>15798.690079631808</v>
      </c>
      <c r="X123" s="16">
        <f>'[1]功能-行军令'!U123</f>
        <v>17053.188334517967</v>
      </c>
      <c r="Y123" s="16">
        <f>'[1]功能-行军令'!V123</f>
        <v>12893.033432881493</v>
      </c>
      <c r="Z123" s="16">
        <f>'[1]功能-行军令'!W123</f>
        <v>6974.7397283747705</v>
      </c>
      <c r="AC123" s="21">
        <v>120</v>
      </c>
      <c r="AD123" s="21">
        <f>'[1]功能-实力'!BF124</f>
        <v>57708882</v>
      </c>
      <c r="AE123" s="21">
        <f>'[1]功能-实力'!BG124</f>
        <v>66026406</v>
      </c>
      <c r="AF123" s="21">
        <f>'[1]功能-实力'!BH124</f>
        <v>75322968</v>
      </c>
      <c r="AG123" s="21">
        <f>'[1]功能-实力'!BI124</f>
        <v>82496298</v>
      </c>
      <c r="AH123" s="21">
        <f>'[1]功能-实力'!BJ124</f>
        <v>85922364</v>
      </c>
      <c r="AL123" s="57">
        <f>[2]基础状态预期!C133</f>
        <v>2506</v>
      </c>
      <c r="AM123" s="57">
        <f>[2]基础状态预期!D133</f>
        <v>118.44741987029688</v>
      </c>
      <c r="AO123" s="57">
        <f>[2]基础状态预期!F133</f>
        <v>0</v>
      </c>
      <c r="AP123" s="57">
        <f>[2]基础状态预期!G133</f>
        <v>0</v>
      </c>
      <c r="AQ123" s="57">
        <f>[2]基础状态预期!H133</f>
        <v>0</v>
      </c>
      <c r="AR123" s="57">
        <f>[2]基础状态预期!I133</f>
        <v>0</v>
      </c>
      <c r="AS123" s="57">
        <f>[2]基础状态预期!J133</f>
        <v>6</v>
      </c>
      <c r="AW123" s="16">
        <v>117</v>
      </c>
      <c r="AX123" s="16">
        <f>[1]节奏总纲!BJ120</f>
        <v>3.4999999999999978</v>
      </c>
      <c r="AY123" s="16">
        <f>[1]节奏总纲!BK120</f>
        <v>3.5699999999999976</v>
      </c>
      <c r="AZ123" s="16">
        <f>[1]节奏总纲!BL120</f>
        <v>3.7099999999999977</v>
      </c>
      <c r="BA123" s="16">
        <f>[1]节奏总纲!BM120</f>
        <v>3.9899999999999971</v>
      </c>
      <c r="BB123" s="16">
        <f>[1]节奏总纲!BN120</f>
        <v>4.8999999999999968</v>
      </c>
      <c r="BF123" s="21">
        <f>'[1]功能-行军令'!FZ121</f>
        <v>117</v>
      </c>
      <c r="BG123" s="21">
        <f>'[1]功能-行军令'!GA121*'[1]功能-行军令'!GB121</f>
        <v>766.34453312285268</v>
      </c>
    </row>
    <row r="124" spans="2:59">
      <c r="B124" s="1">
        <v>121</v>
      </c>
      <c r="C124" s="16">
        <f>'[1]资源-钻石'!L124</f>
        <v>14121723.352467058</v>
      </c>
      <c r="D124" s="16">
        <f>'[1]资源-钻石'!M124</f>
        <v>19683081.933774956</v>
      </c>
      <c r="E124" s="16">
        <f>'[1]资源-钻石'!N124</f>
        <v>30856010.285562344</v>
      </c>
      <c r="F124" s="16">
        <f>'[1]资源-钻石'!O124</f>
        <v>67030244.722490549</v>
      </c>
      <c r="G124" s="16">
        <f>'[1]资源-钻石'!P124</f>
        <v>90435872.296623737</v>
      </c>
      <c r="I124" s="1">
        <v>121</v>
      </c>
      <c r="J124" s="16">
        <f>'[1]资源-钻石'!T124</f>
        <v>686516.73137609998</v>
      </c>
      <c r="K124" s="16">
        <f>'[1]资源-钻石'!U124</f>
        <v>960968.40451371006</v>
      </c>
      <c r="L124" s="16">
        <f>'[1]资源-钻石'!V124</f>
        <v>1602435.2449650811</v>
      </c>
      <c r="M124" s="16">
        <f>'[1]资源-钻石'!W124</f>
        <v>4215128.7694615889</v>
      </c>
      <c r="N124" s="16">
        <f>'[1]资源-钻石'!X124</f>
        <v>10008879.146407748</v>
      </c>
      <c r="P124" s="16">
        <v>121</v>
      </c>
      <c r="Q124" s="16">
        <f>'[1]功能-行军令'!N124</f>
        <v>201893.26871723824</v>
      </c>
      <c r="R124" s="16">
        <f>'[1]功能-行军令'!O124</f>
        <v>250011.4570271202</v>
      </c>
      <c r="S124" s="16">
        <f>'[1]功能-行军令'!P124</f>
        <v>271071.11944637942</v>
      </c>
      <c r="T124" s="16">
        <f>'[1]功能-行军令'!Q124</f>
        <v>218573.6027989744</v>
      </c>
      <c r="U124" s="16">
        <f>'[1]功能-行军令'!R124</f>
        <v>117763.02694753431</v>
      </c>
      <c r="V124" s="16">
        <f>'[1]功能-行军令'!S124</f>
        <v>13523.268717238243</v>
      </c>
      <c r="W124" s="16">
        <f>'[1]功能-行军令'!T124</f>
        <v>16444.532527120202</v>
      </c>
      <c r="X124" s="16">
        <f>'[1]功能-行军令'!U124</f>
        <v>17001.758446379419</v>
      </c>
      <c r="Y124" s="16">
        <f>'[1]功能-行军令'!V124</f>
        <v>13754.806798974401</v>
      </c>
      <c r="Z124" s="16">
        <f>'[1]功能-行军令'!W124</f>
        <v>7761.4989475343173</v>
      </c>
      <c r="AC124" s="21">
        <v>121</v>
      </c>
      <c r="AD124" s="21">
        <f>'[1]功能-实力'!BF125</f>
        <v>59317812</v>
      </c>
      <c r="AE124" s="21">
        <f>'[1]功能-实力'!BG125</f>
        <v>67802112</v>
      </c>
      <c r="AF124" s="21">
        <f>'[1]功能-实力'!BH125</f>
        <v>77339316</v>
      </c>
      <c r="AG124" s="21">
        <f>'[1]功能-实力'!BI125</f>
        <v>84399756</v>
      </c>
      <c r="AH124" s="21">
        <f>'[1]功能-实力'!BJ125</f>
        <v>87944130</v>
      </c>
      <c r="AL124" s="57">
        <f>[2]基础状态预期!C134</f>
        <v>3178</v>
      </c>
      <c r="AM124" s="57">
        <f>[2]基础状态预期!D134</f>
        <v>121.97211685892326</v>
      </c>
      <c r="AO124" s="57">
        <f>[2]基础状态预期!F134</f>
        <v>0</v>
      </c>
      <c r="AP124" s="57">
        <f>[2]基础状态预期!G134</f>
        <v>0</v>
      </c>
      <c r="AQ124" s="57">
        <f>[2]基础状态预期!H134</f>
        <v>0</v>
      </c>
      <c r="AR124" s="57">
        <f>[2]基础状态预期!I134</f>
        <v>0</v>
      </c>
      <c r="AS124" s="57">
        <f>[2]基础状态预期!J134</f>
        <v>6</v>
      </c>
      <c r="AW124" s="16">
        <v>118</v>
      </c>
      <c r="AX124" s="16">
        <f>[1]节奏总纲!BJ121</f>
        <v>3.4999999999999978</v>
      </c>
      <c r="AY124" s="16">
        <f>[1]节奏总纲!BK121</f>
        <v>3.5699999999999976</v>
      </c>
      <c r="AZ124" s="16">
        <f>[1]节奏总纲!BL121</f>
        <v>3.7099999999999977</v>
      </c>
      <c r="BA124" s="16">
        <f>[1]节奏总纲!BM121</f>
        <v>3.9899999999999971</v>
      </c>
      <c r="BB124" s="16">
        <f>[1]节奏总纲!BN121</f>
        <v>4.8999999999999968</v>
      </c>
      <c r="BF124" s="21">
        <f>'[1]功能-行军令'!FZ122</f>
        <v>118</v>
      </c>
      <c r="BG124" s="21">
        <f>'[1]功能-行军令'!GA122*'[1]功能-行军令'!GB122</f>
        <v>781.6714237853098</v>
      </c>
    </row>
    <row r="125" spans="2:59">
      <c r="B125" s="1">
        <v>122</v>
      </c>
      <c r="C125" s="16">
        <f>'[1]资源-钻石'!L125</f>
        <v>15046337.556009885</v>
      </c>
      <c r="D125" s="16">
        <f>'[1]资源-钻石'!M125</f>
        <v>20949362.593348604</v>
      </c>
      <c r="E125" s="16">
        <f>'[1]资源-钻石'!N125</f>
        <v>32874526.018650733</v>
      </c>
      <c r="F125" s="16">
        <f>'[1]资源-钻石'!O125</f>
        <v>71657232.737099364</v>
      </c>
      <c r="G125" s="16">
        <f>'[1]资源-钻石'!P125</f>
        <v>96750589.883929878</v>
      </c>
      <c r="I125" s="1">
        <v>122</v>
      </c>
      <c r="J125" s="16">
        <f>'[1]资源-钻石'!T125</f>
        <v>690850.0891598803</v>
      </c>
      <c r="K125" s="16">
        <f>'[1]资源-钻石'!U125</f>
        <v>967415.09807586845</v>
      </c>
      <c r="L125" s="16">
        <f>'[1]资源-钻石'!V125</f>
        <v>1613978.6078834552</v>
      </c>
      <c r="M125" s="16">
        <f>'[1]资源-钻石'!W125</f>
        <v>4247846.4686718006</v>
      </c>
      <c r="N125" s="16">
        <f>'[1]资源-钻石'!X125</f>
        <v>10088723.615538979</v>
      </c>
      <c r="P125" s="16">
        <v>122</v>
      </c>
      <c r="Q125" s="16">
        <f>'[1]功能-行军令'!N125</f>
        <v>216387.14925512118</v>
      </c>
      <c r="R125" s="16">
        <f>'[1]功能-行军令'!O125</f>
        <v>267297.87099954294</v>
      </c>
      <c r="S125" s="16">
        <f>'[1]功能-行军令'!P125</f>
        <v>289717.93169660447</v>
      </c>
      <c r="T125" s="16">
        <f>'[1]功能-行军令'!Q125</f>
        <v>233925.79810909499</v>
      </c>
      <c r="U125" s="16">
        <f>'[1]功能-行军令'!R125</f>
        <v>126071.85722449567</v>
      </c>
      <c r="V125" s="16">
        <f>'[1]功能-行军令'!S125</f>
        <v>14493.880537882942</v>
      </c>
      <c r="W125" s="16">
        <f>'[1]功能-行军令'!T125</f>
        <v>17286.413972422743</v>
      </c>
      <c r="X125" s="16">
        <f>'[1]功能-行军令'!U125</f>
        <v>18646.812250225048</v>
      </c>
      <c r="Y125" s="16">
        <f>'[1]功能-行军令'!V125</f>
        <v>15352.195310120587</v>
      </c>
      <c r="Z125" s="16">
        <f>'[1]功能-行军令'!W125</f>
        <v>8308.8302769613656</v>
      </c>
      <c r="AC125" s="21">
        <v>122</v>
      </c>
      <c r="AD125" s="21">
        <f>'[1]功能-实力'!BF126</f>
        <v>60961596</v>
      </c>
      <c r="AE125" s="21">
        <f>'[1]功能-实力'!BG126</f>
        <v>69599814</v>
      </c>
      <c r="AF125" s="21">
        <f>'[1]功能-实力'!BH126</f>
        <v>79424652</v>
      </c>
      <c r="AG125" s="21">
        <f>'[1]功能-实力'!BI126</f>
        <v>86332248</v>
      </c>
      <c r="AH125" s="21">
        <f>'[1]功能-实力'!BJ126</f>
        <v>89997378</v>
      </c>
      <c r="AL125" s="57">
        <f>[2]基础状态预期!C135</f>
        <v>4059.9999999999995</v>
      </c>
      <c r="AM125" s="57">
        <f>[2]基础状态预期!D135</f>
        <v>125.41953077529134</v>
      </c>
      <c r="AO125" s="57">
        <f>[2]基础状态预期!F135</f>
        <v>0</v>
      </c>
      <c r="AP125" s="57">
        <f>[2]基础状态预期!G135</f>
        <v>0</v>
      </c>
      <c r="AQ125" s="57">
        <f>[2]基础状态预期!H135</f>
        <v>0</v>
      </c>
      <c r="AR125" s="57">
        <f>[2]基础状态预期!I135</f>
        <v>0</v>
      </c>
      <c r="AS125" s="57">
        <f>[2]基础状态预期!J135</f>
        <v>6</v>
      </c>
      <c r="AW125" s="16">
        <v>119</v>
      </c>
      <c r="AX125" s="16">
        <f>[1]节奏总纲!BJ122</f>
        <v>3.4999999999999978</v>
      </c>
      <c r="AY125" s="16">
        <f>[1]节奏总纲!BK122</f>
        <v>3.5699999999999976</v>
      </c>
      <c r="AZ125" s="16">
        <f>[1]节奏总纲!BL122</f>
        <v>3.7099999999999977</v>
      </c>
      <c r="BA125" s="16">
        <f>[1]节奏总纲!BM122</f>
        <v>3.9899999999999971</v>
      </c>
      <c r="BB125" s="16">
        <f>[1]节奏总纲!BN122</f>
        <v>4.8999999999999968</v>
      </c>
      <c r="BF125" s="21">
        <f>'[1]功能-行军令'!FZ123</f>
        <v>119</v>
      </c>
      <c r="BG125" s="21">
        <f>'[1]功能-行军令'!GA123*'[1]功能-行军令'!GB123</f>
        <v>797.30485226101598</v>
      </c>
    </row>
    <row r="126" spans="2:59">
      <c r="B126" s="1">
        <v>123</v>
      </c>
      <c r="C126" s="16">
        <f>'[1]资源-钻石'!L126</f>
        <v>16037314.522451241</v>
      </c>
      <c r="D126" s="16">
        <f>'[1]资源-钻石'!M126</f>
        <v>22355011.230257772</v>
      </c>
      <c r="E126" s="16">
        <f>'[1]资源-钻石'!N126</f>
        <v>35200457.267034888</v>
      </c>
      <c r="F126" s="16">
        <f>'[1]资源-钻石'!O126</f>
        <v>76984604.932975695</v>
      </c>
      <c r="G126" s="16">
        <f>'[1]资源-钻石'!P126</f>
        <v>103984208.36576307</v>
      </c>
      <c r="I126" s="4">
        <v>123</v>
      </c>
      <c r="J126" s="16">
        <f>'[1]资源-钻石'!T126</f>
        <v>695183.44694366062</v>
      </c>
      <c r="K126" s="16">
        <f>'[1]资源-钻石'!U126</f>
        <v>973861.79163802683</v>
      </c>
      <c r="L126" s="16">
        <f>'[1]资源-钻石'!V126</f>
        <v>1625521.9708018296</v>
      </c>
      <c r="M126" s="16">
        <f>'[1]资源-钻石'!W126</f>
        <v>4280564.1678820122</v>
      </c>
      <c r="N126" s="16">
        <f>'[1]资源-钻石'!X126</f>
        <v>10168568.084670212</v>
      </c>
      <c r="P126" s="16">
        <v>123</v>
      </c>
      <c r="Q126" s="16">
        <f>'[1]功能-行军令'!N126</f>
        <v>231921.30578479578</v>
      </c>
      <c r="R126" s="16">
        <f>'[1]功能-行军令'!O126</f>
        <v>286486.84309168946</v>
      </c>
      <c r="S126" s="16">
        <f>'[1]功能-行军令'!P126</f>
        <v>311204.61252083164</v>
      </c>
      <c r="T126" s="16">
        <f>'[1]功能-行军令'!Q126</f>
        <v>251601.8452876425</v>
      </c>
      <c r="U126" s="16">
        <f>'[1]功能-行军令'!R126</f>
        <v>135589.76636657064</v>
      </c>
      <c r="V126" s="16">
        <f>'[1]功能-行军令'!S126</f>
        <v>15534.156529674598</v>
      </c>
      <c r="W126" s="16">
        <f>'[1]功能-行军令'!T126</f>
        <v>19188.97209214652</v>
      </c>
      <c r="X126" s="16">
        <f>'[1]功能-行军令'!U126</f>
        <v>21486.680824227165</v>
      </c>
      <c r="Y126" s="16">
        <f>'[1]功能-行军令'!V126</f>
        <v>17676.047178547509</v>
      </c>
      <c r="Z126" s="16">
        <f>'[1]功能-行军令'!W126</f>
        <v>9517.909142074961</v>
      </c>
      <c r="AC126" s="21">
        <v>123</v>
      </c>
      <c r="AD126" s="21">
        <f>'[1]功能-实力'!BF127</f>
        <v>62589396</v>
      </c>
      <c r="AE126" s="21">
        <f>'[1]功能-实力'!BG127</f>
        <v>71465646</v>
      </c>
      <c r="AF126" s="21">
        <f>'[1]功能-实力'!BH127</f>
        <v>81554952</v>
      </c>
      <c r="AG126" s="21">
        <f>'[1]功能-实力'!BI127</f>
        <v>88327206</v>
      </c>
      <c r="AH126" s="21">
        <f>'[1]功能-实力'!BJ127</f>
        <v>92138070</v>
      </c>
      <c r="AL126" s="57">
        <f>[2]基础状态预期!C136</f>
        <v>5194</v>
      </c>
      <c r="AM126" s="57">
        <f>[2]基础状态预期!D136</f>
        <v>129.09045404756728</v>
      </c>
      <c r="AO126" s="57">
        <f>[2]基础状态预期!F136</f>
        <v>0</v>
      </c>
      <c r="AP126" s="57">
        <f>[2]基础状态预期!G136</f>
        <v>0</v>
      </c>
      <c r="AQ126" s="57">
        <f>[2]基础状态预期!H136</f>
        <v>0</v>
      </c>
      <c r="AR126" s="57">
        <f>[2]基础状态预期!I136</f>
        <v>0</v>
      </c>
      <c r="AS126" s="57">
        <f>[2]基础状态预期!J136</f>
        <v>6</v>
      </c>
      <c r="AW126" s="16">
        <v>120</v>
      </c>
      <c r="AX126" s="16">
        <f>[1]节奏总纲!BJ123</f>
        <v>3.4999999999999978</v>
      </c>
      <c r="AY126" s="16">
        <f>[1]节奏总纲!BK123</f>
        <v>3.5699999999999976</v>
      </c>
      <c r="AZ126" s="16">
        <f>[1]节奏总纲!BL123</f>
        <v>3.7099999999999977</v>
      </c>
      <c r="BA126" s="16">
        <f>[1]节奏总纲!BM123</f>
        <v>3.9899999999999971</v>
      </c>
      <c r="BB126" s="16">
        <f>[1]节奏总纲!BN123</f>
        <v>4.8999999999999968</v>
      </c>
      <c r="BF126" s="21">
        <f>'[1]功能-行军令'!FZ124</f>
        <v>120</v>
      </c>
      <c r="BG126" s="21">
        <f>'[1]功能-行军令'!GA124*'[1]功能-行军令'!GB124</f>
        <v>813.25094930623629</v>
      </c>
    </row>
    <row r="127" spans="2:59">
      <c r="B127" s="1">
        <v>124</v>
      </c>
      <c r="C127" s="16">
        <f>'[1]资源-钻石'!L127</f>
        <v>17099417.337067779</v>
      </c>
      <c r="D127" s="16">
        <f>'[1]资源-钻石'!M127</f>
        <v>23903981.888942767</v>
      </c>
      <c r="E127" s="16">
        <f>'[1]资源-钻石'!N127</f>
        <v>37677385.53684704</v>
      </c>
      <c r="F127" s="16">
        <f>'[1]资源-钻石'!O127</f>
        <v>82612796.811235681</v>
      </c>
      <c r="G127" s="16">
        <f>'[1]资源-钻石'!P127</f>
        <v>111762512.95330533</v>
      </c>
      <c r="I127" s="4">
        <v>124</v>
      </c>
      <c r="J127" s="16">
        <f>'[1]资源-钻石'!T127</f>
        <v>699516.80472744093</v>
      </c>
      <c r="K127" s="16">
        <f>'[1]资源-钻石'!U127</f>
        <v>980308.4852001851</v>
      </c>
      <c r="L127" s="16">
        <f>'[1]资源-钻石'!V127</f>
        <v>1637065.3337202037</v>
      </c>
      <c r="M127" s="16">
        <f>'[1]资源-钻石'!W127</f>
        <v>4313281.8670922238</v>
      </c>
      <c r="N127" s="16">
        <f>'[1]资源-钻石'!X127</f>
        <v>10248412.553801445</v>
      </c>
      <c r="P127" s="16">
        <v>124</v>
      </c>
      <c r="Q127" s="16">
        <f>'[1]功能-行军令'!N127</f>
        <v>248570.40251618548</v>
      </c>
      <c r="R127" s="16">
        <f>'[1]功能-行军令'!O127</f>
        <v>307632.35126535187</v>
      </c>
      <c r="S127" s="16">
        <f>'[1]功能-行军令'!P127</f>
        <v>334086.18616791681</v>
      </c>
      <c r="T127" s="16">
        <f>'[1]功能-行军令'!Q127</f>
        <v>270276.00236025098</v>
      </c>
      <c r="U127" s="16">
        <f>'[1]功能-行军令'!R127</f>
        <v>145824.36700656047</v>
      </c>
      <c r="V127" s="16">
        <f>'[1]功能-行军令'!S127</f>
        <v>16649.096731389698</v>
      </c>
      <c r="W127" s="16">
        <f>'[1]功能-行军令'!T127</f>
        <v>21145.508173662412</v>
      </c>
      <c r="X127" s="16">
        <f>'[1]功能-行军令'!U127</f>
        <v>22881.57364708517</v>
      </c>
      <c r="Y127" s="16">
        <f>'[1]功能-行军令'!V127</f>
        <v>18674.157072608476</v>
      </c>
      <c r="Z127" s="16">
        <f>'[1]功能-行军令'!W127</f>
        <v>10234.600639989832</v>
      </c>
      <c r="AC127" s="21">
        <v>124</v>
      </c>
      <c r="AD127" s="21">
        <f>'[1]功能-实力'!BF128</f>
        <v>64244052</v>
      </c>
      <c r="AE127" s="21">
        <f>'[1]功能-实力'!BG128</f>
        <v>73367694</v>
      </c>
      <c r="AF127" s="21">
        <f>'[1]功能-实力'!BH128</f>
        <v>83732370</v>
      </c>
      <c r="AG127" s="21">
        <f>'[1]功能-实力'!BI128</f>
        <v>90353760</v>
      </c>
      <c r="AH127" s="21">
        <f>'[1]功能-实力'!BJ128</f>
        <v>94315230</v>
      </c>
      <c r="AL127" s="57">
        <f>[2]基础状态预期!C137</f>
        <v>6622</v>
      </c>
      <c r="AM127" s="57">
        <f>[2]基础状态预期!D137</f>
        <v>132.53488795708068</v>
      </c>
      <c r="AO127" s="57">
        <f>[2]基础状态预期!F137</f>
        <v>0</v>
      </c>
      <c r="AP127" s="57">
        <f>[2]基础状态预期!G137</f>
        <v>0</v>
      </c>
      <c r="AQ127" s="57">
        <f>[2]基础状态预期!H137</f>
        <v>0</v>
      </c>
      <c r="AR127" s="57">
        <f>[2]基础状态预期!I137</f>
        <v>0</v>
      </c>
      <c r="AS127" s="57">
        <f>[2]基础状态预期!J137</f>
        <v>6</v>
      </c>
      <c r="AW127" s="16">
        <v>121</v>
      </c>
      <c r="AX127" s="16">
        <f>[1]节奏总纲!BJ124</f>
        <v>3.4999999999999978</v>
      </c>
      <c r="AY127" s="16">
        <f>[1]节奏总纲!BK124</f>
        <v>3.5699999999999976</v>
      </c>
      <c r="AZ127" s="16">
        <f>[1]节奏总纲!BL124</f>
        <v>3.7099999999999977</v>
      </c>
      <c r="BA127" s="16">
        <f>[1]节奏总纲!BM124</f>
        <v>3.9899999999999971</v>
      </c>
      <c r="BB127" s="16">
        <f>[1]节奏总纲!BN124</f>
        <v>4.8999999999999968</v>
      </c>
      <c r="BF127" s="21">
        <f>'[1]功能-行军令'!FZ125</f>
        <v>121</v>
      </c>
      <c r="BG127" s="21">
        <f>'[1]功能-行军令'!GA125*'[1]功能-行军令'!GB125</f>
        <v>829.51596829236098</v>
      </c>
    </row>
    <row r="128" spans="2:59">
      <c r="B128" s="1">
        <v>125</v>
      </c>
      <c r="C128" s="16">
        <f>'[1]资源-钻石'!L128</f>
        <v>18234405.740156852</v>
      </c>
      <c r="D128" s="16">
        <f>'[1]资源-钻石'!M128</f>
        <v>25510324.363559552</v>
      </c>
      <c r="E128" s="16">
        <f>'[1]资源-钻石'!N128</f>
        <v>40324885.3231235</v>
      </c>
      <c r="F128" s="16">
        <f>'[1]资源-钻石'!O128</f>
        <v>88586276.3057383</v>
      </c>
      <c r="G128" s="16">
        <f>'[1]资源-钻石'!P128</f>
        <v>119109615.22291803</v>
      </c>
      <c r="I128" s="4">
        <v>125</v>
      </c>
      <c r="J128" s="16">
        <f>'[1]资源-钻石'!T128</f>
        <v>703850.16251122125</v>
      </c>
      <c r="K128" s="16">
        <f>'[1]资源-钻石'!U128</f>
        <v>986755.17876234348</v>
      </c>
      <c r="L128" s="16">
        <f>'[1]资源-钻石'!V128</f>
        <v>1648608.6966385779</v>
      </c>
      <c r="M128" s="16">
        <f>'[1]资源-钻石'!W128</f>
        <v>4345999.5663024355</v>
      </c>
      <c r="N128" s="16">
        <f>'[1]资源-钻石'!X128</f>
        <v>10328257.022932678</v>
      </c>
      <c r="P128" s="16">
        <v>125</v>
      </c>
      <c r="Q128" s="16">
        <f>'[1]功能-行军令'!N128</f>
        <v>266414.46256808913</v>
      </c>
      <c r="R128" s="16">
        <f>'[1]功能-行军令'!O128</f>
        <v>329561.0609773529</v>
      </c>
      <c r="S128" s="16">
        <f>'[1]功能-行军令'!P128</f>
        <v>358543.47953351011</v>
      </c>
      <c r="T128" s="16">
        <f>'[1]功能-行军令'!Q128</f>
        <v>290095.8124810165</v>
      </c>
      <c r="U128" s="16">
        <f>'[1]功能-行军令'!R128</f>
        <v>155517.12587662143</v>
      </c>
      <c r="V128" s="16">
        <f>'[1]功能-行军令'!S128</f>
        <v>17844.060051903652</v>
      </c>
      <c r="W128" s="16">
        <f>'[1]功能-行军令'!T128</f>
        <v>21928.709712001029</v>
      </c>
      <c r="X128" s="16">
        <f>'[1]功能-行军令'!U128</f>
        <v>24457.293365593301</v>
      </c>
      <c r="Y128" s="16">
        <f>'[1]功能-行军令'!V128</f>
        <v>19819.810120765527</v>
      </c>
      <c r="Z128" s="16">
        <f>'[1]功能-行军令'!W128</f>
        <v>9692.7588700609631</v>
      </c>
      <c r="AC128" s="21">
        <v>125</v>
      </c>
      <c r="AD128" s="21">
        <f>'[1]功能-实力'!BF129</f>
        <v>65924928</v>
      </c>
      <c r="AE128" s="21">
        <f>'[1]功能-实力'!BG129</f>
        <v>75289248</v>
      </c>
      <c r="AF128" s="21">
        <f>'[1]功能-实力'!BH129</f>
        <v>85959024</v>
      </c>
      <c r="AG128" s="21">
        <f>'[1]功能-实力'!BI129</f>
        <v>92422560</v>
      </c>
      <c r="AH128" s="21">
        <f>'[1]功能-实力'!BJ129</f>
        <v>96601926</v>
      </c>
      <c r="AL128" s="57">
        <f>[2]基础状态预期!C138</f>
        <v>8428</v>
      </c>
      <c r="AM128" s="57">
        <f>[2]基础状态预期!D138</f>
        <v>136.07141427598387</v>
      </c>
      <c r="AO128" s="57">
        <f>[2]基础状态预期!F138</f>
        <v>0</v>
      </c>
      <c r="AP128" s="57">
        <f>[2]基础状态预期!G138</f>
        <v>0</v>
      </c>
      <c r="AQ128" s="57">
        <f>[2]基础状态预期!H138</f>
        <v>0</v>
      </c>
      <c r="AR128" s="57">
        <f>[2]基础状态预期!I138</f>
        <v>0</v>
      </c>
      <c r="AS128" s="57">
        <f>[2]基础状态预期!J138</f>
        <v>6</v>
      </c>
      <c r="AW128" s="16">
        <v>122</v>
      </c>
      <c r="AX128" s="16">
        <f>[1]节奏总纲!BJ125</f>
        <v>3.4999999999999978</v>
      </c>
      <c r="AY128" s="16">
        <f>[1]节奏总纲!BK125</f>
        <v>3.5699999999999976</v>
      </c>
      <c r="AZ128" s="16">
        <f>[1]节奏总纲!BL125</f>
        <v>3.7099999999999977</v>
      </c>
      <c r="BA128" s="16">
        <f>[1]节奏总纲!BM125</f>
        <v>3.9899999999999971</v>
      </c>
      <c r="BB128" s="16">
        <f>[1]节奏总纲!BN125</f>
        <v>4.8999999999999968</v>
      </c>
      <c r="BF128" s="21">
        <f>'[1]功能-行军令'!FZ126</f>
        <v>122</v>
      </c>
      <c r="BG128" s="21">
        <f>'[1]功能-行军令'!GA126*'[1]功能-行军令'!GB126</f>
        <v>846.1062876582082</v>
      </c>
    </row>
    <row r="129" spans="2:59">
      <c r="B129" s="1">
        <v>126</v>
      </c>
      <c r="C129" s="16">
        <f>'[1]资源-钻石'!L129</f>
        <v>19410455.212857489</v>
      </c>
      <c r="D129" s="16">
        <f>'[1]资源-钻石'!M129</f>
        <v>27279888.003524348</v>
      </c>
      <c r="E129" s="16">
        <f>'[1]资源-钻石'!N129</f>
        <v>43141633.030211702</v>
      </c>
      <c r="F129" s="16">
        <f>'[1]资源-钻石'!O129</f>
        <v>94472761.352526248</v>
      </c>
      <c r="G129" s="16">
        <f>'[1]资源-钻石'!P129</f>
        <v>126934667.54212233</v>
      </c>
      <c r="I129" s="4">
        <v>126</v>
      </c>
      <c r="J129" s="16">
        <f>'[1]资源-钻石'!T129</f>
        <v>708183.52029500157</v>
      </c>
      <c r="K129" s="16">
        <f>'[1]资源-钻石'!U129</f>
        <v>993201.87232450186</v>
      </c>
      <c r="L129" s="16">
        <f>'[1]资源-钻石'!V129</f>
        <v>1660152.059556952</v>
      </c>
      <c r="M129" s="16">
        <f>'[1]资源-钻石'!W129</f>
        <v>4378717.2655126471</v>
      </c>
      <c r="N129" s="16">
        <f>'[1]资源-钻石'!X129</f>
        <v>10408101.49206391</v>
      </c>
      <c r="P129" s="16">
        <v>126</v>
      </c>
      <c r="Q129" s="16">
        <f>'[1]功能-行军令'!N129</f>
        <v>285539.25259562297</v>
      </c>
      <c r="R129" s="16">
        <f>'[1]功能-行军令'!O129</f>
        <v>353717.95652788441</v>
      </c>
      <c r="S129" s="16">
        <f>'[1]功能-行军令'!P129</f>
        <v>384564.26539578498</v>
      </c>
      <c r="T129" s="16">
        <f>'[1]功能-行军令'!Q129</f>
        <v>309705.805165303</v>
      </c>
      <c r="U129" s="16">
        <f>'[1]功能-行军令'!R129</f>
        <v>165849.88823261682</v>
      </c>
      <c r="V129" s="16">
        <f>'[1]功能-行军令'!S129</f>
        <v>19124.790027533832</v>
      </c>
      <c r="W129" s="16">
        <f>'[1]功能-行军令'!T129</f>
        <v>24156.89555053151</v>
      </c>
      <c r="X129" s="16">
        <f>'[1]功能-行军令'!U129</f>
        <v>26020.785862274875</v>
      </c>
      <c r="Y129" s="16">
        <f>'[1]功能-行军令'!V129</f>
        <v>19609.992684286495</v>
      </c>
      <c r="Z129" s="16">
        <f>'[1]功能-行军令'!W129</f>
        <v>10332.762355995394</v>
      </c>
      <c r="AC129" s="21">
        <v>126</v>
      </c>
      <c r="AD129" s="21">
        <f>'[1]功能-实力'!BF130</f>
        <v>67646706</v>
      </c>
      <c r="AE129" s="21">
        <f>'[1]功能-实力'!BG130</f>
        <v>77216958</v>
      </c>
      <c r="AF129" s="21">
        <f>'[1]功能-实力'!BH130</f>
        <v>88225662</v>
      </c>
      <c r="AG129" s="21">
        <f>'[1]功能-实力'!BI130</f>
        <v>94591998</v>
      </c>
      <c r="AH129" s="21">
        <f>'[1]功能-实力'!BJ130</f>
        <v>98957538</v>
      </c>
      <c r="AL129" s="57">
        <f>[2]基础状态预期!C139</f>
        <v>10738</v>
      </c>
      <c r="AM129" s="57">
        <f>[2]基础状态预期!D139</f>
        <v>139.56936219880694</v>
      </c>
      <c r="AO129" s="57">
        <f>[2]基础状态预期!F139</f>
        <v>0</v>
      </c>
      <c r="AP129" s="57">
        <f>[2]基础状态预期!G139</f>
        <v>0</v>
      </c>
      <c r="AQ129" s="57">
        <f>[2]基础状态预期!H139</f>
        <v>0</v>
      </c>
      <c r="AR129" s="57">
        <f>[2]基础状态预期!I139</f>
        <v>0</v>
      </c>
      <c r="AS129" s="57">
        <f>[2]基础状态预期!J139</f>
        <v>6</v>
      </c>
      <c r="AW129" s="16">
        <v>123</v>
      </c>
      <c r="AX129" s="16">
        <f>[1]节奏总纲!BJ126</f>
        <v>3.4999999999999978</v>
      </c>
      <c r="AY129" s="16">
        <f>[1]节奏总纲!BK126</f>
        <v>3.5699999999999976</v>
      </c>
      <c r="AZ129" s="16">
        <f>[1]节奏总纲!BL126</f>
        <v>3.7099999999999977</v>
      </c>
      <c r="BA129" s="16">
        <f>[1]节奏总纲!BM126</f>
        <v>3.9899999999999971</v>
      </c>
      <c r="BB129" s="16">
        <f>[1]节奏总纲!BN126</f>
        <v>4.8999999999999968</v>
      </c>
      <c r="BF129" s="21">
        <f>'[1]功能-行军令'!FZ127</f>
        <v>123</v>
      </c>
      <c r="BG129" s="21">
        <f>'[1]功能-行军令'!GA127*'[1]功能-行军令'!GB127</f>
        <v>863.02841341137253</v>
      </c>
    </row>
    <row r="130" spans="2:59">
      <c r="B130" s="1">
        <v>127</v>
      </c>
      <c r="C130" s="16">
        <f>'[1]资源-钻石'!L130</f>
        <v>20670913.828327835</v>
      </c>
      <c r="D130" s="16">
        <f>'[1]资源-钻石'!M130</f>
        <v>29139901.214220621</v>
      </c>
      <c r="E130" s="16">
        <f>'[1]资源-钻石'!N130</f>
        <v>45926811.416054659</v>
      </c>
      <c r="F130" s="16">
        <f>'[1]资源-钻石'!O130</f>
        <v>100537575.73712525</v>
      </c>
      <c r="G130" s="16">
        <f>'[1]资源-钻石'!P130</f>
        <v>135483737.92705396</v>
      </c>
      <c r="I130" s="1">
        <v>127</v>
      </c>
      <c r="J130" s="16">
        <f>'[1]资源-钻石'!T130</f>
        <v>712516.87807878188</v>
      </c>
      <c r="K130" s="16">
        <f>'[1]资源-钻石'!U130</f>
        <v>999648.56588666025</v>
      </c>
      <c r="L130" s="16">
        <f>'[1]资源-钻石'!V130</f>
        <v>1671695.4224753263</v>
      </c>
      <c r="M130" s="16">
        <f>'[1]资源-钻石'!W130</f>
        <v>4411434.9647228587</v>
      </c>
      <c r="N130" s="16">
        <f>'[1]资源-钻石'!X130</f>
        <v>10487945.961195143</v>
      </c>
      <c r="P130" s="16">
        <v>127</v>
      </c>
      <c r="Q130" s="16">
        <f>'[1]功能-行军令'!N130</f>
        <v>306036.69502371247</v>
      </c>
      <c r="R130" s="16">
        <f>'[1]功能-行军令'!O130</f>
        <v>379109.60893225478</v>
      </c>
      <c r="S130" s="16">
        <f>'[1]功能-行军令'!P130</f>
        <v>410293.41756084486</v>
      </c>
      <c r="T130" s="16">
        <f>'[1]功能-行军令'!Q130</f>
        <v>329950.8015511632</v>
      </c>
      <c r="U130" s="16">
        <f>'[1]功能-行军令'!R130</f>
        <v>177138.69615986643</v>
      </c>
      <c r="V130" s="16">
        <f>'[1]功能-行军令'!S130</f>
        <v>20497.442428089504</v>
      </c>
      <c r="W130" s="16">
        <f>'[1]功能-行军令'!T130</f>
        <v>25391.652404370368</v>
      </c>
      <c r="X130" s="16">
        <f>'[1]功能-行军令'!U130</f>
        <v>25729.152165059873</v>
      </c>
      <c r="Y130" s="16">
        <f>'[1]功能-行军令'!V130</f>
        <v>20244.996385860199</v>
      </c>
      <c r="Z130" s="16">
        <f>'[1]功能-行军令'!W130</f>
        <v>11288.807927249611</v>
      </c>
      <c r="AC130" s="21">
        <v>127</v>
      </c>
      <c r="AD130" s="21">
        <f>'[1]功能-实力'!BF131</f>
        <v>69451152</v>
      </c>
      <c r="AE130" s="21">
        <f>'[1]功能-实力'!BG131</f>
        <v>79236594</v>
      </c>
      <c r="AF130" s="21">
        <f>'[1]功能-实力'!BH131</f>
        <v>90620022</v>
      </c>
      <c r="AG130" s="21">
        <f>'[1]功能-实力'!BI131</f>
        <v>96828396</v>
      </c>
      <c r="AH130" s="21">
        <f>'[1]功能-实力'!BJ131</f>
        <v>101355666</v>
      </c>
      <c r="AL130" s="57">
        <f>[2]基础状态预期!C140</f>
        <v>13678</v>
      </c>
      <c r="AM130" s="57">
        <f>[2]基础状态预期!D140</f>
        <v>143.08413721822018</v>
      </c>
      <c r="AO130" s="57">
        <f>[2]基础状态预期!F140</f>
        <v>0</v>
      </c>
      <c r="AP130" s="57">
        <f>[2]基础状态预期!G140</f>
        <v>0</v>
      </c>
      <c r="AQ130" s="57">
        <f>[2]基础状态预期!H140</f>
        <v>0</v>
      </c>
      <c r="AR130" s="57">
        <f>[2]基础状态预期!I140</f>
        <v>0</v>
      </c>
      <c r="AS130" s="57">
        <f>[2]基础状态预期!J140</f>
        <v>6</v>
      </c>
      <c r="AW130" s="16">
        <v>124</v>
      </c>
      <c r="AX130" s="16">
        <f>[1]节奏总纲!BJ127</f>
        <v>3.4999999999999978</v>
      </c>
      <c r="AY130" s="16">
        <f>[1]节奏总纲!BK127</f>
        <v>3.5699999999999976</v>
      </c>
      <c r="AZ130" s="16">
        <f>[1]节奏总纲!BL127</f>
        <v>3.7099999999999977</v>
      </c>
      <c r="BA130" s="16">
        <f>[1]节奏总纲!BM127</f>
        <v>3.9899999999999971</v>
      </c>
      <c r="BB130" s="16">
        <f>[1]节奏总纲!BN127</f>
        <v>4.8999999999999968</v>
      </c>
      <c r="BF130" s="21">
        <f>'[1]功能-行军令'!FZ128</f>
        <v>124</v>
      </c>
      <c r="BG130" s="21">
        <f>'[1]功能-行军令'!GA128*'[1]功能-行军令'!GB128</f>
        <v>880.28898167960006</v>
      </c>
    </row>
    <row r="131" spans="2:59">
      <c r="B131" s="1">
        <v>128</v>
      </c>
      <c r="C131" s="16">
        <f>'[1]资源-钻石'!L131</f>
        <v>22021839.923014224</v>
      </c>
      <c r="D131" s="16">
        <f>'[1]资源-钻石'!M131</f>
        <v>30961306.966293775</v>
      </c>
      <c r="E131" s="16">
        <f>'[1]资源-钻石'!N131</f>
        <v>48855160.821308494</v>
      </c>
      <c r="F131" s="16">
        <f>'[1]资源-钻石'!O131</f>
        <v>107192958.85472654</v>
      </c>
      <c r="G131" s="16">
        <f>'[1]资源-钻石'!P131</f>
        <v>144779732.63812914</v>
      </c>
      <c r="I131" s="1">
        <v>128</v>
      </c>
      <c r="J131" s="16">
        <f>'[1]资源-钻石'!T131</f>
        <v>716850.2358625622</v>
      </c>
      <c r="K131" s="16">
        <f>'[1]资源-钻石'!U131</f>
        <v>1006095.2594488186</v>
      </c>
      <c r="L131" s="16">
        <f>'[1]资源-钻石'!V131</f>
        <v>1683238.7853937005</v>
      </c>
      <c r="M131" s="16">
        <f>'[1]资源-钻石'!W131</f>
        <v>4444152.6639330704</v>
      </c>
      <c r="N131" s="16">
        <f>'[1]资源-钻石'!X131</f>
        <v>10567790.430326376</v>
      </c>
      <c r="P131" s="16">
        <v>128</v>
      </c>
      <c r="Q131" s="16">
        <f>'[1]功能-行军令'!N131</f>
        <v>328005.30986800481</v>
      </c>
      <c r="R131" s="16">
        <f>'[1]功能-行军令'!O131</f>
        <v>404412.72069171362</v>
      </c>
      <c r="S131" s="16">
        <f>'[1]功能-行军令'!P131</f>
        <v>437345.16685748287</v>
      </c>
      <c r="T131" s="16">
        <f>'[1]功能-行军令'!Q131</f>
        <v>352167.17926991213</v>
      </c>
      <c r="U131" s="16">
        <f>'[1]功能-行军令'!R131</f>
        <v>189413.79673349392</v>
      </c>
      <c r="V131" s="16">
        <f>'[1]功能-行军令'!S131</f>
        <v>21968.614844292344</v>
      </c>
      <c r="W131" s="16">
        <f>'[1]功能-行军令'!T131</f>
        <v>25303.111759458843</v>
      </c>
      <c r="X131" s="16">
        <f>'[1]功能-行军令'!U131</f>
        <v>27051.749296638009</v>
      </c>
      <c r="Y131" s="16">
        <f>'[1]功能-行军令'!V131</f>
        <v>22216.377718748932</v>
      </c>
      <c r="Z131" s="16">
        <f>'[1]功能-行军令'!W131</f>
        <v>12275.100573627482</v>
      </c>
      <c r="AC131" s="21">
        <v>128</v>
      </c>
      <c r="AD131" s="21">
        <f>'[1]功能-实力'!BF132</f>
        <v>71310624</v>
      </c>
      <c r="AE131" s="21">
        <f>'[1]功能-实力'!BG132</f>
        <v>81249540</v>
      </c>
      <c r="AF131" s="21">
        <f>'[1]功能-实力'!BH132</f>
        <v>93101382</v>
      </c>
      <c r="AG131" s="21">
        <f>'[1]功能-实力'!BI132</f>
        <v>99109356</v>
      </c>
      <c r="AH131" s="21">
        <f>'[1]功能-实力'!BJ132</f>
        <v>103893618</v>
      </c>
      <c r="AL131" s="57">
        <f>[2]基础状态预期!C141</f>
        <v>17416</v>
      </c>
      <c r="AM131" s="57">
        <f>[2]基础状态预期!D141</f>
        <v>146.62302564097175</v>
      </c>
      <c r="AO131" s="57">
        <f>[2]基础状态预期!F141</f>
        <v>0</v>
      </c>
      <c r="AP131" s="57">
        <f>[2]基础状态预期!G141</f>
        <v>0</v>
      </c>
      <c r="AQ131" s="57">
        <f>[2]基础状态预期!H141</f>
        <v>0</v>
      </c>
      <c r="AR131" s="57">
        <f>[2]基础状态预期!I141</f>
        <v>0</v>
      </c>
      <c r="AS131" s="57">
        <f>[2]基础状态预期!J141</f>
        <v>6</v>
      </c>
      <c r="AW131" s="16">
        <v>125</v>
      </c>
      <c r="AX131" s="16">
        <f>[1]节奏总纲!BJ128</f>
        <v>3.4999999999999978</v>
      </c>
      <c r="AY131" s="16">
        <f>[1]节奏总纲!BK128</f>
        <v>3.5699999999999976</v>
      </c>
      <c r="AZ131" s="16">
        <f>[1]节奏总纲!BL128</f>
        <v>3.7099999999999977</v>
      </c>
      <c r="BA131" s="16">
        <f>[1]节奏总纲!BM128</f>
        <v>3.9899999999999971</v>
      </c>
      <c r="BB131" s="16">
        <f>[1]节奏总纲!BN128</f>
        <v>4.8999999999999968</v>
      </c>
      <c r="BF131" s="21">
        <f>'[1]功能-行军令'!FZ129</f>
        <v>125</v>
      </c>
      <c r="BG131" s="21">
        <f>'[1]功能-行军令'!GA129*'[1]功能-行军令'!GB129</f>
        <v>897.89476131319213</v>
      </c>
    </row>
    <row r="132" spans="2:59">
      <c r="B132" s="1">
        <v>129</v>
      </c>
      <c r="C132" s="16">
        <f>'[1]资源-钻石'!L132</f>
        <v>23469726.661146887</v>
      </c>
      <c r="D132" s="16">
        <f>'[1]资源-钻石'!M132</f>
        <v>33037427.43138627</v>
      </c>
      <c r="E132" s="16">
        <f>'[1]资源-钻石'!N132</f>
        <v>52336389.566204518</v>
      </c>
      <c r="F132" s="16">
        <f>'[1]资源-钻石'!O132</f>
        <v>115143355.61287996</v>
      </c>
      <c r="G132" s="16">
        <f>'[1]资源-钻石'!P132</f>
        <v>155434325.46311164</v>
      </c>
      <c r="I132" s="4">
        <v>129</v>
      </c>
      <c r="J132" s="16">
        <f>'[1]资源-钻石'!T132</f>
        <v>721183.59364634252</v>
      </c>
      <c r="K132" s="16">
        <f>'[1]资源-钻石'!U132</f>
        <v>1012541.9530109769</v>
      </c>
      <c r="L132" s="16">
        <f>'[1]资源-钻石'!V132</f>
        <v>1694782.1483120746</v>
      </c>
      <c r="M132" s="16">
        <f>'[1]资源-钻石'!W132</f>
        <v>4476870.363143282</v>
      </c>
      <c r="N132" s="16">
        <f>'[1]资源-钻石'!X132</f>
        <v>10647634.899457609</v>
      </c>
      <c r="P132" s="16">
        <v>129</v>
      </c>
      <c r="Q132" s="16">
        <f>'[1]功能-行军令'!N132</f>
        <v>351550.68826679827</v>
      </c>
      <c r="R132" s="16">
        <f>'[1]功能-行军令'!O132</f>
        <v>433442.89261729561</v>
      </c>
      <c r="S132" s="16">
        <f>'[1]功能-行军令'!P132</f>
        <v>469504.35082720249</v>
      </c>
      <c r="T132" s="16">
        <f>'[1]功能-行军令'!Q132</f>
        <v>378706.45045415516</v>
      </c>
      <c r="U132" s="16">
        <f>'[1]功能-行军令'!R132</f>
        <v>203482.88805320952</v>
      </c>
      <c r="V132" s="16">
        <f>'[1]功能-行军令'!S132</f>
        <v>23545.378398793458</v>
      </c>
      <c r="W132" s="16">
        <f>'[1]功能-行军令'!T132</f>
        <v>29030.171925581992</v>
      </c>
      <c r="X132" s="16">
        <f>'[1]功能-行军令'!U132</f>
        <v>32159.183969719626</v>
      </c>
      <c r="Y132" s="16">
        <f>'[1]功能-行军令'!V132</f>
        <v>26539.271184243029</v>
      </c>
      <c r="Z132" s="16">
        <f>'[1]功能-行军令'!W132</f>
        <v>14069.091319715604</v>
      </c>
      <c r="AC132" s="21">
        <v>129</v>
      </c>
      <c r="AD132" s="21">
        <f>'[1]功能-实力'!BF133</f>
        <v>73198032</v>
      </c>
      <c r="AE132" s="21">
        <f>'[1]功能-实力'!BG133</f>
        <v>83330970</v>
      </c>
      <c r="AF132" s="21">
        <f>'[1]功能-实力'!BH133</f>
        <v>95665662</v>
      </c>
      <c r="AG132" s="21">
        <f>'[1]功能-实力'!BI133</f>
        <v>101546814</v>
      </c>
      <c r="AH132" s="21">
        <f>'[1]功能-实力'!BJ133</f>
        <v>106578024</v>
      </c>
      <c r="AL132" s="57">
        <f>[2]基础状态预期!C142</f>
        <v>22204</v>
      </c>
      <c r="AM132" s="57">
        <f>[2]基础状态预期!D142</f>
        <v>150.12999034316616</v>
      </c>
      <c r="AO132" s="57">
        <f>[2]基础状态预期!F142</f>
        <v>0</v>
      </c>
      <c r="AP132" s="57">
        <f>[2]基础状态预期!G142</f>
        <v>0</v>
      </c>
      <c r="AQ132" s="57">
        <f>[2]基础状态预期!H142</f>
        <v>0</v>
      </c>
      <c r="AR132" s="57">
        <f>[2]基础状态预期!I142</f>
        <v>0</v>
      </c>
      <c r="AS132" s="57">
        <f>[2]基础状态预期!J142</f>
        <v>6</v>
      </c>
      <c r="AW132" s="16">
        <v>126</v>
      </c>
      <c r="AX132" s="16">
        <f>[1]节奏总纲!BJ129</f>
        <v>3.4999999999999978</v>
      </c>
      <c r="AY132" s="16">
        <f>[1]节奏总纲!BK129</f>
        <v>3.5699999999999976</v>
      </c>
      <c r="AZ132" s="16">
        <f>[1]节奏总纲!BL129</f>
        <v>3.7099999999999977</v>
      </c>
      <c r="BA132" s="16">
        <f>[1]节奏总纲!BM129</f>
        <v>3.9899999999999971</v>
      </c>
      <c r="BB132" s="16">
        <f>[1]节奏总纲!BN129</f>
        <v>4.8999999999999968</v>
      </c>
      <c r="BF132" s="21">
        <f>'[1]功能-行军令'!FZ130</f>
        <v>126</v>
      </c>
      <c r="BG132" s="21">
        <f>'[1]功能-行军令'!GA130*'[1]功能-行军令'!GB130</f>
        <v>915.85265653945589</v>
      </c>
    </row>
    <row r="133" spans="2:59">
      <c r="B133" s="1">
        <v>130</v>
      </c>
      <c r="C133" s="16">
        <f>'[1]资源-钻石'!L133</f>
        <v>25021533.243835688</v>
      </c>
      <c r="D133" s="16">
        <f>'[1]资源-钻石'!M133</f>
        <v>35301805.992381781</v>
      </c>
      <c r="E133" s="16">
        <f>'[1]资源-钻石'!N133</f>
        <v>56105698.360661089</v>
      </c>
      <c r="F133" s="16">
        <f>'[1]资源-钻石'!O133</f>
        <v>123615645.11346307</v>
      </c>
      <c r="G133" s="16">
        <f>'[1]资源-钻石'!P133</f>
        <v>167070988.97448242</v>
      </c>
      <c r="I133" s="4">
        <v>130</v>
      </c>
      <c r="J133" s="16">
        <f>'[1]资源-钻石'!T133</f>
        <v>725516.95143012283</v>
      </c>
      <c r="K133" s="16">
        <f>'[1]资源-钻石'!U133</f>
        <v>1018988.6465731353</v>
      </c>
      <c r="L133" s="16">
        <f>'[1]资源-钻石'!V133</f>
        <v>1706325.5112304487</v>
      </c>
      <c r="M133" s="16">
        <f>'[1]资源-钻石'!W133</f>
        <v>4509588.0623534936</v>
      </c>
      <c r="N133" s="16">
        <f>'[1]资源-钻石'!X133</f>
        <v>10727479.368588842</v>
      </c>
      <c r="P133" s="16">
        <v>130</v>
      </c>
      <c r="Q133" s="16">
        <f>'[1]功能-行军令'!N133</f>
        <v>376786</v>
      </c>
      <c r="R133" s="16">
        <f>'[1]功能-行军令'!O133</f>
        <v>465105.45750000002</v>
      </c>
      <c r="S133" s="16">
        <f>'[1]功能-行军令'!P133</f>
        <v>504324.78460000001</v>
      </c>
      <c r="T133" s="16">
        <f>'[1]功能-行军令'!Q133</f>
        <v>406987.85519999999</v>
      </c>
      <c r="U133" s="16">
        <f>'[1]功能-行军令'!R133</f>
        <v>218848.77620000002</v>
      </c>
      <c r="V133" s="16">
        <f>'[1]功能-行军令'!S133</f>
        <v>25235.311733201728</v>
      </c>
      <c r="W133" s="16">
        <f>'[1]功能-行军令'!T133</f>
        <v>31662.564882704406</v>
      </c>
      <c r="X133" s="16">
        <f>'[1]功能-行军令'!U133</f>
        <v>34820.433772797522</v>
      </c>
      <c r="Y133" s="16">
        <f>'[1]功能-行军令'!V133</f>
        <v>28281.404745844833</v>
      </c>
      <c r="Z133" s="16">
        <f>'[1]功能-行军令'!W133</f>
        <v>15365.888146790501</v>
      </c>
      <c r="AC133" s="21">
        <v>130</v>
      </c>
      <c r="AD133" s="21">
        <f>'[1]功能-实力'!BF134</f>
        <v>75141834</v>
      </c>
      <c r="AE133" s="21">
        <f>'[1]功能-实力'!BG134</f>
        <v>85450524</v>
      </c>
      <c r="AF133" s="21">
        <f>'[1]功能-实力'!BH134</f>
        <v>98372712</v>
      </c>
      <c r="AG133" s="21">
        <f>'[1]功能-实力'!BI134</f>
        <v>104108616</v>
      </c>
      <c r="AH133" s="21">
        <f>'[1]功能-实力'!BJ134</f>
        <v>109316220</v>
      </c>
      <c r="AL133" s="57">
        <f>[2]基础状态预期!C143</f>
        <v>28294</v>
      </c>
      <c r="AM133" s="57">
        <f>[2]基础状态预期!D143</f>
        <v>153.11600330857166</v>
      </c>
      <c r="AO133" s="57">
        <f>[2]基础状态预期!F143</f>
        <v>0</v>
      </c>
      <c r="AP133" s="57">
        <f>[2]基础状态预期!G143</f>
        <v>0</v>
      </c>
      <c r="AQ133" s="57">
        <f>[2]基础状态预期!H143</f>
        <v>0</v>
      </c>
      <c r="AR133" s="57">
        <f>[2]基础状态预期!I143</f>
        <v>0</v>
      </c>
      <c r="AS133" s="57">
        <f>[2]基础状态预期!J143</f>
        <v>6</v>
      </c>
      <c r="AW133" s="16">
        <v>127</v>
      </c>
      <c r="AX133" s="16">
        <f>[1]节奏总纲!BJ130</f>
        <v>3.4999999999999978</v>
      </c>
      <c r="AY133" s="16">
        <f>[1]节奏总纲!BK130</f>
        <v>3.5699999999999976</v>
      </c>
      <c r="AZ133" s="16">
        <f>[1]节奏总纲!BL130</f>
        <v>3.7099999999999977</v>
      </c>
      <c r="BA133" s="16">
        <f>[1]节奏总纲!BM130</f>
        <v>3.9899999999999971</v>
      </c>
      <c r="BB133" s="16">
        <f>[1]节奏总纲!BN130</f>
        <v>4.8999999999999968</v>
      </c>
      <c r="BF133" s="21">
        <f>'[1]功能-行军令'!FZ131</f>
        <v>127</v>
      </c>
      <c r="BG133" s="21">
        <f>'[1]功能-行军令'!GA131*'[1]功能-行军令'!GB131</f>
        <v>934.16970967024508</v>
      </c>
    </row>
    <row r="134" spans="2:59">
      <c r="B134" s="1">
        <v>131</v>
      </c>
      <c r="C134" s="16">
        <f>'[1]资源-钻石'!L134</f>
        <v>26684718.358150683</v>
      </c>
      <c r="D134" s="16">
        <f>'[1]资源-钻石'!M134</f>
        <v>37706285.458295979</v>
      </c>
      <c r="E134" s="16">
        <f>'[1]资源-钻石'!N134</f>
        <v>60052703.082792744</v>
      </c>
      <c r="F134" s="16">
        <f>'[1]资源-钻石'!O134</f>
        <v>132665431.5110721</v>
      </c>
      <c r="G134" s="16">
        <f>'[1]资源-钻石'!P134</f>
        <v>178830879.03489286</v>
      </c>
      <c r="I134" s="4">
        <v>131</v>
      </c>
      <c r="J134" s="16">
        <f>'[1]资源-钻石'!T134</f>
        <v>729850.30921390315</v>
      </c>
      <c r="K134" s="16">
        <f>'[1]资源-钻石'!U134</f>
        <v>1025435.3401352937</v>
      </c>
      <c r="L134" s="16">
        <f>'[1]资源-钻石'!V134</f>
        <v>1717868.8741488231</v>
      </c>
      <c r="M134" s="16">
        <f>'[1]资源-钻石'!W134</f>
        <v>4542305.7615637053</v>
      </c>
      <c r="N134" s="16">
        <f>'[1]资源-钻石'!X134</f>
        <v>10807323.837720074</v>
      </c>
      <c r="P134" s="16">
        <v>131</v>
      </c>
      <c r="Q134" s="16">
        <f>'[1]功能-行军令'!N134</f>
        <v>403832.53743447649</v>
      </c>
      <c r="R134" s="16">
        <f>'[1]功能-行军令'!O134</f>
        <v>498727.03845383495</v>
      </c>
      <c r="S134" s="16">
        <f>'[1]功能-行军令'!P134</f>
        <v>541005.67143276311</v>
      </c>
      <c r="T134" s="16">
        <f>'[1]功能-行军令'!Q134</f>
        <v>437197.00609794882</v>
      </c>
      <c r="U134" s="16">
        <f>'[1]功能-行军令'!R134</f>
        <v>234377.38155240606</v>
      </c>
      <c r="V134" s="16">
        <f>'[1]功能-行军令'!S134</f>
        <v>27046.537434476486</v>
      </c>
      <c r="W134" s="16">
        <f>'[1]功能-行军令'!T134</f>
        <v>33621.580953834928</v>
      </c>
      <c r="X134" s="16">
        <f>'[1]功能-行军令'!U134</f>
        <v>36680.886832763092</v>
      </c>
      <c r="Y134" s="16">
        <f>'[1]功能-行军令'!V134</f>
        <v>30209.150897948828</v>
      </c>
      <c r="Z134" s="16">
        <f>'[1]功能-行军令'!W134</f>
        <v>15528.605352406041</v>
      </c>
      <c r="AC134" s="21">
        <v>131</v>
      </c>
      <c r="AD134" s="21">
        <f>'[1]功能-实力'!BF135</f>
        <v>77059878</v>
      </c>
      <c r="AE134" s="21">
        <f>'[1]功能-实力'!BG135</f>
        <v>87775836</v>
      </c>
      <c r="AF134" s="21">
        <f>'[1]功能-实力'!BH135</f>
        <v>100879110</v>
      </c>
      <c r="AG134" s="21">
        <f>'[1]功能-实力'!BI135</f>
        <v>106712472</v>
      </c>
      <c r="AH134" s="21">
        <f>'[1]功能-实力'!BJ135</f>
        <v>112003542</v>
      </c>
      <c r="AL134" s="57">
        <f>[2]基础状态预期!C144</f>
        <v>36064</v>
      </c>
      <c r="AM134" s="57">
        <f>[2]基础状态预期!D144</f>
        <v>154.20294442048996</v>
      </c>
      <c r="AO134" s="57">
        <f>[2]基础状态预期!F144</f>
        <v>0</v>
      </c>
      <c r="AP134" s="57">
        <f>[2]基础状态预期!G144</f>
        <v>0</v>
      </c>
      <c r="AQ134" s="57">
        <f>[2]基础状态预期!H144</f>
        <v>0</v>
      </c>
      <c r="AR134" s="57">
        <f>[2]基础状态预期!I144</f>
        <v>0</v>
      </c>
      <c r="AS134" s="57">
        <f>[2]基础状态预期!J144</f>
        <v>6</v>
      </c>
      <c r="AW134" s="16">
        <v>128</v>
      </c>
      <c r="AX134" s="16">
        <f>[1]节奏总纲!BJ131</f>
        <v>3.4999999999999978</v>
      </c>
      <c r="AY134" s="16">
        <f>[1]节奏总纲!BK131</f>
        <v>3.5699999999999976</v>
      </c>
      <c r="AZ134" s="16">
        <f>[1]节奏总纲!BL131</f>
        <v>3.7099999999999977</v>
      </c>
      <c r="BA134" s="16">
        <f>[1]节奏总纲!BM131</f>
        <v>3.9899999999999971</v>
      </c>
      <c r="BB134" s="16">
        <f>[1]节奏总纲!BN131</f>
        <v>4.8999999999999968</v>
      </c>
      <c r="BF134" s="21">
        <f>'[1]功能-行军令'!FZ132</f>
        <v>128</v>
      </c>
      <c r="BG134" s="21">
        <f>'[1]功能-行军令'!GA132*'[1]功能-行军令'!GB132</f>
        <v>952.85310386365006</v>
      </c>
    </row>
    <row r="135" spans="2:59">
      <c r="B135" s="1">
        <v>132</v>
      </c>
      <c r="C135" s="16">
        <f>'[1]资源-钻石'!L135</f>
        <v>28467276.026958864</v>
      </c>
      <c r="D135" s="16">
        <f>'[1]资源-钻石'!M135</f>
        <v>40293567.583107665</v>
      </c>
      <c r="E135" s="16">
        <f>'[1]资源-钻石'!N135</f>
        <v>64339102.531990744</v>
      </c>
      <c r="F135" s="16">
        <f>'[1]资源-钻石'!O135</f>
        <v>141921621.10182008</v>
      </c>
      <c r="G135" s="16">
        <f>'[1]资源-钻石'!P135</f>
        <v>190984623.84193194</v>
      </c>
      <c r="I135" s="4">
        <v>132</v>
      </c>
      <c r="J135" s="16">
        <f>'[1]资源-钻石'!T135</f>
        <v>734183.66699768347</v>
      </c>
      <c r="K135" s="16">
        <f>'[1]资源-钻石'!U135</f>
        <v>1031882.033697452</v>
      </c>
      <c r="L135" s="16">
        <f>'[1]资源-钻石'!V135</f>
        <v>1729412.2370671972</v>
      </c>
      <c r="M135" s="16">
        <f>'[1]资源-钻石'!W135</f>
        <v>4575023.4607739169</v>
      </c>
      <c r="N135" s="16">
        <f>'[1]资源-钻石'!X135</f>
        <v>10887168.306851307</v>
      </c>
      <c r="P135" s="16">
        <v>132</v>
      </c>
      <c r="Q135" s="16">
        <f>'[1]功能-行军令'!N135</f>
        <v>432820.29851024237</v>
      </c>
      <c r="R135" s="16">
        <f>'[1]功能-行军令'!O135</f>
        <v>534904.72956865281</v>
      </c>
      <c r="S135" s="16">
        <f>'[1]功能-行军令'!P135</f>
        <v>581124.29196739208</v>
      </c>
      <c r="T135" s="16">
        <f>'[1]功能-行军令'!Q135</f>
        <v>468095.15283882717</v>
      </c>
      <c r="U135" s="16">
        <f>'[1]功能-行军令'!R135</f>
        <v>250426.06106325664</v>
      </c>
      <c r="V135" s="16">
        <f>'[1]功能-行军令'!S135</f>
        <v>28987.761075765884</v>
      </c>
      <c r="W135" s="16">
        <f>'[1]功能-行军令'!T135</f>
        <v>36177.691114817862</v>
      </c>
      <c r="X135" s="16">
        <f>'[1]功能-行军令'!U135</f>
        <v>40118.620534628979</v>
      </c>
      <c r="Y135" s="16">
        <f>'[1]功能-行军令'!V135</f>
        <v>30898.14674087835</v>
      </c>
      <c r="Z135" s="16">
        <f>'[1]功能-行军令'!W135</f>
        <v>16048.679510850576</v>
      </c>
      <c r="AC135" s="21">
        <v>132</v>
      </c>
      <c r="AD135" s="21">
        <f>'[1]功能-实力'!BF136</f>
        <v>79120008</v>
      </c>
      <c r="AE135" s="21">
        <f>'[1]功能-实力'!BG136</f>
        <v>90223890</v>
      </c>
      <c r="AF135" s="21">
        <f>'[1]功能-实力'!BH136</f>
        <v>103439688</v>
      </c>
      <c r="AG135" s="21">
        <f>'[1]功能-实力'!BI136</f>
        <v>109272654</v>
      </c>
      <c r="AH135" s="21">
        <f>'[1]功能-实力'!BJ136</f>
        <v>114599448</v>
      </c>
      <c r="AL135" s="57">
        <f>[2]基础状态预期!C145</f>
        <v>45850</v>
      </c>
      <c r="AM135" s="57">
        <f>[2]基础状态预期!D145</f>
        <v>155.2512378743358</v>
      </c>
      <c r="AO135" s="57">
        <f>[2]基础状态预期!F145</f>
        <v>0</v>
      </c>
      <c r="AP135" s="57">
        <f>[2]基础状态预期!G145</f>
        <v>0</v>
      </c>
      <c r="AQ135" s="57">
        <f>[2]基础状态预期!H145</f>
        <v>0</v>
      </c>
      <c r="AR135" s="57">
        <f>[2]基础状态预期!I145</f>
        <v>0</v>
      </c>
      <c r="AS135" s="57">
        <f>[2]基础状态预期!J145</f>
        <v>6</v>
      </c>
      <c r="AW135" s="16">
        <v>129</v>
      </c>
      <c r="AX135" s="16">
        <f>[1]节奏总纲!BJ132</f>
        <v>3.4999999999999978</v>
      </c>
      <c r="AY135" s="16">
        <f>[1]节奏总纲!BK132</f>
        <v>3.5699999999999976</v>
      </c>
      <c r="AZ135" s="16">
        <f>[1]节奏总纲!BL132</f>
        <v>3.7099999999999977</v>
      </c>
      <c r="BA135" s="16">
        <f>[1]节奏总纲!BM132</f>
        <v>3.9899999999999971</v>
      </c>
      <c r="BB135" s="16">
        <f>[1]节奏总纲!BN132</f>
        <v>4.8999999999999968</v>
      </c>
      <c r="BF135" s="21">
        <f>'[1]功能-行军令'!FZ133</f>
        <v>129</v>
      </c>
      <c r="BG135" s="21">
        <f>'[1]功能-行军令'!GA133*'[1]功能-行军令'!GB133</f>
        <v>971.91016594092309</v>
      </c>
    </row>
    <row r="136" spans="2:59">
      <c r="B136" s="1">
        <v>133</v>
      </c>
      <c r="C136" s="16">
        <f>'[1]资源-钻石'!L136</f>
        <v>30377774.031828076</v>
      </c>
      <c r="D136" s="16">
        <f>'[1]资源-钻石'!M136</f>
        <v>43068489.840897977</v>
      </c>
      <c r="E136" s="16">
        <f>'[1]资源-钻石'!N136</f>
        <v>68629245.481208459</v>
      </c>
      <c r="F136" s="16">
        <f>'[1]资源-钻石'!O136</f>
        <v>151271638.58037889</v>
      </c>
      <c r="G136" s="16">
        <f>'[1]资源-钻石'!P136</f>
        <v>203811210.76051348</v>
      </c>
      <c r="I136" s="1">
        <v>133</v>
      </c>
      <c r="J136" s="16">
        <f>'[1]资源-钻石'!T136</f>
        <v>738517.0247814639</v>
      </c>
      <c r="K136" s="16">
        <f>'[1]资源-钻石'!U136</f>
        <v>1038328.7272596103</v>
      </c>
      <c r="L136" s="16">
        <f>'[1]资源-钻石'!V136</f>
        <v>1740955.5999855713</v>
      </c>
      <c r="M136" s="16">
        <f>'[1]资源-钻石'!W136</f>
        <v>4607741.1599841285</v>
      </c>
      <c r="N136" s="16">
        <f>'[1]资源-钻石'!X136</f>
        <v>10967012.77598254</v>
      </c>
      <c r="P136" s="16">
        <v>133</v>
      </c>
      <c r="Q136" s="16">
        <f>'[1]功能-行军令'!N136</f>
        <v>463888.61156959157</v>
      </c>
      <c r="R136" s="16">
        <f>'[1]功能-行军令'!O136</f>
        <v>573706.17273066507</v>
      </c>
      <c r="S136" s="16">
        <f>'[1]功能-行军令'!P136</f>
        <v>621277.94984712673</v>
      </c>
      <c r="T136" s="16">
        <f>'[1]功能-行军令'!Q136</f>
        <v>499306.50706292992</v>
      </c>
      <c r="U136" s="16">
        <f>'[1]功能-行军令'!R136</f>
        <v>267363.20973163756</v>
      </c>
      <c r="V136" s="16">
        <f>'[1]功能-行军令'!S136</f>
        <v>31068.313059349195</v>
      </c>
      <c r="W136" s="16">
        <f>'[1]功能-行军令'!T136</f>
        <v>38801.443162012263</v>
      </c>
      <c r="X136" s="16">
        <f>'[1]功能-行军令'!U136</f>
        <v>40153.657879734645</v>
      </c>
      <c r="Y136" s="16">
        <f>'[1]功能-行军令'!V136</f>
        <v>31211.354224102746</v>
      </c>
      <c r="Z136" s="16">
        <f>'[1]功能-行军令'!W136</f>
        <v>16937.14866838092</v>
      </c>
      <c r="AC136" s="21">
        <v>133</v>
      </c>
      <c r="AD136" s="21">
        <f>'[1]功能-实力'!BF137</f>
        <v>81230610</v>
      </c>
      <c r="AE136" s="21">
        <f>'[1]功能-实力'!BG137</f>
        <v>92741574</v>
      </c>
      <c r="AF136" s="21">
        <f>'[1]功能-实力'!BH137</f>
        <v>105946002</v>
      </c>
      <c r="AG136" s="21">
        <f>'[1]功能-实力'!BI137</f>
        <v>111730386</v>
      </c>
      <c r="AH136" s="21">
        <f>'[1]功能-实力'!BJ137</f>
        <v>117240318</v>
      </c>
      <c r="AW136" s="16">
        <v>130</v>
      </c>
      <c r="AX136" s="16">
        <f>[1]节奏总纲!BJ133</f>
        <v>3.4999999999999978</v>
      </c>
      <c r="AY136" s="16">
        <f>[1]节奏总纲!BK133</f>
        <v>3.5699999999999976</v>
      </c>
      <c r="AZ136" s="16">
        <f>[1]节奏总纲!BL133</f>
        <v>3.7099999999999977</v>
      </c>
      <c r="BA136" s="16">
        <f>[1]节奏总纲!BM133</f>
        <v>3.9899999999999971</v>
      </c>
      <c r="BB136" s="16">
        <f>[1]节奏总纲!BN133</f>
        <v>4.8999999999999968</v>
      </c>
      <c r="BF136" s="21">
        <f>'[1]功能-行军令'!FZ134</f>
        <v>130</v>
      </c>
      <c r="BG136" s="21">
        <f>'[1]功能-行军令'!GA134*'[1]功能-行军令'!GB134</f>
        <v>991.34836925974162</v>
      </c>
    </row>
    <row r="137" spans="2:59">
      <c r="B137" s="1">
        <v>134</v>
      </c>
      <c r="C137" s="16">
        <f>'[1]资源-钻石'!L137</f>
        <v>32425395.093675382</v>
      </c>
      <c r="D137" s="16">
        <f>'[1]资源-钻石'!M137</f>
        <v>45889291.469480656</v>
      </c>
      <c r="E137" s="16">
        <f>'[1]资源-钻石'!N137</f>
        <v>73068218.939424127</v>
      </c>
      <c r="F137" s="16">
        <f>'[1]资源-钻石'!O137</f>
        <v>161374762.85707304</v>
      </c>
      <c r="G137" s="16">
        <f>'[1]资源-钻石'!P137</f>
        <v>217839169.51968169</v>
      </c>
      <c r="I137" s="1">
        <v>134</v>
      </c>
      <c r="J137" s="16">
        <f>'[1]资源-钻石'!T137</f>
        <v>742850.38256524422</v>
      </c>
      <c r="K137" s="16">
        <f>'[1]资源-钻石'!U137</f>
        <v>1044775.4208217687</v>
      </c>
      <c r="L137" s="16">
        <f>'[1]资源-钻石'!V137</f>
        <v>1752498.9629039457</v>
      </c>
      <c r="M137" s="16">
        <f>'[1]资源-钻石'!W137</f>
        <v>4640458.8591943402</v>
      </c>
      <c r="N137" s="16">
        <f>'[1]资源-钻石'!X137</f>
        <v>11046857.245113773</v>
      </c>
      <c r="P137" s="16">
        <v>134</v>
      </c>
      <c r="Q137" s="16">
        <f>'[1]功能-行军令'!N137</f>
        <v>497186.80503237102</v>
      </c>
      <c r="R137" s="16">
        <f>'[1]功能-行军令'!O137</f>
        <v>613149.14226088859</v>
      </c>
      <c r="S137" s="16">
        <f>'[1]功能-行军令'!P137</f>
        <v>662824.58912890544</v>
      </c>
      <c r="T137" s="16">
        <f>'[1]功能-行军令'!Q137</f>
        <v>533031.81199344399</v>
      </c>
      <c r="U137" s="16">
        <f>'[1]功能-行军令'!R137</f>
        <v>285886.73625713534</v>
      </c>
      <c r="V137" s="16">
        <f>'[1]功能-行军令'!S137</f>
        <v>33298.193462779454</v>
      </c>
      <c r="W137" s="16">
        <f>'[1]功能-行军令'!T137</f>
        <v>39442.96953022352</v>
      </c>
      <c r="X137" s="16">
        <f>'[1]功能-行军令'!U137</f>
        <v>41546.639281778713</v>
      </c>
      <c r="Y137" s="16">
        <f>'[1]功能-行军令'!V137</f>
        <v>33725.304930514074</v>
      </c>
      <c r="Z137" s="16">
        <f>'[1]功能-行军令'!W137</f>
        <v>18523.526525497786</v>
      </c>
      <c r="AC137" s="21">
        <v>134</v>
      </c>
      <c r="AD137" s="21">
        <f>'[1]功能-实力'!BF138</f>
        <v>83394600</v>
      </c>
      <c r="AE137" s="21">
        <f>'[1]功能-实力'!BG138</f>
        <v>95210142</v>
      </c>
      <c r="AF137" s="21">
        <f>'[1]功能-实力'!BH138</f>
        <v>108373848</v>
      </c>
      <c r="AG137" s="21">
        <f>'[1]功能-实力'!BI138</f>
        <v>114245094</v>
      </c>
      <c r="AH137" s="21">
        <f>'[1]功能-实力'!BJ138</f>
        <v>119914644</v>
      </c>
      <c r="AW137" s="16">
        <v>131</v>
      </c>
      <c r="AX137" s="16">
        <f>[1]节奏总纲!BJ134</f>
        <v>3.4999999999999978</v>
      </c>
      <c r="AY137" s="16">
        <f>[1]节奏总纲!BK134</f>
        <v>3.5699999999999976</v>
      </c>
      <c r="AZ137" s="16">
        <f>[1]节奏总纲!BL134</f>
        <v>3.7099999999999977</v>
      </c>
      <c r="BA137" s="16">
        <f>[1]节奏总纲!BM134</f>
        <v>3.9899999999999971</v>
      </c>
      <c r="BB137" s="16">
        <f>[1]节奏总纲!BN134</f>
        <v>4.8999999999999968</v>
      </c>
      <c r="BF137" s="21">
        <f>'[1]功能-行军令'!FZ135</f>
        <v>131</v>
      </c>
      <c r="BG137" s="21">
        <f>'[1]功能-行军令'!GA135*'[1]功能-行军令'!GB135</f>
        <v>1011.1753366449365</v>
      </c>
    </row>
    <row r="138" spans="2:59">
      <c r="B138" s="1">
        <v>135</v>
      </c>
      <c r="C138" s="16">
        <f>'[1]资源-钻石'!L138</f>
        <v>34614884.26629331</v>
      </c>
      <c r="D138" s="16">
        <f>'[1]资源-钻石'!M138</f>
        <v>48981338.466808848</v>
      </c>
      <c r="E138" s="16">
        <f>'[1]资源-钻石'!N138</f>
        <v>78050193.707845315</v>
      </c>
      <c r="F138" s="16">
        <f>'[1]资源-钻石'!O138</f>
        <v>172908161.67525318</v>
      </c>
      <c r="G138" s="16">
        <f>'[1]资源-钻石'!P138</f>
        <v>233720757.21706653</v>
      </c>
      <c r="I138" s="4">
        <v>135</v>
      </c>
      <c r="J138" s="16">
        <f>'[1]资源-钻石'!T138</f>
        <v>747183.74034902453</v>
      </c>
      <c r="K138" s="16">
        <f>'[1]资源-钻石'!U138</f>
        <v>1051222.1143839271</v>
      </c>
      <c r="L138" s="16">
        <f>'[1]资源-钻石'!V138</f>
        <v>1764042.3258223198</v>
      </c>
      <c r="M138" s="16">
        <f>'[1]资源-钻石'!W138</f>
        <v>4673176.5584045518</v>
      </c>
      <c r="N138" s="16">
        <f>'[1]资源-钻石'!X138</f>
        <v>11126701.714245005</v>
      </c>
      <c r="P138" s="16">
        <v>135</v>
      </c>
      <c r="Q138" s="16">
        <f>'[1]功能-行军令'!N138</f>
        <v>532874.92513617827</v>
      </c>
      <c r="R138" s="16">
        <f>'[1]功能-行军令'!O138</f>
        <v>656384.90696899174</v>
      </c>
      <c r="S138" s="16">
        <f>'[1]功能-行军令'!P138</f>
        <v>709453.45739380363</v>
      </c>
      <c r="T138" s="16">
        <f>'[1]功能-行军令'!Q138</f>
        <v>571531.52568355715</v>
      </c>
      <c r="U138" s="16">
        <f>'[1]功能-行军令'!R138</f>
        <v>306884.98623342562</v>
      </c>
      <c r="V138" s="16">
        <f>'[1]功能-行军令'!S138</f>
        <v>35688.120103807247</v>
      </c>
      <c r="W138" s="16">
        <f>'[1]功能-行军令'!T138</f>
        <v>43235.764708103146</v>
      </c>
      <c r="X138" s="16">
        <f>'[1]功能-行军令'!U138</f>
        <v>46628.868264898192</v>
      </c>
      <c r="Y138" s="16">
        <f>'[1]功能-行军令'!V138</f>
        <v>38499.71369011316</v>
      </c>
      <c r="Z138" s="16">
        <f>'[1]功能-行军令'!W138</f>
        <v>20998.249976290273</v>
      </c>
      <c r="AC138" s="21">
        <v>135</v>
      </c>
      <c r="AD138" s="21">
        <f>'[1]功能-实力'!BF139</f>
        <v>85494264</v>
      </c>
      <c r="AE138" s="21">
        <f>'[1]功能-实力'!BG139</f>
        <v>97652370</v>
      </c>
      <c r="AF138" s="21">
        <f>'[1]功能-实力'!BH139</f>
        <v>110876592</v>
      </c>
      <c r="AG138" s="21">
        <f>'[1]功能-实力'!BI139</f>
        <v>116803524</v>
      </c>
      <c r="AH138" s="21">
        <f>'[1]功能-实力'!BJ139</f>
        <v>122651460</v>
      </c>
      <c r="AW138" s="16">
        <v>132</v>
      </c>
      <c r="AX138" s="16">
        <f>[1]节奏总纲!BJ135</f>
        <v>3.4999999999999978</v>
      </c>
      <c r="AY138" s="16">
        <f>[1]节奏总纲!BK135</f>
        <v>3.5699999999999976</v>
      </c>
      <c r="AZ138" s="16">
        <f>[1]节奏总纲!BL135</f>
        <v>3.7099999999999977</v>
      </c>
      <c r="BA138" s="16">
        <f>[1]节奏总纲!BM135</f>
        <v>3.9899999999999971</v>
      </c>
      <c r="BB138" s="16">
        <f>[1]节奏总纲!BN135</f>
        <v>4.8999999999999968</v>
      </c>
      <c r="BF138" s="21">
        <f>'[1]功能-行军令'!FZ136</f>
        <v>132</v>
      </c>
      <c r="BG138" s="21">
        <f>'[1]功能-行军令'!GA136*'[1]功能-行军令'!GB136</f>
        <v>1031.3988433778352</v>
      </c>
    </row>
    <row r="139" spans="2:59">
      <c r="B139" s="1">
        <v>136</v>
      </c>
      <c r="C139" s="16">
        <f>'[1]资源-钻石'!L139</f>
        <v>36901009.197876357</v>
      </c>
      <c r="D139" s="16">
        <f>'[1]资源-钻石'!M139</f>
        <v>52386513.266411647</v>
      </c>
      <c r="E139" s="16">
        <f>'[1]资源-钻石'!N139</f>
        <v>83768753.10691601</v>
      </c>
      <c r="F139" s="16">
        <f>'[1]资源-钻石'!O139</f>
        <v>185781671.09349987</v>
      </c>
      <c r="G139" s="16">
        <f>'[1]资源-钻石'!P139</f>
        <v>251227997.70278466</v>
      </c>
      <c r="I139" s="4">
        <v>136</v>
      </c>
      <c r="J139" s="16">
        <f>'[1]资源-钻石'!T139</f>
        <v>751517.09813280485</v>
      </c>
      <c r="K139" s="16">
        <f>'[1]资源-钻石'!U139</f>
        <v>1057668.8079460855</v>
      </c>
      <c r="L139" s="16">
        <f>'[1]资源-钻石'!V139</f>
        <v>1775585.688740694</v>
      </c>
      <c r="M139" s="16">
        <f>'[1]资源-钻石'!W139</f>
        <v>4705894.2576147635</v>
      </c>
      <c r="N139" s="16">
        <f>'[1]资源-钻石'!X139</f>
        <v>11206546.183376238</v>
      </c>
      <c r="P139" s="16">
        <v>136</v>
      </c>
      <c r="Q139" s="16">
        <f>'[1]功能-行军令'!N139</f>
        <v>571124.50519124593</v>
      </c>
      <c r="R139" s="16">
        <f>'[1]功能-行军令'!O139</f>
        <v>703999.10447401193</v>
      </c>
      <c r="S139" s="16">
        <f>'[1]功能-行军令'!P139</f>
        <v>762976.40066008712</v>
      </c>
      <c r="T139" s="16">
        <f>'[1]功能-行军令'!Q139</f>
        <v>614601.97893643519</v>
      </c>
      <c r="U139" s="16">
        <f>'[1]功能-行军令'!R139</f>
        <v>330064.0257251226</v>
      </c>
      <c r="V139" s="16">
        <f>'[1]功能-行军令'!S139</f>
        <v>38249.580055067665</v>
      </c>
      <c r="W139" s="16">
        <f>'[1]功能-行军令'!T139</f>
        <v>47614.197505020187</v>
      </c>
      <c r="X139" s="16">
        <f>'[1]功能-行军令'!U139</f>
        <v>53522.943266283488</v>
      </c>
      <c r="Y139" s="16">
        <f>'[1]功能-行军令'!V139</f>
        <v>43070.45325287804</v>
      </c>
      <c r="Z139" s="16">
        <f>'[1]功能-行军令'!W139</f>
        <v>23179.039491696982</v>
      </c>
      <c r="AC139" s="21">
        <v>136</v>
      </c>
      <c r="AD139" s="21">
        <f>'[1]功能-实力'!BF140</f>
        <v>87590436</v>
      </c>
      <c r="AE139" s="21">
        <f>'[1]功能-实力'!BG140</f>
        <v>100156956</v>
      </c>
      <c r="AF139" s="21">
        <f>'[1]功能-实力'!BH140</f>
        <v>113430534</v>
      </c>
      <c r="AG139" s="21">
        <f>'[1]功能-实力'!BI140</f>
        <v>119435652</v>
      </c>
      <c r="AH139" s="21">
        <f>'[1]功能-实力'!BJ140</f>
        <v>125149140</v>
      </c>
      <c r="AL139" s="167" t="s">
        <v>356</v>
      </c>
      <c r="AM139" s="167"/>
      <c r="AO139" s="5"/>
      <c r="AP139" s="5"/>
      <c r="AQ139" s="5"/>
      <c r="AR139" s="5"/>
      <c r="AS139" s="5"/>
      <c r="AW139" s="16">
        <v>133</v>
      </c>
      <c r="AX139" s="16">
        <f>[1]节奏总纲!BJ136</f>
        <v>3.4999999999999978</v>
      </c>
      <c r="AY139" s="16">
        <f>[1]节奏总纲!BK136</f>
        <v>3.5699999999999976</v>
      </c>
      <c r="AZ139" s="16">
        <f>[1]节奏总纲!BL136</f>
        <v>3.7099999999999977</v>
      </c>
      <c r="BA139" s="16">
        <f>[1]节奏总纲!BM136</f>
        <v>3.9899999999999971</v>
      </c>
      <c r="BB139" s="16">
        <f>[1]节奏总纲!BN136</f>
        <v>4.8999999999999968</v>
      </c>
      <c r="BF139" s="21">
        <f>'[1]功能-行军令'!FZ137</f>
        <v>133</v>
      </c>
      <c r="BG139" s="21">
        <f>'[1]功能-行军令'!GA137*'[1]功能-行军令'!GB137</f>
        <v>1052.0268202453919</v>
      </c>
    </row>
    <row r="140" spans="2:59">
      <c r="B140" s="1">
        <v>137</v>
      </c>
      <c r="C140" s="16">
        <f>'[1]资源-钻石'!L140</f>
        <v>39351217.23158966</v>
      </c>
      <c r="D140" s="16">
        <f>'[1]资源-钻石'!M140</f>
        <v>56064156.040933087</v>
      </c>
      <c r="E140" s="16">
        <f>'[1]资源-钻石'!N140</f>
        <v>89710676.40270111</v>
      </c>
      <c r="F140" s="16">
        <f>'[1]资源-钻石'!O140</f>
        <v>199304983.53542653</v>
      </c>
      <c r="G140" s="16">
        <f>'[1]资源-钻石'!P140</f>
        <v>269433057.58926111</v>
      </c>
      <c r="I140" s="4">
        <v>137</v>
      </c>
      <c r="J140" s="16">
        <f>'[1]资源-钻石'!T140</f>
        <v>755850.45591658517</v>
      </c>
      <c r="K140" s="16">
        <f>'[1]资源-钻石'!U140</f>
        <v>1064115.5015082438</v>
      </c>
      <c r="L140" s="16">
        <f>'[1]资源-钻石'!V140</f>
        <v>1787129.0516590683</v>
      </c>
      <c r="M140" s="16">
        <f>'[1]资源-钻石'!W140</f>
        <v>4738611.9568249751</v>
      </c>
      <c r="N140" s="16">
        <f>'[1]资源-钻石'!X140</f>
        <v>11286390.652507471</v>
      </c>
      <c r="P140" s="16">
        <v>137</v>
      </c>
      <c r="Q140" s="16">
        <f>'[1]功能-行军令'!N140</f>
        <v>612119.39004742505</v>
      </c>
      <c r="R140" s="16">
        <f>'[1]功能-行军令'!O140</f>
        <v>755423.19272915821</v>
      </c>
      <c r="S140" s="16">
        <f>'[1]功能-行军令'!P140</f>
        <v>818589.92169907386</v>
      </c>
      <c r="T140" s="16">
        <f>'[1]功能-行军令'!Q140</f>
        <v>659951.19760232652</v>
      </c>
      <c r="U140" s="16">
        <f>'[1]功能-行军令'!R140</f>
        <v>354166.95630413538</v>
      </c>
      <c r="V140" s="16">
        <f>'[1]功能-行军令'!S140</f>
        <v>40994.884856179124</v>
      </c>
      <c r="W140" s="16">
        <f>'[1]功能-行军令'!T140</f>
        <v>51424.088255146286</v>
      </c>
      <c r="X140" s="16">
        <f>'[1]功能-行军令'!U140</f>
        <v>55613.521038986742</v>
      </c>
      <c r="Y140" s="16">
        <f>'[1]功能-行军令'!V140</f>
        <v>45349.218665891327</v>
      </c>
      <c r="Z140" s="16">
        <f>'[1]功能-行军令'!W140</f>
        <v>24102.930579012784</v>
      </c>
      <c r="AC140" s="21">
        <v>137</v>
      </c>
      <c r="AD140" s="21">
        <f>'[1]功能-实力'!BF141</f>
        <v>89723004</v>
      </c>
      <c r="AE140" s="21">
        <f>'[1]功能-实力'!BG141</f>
        <v>102705768</v>
      </c>
      <c r="AF140" s="21">
        <f>'[1]功能-实力'!BH141</f>
        <v>116037036</v>
      </c>
      <c r="AG140" s="21">
        <f>'[1]功能-实力'!BI141</f>
        <v>122029644</v>
      </c>
      <c r="AH140" s="21">
        <f>'[1]功能-实力'!BJ141</f>
        <v>127682880</v>
      </c>
      <c r="AL140" s="167"/>
      <c r="AM140" s="167"/>
      <c r="AO140" s="167" t="s">
        <v>351</v>
      </c>
      <c r="AP140" s="167"/>
      <c r="AQ140" s="167"/>
      <c r="AR140" s="167"/>
      <c r="AS140" s="167"/>
      <c r="AW140" s="16">
        <v>134</v>
      </c>
      <c r="AX140" s="16">
        <f>[1]节奏总纲!BJ137</f>
        <v>3.4999999999999978</v>
      </c>
      <c r="AY140" s="16">
        <f>[1]节奏总纲!BK137</f>
        <v>3.5699999999999976</v>
      </c>
      <c r="AZ140" s="16">
        <f>[1]节奏总纲!BL137</f>
        <v>3.7099999999999977</v>
      </c>
      <c r="BA140" s="16">
        <f>[1]节奏总纲!BM137</f>
        <v>3.9899999999999971</v>
      </c>
      <c r="BB140" s="16">
        <f>[1]节奏总纲!BN137</f>
        <v>4.8999999999999968</v>
      </c>
      <c r="BF140" s="21">
        <f>'[1]功能-行军令'!FZ138</f>
        <v>134</v>
      </c>
      <c r="BG140" s="21">
        <f>'[1]功能-行军令'!GA138*'[1]功能-行军令'!GB138</f>
        <v>1073.0673566502999</v>
      </c>
    </row>
    <row r="141" spans="2:59">
      <c r="B141" s="1">
        <v>138</v>
      </c>
      <c r="C141" s="16">
        <f>'[1]资源-钻石'!L141</f>
        <v>41977285.179816887</v>
      </c>
      <c r="D141" s="16">
        <f>'[1]资源-钻石'!M141</f>
        <v>59892747.061179705</v>
      </c>
      <c r="E141" s="16">
        <f>'[1]资源-钻石'!N141</f>
        <v>96057840.009374917</v>
      </c>
      <c r="F141" s="16">
        <f>'[1]资源-钻石'!O141</f>
        <v>213562480.57053208</v>
      </c>
      <c r="G141" s="16">
        <f>'[1]资源-钻石'!P141</f>
        <v>287524649.62611848</v>
      </c>
      <c r="I141" s="4">
        <v>138</v>
      </c>
      <c r="J141" s="16">
        <f>'[1]资源-钻石'!T141</f>
        <v>760183.81370036548</v>
      </c>
      <c r="K141" s="16">
        <f>'[1]资源-钻石'!U141</f>
        <v>1070562.1950704022</v>
      </c>
      <c r="L141" s="16">
        <f>'[1]资源-钻石'!V141</f>
        <v>1798672.4145774425</v>
      </c>
      <c r="M141" s="16">
        <f>'[1]资源-钻石'!W141</f>
        <v>4771329.6560351867</v>
      </c>
      <c r="N141" s="16">
        <f>'[1]资源-钻石'!X141</f>
        <v>11366235.121638704</v>
      </c>
      <c r="P141" s="16">
        <v>138</v>
      </c>
      <c r="Q141" s="16">
        <f>'[1]功能-行军令'!N141</f>
        <v>656056.61973600974</v>
      </c>
      <c r="R141" s="16">
        <f>'[1]功能-行军令'!O141</f>
        <v>809646.60546642425</v>
      </c>
      <c r="S141" s="16">
        <f>'[1]功能-行军令'!P141</f>
        <v>877996.29556257313</v>
      </c>
      <c r="T141" s="16">
        <f>'[1]功能-行军令'!Q141</f>
        <v>707762.43863146473</v>
      </c>
      <c r="U141" s="16">
        <f>'[1]功能-行军令'!R141</f>
        <v>378119.65899489215</v>
      </c>
      <c r="V141" s="16">
        <f>'[1]功能-行军令'!S141</f>
        <v>43937.229688584688</v>
      </c>
      <c r="W141" s="16">
        <f>'[1]功能-行军令'!T141</f>
        <v>54223.412737266044</v>
      </c>
      <c r="X141" s="16">
        <f>'[1]功能-行军令'!U141</f>
        <v>59406.373863499262</v>
      </c>
      <c r="Y141" s="16">
        <f>'[1]功能-行军令'!V141</f>
        <v>47811.241029138211</v>
      </c>
      <c r="Z141" s="16">
        <f>'[1]功能-行军令'!W141</f>
        <v>23952.702690756763</v>
      </c>
      <c r="AC141" s="21">
        <v>138</v>
      </c>
      <c r="AD141" s="21">
        <f>'[1]功能-实力'!BF142</f>
        <v>91896750</v>
      </c>
      <c r="AE141" s="21">
        <f>'[1]功能-实力'!BG142</f>
        <v>105362190</v>
      </c>
      <c r="AF141" s="21">
        <f>'[1]功能-实力'!BH142</f>
        <v>118683552</v>
      </c>
      <c r="AG141" s="21">
        <f>'[1]功能-实力'!BI142</f>
        <v>124662738</v>
      </c>
      <c r="AH141" s="21">
        <f>'[1]功能-实力'!BJ142</f>
        <v>130193580</v>
      </c>
      <c r="AL141" s="57" t="s">
        <v>352</v>
      </c>
      <c r="AM141" s="57" t="s">
        <v>353</v>
      </c>
      <c r="AO141" s="57" t="s">
        <v>25</v>
      </c>
      <c r="AP141" s="57" t="s">
        <v>1</v>
      </c>
      <c r="AQ141" s="57" t="s">
        <v>2</v>
      </c>
      <c r="AR141" s="57" t="s">
        <v>0</v>
      </c>
      <c r="AS141" s="57" t="s">
        <v>205</v>
      </c>
      <c r="AW141" s="16">
        <v>135</v>
      </c>
      <c r="AX141" s="16">
        <f>[1]节奏总纲!BJ138</f>
        <v>3.4999999999999978</v>
      </c>
      <c r="AY141" s="16">
        <f>[1]节奏总纲!BK138</f>
        <v>3.5699999999999976</v>
      </c>
      <c r="AZ141" s="16">
        <f>[1]节奏总纲!BL138</f>
        <v>3.7099999999999977</v>
      </c>
      <c r="BA141" s="16">
        <f>[1]节奏总纲!BM138</f>
        <v>3.9899999999999971</v>
      </c>
      <c r="BB141" s="16">
        <f>[1]节奏总纲!BN138</f>
        <v>4.8999999999999968</v>
      </c>
      <c r="BF141" s="21">
        <f>'[1]功能-行军令'!FZ139</f>
        <v>135</v>
      </c>
      <c r="BG141" s="21">
        <f>'[1]功能-行军令'!GA139*'[1]功能-行军令'!GB139</f>
        <v>1094.5287037833057</v>
      </c>
    </row>
    <row r="142" spans="2:59">
      <c r="B142" s="1">
        <v>139</v>
      </c>
      <c r="C142" s="16">
        <f>'[1]资源-钻石'!L142</f>
        <v>44791835.117543951</v>
      </c>
      <c r="D142" s="16">
        <f>'[1]资源-钻石'!M142</f>
        <v>64001972.940322354</v>
      </c>
      <c r="E142" s="16">
        <f>'[1]资源-钻石'!N142</f>
        <v>102806090.60437706</v>
      </c>
      <c r="F142" s="16">
        <f>'[1]资源-钻石'!O142</f>
        <v>227819813.03246519</v>
      </c>
      <c r="G142" s="16">
        <f>'[1]资源-钻石'!P142</f>
        <v>306954009.28354383</v>
      </c>
      <c r="I142" s="1">
        <v>139</v>
      </c>
      <c r="J142" s="16">
        <f>'[1]资源-钻石'!T142</f>
        <v>764517.1714841458</v>
      </c>
      <c r="K142" s="16">
        <f>'[1]资源-钻石'!U142</f>
        <v>1077008.8886325604</v>
      </c>
      <c r="L142" s="16">
        <f>'[1]资源-钻石'!V142</f>
        <v>1810215.7774958166</v>
      </c>
      <c r="M142" s="16">
        <f>'[1]资源-钻石'!W142</f>
        <v>4804047.3552453984</v>
      </c>
      <c r="N142" s="16">
        <f>'[1]资源-钻石'!X142</f>
        <v>11446079.590769937</v>
      </c>
      <c r="P142" s="16">
        <v>139</v>
      </c>
      <c r="Q142" s="16">
        <f>'[1]功能-行军令'!N142</f>
        <v>703147.37653359666</v>
      </c>
      <c r="R142" s="16">
        <f>'[1]功能-行军令'!O142</f>
        <v>868171.48006227182</v>
      </c>
      <c r="S142" s="16">
        <f>'[1]功能-行军令'!P142</f>
        <v>941156.64916520589</v>
      </c>
      <c r="T142" s="16">
        <f>'[1]功能-行军令'!Q142</f>
        <v>755573.12777918961</v>
      </c>
      <c r="U142" s="16">
        <f>'[1]功能-行军令'!R142</f>
        <v>403843.52422455128</v>
      </c>
      <c r="V142" s="16">
        <f>'[1]功能-行军令'!S142</f>
        <v>47090.756797586917</v>
      </c>
      <c r="W142" s="16">
        <f>'[1]功能-行军令'!T142</f>
        <v>58524.874595847563</v>
      </c>
      <c r="X142" s="16">
        <f>'[1]功能-行军令'!U142</f>
        <v>63160.353602632764</v>
      </c>
      <c r="Y142" s="16">
        <f>'[1]功能-行军令'!V142</f>
        <v>47810.689147724886</v>
      </c>
      <c r="Z142" s="16">
        <f>'[1]功能-行军令'!W142</f>
        <v>25723.865229659132</v>
      </c>
      <c r="AC142" s="21">
        <v>139</v>
      </c>
      <c r="AD142" s="21">
        <f>'[1]功能-实力'!BF143</f>
        <v>94109028</v>
      </c>
      <c r="AE142" s="21">
        <f>'[1]功能-实力'!BG143</f>
        <v>108193590</v>
      </c>
      <c r="AF142" s="21">
        <f>'[1]功能-实力'!BH143</f>
        <v>121375062</v>
      </c>
      <c r="AG142" s="21">
        <f>'[1]功能-实力'!BI143</f>
        <v>127281102</v>
      </c>
      <c r="AH142" s="21">
        <f>'[1]功能-实力'!BJ143</f>
        <v>132771234</v>
      </c>
      <c r="AL142" s="57">
        <f>[2]基础状态预期!C152</f>
        <v>0.5</v>
      </c>
      <c r="AM142" s="57">
        <f>[2]基础状态预期!D152</f>
        <v>10.00263241450434</v>
      </c>
      <c r="AO142" s="57">
        <f>[2]基础状态预期!F152</f>
        <v>0</v>
      </c>
      <c r="AP142" s="57">
        <f>[2]基础状态预期!G152</f>
        <v>0</v>
      </c>
      <c r="AQ142" s="57">
        <f>[2]基础状态预期!H152</f>
        <v>0</v>
      </c>
      <c r="AR142" s="57">
        <f>[2]基础状态预期!I152</f>
        <v>6</v>
      </c>
      <c r="AS142" s="57">
        <f>[2]基础状态预期!J152</f>
        <v>0</v>
      </c>
      <c r="AW142" s="16">
        <v>136</v>
      </c>
      <c r="AX142" s="16">
        <f>[1]节奏总纲!BJ139</f>
        <v>3.4999999999999978</v>
      </c>
      <c r="AY142" s="16">
        <f>[1]节奏总纲!BK139</f>
        <v>3.5699999999999976</v>
      </c>
      <c r="AZ142" s="16">
        <f>[1]节奏总纲!BL139</f>
        <v>3.7099999999999977</v>
      </c>
      <c r="BA142" s="16">
        <f>[1]节奏总纲!BM139</f>
        <v>3.9899999999999971</v>
      </c>
      <c r="BB142" s="16">
        <f>[1]节奏总纲!BN139</f>
        <v>4.8999999999999968</v>
      </c>
      <c r="BF142" s="21">
        <f>'[1]功能-行军令'!FZ140</f>
        <v>136</v>
      </c>
      <c r="BG142" s="21">
        <f>'[1]功能-行军令'!GA140*'[1]功能-行军令'!GB140</f>
        <v>1116.419277858972</v>
      </c>
    </row>
    <row r="143" spans="2:59">
      <c r="B143" s="1">
        <v>140</v>
      </c>
      <c r="C143" s="16">
        <f>'[1]资源-钻石'!L143</f>
        <v>47808395.049782947</v>
      </c>
      <c r="D143" s="16">
        <f>'[1]资源-钻石'!M143</f>
        <v>68346540.580155924</v>
      </c>
      <c r="E143" s="16">
        <f>'[1]资源-钻石'!N143</f>
        <v>109561891.09177381</v>
      </c>
      <c r="F143" s="16">
        <f>'[1]资源-钻石'!O143</f>
        <v>242935768.4476099</v>
      </c>
      <c r="G143" s="16">
        <f>'[1]资源-钻石'!P143</f>
        <v>328083416.33812416</v>
      </c>
      <c r="I143" s="1">
        <v>140</v>
      </c>
      <c r="J143" s="16">
        <f>'[1]资源-钻石'!T143</f>
        <v>768850.52926792612</v>
      </c>
      <c r="K143" s="16">
        <f>'[1]资源-钻石'!U143</f>
        <v>1083455.5821947188</v>
      </c>
      <c r="L143" s="16">
        <f>'[1]资源-钻石'!V143</f>
        <v>1821759.1404141907</v>
      </c>
      <c r="M143" s="16">
        <f>'[1]资源-钻石'!W143</f>
        <v>4836765.05445561</v>
      </c>
      <c r="N143" s="16">
        <f>'[1]资源-钻石'!X143</f>
        <v>11525924.059901169</v>
      </c>
      <c r="P143" s="16">
        <v>140</v>
      </c>
      <c r="Q143" s="16">
        <f>'[1]功能-行军令'!N143</f>
        <v>753618</v>
      </c>
      <c r="R143" s="16">
        <f>'[1]功能-行军令'!O143</f>
        <v>930048.16530000011</v>
      </c>
      <c r="S143" s="16">
        <f>'[1]功能-行军令'!P143</f>
        <v>1004387.6661</v>
      </c>
      <c r="T143" s="16">
        <f>'[1]功能-行军令'!Q143</f>
        <v>806263.13219999999</v>
      </c>
      <c r="U143" s="16">
        <f>'[1]功能-行军令'!R143</f>
        <v>431818.19910000003</v>
      </c>
      <c r="V143" s="16">
        <f>'[1]功能-行军令'!S143</f>
        <v>50470.62346640334</v>
      </c>
      <c r="W143" s="16">
        <f>'[1]功能-行军令'!T143</f>
        <v>61876.685237728292</v>
      </c>
      <c r="X143" s="16">
        <f>'[1]功能-行军令'!U143</f>
        <v>63231.016934794141</v>
      </c>
      <c r="Y143" s="16">
        <f>'[1]功能-行军令'!V143</f>
        <v>50690.004420810379</v>
      </c>
      <c r="Z143" s="16">
        <f>'[1]功能-行军令'!W143</f>
        <v>27974.674875448749</v>
      </c>
      <c r="AC143" s="21">
        <v>140</v>
      </c>
      <c r="AD143" s="21">
        <f>'[1]功能-实力'!BF144</f>
        <v>96355410</v>
      </c>
      <c r="AE143" s="21">
        <f>'[1]功能-实力'!BG144</f>
        <v>111085638</v>
      </c>
      <c r="AF143" s="21">
        <f>'[1]功能-实力'!BH144</f>
        <v>124061742</v>
      </c>
      <c r="AG143" s="21">
        <f>'[1]功能-实力'!BI144</f>
        <v>129964164</v>
      </c>
      <c r="AH143" s="21">
        <f>'[1]功能-实力'!BJ144</f>
        <v>135462516</v>
      </c>
      <c r="AL143" s="57">
        <f>[2]基础状态预期!C153</f>
        <v>1.5</v>
      </c>
      <c r="AM143" s="57">
        <f>[2]基础状态预期!D153</f>
        <v>19.43005414991557</v>
      </c>
      <c r="AO143" s="57">
        <f>[2]基础状态预期!F153</f>
        <v>0</v>
      </c>
      <c r="AP143" s="57">
        <f>[2]基础状态预期!G153</f>
        <v>0</v>
      </c>
      <c r="AQ143" s="57">
        <f>[2]基础状态预期!H153</f>
        <v>0</v>
      </c>
      <c r="AR143" s="57">
        <f>[2]基础状态预期!I153</f>
        <v>6</v>
      </c>
      <c r="AS143" s="57">
        <f>[2]基础状态预期!J153</f>
        <v>0</v>
      </c>
      <c r="AW143" s="16">
        <v>137</v>
      </c>
      <c r="AX143" s="16">
        <f>[1]节奏总纲!BJ140</f>
        <v>3.4999999999999978</v>
      </c>
      <c r="AY143" s="16">
        <f>[1]节奏总纲!BK140</f>
        <v>3.5699999999999976</v>
      </c>
      <c r="AZ143" s="16">
        <f>[1]节奏总纲!BL140</f>
        <v>3.7099999999999977</v>
      </c>
      <c r="BA143" s="16">
        <f>[1]节奏总纲!BM140</f>
        <v>3.9899999999999971</v>
      </c>
      <c r="BB143" s="16">
        <f>[1]节奏总纲!BN140</f>
        <v>4.8999999999999968</v>
      </c>
      <c r="BF143" s="21">
        <f>'[1]功能-行军令'!FZ141</f>
        <v>137</v>
      </c>
      <c r="BG143" s="21">
        <f>'[1]功能-行军令'!GA141*'[1]功能-行军令'!GB141</f>
        <v>1138.7476634161515</v>
      </c>
    </row>
    <row r="144" spans="2:59">
      <c r="B144" s="1">
        <v>141</v>
      </c>
      <c r="C144" s="16">
        <f>'[1]资源-钻石'!L144</f>
        <v>51041463.933306925</v>
      </c>
      <c r="D144" s="16">
        <f>'[1]资源-钻石'!M144</f>
        <v>72852035.694086939</v>
      </c>
      <c r="E144" s="16">
        <f>'[1]资源-钻石'!N144</f>
        <v>116846020.79875034</v>
      </c>
      <c r="F144" s="16">
        <f>'[1]资源-钻石'!O144</f>
        <v>259923710.36208475</v>
      </c>
      <c r="G144" s="16">
        <f>'[1]资源-钻石'!P144</f>
        <v>351220869.37695414</v>
      </c>
      <c r="I144" s="4">
        <v>141</v>
      </c>
      <c r="J144" s="16">
        <f>'[1]资源-钻石'!T144</f>
        <v>773183.88705170644</v>
      </c>
      <c r="K144" s="16">
        <f>'[1]资源-钻石'!U144</f>
        <v>1089902.2757568771</v>
      </c>
      <c r="L144" s="16">
        <f>'[1]资源-钻石'!V144</f>
        <v>1833302.5033325651</v>
      </c>
      <c r="M144" s="16">
        <f>'[1]资源-钻石'!W144</f>
        <v>4869482.7536658216</v>
      </c>
      <c r="N144" s="16">
        <f>'[1]资源-钻石'!X144</f>
        <v>11605768.529032402</v>
      </c>
      <c r="P144" s="16">
        <v>141</v>
      </c>
      <c r="Q144" s="16">
        <f>'[1]功能-行军令'!N144</f>
        <v>807711.07486895169</v>
      </c>
      <c r="R144" s="16">
        <f>'[1]功能-行军令'!O144</f>
        <v>994216.82973711565</v>
      </c>
      <c r="S144" s="16">
        <f>'[1]功能-行军令'!P144</f>
        <v>1072805.3614282238</v>
      </c>
      <c r="T144" s="16">
        <f>'[1]功能-行军令'!Q144</f>
        <v>863230.67590434593</v>
      </c>
      <c r="U144" s="16">
        <f>'[1]功能-行军令'!R144</f>
        <v>462451.46412893618</v>
      </c>
      <c r="V144" s="16">
        <f>'[1]功能-行军令'!S144</f>
        <v>54093.074868951691</v>
      </c>
      <c r="W144" s="16">
        <f>'[1]功能-行军令'!T144</f>
        <v>64168.664437115542</v>
      </c>
      <c r="X144" s="16">
        <f>'[1]功能-行军令'!U144</f>
        <v>68417.695328223752</v>
      </c>
      <c r="Y144" s="16">
        <f>'[1]功能-行军令'!V144</f>
        <v>56967.543704345939</v>
      </c>
      <c r="Z144" s="16">
        <f>'[1]功能-行军令'!W144</f>
        <v>30633.265028936148</v>
      </c>
      <c r="AC144" s="21">
        <v>141</v>
      </c>
      <c r="AD144" s="21">
        <f>'[1]功能-实力'!BF145</f>
        <v>98641236</v>
      </c>
      <c r="AE144" s="21">
        <f>'[1]功能-实力'!BG145</f>
        <v>113921532</v>
      </c>
      <c r="AF144" s="21">
        <f>'[1]功能-实力'!BH145</f>
        <v>126800760</v>
      </c>
      <c r="AG144" s="21">
        <f>'[1]功能-实力'!BI145</f>
        <v>132775992</v>
      </c>
      <c r="AH144" s="21">
        <f>'[1]功能-实力'!BJ145</f>
        <v>138240600</v>
      </c>
      <c r="AL144" s="57">
        <f>[2]基础状态预期!C154</f>
        <v>3</v>
      </c>
      <c r="AM144" s="57">
        <f>[2]基础状态预期!D154</f>
        <v>27.324610510337703</v>
      </c>
      <c r="AO144" s="57">
        <f>[2]基础状态预期!F154</f>
        <v>0</v>
      </c>
      <c r="AP144" s="57">
        <f>[2]基础状态预期!G154</f>
        <v>0</v>
      </c>
      <c r="AQ144" s="57">
        <f>[2]基础状态预期!H154</f>
        <v>0</v>
      </c>
      <c r="AR144" s="57">
        <f>[2]基础状态预期!I154</f>
        <v>6</v>
      </c>
      <c r="AS144" s="57">
        <f>[2]基础状态预期!J154</f>
        <v>0</v>
      </c>
      <c r="AW144" s="16">
        <v>138</v>
      </c>
      <c r="AX144" s="16">
        <f>[1]节奏总纲!BJ141</f>
        <v>3.4999999999999978</v>
      </c>
      <c r="AY144" s="16">
        <f>[1]节奏总纲!BK141</f>
        <v>3.5699999999999976</v>
      </c>
      <c r="AZ144" s="16">
        <f>[1]节奏总纲!BL141</f>
        <v>3.7099999999999977</v>
      </c>
      <c r="BA144" s="16">
        <f>[1]节奏总纲!BM141</f>
        <v>3.9899999999999971</v>
      </c>
      <c r="BB144" s="16">
        <f>[1]节奏总纲!BN141</f>
        <v>4.8999999999999968</v>
      </c>
      <c r="BF144" s="21">
        <f>'[1]功能-行军令'!FZ142</f>
        <v>138</v>
      </c>
      <c r="BG144" s="21">
        <f>'[1]功能-行军令'!GA142*'[1]功能-行军令'!GB142</f>
        <v>1161.5226166844745</v>
      </c>
    </row>
    <row r="145" spans="2:59">
      <c r="B145" s="1">
        <v>142</v>
      </c>
      <c r="C145" s="16">
        <f>'[1]资源-钻石'!L145</f>
        <v>54506581.365219891</v>
      </c>
      <c r="D145" s="16">
        <f>'[1]资源-钻石'!M145</f>
        <v>77862630.273750991</v>
      </c>
      <c r="E145" s="16">
        <f>'[1]资源-钻石'!N145</f>
        <v>125300047.36711799</v>
      </c>
      <c r="F145" s="16">
        <f>'[1]资源-钻石'!O145</f>
        <v>279036433.30328238</v>
      </c>
      <c r="G145" s="16">
        <f>'[1]资源-钻石'!P145</f>
        <v>377170623.84265661</v>
      </c>
      <c r="I145" s="4">
        <v>142</v>
      </c>
      <c r="J145" s="16">
        <f>'[1]资源-钻石'!T145</f>
        <v>777517.24483548675</v>
      </c>
      <c r="K145" s="16">
        <f>'[1]资源-钻石'!U145</f>
        <v>1096348.9693190355</v>
      </c>
      <c r="L145" s="16">
        <f>'[1]资源-钻石'!V145</f>
        <v>1844845.8662509392</v>
      </c>
      <c r="M145" s="16">
        <f>'[1]资源-钻石'!W145</f>
        <v>4902200.4528760333</v>
      </c>
      <c r="N145" s="16">
        <f>'[1]资源-钻石'!X145</f>
        <v>11685612.998163635</v>
      </c>
      <c r="P145" s="16">
        <v>142</v>
      </c>
      <c r="Q145" s="16">
        <f>'[1]功能-行军令'!N145</f>
        <v>865686.59702048497</v>
      </c>
      <c r="R145" s="16">
        <f>'[1]功能-行军令'!O145</f>
        <v>1065579.2780546695</v>
      </c>
      <c r="S145" s="16">
        <f>'[1]功能-行军令'!P145</f>
        <v>1152720.0436817054</v>
      </c>
      <c r="T145" s="16">
        <f>'[1]功能-行军令'!Q145</f>
        <v>927323.48272834357</v>
      </c>
      <c r="U145" s="16">
        <f>'[1]功能-行军令'!R145</f>
        <v>496808.12839313212</v>
      </c>
      <c r="V145" s="16">
        <f>'[1]功能-行军令'!S145</f>
        <v>57975.522151533281</v>
      </c>
      <c r="W145" s="16">
        <f>'[1]功能-行军令'!T145</f>
        <v>71362.448317553848</v>
      </c>
      <c r="X145" s="16">
        <f>'[1]功能-行军令'!U145</f>
        <v>79914.682253481587</v>
      </c>
      <c r="Y145" s="16">
        <f>'[1]功能-行军令'!V145</f>
        <v>64092.806823997642</v>
      </c>
      <c r="Z145" s="16">
        <f>'[1]功能-行军令'!W145</f>
        <v>34356.664264195948</v>
      </c>
      <c r="AC145" s="21">
        <v>142</v>
      </c>
      <c r="AD145" s="21">
        <f>'[1]功能-实力'!BF146</f>
        <v>100960920</v>
      </c>
      <c r="AE145" s="21">
        <f>'[1]功能-实力'!BG146</f>
        <v>116852196</v>
      </c>
      <c r="AF145" s="21">
        <f>'[1]功能-实力'!BH146</f>
        <v>129673944</v>
      </c>
      <c r="AG145" s="21">
        <f>'[1]功能-实力'!BI146</f>
        <v>135687930</v>
      </c>
      <c r="AH145" s="21">
        <f>'[1]功能-实力'!BJ146</f>
        <v>141086520</v>
      </c>
      <c r="AL145" s="57">
        <f>[2]基础状态预期!C155</f>
        <v>5</v>
      </c>
      <c r="AM145" s="57">
        <f>[2]基础状态预期!D155</f>
        <v>33.672145166817529</v>
      </c>
      <c r="AO145" s="57">
        <f>[2]基础状态预期!F155</f>
        <v>0</v>
      </c>
      <c r="AP145" s="57">
        <f>[2]基础状态预期!G155</f>
        <v>0</v>
      </c>
      <c r="AQ145" s="57">
        <f>[2]基础状态预期!H155</f>
        <v>0</v>
      </c>
      <c r="AR145" s="57">
        <f>[2]基础状态预期!I155</f>
        <v>6</v>
      </c>
      <c r="AS145" s="57">
        <f>[2]基础状态预期!J155</f>
        <v>0</v>
      </c>
      <c r="AW145" s="16">
        <v>139</v>
      </c>
      <c r="AX145" s="16">
        <f>[1]节奏总纲!BJ142</f>
        <v>3.4999999999999978</v>
      </c>
      <c r="AY145" s="16">
        <f>[1]节奏总纲!BK142</f>
        <v>3.5699999999999976</v>
      </c>
      <c r="AZ145" s="16">
        <f>[1]节奏总纲!BL142</f>
        <v>3.7099999999999977</v>
      </c>
      <c r="BA145" s="16">
        <f>[1]节奏总纲!BM142</f>
        <v>3.9899999999999971</v>
      </c>
      <c r="BB145" s="16">
        <f>[1]节奏总纲!BN142</f>
        <v>4.8999999999999968</v>
      </c>
      <c r="BF145" s="21">
        <f>'[1]功能-行军令'!FZ143</f>
        <v>139</v>
      </c>
      <c r="BG145" s="21">
        <f>'[1]功能-行军令'!GA143*'[1]功能-行军令'!GB143</f>
        <v>1184.7530690181641</v>
      </c>
    </row>
    <row r="146" spans="2:59">
      <c r="B146" s="1">
        <v>143</v>
      </c>
      <c r="C146" s="16">
        <f>'[1]资源-钻石'!L146</f>
        <v>58220402.273316115</v>
      </c>
      <c r="D146" s="16">
        <f>'[1]资源-钻石'!M146</f>
        <v>83327738.486928567</v>
      </c>
      <c r="E146" s="16">
        <f>'[1]资源-钻石'!N146</f>
        <v>134227618.90301773</v>
      </c>
      <c r="F146" s="16">
        <f>'[1]资源-钻石'!O146</f>
        <v>299504631.2805295</v>
      </c>
      <c r="G146" s="16">
        <f>'[1]资源-钻石'!P146</f>
        <v>405359769.3941015</v>
      </c>
      <c r="I146" s="4">
        <v>143</v>
      </c>
      <c r="J146" s="16">
        <f>'[1]资源-钻石'!T146</f>
        <v>781850.60261926707</v>
      </c>
      <c r="K146" s="16">
        <f>'[1]资源-钻石'!U146</f>
        <v>1102795.6628811939</v>
      </c>
      <c r="L146" s="16">
        <f>'[1]资源-钻石'!V146</f>
        <v>1856389.2291693133</v>
      </c>
      <c r="M146" s="16">
        <f>'[1]资源-钻石'!W146</f>
        <v>4934918.1520862449</v>
      </c>
      <c r="N146" s="16">
        <f>'[1]资源-钻石'!X146</f>
        <v>11765457.467294868</v>
      </c>
      <c r="P146" s="16">
        <v>143</v>
      </c>
      <c r="Q146" s="16">
        <f>'[1]功能-行军令'!N146</f>
        <v>927823.22313918336</v>
      </c>
      <c r="R146" s="16">
        <f>'[1]功能-行军令'!O146</f>
        <v>1143415.0510776134</v>
      </c>
      <c r="S146" s="16">
        <f>'[1]功能-行军令'!P146</f>
        <v>1237111.0775656232</v>
      </c>
      <c r="T146" s="16">
        <f>'[1]功能-行军令'!Q146</f>
        <v>995961.75384372217</v>
      </c>
      <c r="U146" s="16">
        <f>'[1]功能-行军令'!R146</f>
        <v>534129.6764981664</v>
      </c>
      <c r="V146" s="16">
        <f>'[1]功能-行军令'!S146</f>
        <v>62136.62611869839</v>
      </c>
      <c r="W146" s="16">
        <f>'[1]功能-行军令'!T146</f>
        <v>77835.773022943875</v>
      </c>
      <c r="X146" s="16">
        <f>'[1]功能-行军令'!U146</f>
        <v>84391.033883917844</v>
      </c>
      <c r="Y146" s="16">
        <f>'[1]功能-行军令'!V146</f>
        <v>68638.271115378593</v>
      </c>
      <c r="Z146" s="16">
        <f>'[1]功能-行军令'!W146</f>
        <v>37321.548105034279</v>
      </c>
      <c r="AC146" s="21">
        <v>143</v>
      </c>
      <c r="AD146" s="21">
        <f>'[1]功能-实力'!BF147</f>
        <v>103352844</v>
      </c>
      <c r="AE146" s="21">
        <f>'[1]功能-实力'!BG147</f>
        <v>119846658</v>
      </c>
      <c r="AF146" s="21">
        <f>'[1]功能-实力'!BH147</f>
        <v>132624810</v>
      </c>
      <c r="AG146" s="21">
        <f>'[1]功能-实力'!BI147</f>
        <v>138648078</v>
      </c>
      <c r="AH146" s="21">
        <f>'[1]功能-实力'!BJ147</f>
        <v>143997360</v>
      </c>
      <c r="AL146" s="57">
        <f>[2]基础状态预期!C156</f>
        <v>7.5</v>
      </c>
      <c r="AM146" s="57">
        <f>[2]基础状态预期!D156</f>
        <v>39.138098927718012</v>
      </c>
      <c r="AO146" s="57">
        <f>[2]基础状态预期!F156</f>
        <v>0</v>
      </c>
      <c r="AP146" s="57">
        <f>[2]基础状态预期!G156</f>
        <v>0</v>
      </c>
      <c r="AQ146" s="57">
        <f>[2]基础状态预期!H156</f>
        <v>0</v>
      </c>
      <c r="AR146" s="57">
        <f>[2]基础状态预期!I156</f>
        <v>6</v>
      </c>
      <c r="AS146" s="57">
        <f>[2]基础状态预期!J156</f>
        <v>0</v>
      </c>
      <c r="AW146" s="16">
        <v>140</v>
      </c>
      <c r="AX146" s="16">
        <f>[1]节奏总纲!BJ143</f>
        <v>3.4999999999999978</v>
      </c>
      <c r="AY146" s="16">
        <f>[1]节奏总纲!BK143</f>
        <v>3.5699999999999976</v>
      </c>
      <c r="AZ146" s="16">
        <f>[1]节奏总纲!BL143</f>
        <v>3.7099999999999977</v>
      </c>
      <c r="BA146" s="16">
        <f>[1]节奏总纲!BM143</f>
        <v>3.9899999999999971</v>
      </c>
      <c r="BB146" s="16">
        <f>[1]节奏总纲!BN143</f>
        <v>4.8999999999999968</v>
      </c>
      <c r="BF146" s="21">
        <f>'[1]功能-行军令'!FZ144</f>
        <v>140</v>
      </c>
      <c r="BG146" s="21">
        <f>'[1]功能-行军令'!GA144*'[1]功能-行军令'!GB144</f>
        <v>1208.4481303985274</v>
      </c>
    </row>
    <row r="147" spans="2:59">
      <c r="B147" s="1">
        <v>144</v>
      </c>
      <c r="C147" s="16">
        <f>'[1]资源-钻石'!L147</f>
        <v>62200776.967225976</v>
      </c>
      <c r="D147" s="16">
        <f>'[1]资源-钻石'!M147</f>
        <v>89090210.866179213</v>
      </c>
      <c r="E147" s="16">
        <f>'[1]资源-钻石'!N147</f>
        <v>143766875.39511824</v>
      </c>
      <c r="F147" s="16">
        <f>'[1]资源-钻石'!O147</f>
        <v>321353574.21959931</v>
      </c>
      <c r="G147" s="16">
        <f>'[1]资源-钻石'!P147</f>
        <v>433475930.79776585</v>
      </c>
      <c r="I147" s="4">
        <v>144</v>
      </c>
      <c r="J147" s="16">
        <f>'[1]资源-钻石'!T147</f>
        <v>786183.96040304727</v>
      </c>
      <c r="K147" s="16">
        <f>'[1]资源-钻石'!U147</f>
        <v>1109242.3564433521</v>
      </c>
      <c r="L147" s="16">
        <f>'[1]资源-钻石'!V147</f>
        <v>1867932.5920876875</v>
      </c>
      <c r="M147" s="16">
        <f>'[1]资源-钻石'!W147</f>
        <v>4967635.8512964556</v>
      </c>
      <c r="N147" s="16">
        <f>'[1]资源-钻石'!X147</f>
        <v>11845301.936426101</v>
      </c>
      <c r="P147" s="16">
        <v>144</v>
      </c>
      <c r="Q147" s="16">
        <f>'[1]功能-行军令'!N147</f>
        <v>994419.61006474204</v>
      </c>
      <c r="R147" s="16">
        <f>'[1]功能-行军令'!O147</f>
        <v>1225485.977153851</v>
      </c>
      <c r="S147" s="16">
        <f>'[1]功能-行军令'!P147</f>
        <v>1327284.2802798264</v>
      </c>
      <c r="T147" s="16">
        <f>'[1]功能-行军令'!Q147</f>
        <v>1069230.2296862649</v>
      </c>
      <c r="U147" s="16">
        <f>'[1]功能-行军令'!R147</f>
        <v>571354.59587150253</v>
      </c>
      <c r="V147" s="16">
        <f>'[1]功能-行军令'!S147</f>
        <v>66596.386925558676</v>
      </c>
      <c r="W147" s="16">
        <f>'[1]功能-行军令'!T147</f>
        <v>82070.926076237578</v>
      </c>
      <c r="X147" s="16">
        <f>'[1]功能-行军令'!U147</f>
        <v>90173.202714203158</v>
      </c>
      <c r="Y147" s="16">
        <f>'[1]功能-行军令'!V147</f>
        <v>73268.475842542714</v>
      </c>
      <c r="Z147" s="16">
        <f>'[1]功能-行军令'!W147</f>
        <v>37224.919373336132</v>
      </c>
      <c r="AC147" s="21">
        <v>144</v>
      </c>
      <c r="AD147" s="21">
        <f>'[1]功能-实力'!BF148</f>
        <v>105811308</v>
      </c>
      <c r="AE147" s="21">
        <f>'[1]功能-实力'!BG148</f>
        <v>122948148</v>
      </c>
      <c r="AF147" s="21">
        <f>'[1]功能-实力'!BH148</f>
        <v>135616482</v>
      </c>
      <c r="AG147" s="21">
        <f>'[1]功能-实力'!BI148</f>
        <v>141670770</v>
      </c>
      <c r="AH147" s="21">
        <f>'[1]功能-实力'!BJ148</f>
        <v>146906682</v>
      </c>
      <c r="AL147" s="57">
        <f>[2]基础状态预期!C157</f>
        <v>10</v>
      </c>
      <c r="AM147" s="57">
        <f>[2]基础状态预期!D157</f>
        <v>42.970748198558951</v>
      </c>
      <c r="AO147" s="57">
        <f>[2]基础状态预期!F157</f>
        <v>0</v>
      </c>
      <c r="AP147" s="57">
        <f>[2]基础状态预期!G157</f>
        <v>0</v>
      </c>
      <c r="AQ147" s="57">
        <f>[2]基础状态预期!H157</f>
        <v>0</v>
      </c>
      <c r="AR147" s="57">
        <f>[2]基础状态预期!I157</f>
        <v>6</v>
      </c>
      <c r="AS147" s="57">
        <f>[2]基础状态预期!J157</f>
        <v>0</v>
      </c>
      <c r="AW147" s="16">
        <v>141</v>
      </c>
      <c r="AX147" s="16">
        <f>[1]节奏总纲!BJ144</f>
        <v>3.4999999999999978</v>
      </c>
      <c r="AY147" s="16">
        <f>[1]节奏总纲!BK144</f>
        <v>3.5699999999999976</v>
      </c>
      <c r="AZ147" s="16">
        <f>[1]节奏总纲!BL144</f>
        <v>3.7099999999999977</v>
      </c>
      <c r="BA147" s="16">
        <f>[1]节奏总纲!BM144</f>
        <v>3.9899999999999971</v>
      </c>
      <c r="BB147" s="16">
        <f>[1]节奏总纲!BN144</f>
        <v>4.8999999999999968</v>
      </c>
      <c r="BF147" s="21">
        <f>'[1]功能-行军令'!FZ145</f>
        <v>141</v>
      </c>
      <c r="BG147" s="21">
        <f>'[1]功能-行军令'!GA145*'[1]功能-行军令'!GB145</f>
        <v>1232.617093006498</v>
      </c>
    </row>
    <row r="148" spans="2:59">
      <c r="B148" s="1">
        <v>145</v>
      </c>
      <c r="C148" s="16">
        <f>'[1]资源-钻石'!L148</f>
        <v>66459132.484107137</v>
      </c>
      <c r="D148" s="16">
        <f>'[1]资源-钻石'!M148</f>
        <v>95397071.028365076</v>
      </c>
      <c r="E148" s="16">
        <f>'[1]资源-钻石'!N148</f>
        <v>154023558.61037484</v>
      </c>
      <c r="F148" s="16">
        <f>'[1]资源-钻石'!O148</f>
        <v>343599014.87185836</v>
      </c>
      <c r="G148" s="16">
        <f>'[1]资源-钻石'!P148</f>
        <v>462983146.77745134</v>
      </c>
      <c r="I148" s="1">
        <v>145</v>
      </c>
      <c r="J148" s="16">
        <f>'[1]资源-钻石'!T148</f>
        <v>790517.3181868277</v>
      </c>
      <c r="K148" s="16">
        <f>'[1]资源-钻石'!U148</f>
        <v>1115689.0500055104</v>
      </c>
      <c r="L148" s="16">
        <f>'[1]资源-钻石'!V148</f>
        <v>1879475.9550060616</v>
      </c>
      <c r="M148" s="16">
        <f>'[1]资源-钻石'!W148</f>
        <v>5000353.5505066672</v>
      </c>
      <c r="N148" s="16">
        <f>'[1]资源-钻石'!X148</f>
        <v>11925146.405557334</v>
      </c>
      <c r="P148" s="16">
        <v>145</v>
      </c>
      <c r="Q148" s="16">
        <f>'[1]功能-行军令'!N148</f>
        <v>1065795.8502723568</v>
      </c>
      <c r="R148" s="16">
        <f>'[1]功能-行军令'!O148</f>
        <v>1315310.2435586185</v>
      </c>
      <c r="S148" s="16">
        <f>'[1]功能-行军令'!P148</f>
        <v>1424239.2133514546</v>
      </c>
      <c r="T148" s="16">
        <f>'[1]功能-行军令'!Q148</f>
        <v>1143828.3251447973</v>
      </c>
      <c r="U148" s="16">
        <f>'[1]功能-行军令'!R148</f>
        <v>610455.42577099777</v>
      </c>
      <c r="V148" s="16">
        <f>'[1]功能-行军令'!S148</f>
        <v>71376.240207614726</v>
      </c>
      <c r="W148" s="16">
        <f>'[1]功能-行军令'!T148</f>
        <v>89824.266404767521</v>
      </c>
      <c r="X148" s="16">
        <f>'[1]功能-行军令'!U148</f>
        <v>96954.933071628213</v>
      </c>
      <c r="Y148" s="16">
        <f>'[1]功能-行军令'!V148</f>
        <v>74598.095458532451</v>
      </c>
      <c r="Z148" s="16">
        <f>'[1]功能-行军令'!W148</f>
        <v>39100.829899495235</v>
      </c>
      <c r="AC148" s="21">
        <v>145</v>
      </c>
      <c r="AD148" s="21">
        <f>'[1]功能-实力'!BF149</f>
        <v>108331206</v>
      </c>
      <c r="AE148" s="21">
        <f>'[1]功能-实力'!BG149</f>
        <v>126103044</v>
      </c>
      <c r="AF148" s="21">
        <f>'[1]功能-实力'!BH149</f>
        <v>138680508</v>
      </c>
      <c r="AG148" s="21">
        <f>'[1]功能-实力'!BI149</f>
        <v>144706404</v>
      </c>
      <c r="AH148" s="21">
        <f>'[1]功能-实力'!BJ149</f>
        <v>149839638</v>
      </c>
      <c r="AL148" s="57">
        <f>[2]基础状态预期!C158</f>
        <v>15</v>
      </c>
      <c r="AM148" s="57">
        <f>[2]基础状态预期!D158</f>
        <v>48.731413734867289</v>
      </c>
      <c r="AO148" s="57">
        <f>[2]基础状态预期!F158</f>
        <v>0</v>
      </c>
      <c r="AP148" s="57">
        <f>[2]基础状态预期!G158</f>
        <v>0</v>
      </c>
      <c r="AQ148" s="57">
        <f>[2]基础状态预期!H158</f>
        <v>0</v>
      </c>
      <c r="AR148" s="57">
        <f>[2]基础状态预期!I158</f>
        <v>6</v>
      </c>
      <c r="AS148" s="57">
        <f>[2]基础状态预期!J158</f>
        <v>0</v>
      </c>
      <c r="AW148" s="16">
        <v>142</v>
      </c>
      <c r="AX148" s="16">
        <f>[1]节奏总纲!BJ145</f>
        <v>3.4999999999999978</v>
      </c>
      <c r="AY148" s="16">
        <f>[1]节奏总纲!BK145</f>
        <v>3.5699999999999976</v>
      </c>
      <c r="AZ148" s="16">
        <f>[1]节奏总纲!BL145</f>
        <v>3.7099999999999977</v>
      </c>
      <c r="BA148" s="16">
        <f>[1]节奏总纲!BM145</f>
        <v>3.9899999999999971</v>
      </c>
      <c r="BB148" s="16">
        <f>[1]节奏总纲!BN145</f>
        <v>4.8999999999999968</v>
      </c>
      <c r="BF148" s="21">
        <f>'[1]功能-行军令'!FZ146</f>
        <v>142</v>
      </c>
      <c r="BG148" s="21">
        <f>'[1]功能-行军令'!GA146*'[1]功能-行军令'!GB146</f>
        <v>1257.269434866628</v>
      </c>
    </row>
    <row r="149" spans="2:59">
      <c r="B149" s="1">
        <v>146</v>
      </c>
      <c r="C149" s="16">
        <f>'[1]资源-钻石'!L149</f>
        <v>70932423.507837355</v>
      </c>
      <c r="D149" s="16">
        <f>'[1]资源-钻石'!M149</f>
        <v>102002437.73042709</v>
      </c>
      <c r="E149" s="16">
        <f>'[1]资源-钻石'!N149</f>
        <v>164312040.91437861</v>
      </c>
      <c r="F149" s="16">
        <f>'[1]资源-钻石'!O149</f>
        <v>366368970.22120637</v>
      </c>
      <c r="G149" s="16">
        <f>'[1]资源-钻石'!P149</f>
        <v>493891148.11210066</v>
      </c>
      <c r="I149" s="1">
        <v>146</v>
      </c>
      <c r="J149" s="16">
        <f>'[1]资源-钻石'!T149</f>
        <v>794850.6759706079</v>
      </c>
      <c r="K149" s="16">
        <f>'[1]资源-钻石'!U149</f>
        <v>1122135.7435676688</v>
      </c>
      <c r="L149" s="16">
        <f>'[1]资源-钻石'!V149</f>
        <v>1891019.3179244359</v>
      </c>
      <c r="M149" s="16">
        <f>'[1]资源-钻石'!W149</f>
        <v>5033071.2497168789</v>
      </c>
      <c r="N149" s="16">
        <f>'[1]资源-钻石'!X149</f>
        <v>12004990.874688568</v>
      </c>
      <c r="P149" s="16">
        <v>146</v>
      </c>
      <c r="Q149" s="16">
        <f>'[1]功能-行军令'!N149</f>
        <v>1142295.0103824921</v>
      </c>
      <c r="R149" s="16">
        <f>'[1]功能-行军令'!O149</f>
        <v>1409385.933060122</v>
      </c>
      <c r="S149" s="16">
        <f>'[1]功能-行军令'!P149</f>
        <v>1521494.7385790958</v>
      </c>
      <c r="T149" s="16">
        <f>'[1]功能-行军令'!Q149</f>
        <v>1220301.3433415035</v>
      </c>
      <c r="U149" s="16">
        <f>'[1]功能-行军令'!R149</f>
        <v>651458.29417120293</v>
      </c>
      <c r="V149" s="16">
        <f>'[1]功能-行军令'!S149</f>
        <v>76499.16011013533</v>
      </c>
      <c r="W149" s="16">
        <f>'[1]功能-行军令'!T149</f>
        <v>94075.689501503482</v>
      </c>
      <c r="X149" s="16">
        <f>'[1]功能-行军令'!U149</f>
        <v>97255.525227641221</v>
      </c>
      <c r="Y149" s="16">
        <f>'[1]功能-行军令'!V149</f>
        <v>76473.018196706194</v>
      </c>
      <c r="Z149" s="16">
        <f>'[1]功能-行军令'!W149</f>
        <v>41002.86840020516</v>
      </c>
      <c r="AC149" s="21">
        <v>146</v>
      </c>
      <c r="AD149" s="21">
        <f>'[1]功能-实力'!BF150</f>
        <v>110879826</v>
      </c>
      <c r="AE149" s="21">
        <f>'[1]功能-实力'!BG150</f>
        <v>129337548</v>
      </c>
      <c r="AF149" s="21">
        <f>'[1]功能-实力'!BH150</f>
        <v>141751986</v>
      </c>
      <c r="AG149" s="21">
        <f>'[1]功能-实力'!BI150</f>
        <v>147772968</v>
      </c>
      <c r="AH149" s="21">
        <f>'[1]功能-实力'!BJ150</f>
        <v>152845512</v>
      </c>
      <c r="AL149" s="57">
        <f>[2]基础状态预期!C159</f>
        <v>20</v>
      </c>
      <c r="AM149" s="57">
        <f>[2]基础状态预期!D159</f>
        <v>52.769987980532711</v>
      </c>
      <c r="AO149" s="57">
        <f>[2]基础状态预期!F159</f>
        <v>0</v>
      </c>
      <c r="AP149" s="57">
        <f>[2]基础状态预期!G159</f>
        <v>0</v>
      </c>
      <c r="AQ149" s="57">
        <f>[2]基础状态预期!H159</f>
        <v>0</v>
      </c>
      <c r="AR149" s="57">
        <f>[2]基础状态预期!I159</f>
        <v>5</v>
      </c>
      <c r="AS149" s="57">
        <f>[2]基础状态预期!J159</f>
        <v>1</v>
      </c>
      <c r="AW149" s="16">
        <v>143</v>
      </c>
      <c r="AX149" s="16">
        <f>[1]节奏总纲!BJ146</f>
        <v>3.4999999999999978</v>
      </c>
      <c r="AY149" s="16">
        <f>[1]节奏总纲!BK146</f>
        <v>3.5699999999999976</v>
      </c>
      <c r="AZ149" s="16">
        <f>[1]节奏总纲!BL146</f>
        <v>3.7099999999999977</v>
      </c>
      <c r="BA149" s="16">
        <f>[1]节奏总纲!BM146</f>
        <v>3.9899999999999971</v>
      </c>
      <c r="BB149" s="16">
        <f>[1]节奏总纲!BN146</f>
        <v>4.8999999999999968</v>
      </c>
      <c r="BF149" s="21">
        <f>'[1]功能-行军令'!FZ147</f>
        <v>143</v>
      </c>
      <c r="BG149" s="21">
        <f>'[1]功能-行军令'!GA147*'[1]功能-行军令'!GB147</f>
        <v>1282.4148235639605</v>
      </c>
    </row>
    <row r="150" spans="2:59">
      <c r="B150" s="1">
        <v>147</v>
      </c>
      <c r="C150" s="16">
        <f>'[1]资源-钻石'!L150</f>
        <v>75726778.117273211</v>
      </c>
      <c r="D150" s="16">
        <f>'[1]资源-钻石'!M150</f>
        <v>108754686.476156</v>
      </c>
      <c r="E150" s="16">
        <f>'[1]资源-钻石'!N150</f>
        <v>175070620.21719462</v>
      </c>
      <c r="F150" s="16">
        <f>'[1]资源-钻石'!O150</f>
        <v>390361815.80146009</v>
      </c>
      <c r="G150" s="16">
        <f>'[1]资源-钻石'!P150</f>
        <v>527278575.66912967</v>
      </c>
      <c r="I150" s="4">
        <v>147</v>
      </c>
      <c r="J150" s="16">
        <f>'[1]资源-钻石'!T150</f>
        <v>799184.03375438834</v>
      </c>
      <c r="K150" s="16">
        <f>'[1]资源-钻石'!U150</f>
        <v>1128582.4371298272</v>
      </c>
      <c r="L150" s="16">
        <f>'[1]资源-钻石'!V150</f>
        <v>1902562.6808428101</v>
      </c>
      <c r="M150" s="16">
        <f>'[1]资源-钻石'!W150</f>
        <v>5065788.9489270905</v>
      </c>
      <c r="N150" s="16">
        <f>'[1]资源-钻石'!X150</f>
        <v>12084835.343819801</v>
      </c>
      <c r="P150" s="16">
        <v>147</v>
      </c>
      <c r="Q150" s="16">
        <f>'[1]功能-行军令'!N150</f>
        <v>1224284.7800948501</v>
      </c>
      <c r="R150" s="16">
        <f>'[1]功能-行军令'!O150</f>
        <v>1505553.5623670323</v>
      </c>
      <c r="S150" s="16">
        <f>'[1]功能-行军令'!P150</f>
        <v>1623194.0222908854</v>
      </c>
      <c r="T150" s="16">
        <f>'[1]功能-行军令'!Q150</f>
        <v>1301036.7898521877</v>
      </c>
      <c r="U150" s="16">
        <f>'[1]功能-行军令'!R150</f>
        <v>695750.39457329374</v>
      </c>
      <c r="V150" s="16">
        <f>'[1]功能-行军令'!S150</f>
        <v>81989.769712358015</v>
      </c>
      <c r="W150" s="16">
        <f>'[1]功能-行军令'!T150</f>
        <v>96167.629306910327</v>
      </c>
      <c r="X150" s="16">
        <f>'[1]功能-行军令'!U150</f>
        <v>101699.28371178964</v>
      </c>
      <c r="Y150" s="16">
        <f>'[1]功能-行军令'!V150</f>
        <v>80735.446510684211</v>
      </c>
      <c r="Z150" s="16">
        <f>'[1]功能-行军令'!W150</f>
        <v>44292.100402090815</v>
      </c>
      <c r="AC150" s="21">
        <v>147</v>
      </c>
      <c r="AD150" s="21">
        <f>'[1]功能-实力'!BF151</f>
        <v>113496066</v>
      </c>
      <c r="AE150" s="21">
        <f>'[1]功能-实力'!BG151</f>
        <v>132597576</v>
      </c>
      <c r="AF150" s="21">
        <f>'[1]功能-实力'!BH151</f>
        <v>144874680</v>
      </c>
      <c r="AG150" s="21">
        <f>'[1]功能-实力'!BI151</f>
        <v>151024818</v>
      </c>
      <c r="AH150" s="21">
        <f>'[1]功能-实力'!BJ151</f>
        <v>155955066</v>
      </c>
      <c r="AL150" s="57">
        <f>[2]基础状态预期!C160</f>
        <v>30</v>
      </c>
      <c r="AM150" s="57">
        <f>[2]基础状态预期!D160</f>
        <v>58.701446767877648</v>
      </c>
      <c r="AO150" s="57">
        <f>[2]基础状态预期!F160</f>
        <v>0</v>
      </c>
      <c r="AP150" s="57">
        <f>[2]基础状态预期!G160</f>
        <v>0</v>
      </c>
      <c r="AQ150" s="57">
        <f>[2]基础状态预期!H160</f>
        <v>0</v>
      </c>
      <c r="AR150" s="57">
        <f>[2]基础状态预期!I160</f>
        <v>4</v>
      </c>
      <c r="AS150" s="57">
        <f>[2]基础状态预期!J160</f>
        <v>2</v>
      </c>
      <c r="AW150" s="16">
        <v>144</v>
      </c>
      <c r="AX150" s="16">
        <f>[1]节奏总纲!BJ147</f>
        <v>3.4999999999999978</v>
      </c>
      <c r="AY150" s="16">
        <f>[1]节奏总纲!BK147</f>
        <v>3.5699999999999976</v>
      </c>
      <c r="AZ150" s="16">
        <f>[1]节奏总纲!BL147</f>
        <v>3.7099999999999977</v>
      </c>
      <c r="BA150" s="16">
        <f>[1]节奏总纲!BM147</f>
        <v>3.9899999999999971</v>
      </c>
      <c r="BB150" s="16">
        <f>[1]节奏总纲!BN147</f>
        <v>4.8999999999999968</v>
      </c>
      <c r="BF150" s="21">
        <f>'[1]功能-行军令'!FZ148</f>
        <v>144</v>
      </c>
      <c r="BG150" s="21">
        <f>'[1]功能-行军令'!GA148*'[1]功能-行军令'!GB148</f>
        <v>1308.0631200352398</v>
      </c>
    </row>
    <row r="151" spans="2:59">
      <c r="B151" s="1">
        <v>148</v>
      </c>
      <c r="C151" s="16">
        <f>'[1]资源-钻石'!L151</f>
        <v>80865240.157655239</v>
      </c>
      <c r="D151" s="16">
        <f>'[1]资源-钻石'!M151</f>
        <v>116273813.76123451</v>
      </c>
      <c r="E151" s="16">
        <f>'[1]资源-钻石'!N151</f>
        <v>187505483.27616221</v>
      </c>
      <c r="F151" s="16">
        <f>'[1]资源-钻石'!O151</f>
        <v>418986508.47767115</v>
      </c>
      <c r="G151" s="16">
        <f>'[1]资源-钻石'!P151</f>
        <v>565143581.12545681</v>
      </c>
      <c r="I151" s="4">
        <v>148</v>
      </c>
      <c r="J151" s="16">
        <f>'[1]资源-钻石'!T151</f>
        <v>803517.39153816865</v>
      </c>
      <c r="K151" s="16">
        <f>'[1]资源-钻石'!U151</f>
        <v>1135029.1306919856</v>
      </c>
      <c r="L151" s="16">
        <f>'[1]资源-钻石'!V151</f>
        <v>1914106.0437611842</v>
      </c>
      <c r="M151" s="16">
        <f>'[1]资源-钻石'!W151</f>
        <v>5098506.6481373021</v>
      </c>
      <c r="N151" s="16">
        <f>'[1]资源-钻石'!X151</f>
        <v>12164679.812951032</v>
      </c>
      <c r="P151" s="16">
        <v>148</v>
      </c>
      <c r="Q151" s="16">
        <f>'[1]功能-行军令'!N151</f>
        <v>1312159.2394720195</v>
      </c>
      <c r="R151" s="16">
        <f>'[1]功能-行军令'!O151</f>
        <v>1613616.414660373</v>
      </c>
      <c r="S151" s="16">
        <f>'[1]功能-行军令'!P151</f>
        <v>1740738.9722844393</v>
      </c>
      <c r="T151" s="16">
        <f>'[1]功能-行军令'!Q151</f>
        <v>1397358.3093949549</v>
      </c>
      <c r="U151" s="16">
        <f>'[1]功能-行军令'!R151</f>
        <v>745982.49528044381</v>
      </c>
      <c r="V151" s="16">
        <f>'[1]功能-行军令'!S151</f>
        <v>87874.459377169376</v>
      </c>
      <c r="W151" s="16">
        <f>'[1]功能-行军令'!T151</f>
        <v>108062.85229334072</v>
      </c>
      <c r="X151" s="16">
        <f>'[1]功能-行军令'!U151</f>
        <v>117544.9499935538</v>
      </c>
      <c r="Y151" s="16">
        <f>'[1]功能-行军令'!V151</f>
        <v>96321.519542767201</v>
      </c>
      <c r="Z151" s="16">
        <f>'[1]功能-行军令'!W151</f>
        <v>50232.100707150064</v>
      </c>
      <c r="AC151" s="21">
        <v>148</v>
      </c>
      <c r="AD151" s="21">
        <f>'[1]功能-实力'!BF152</f>
        <v>116136426</v>
      </c>
      <c r="AE151" s="21">
        <f>'[1]功能-实力'!BG152</f>
        <v>135960870</v>
      </c>
      <c r="AF151" s="21">
        <f>'[1]功能-实力'!BH152</f>
        <v>148244508</v>
      </c>
      <c r="AG151" s="21">
        <f>'[1]功能-实力'!BI152</f>
        <v>154546440</v>
      </c>
      <c r="AH151" s="21">
        <f>'[1]功能-实力'!BJ152</f>
        <v>159119640</v>
      </c>
      <c r="AL151" s="57">
        <f>[2]基础状态预期!C161</f>
        <v>45</v>
      </c>
      <c r="AM151" s="57">
        <f>[2]基础状态预期!D161</f>
        <v>64.399012521055653</v>
      </c>
      <c r="AO151" s="57">
        <f>[2]基础状态预期!F161</f>
        <v>0</v>
      </c>
      <c r="AP151" s="57">
        <f>[2]基础状态预期!G161</f>
        <v>0</v>
      </c>
      <c r="AQ151" s="57">
        <f>[2]基础状态预期!H161</f>
        <v>0</v>
      </c>
      <c r="AR151" s="57">
        <f>[2]基础状态预期!I161</f>
        <v>3</v>
      </c>
      <c r="AS151" s="57">
        <f>[2]基础状态预期!J161</f>
        <v>3</v>
      </c>
      <c r="AW151" s="16">
        <v>145</v>
      </c>
      <c r="AX151" s="16">
        <f>[1]节奏总纲!BJ148</f>
        <v>3.4999999999999978</v>
      </c>
      <c r="AY151" s="16">
        <f>[1]节奏总纲!BK148</f>
        <v>3.5699999999999976</v>
      </c>
      <c r="AZ151" s="16">
        <f>[1]节奏总纲!BL148</f>
        <v>3.7099999999999977</v>
      </c>
      <c r="BA151" s="16">
        <f>[1]节奏总纲!BM148</f>
        <v>3.9899999999999971</v>
      </c>
      <c r="BB151" s="16">
        <f>[1]节奏总纲!BN148</f>
        <v>4.8999999999999968</v>
      </c>
      <c r="BF151" s="21">
        <f>'[1]功能-行军令'!FZ149</f>
        <v>145</v>
      </c>
      <c r="BG151" s="21">
        <f>'[1]功能-行军令'!GA149*'[1]功能-行军令'!GB149</f>
        <v>1334.2243824359446</v>
      </c>
    </row>
    <row r="152" spans="2:59">
      <c r="B152" s="1">
        <v>149</v>
      </c>
      <c r="C152" s="16">
        <f>'[1]资源-钻石'!L152</f>
        <v>86372507.410786808</v>
      </c>
      <c r="D152" s="16">
        <f>'[1]资源-钻石'!M152</f>
        <v>124321057.99618401</v>
      </c>
      <c r="E152" s="16">
        <f>'[1]资源-钻石'!N152</f>
        <v>200899586.61430249</v>
      </c>
      <c r="F152" s="16">
        <f>'[1]资源-钻石'!O152</f>
        <v>449073300.40346277</v>
      </c>
      <c r="G152" s="16">
        <f>'[1]资源-钻石'!P152</f>
        <v>605979556.6396575</v>
      </c>
      <c r="I152" s="4">
        <v>149</v>
      </c>
      <c r="J152" s="16">
        <f>'[1]资源-钻石'!T152</f>
        <v>807850.74932194897</v>
      </c>
      <c r="K152" s="16">
        <f>'[1]资源-钻石'!U152</f>
        <v>1141475.824254144</v>
      </c>
      <c r="L152" s="16">
        <f>'[1]资源-钻石'!V152</f>
        <v>1925649.4066795586</v>
      </c>
      <c r="M152" s="16">
        <f>'[1]资源-钻石'!W152</f>
        <v>5131224.3473475138</v>
      </c>
      <c r="N152" s="16">
        <f>'[1]资源-钻石'!X152</f>
        <v>12244524.282082265</v>
      </c>
      <c r="P152" s="16">
        <v>149</v>
      </c>
      <c r="Q152" s="16">
        <f>'[1]功能-行军令'!N152</f>
        <v>1406340.7530671936</v>
      </c>
      <c r="R152" s="16">
        <f>'[1]功能-行军令'!O152</f>
        <v>1729844.985210248</v>
      </c>
      <c r="S152" s="16">
        <f>'[1]功能-行军令'!P152</f>
        <v>1867351.4809726463</v>
      </c>
      <c r="T152" s="16">
        <f>'[1]功能-行军令'!Q152</f>
        <v>1498599.763730908</v>
      </c>
      <c r="U152" s="16">
        <f>'[1]功能-行军令'!R152</f>
        <v>800155.91503261973</v>
      </c>
      <c r="V152" s="16">
        <f>'[1]功能-行军令'!S152</f>
        <v>94181.513595174067</v>
      </c>
      <c r="W152" s="16">
        <f>'[1]功能-行军令'!T152</f>
        <v>116228.57054987503</v>
      </c>
      <c r="X152" s="16">
        <f>'[1]功能-行军令'!U152</f>
        <v>126612.50868820702</v>
      </c>
      <c r="Y152" s="16">
        <f>'[1]功能-行军令'!V152</f>
        <v>101241.45433595311</v>
      </c>
      <c r="Z152" s="16">
        <f>'[1]功能-行军令'!W152</f>
        <v>54173.41975217592</v>
      </c>
      <c r="AC152" s="21">
        <v>149</v>
      </c>
      <c r="AD152" s="21">
        <f>'[1]功能-实力'!BF153</f>
        <v>118850778</v>
      </c>
      <c r="AE152" s="21">
        <f>'[1]功能-实力'!BG153</f>
        <v>139578180</v>
      </c>
      <c r="AF152" s="21">
        <f>'[1]功能-实力'!BH153</f>
        <v>151817922</v>
      </c>
      <c r="AG152" s="21">
        <f>'[1]功能-实力'!BI153</f>
        <v>158127654</v>
      </c>
      <c r="AH152" s="21">
        <f>'[1]功能-实力'!BJ153</f>
        <v>162577584</v>
      </c>
      <c r="AL152" s="57">
        <f>[2]基础状态预期!C162</f>
        <v>60</v>
      </c>
      <c r="AM152" s="57">
        <f>[2]基础状态预期!D162</f>
        <v>68.627579426319684</v>
      </c>
      <c r="AO152" s="57">
        <f>[2]基础状态预期!F162</f>
        <v>0</v>
      </c>
      <c r="AP152" s="57">
        <f>[2]基础状态预期!G162</f>
        <v>0</v>
      </c>
      <c r="AQ152" s="57">
        <f>[2]基础状态预期!H162</f>
        <v>0</v>
      </c>
      <c r="AR152" s="57">
        <f>[2]基础状态预期!I162</f>
        <v>2</v>
      </c>
      <c r="AS152" s="57">
        <f>[2]基础状态预期!J162</f>
        <v>4</v>
      </c>
      <c r="AW152" s="16">
        <v>146</v>
      </c>
      <c r="AX152" s="16">
        <f>[1]节奏总纲!BJ149</f>
        <v>3.4999999999999978</v>
      </c>
      <c r="AY152" s="16">
        <f>[1]节奏总纲!BK149</f>
        <v>3.5699999999999976</v>
      </c>
      <c r="AZ152" s="16">
        <f>[1]节奏总纲!BL149</f>
        <v>3.7099999999999977</v>
      </c>
      <c r="BA152" s="16">
        <f>[1]节奏总纲!BM149</f>
        <v>3.9899999999999971</v>
      </c>
      <c r="BB152" s="16">
        <f>[1]节奏总纲!BN149</f>
        <v>4.8999999999999968</v>
      </c>
      <c r="BF152" s="21">
        <f>'[1]功能-行军令'!FZ150</f>
        <v>146</v>
      </c>
      <c r="BG152" s="21">
        <f>'[1]功能-行军令'!GA150*'[1]功能-行军令'!GB150</f>
        <v>1360.9088700846632</v>
      </c>
    </row>
    <row r="153" spans="2:59">
      <c r="B153" s="1">
        <v>150</v>
      </c>
      <c r="C153" s="16">
        <f>'[1]资源-钻石'!L153</f>
        <v>92275050.303788245</v>
      </c>
      <c r="D153" s="16">
        <f>'[1]资源-钻石'!M153</f>
        <v>132917516.59703743</v>
      </c>
      <c r="E153" s="16">
        <f>'[1]资源-钻石'!N153</f>
        <v>215109986.92600882</v>
      </c>
      <c r="F153" s="16">
        <f>'[1]资源-钻石'!O153</f>
        <v>481339676.76755732</v>
      </c>
      <c r="G153" s="16">
        <f>'[1]资源-钻石'!P153</f>
        <v>651561402.82112622</v>
      </c>
      <c r="I153" s="4">
        <v>150</v>
      </c>
      <c r="J153" s="16">
        <f>'[1]资源-钻石'!T153</f>
        <v>812184.10710572929</v>
      </c>
      <c r="K153" s="16">
        <f>'[1]资源-钻石'!U153</f>
        <v>1147922.5178163024</v>
      </c>
      <c r="L153" s="16">
        <f>'[1]资源-钻石'!V153</f>
        <v>1937192.7695979327</v>
      </c>
      <c r="M153" s="16">
        <f>'[1]资源-钻石'!W153</f>
        <v>5163942.0465577254</v>
      </c>
      <c r="N153" s="16">
        <f>'[1]资源-钻石'!X153</f>
        <v>12324368.751213498</v>
      </c>
      <c r="P153" s="16">
        <v>150</v>
      </c>
      <c r="Q153" s="16">
        <f>'[1]功能-行军令'!N153</f>
        <v>1507282</v>
      </c>
      <c r="R153" s="16">
        <f>'[1]功能-行军令'!O153</f>
        <v>1854006.0105000001</v>
      </c>
      <c r="S153" s="16">
        <f>'[1]功能-行军令'!P153</f>
        <v>2001680.3260999999</v>
      </c>
      <c r="T153" s="16">
        <f>'[1]功能-行军令'!Q153</f>
        <v>1607175.4762000002</v>
      </c>
      <c r="U153" s="16">
        <f>'[1]功能-行军令'!R153</f>
        <v>860625.25500000012</v>
      </c>
      <c r="V153" s="16">
        <f>'[1]功能-行军令'!S153</f>
        <v>100941.24693280645</v>
      </c>
      <c r="W153" s="16">
        <f>'[1]功能-行军令'!T153</f>
        <v>124161.02528975205</v>
      </c>
      <c r="X153" s="16">
        <f>'[1]功能-行军令'!U153</f>
        <v>134328.84512735368</v>
      </c>
      <c r="Y153" s="16">
        <f>'[1]功能-行军令'!V153</f>
        <v>108575.7124690921</v>
      </c>
      <c r="Z153" s="16">
        <f>'[1]功能-行军令'!W153</f>
        <v>60469.339967380394</v>
      </c>
      <c r="AC153" s="21">
        <v>150</v>
      </c>
      <c r="AD153" s="21">
        <f>'[1]功能-实力'!BF154</f>
        <v>121855020</v>
      </c>
      <c r="AE153" s="21">
        <f>'[1]功能-实力'!BG154</f>
        <v>143279748</v>
      </c>
      <c r="AF153" s="21">
        <f>'[1]功能-实力'!BH154</f>
        <v>155452284</v>
      </c>
      <c r="AG153" s="21">
        <f>'[1]功能-实力'!BI154</f>
        <v>162049002</v>
      </c>
      <c r="AH153" s="21">
        <f>'[1]功能-实力'!BJ154</f>
        <v>166945284</v>
      </c>
      <c r="AL153" s="57">
        <f>[2]基础状态预期!C163</f>
        <v>75</v>
      </c>
      <c r="AM153" s="57">
        <f>[2]基础状态预期!D163</f>
        <v>71.882008108111634</v>
      </c>
      <c r="AO153" s="57">
        <f>[2]基础状态预期!F163</f>
        <v>0</v>
      </c>
      <c r="AP153" s="57">
        <f>[2]基础状态预期!G163</f>
        <v>0</v>
      </c>
      <c r="AQ153" s="57">
        <f>[2]基础状态预期!H163</f>
        <v>0</v>
      </c>
      <c r="AR153" s="57">
        <f>[2]基础状态预期!I163</f>
        <v>1</v>
      </c>
      <c r="AS153" s="57">
        <f>[2]基础状态预期!J163</f>
        <v>5</v>
      </c>
      <c r="AW153" s="16">
        <v>147</v>
      </c>
      <c r="AX153" s="16">
        <f>[1]节奏总纲!BJ150</f>
        <v>3.4999999999999978</v>
      </c>
      <c r="AY153" s="16">
        <f>[1]节奏总纲!BK150</f>
        <v>3.5699999999999976</v>
      </c>
      <c r="AZ153" s="16">
        <f>[1]节奏总纲!BL150</f>
        <v>3.7099999999999977</v>
      </c>
      <c r="BA153" s="16">
        <f>[1]节奏总纲!BM150</f>
        <v>3.9899999999999971</v>
      </c>
      <c r="BB153" s="16">
        <f>[1]节奏总纲!BN150</f>
        <v>4.8999999999999968</v>
      </c>
      <c r="BF153" s="21">
        <f>'[1]功能-行军令'!FZ151</f>
        <v>147</v>
      </c>
      <c r="BG153" s="21">
        <f>'[1]功能-行军令'!GA151*'[1]功能-行军令'!GB151</f>
        <v>1388.1270474863568</v>
      </c>
    </row>
    <row r="154" spans="2:59">
      <c r="B154" s="1">
        <v>151</v>
      </c>
      <c r="C154" s="16">
        <f>'[1]资源-钻石'!L154</f>
        <v>98601239.137989312</v>
      </c>
      <c r="D154" s="16">
        <f>'[1]资源-钻石'!M154</f>
        <v>142196137.08427939</v>
      </c>
      <c r="E154" s="16">
        <f>'[1]资源-钻石'!N154</f>
        <v>230438006.2499252</v>
      </c>
      <c r="F154" s="16">
        <f>'[1]资源-钻石'!O154</f>
        <v>518093454.99883437</v>
      </c>
      <c r="G154" s="16">
        <f>'[1]资源-钻石'!P154</f>
        <v>709031877.48814201</v>
      </c>
      <c r="I154" s="1">
        <v>151</v>
      </c>
      <c r="J154" s="16">
        <f>'[1]资源-钻石'!T154</f>
        <v>816517.4648895096</v>
      </c>
      <c r="K154" s="16">
        <f>'[1]资源-钻石'!U154</f>
        <v>1154369.2113784607</v>
      </c>
      <c r="L154" s="16">
        <f>'[1]资源-钻石'!V154</f>
        <v>1948736.1325163068</v>
      </c>
      <c r="M154" s="16">
        <f>'[1]资源-钻石'!W154</f>
        <v>5196659.745767937</v>
      </c>
      <c r="N154" s="16">
        <f>'[1]资源-钻石'!X154</f>
        <v>12404213.220344732</v>
      </c>
      <c r="P154" s="16">
        <v>151</v>
      </c>
      <c r="Q154" s="16">
        <f>'[1]功能-行军令'!N154</f>
        <v>1615468.1497379036</v>
      </c>
      <c r="R154" s="16">
        <f>'[1]功能-行军令'!O154</f>
        <v>1988019.6882784385</v>
      </c>
      <c r="S154" s="16">
        <f>'[1]功能-行军令'!P154</f>
        <v>2146950.1472271094</v>
      </c>
      <c r="T154" s="16">
        <f>'[1]功能-行军令'!Q154</f>
        <v>1730851.2063892924</v>
      </c>
      <c r="U154" s="16">
        <f>'[1]功能-行军令'!R154</f>
        <v>936866.17022952298</v>
      </c>
      <c r="V154" s="16">
        <f>'[1]功能-行军令'!S154</f>
        <v>108186.14973790362</v>
      </c>
      <c r="W154" s="16">
        <f>'[1]功能-行军令'!T154</f>
        <v>134013.67777843843</v>
      </c>
      <c r="X154" s="16">
        <f>'[1]功能-行军令'!U154</f>
        <v>145269.82112710946</v>
      </c>
      <c r="Y154" s="16">
        <f>'[1]功能-行军令'!V154</f>
        <v>123675.73018929223</v>
      </c>
      <c r="Z154" s="16">
        <f>'[1]功能-行军令'!W154</f>
        <v>76240.915229522856</v>
      </c>
      <c r="AC154" s="21">
        <v>151</v>
      </c>
      <c r="AD154" s="21">
        <f>'[1]功能-实力'!BF155</f>
        <v>124912644</v>
      </c>
      <c r="AE154" s="21">
        <f>'[1]功能-实力'!BG155</f>
        <v>146662800</v>
      </c>
      <c r="AF154" s="21">
        <f>'[1]功能-实力'!BH155</f>
        <v>159138936</v>
      </c>
      <c r="AG154" s="21">
        <f>'[1]功能-实力'!BI155</f>
        <v>166548528</v>
      </c>
      <c r="AH154" s="21">
        <f>'[1]功能-实力'!BJ155</f>
        <v>171347400</v>
      </c>
      <c r="AL154" s="57">
        <f>[2]基础状态预期!C164</f>
        <v>90</v>
      </c>
      <c r="AM154" s="57">
        <f>[2]基础状态预期!D164</f>
        <v>74.493385467679886</v>
      </c>
      <c r="AO154" s="57">
        <f>[2]基础状态预期!F164</f>
        <v>0</v>
      </c>
      <c r="AP154" s="57">
        <f>[2]基础状态预期!G164</f>
        <v>0</v>
      </c>
      <c r="AQ154" s="57">
        <f>[2]基础状态预期!H164</f>
        <v>0</v>
      </c>
      <c r="AR154" s="57">
        <f>[2]基础状态预期!I164</f>
        <v>0.5</v>
      </c>
      <c r="AS154" s="57">
        <f>[2]基础状态预期!J164</f>
        <v>5.5</v>
      </c>
      <c r="AW154" s="16">
        <v>148</v>
      </c>
      <c r="AX154" s="16">
        <f>[1]节奏总纲!BJ151</f>
        <v>3.4999999999999978</v>
      </c>
      <c r="AY154" s="16">
        <f>[1]节奏总纲!BK151</f>
        <v>3.5699999999999976</v>
      </c>
      <c r="AZ154" s="16">
        <f>[1]节奏总纲!BL151</f>
        <v>3.7099999999999977</v>
      </c>
      <c r="BA154" s="16">
        <f>[1]节奏总纲!BM151</f>
        <v>3.9899999999999971</v>
      </c>
      <c r="BB154" s="16">
        <f>[1]节奏总纲!BN151</f>
        <v>4.8999999999999968</v>
      </c>
      <c r="BF154" s="21">
        <f>'[1]功能-行军令'!FZ152</f>
        <v>148</v>
      </c>
      <c r="BG154" s="21">
        <f>'[1]功能-行军令'!GA152*'[1]功能-行军令'!GB152</f>
        <v>1415.8895884360838</v>
      </c>
    </row>
    <row r="155" spans="2:59">
      <c r="B155" s="1">
        <v>152</v>
      </c>
      <c r="C155" s="16">
        <f>'[1]资源-钻石'!L155</f>
        <v>105381480.44947961</v>
      </c>
      <c r="D155" s="16">
        <f>'[1]资源-钻石'!M155</f>
        <v>152040631.39419919</v>
      </c>
      <c r="E155" s="16">
        <f>'[1]资源-钻石'!N155</f>
        <v>247948519.16521761</v>
      </c>
      <c r="F155" s="16">
        <f>'[1]资源-钻石'!O155</f>
        <v>562501563.50439644</v>
      </c>
      <c r="G155" s="16">
        <f>'[1]资源-钻石'!P155</f>
        <v>1098416415.5899403</v>
      </c>
      <c r="I155" s="1">
        <v>152</v>
      </c>
      <c r="J155" s="16">
        <f>'[1]资源-钻石'!T155</f>
        <v>820850.82267328992</v>
      </c>
      <c r="K155" s="16">
        <f>'[1]资源-钻石'!U155</f>
        <v>1160815.9049406191</v>
      </c>
      <c r="L155" s="16">
        <f>'[1]资源-钻石'!V155</f>
        <v>1960279.4954346812</v>
      </c>
      <c r="M155" s="16">
        <f>'[1]资源-钻石'!W155</f>
        <v>5229377.4449781487</v>
      </c>
      <c r="N155" s="16">
        <f>'[1]资源-钻石'!X155</f>
        <v>12484057.689475963</v>
      </c>
      <c r="P155" s="16">
        <v>152</v>
      </c>
      <c r="Q155" s="16">
        <f>'[1]功能-行军令'!N155</f>
        <v>1731419.1940409699</v>
      </c>
      <c r="R155" s="16">
        <f>'[1]功能-行军令'!O155</f>
        <v>2130206.4379310715</v>
      </c>
      <c r="S155" s="16">
        <f>'[1]功能-行军令'!P155</f>
        <v>2313721.8166803354</v>
      </c>
      <c r="T155" s="16">
        <f>'[1]功能-行军令'!Q155</f>
        <v>1880283.6051807969</v>
      </c>
      <c r="U155" s="16">
        <f>'[1]功能-行军令'!R155</f>
        <v>1453827.5297789667</v>
      </c>
      <c r="V155" s="16">
        <f>'[1]功能-行军令'!S155</f>
        <v>115951.04430306633</v>
      </c>
      <c r="W155" s="16">
        <f>'[1]功能-行军令'!T155</f>
        <v>142186.74965263298</v>
      </c>
      <c r="X155" s="16">
        <f>'[1]功能-行军令'!U155</f>
        <v>166771.66945322603</v>
      </c>
      <c r="Y155" s="16">
        <f>'[1]功能-行军令'!V155</f>
        <v>149432.39879150456</v>
      </c>
      <c r="Z155" s="16">
        <f>'[1]功能-行军令'!W155</f>
        <v>516961.3595494437</v>
      </c>
      <c r="AC155" s="21">
        <v>152</v>
      </c>
      <c r="AD155" s="21">
        <f>'[1]功能-实力'!BF156</f>
        <v>128011944</v>
      </c>
      <c r="AE155" s="21">
        <f>'[1]功能-实力'!BG156</f>
        <v>150217434</v>
      </c>
      <c r="AF155" s="21">
        <f>'[1]功能-实力'!BH156</f>
        <v>163356186</v>
      </c>
      <c r="AG155" s="21">
        <f>'[1]功能-实力'!BI156</f>
        <v>171136092</v>
      </c>
      <c r="AH155" s="21">
        <f>'[1]功能-实力'!BJ156</f>
        <v>172845240</v>
      </c>
      <c r="AL155" s="57">
        <f>[2]基础状态预期!C165</f>
        <v>110</v>
      </c>
      <c r="AM155" s="57">
        <f>[2]基础状态预期!D165</f>
        <v>77.332919927503724</v>
      </c>
      <c r="AO155" s="57">
        <f>[2]基础状态预期!F165</f>
        <v>0</v>
      </c>
      <c r="AP155" s="57">
        <f>[2]基础状态预期!G165</f>
        <v>0</v>
      </c>
      <c r="AQ155" s="57">
        <f>[2]基础状态预期!H165</f>
        <v>0</v>
      </c>
      <c r="AR155" s="57">
        <f>[2]基础状态预期!I165</f>
        <v>0</v>
      </c>
      <c r="AS155" s="57">
        <f>[2]基础状态预期!J165</f>
        <v>6</v>
      </c>
      <c r="AW155" s="16">
        <v>149</v>
      </c>
      <c r="AX155" s="16">
        <f>[1]节奏总纲!BJ152</f>
        <v>3.4999999999999978</v>
      </c>
      <c r="AY155" s="16">
        <f>[1]节奏总纲!BK152</f>
        <v>3.5699999999999976</v>
      </c>
      <c r="AZ155" s="16">
        <f>[1]节奏总纲!BL152</f>
        <v>3.7099999999999977</v>
      </c>
      <c r="BA155" s="16">
        <f>[1]节奏总纲!BM152</f>
        <v>3.9899999999999971</v>
      </c>
      <c r="BB155" s="16">
        <f>[1]节奏总纲!BN152</f>
        <v>4.8999999999999968</v>
      </c>
      <c r="BF155" s="21">
        <f>'[1]功能-行军令'!FZ153</f>
        <v>149</v>
      </c>
      <c r="BG155" s="21">
        <f>'[1]功能-行军令'!GA153*'[1]功能-行军令'!GB153</f>
        <v>1444.2073802048055</v>
      </c>
    </row>
    <row r="156" spans="2:59">
      <c r="B156" s="1">
        <v>153</v>
      </c>
      <c r="C156" s="16">
        <f>'[1]资源-钻石'!L156</f>
        <v>112648363.15672721</v>
      </c>
      <c r="D156" s="16">
        <f>'[1]资源-钻石'!M156</f>
        <v>163805576.3922936</v>
      </c>
      <c r="E156" s="16">
        <f>'[1]资源-钻石'!N156</f>
        <v>268276036.31259289</v>
      </c>
      <c r="F156" s="16">
        <f>'[1]资源-钻石'!O156</f>
        <v>744520014.07159317</v>
      </c>
      <c r="G156" s="16">
        <f>'[1]资源-钻石'!P156</f>
        <v>1880534218.3901145</v>
      </c>
      <c r="I156" s="4">
        <v>153</v>
      </c>
      <c r="J156" s="16">
        <f>'[1]资源-钻石'!T156</f>
        <v>825184.18045707024</v>
      </c>
      <c r="K156" s="16">
        <f>'[1]资源-钻石'!U156</f>
        <v>1167262.5985027773</v>
      </c>
      <c r="L156" s="16">
        <f>'[1]资源-钻石'!V156</f>
        <v>1971822.8583530553</v>
      </c>
      <c r="M156" s="16">
        <f>'[1]资源-钻石'!W156</f>
        <v>5262095.1441883603</v>
      </c>
      <c r="N156" s="16">
        <f>'[1]资源-钻石'!X156</f>
        <v>12563902.158607196</v>
      </c>
      <c r="P156" s="16">
        <v>153</v>
      </c>
      <c r="Q156" s="16">
        <f>'[1]功能-行军令'!N156</f>
        <v>1855692.4462783667</v>
      </c>
      <c r="R156" s="16">
        <f>'[1]功能-行军令'!O156</f>
        <v>2300130.7871620352</v>
      </c>
      <c r="S156" s="16">
        <f>'[1]功能-行军令'!P156</f>
        <v>2507322.8829030287</v>
      </c>
      <c r="T156" s="16">
        <f>'[1]功能-行军令'!Q156</f>
        <v>2493082.4604348489</v>
      </c>
      <c r="U156" s="16">
        <f>'[1]功能-行军令'!R156</f>
        <v>2493082.4604348489</v>
      </c>
      <c r="V156" s="16">
        <f>'[1]功能-行军令'!S156</f>
        <v>124273.25223739678</v>
      </c>
      <c r="W156" s="16">
        <f>'[1]功能-行军令'!T156</f>
        <v>169924.34923096374</v>
      </c>
      <c r="X156" s="16">
        <f>'[1]功能-行军令'!U156</f>
        <v>193601.06622269331</v>
      </c>
      <c r="Y156" s="16">
        <f>'[1]功能-行军令'!V156</f>
        <v>612798.85525405197</v>
      </c>
      <c r="Z156" s="16">
        <f>'[1]功能-行军令'!W156</f>
        <v>1039254.9306558822</v>
      </c>
      <c r="AC156" s="21">
        <v>153</v>
      </c>
      <c r="AD156" s="21">
        <f>'[1]功能-实力'!BF157</f>
        <v>131460714</v>
      </c>
      <c r="AE156" s="21">
        <f>'[1]功能-实力'!BG157</f>
        <v>154184406</v>
      </c>
      <c r="AF156" s="21">
        <f>'[1]功能-实力'!BH157</f>
        <v>167687346</v>
      </c>
      <c r="AG156" s="21">
        <f>'[1]功能-实力'!BI157</f>
        <v>172769778</v>
      </c>
      <c r="AH156" s="21">
        <f>'[1]功能-实力'!BJ157</f>
        <v>173783244</v>
      </c>
      <c r="AL156" s="57">
        <f>[2]基础状态预期!C166</f>
        <v>130</v>
      </c>
      <c r="AM156" s="57">
        <f>[2]基础状态预期!D166</f>
        <v>79.813360188853366</v>
      </c>
      <c r="AO156" s="57">
        <f>[2]基础状态预期!F166</f>
        <v>0</v>
      </c>
      <c r="AP156" s="57">
        <f>[2]基础状态预期!G166</f>
        <v>0</v>
      </c>
      <c r="AQ156" s="57">
        <f>[2]基础状态预期!H166</f>
        <v>0</v>
      </c>
      <c r="AR156" s="57">
        <f>[2]基础状态预期!I166</f>
        <v>0</v>
      </c>
      <c r="AS156" s="57">
        <f>[2]基础状态预期!J166</f>
        <v>6</v>
      </c>
      <c r="AW156" s="16">
        <v>150</v>
      </c>
      <c r="AX156" s="16">
        <f>[1]节奏总纲!BJ153</f>
        <v>3.4999999999999978</v>
      </c>
      <c r="AY156" s="16">
        <f>[1]节奏总纲!BK153</f>
        <v>3.5699999999999976</v>
      </c>
      <c r="AZ156" s="16">
        <f>[1]节奏总纲!BL153</f>
        <v>3.7099999999999977</v>
      </c>
      <c r="BA156" s="16">
        <f>[1]节奏总纲!BM153</f>
        <v>3.9899999999999971</v>
      </c>
      <c r="BB156" s="16">
        <f>[1]节奏总纲!BN153</f>
        <v>4.8999999999999968</v>
      </c>
      <c r="BF156" s="21">
        <f>'[1]功能-行军令'!FZ154</f>
        <v>150</v>
      </c>
      <c r="BG156" s="21">
        <f>'[1]功能-行军令'!GA154*'[1]功能-行军令'!GB154</f>
        <v>1473.0915278089017</v>
      </c>
    </row>
    <row r="157" spans="2:59">
      <c r="B157" s="1">
        <v>154</v>
      </c>
      <c r="C157" s="16">
        <f>'[1]资源-钻石'!L157</f>
        <v>120436815.19771889</v>
      </c>
      <c r="D157" s="16">
        <f>'[1]资源-钻石'!M157</f>
        <v>176038248.52770308</v>
      </c>
      <c r="E157" s="16">
        <f>'[1]资源-钻石'!N157</f>
        <v>329309296.58627486</v>
      </c>
      <c r="F157" s="16">
        <f>'[1]资源-钻石'!O157</f>
        <v>1048364358.3480647</v>
      </c>
      <c r="G157" s="16">
        <f>'[1]资源-钻石'!P157</f>
        <v>2651219260.3727632</v>
      </c>
      <c r="I157" s="4">
        <v>154</v>
      </c>
      <c r="J157" s="16">
        <f>'[1]资源-钻石'!T157</f>
        <v>829517.53824085055</v>
      </c>
      <c r="K157" s="16">
        <f>'[1]资源-钻石'!U157</f>
        <v>1173709.2920649357</v>
      </c>
      <c r="L157" s="16">
        <f>'[1]资源-钻石'!V157</f>
        <v>1983366.2212714294</v>
      </c>
      <c r="M157" s="16">
        <f>'[1]资源-钻石'!W157</f>
        <v>5294812.8433985729</v>
      </c>
      <c r="N157" s="16">
        <f>'[1]资源-钻石'!X157</f>
        <v>12643746.627738429</v>
      </c>
      <c r="P157" s="16">
        <v>154</v>
      </c>
      <c r="Q157" s="16">
        <f>'[1]功能-行军令'!N157</f>
        <v>1988885.2201294843</v>
      </c>
      <c r="R157" s="16">
        <f>'[1]功能-行军令'!O157</f>
        <v>2476810.6485895114</v>
      </c>
      <c r="S157" s="16">
        <f>'[1]功能-行军令'!P157</f>
        <v>3088609.0369554288</v>
      </c>
      <c r="T157" s="16">
        <f>'[1]功能-行军令'!Q157</f>
        <v>3518165.0078681773</v>
      </c>
      <c r="U157" s="16">
        <f>'[1]功能-行军令'!R157</f>
        <v>3518165.0078681773</v>
      </c>
      <c r="V157" s="16">
        <f>'[1]功能-行军令'!S157</f>
        <v>133192.77385111758</v>
      </c>
      <c r="W157" s="16">
        <f>'[1]功能-行军令'!T157</f>
        <v>176679.86142747616</v>
      </c>
      <c r="X157" s="16">
        <f>'[1]功能-行军令'!U157</f>
        <v>581286.15405240003</v>
      </c>
      <c r="Y157" s="16">
        <f>'[1]功能-行军令'!V157</f>
        <v>1025082.5474333283</v>
      </c>
      <c r="Z157" s="16">
        <f>'[1]功能-行军令'!W157</f>
        <v>1025082.5474333283</v>
      </c>
      <c r="AC157" s="21">
        <v>154</v>
      </c>
      <c r="AD157" s="21">
        <f>'[1]功能-实力'!BF158</f>
        <v>135016020</v>
      </c>
      <c r="AE157" s="21">
        <f>'[1]功能-实力'!BG158</f>
        <v>158256786</v>
      </c>
      <c r="AF157" s="21">
        <f>'[1]功能-实力'!BH158</f>
        <v>169277160</v>
      </c>
      <c r="AG157" s="21">
        <f>'[1]功能-实力'!BI158</f>
        <v>173704008</v>
      </c>
      <c r="AH157" s="21">
        <f>'[1]功能-实力'!BJ158</f>
        <v>174070206</v>
      </c>
      <c r="AL157" s="57">
        <f>[2]基础状态预期!C167</f>
        <v>150</v>
      </c>
      <c r="AM157" s="57">
        <f>[2]基础状态预期!D167</f>
        <v>81.919202803497143</v>
      </c>
      <c r="AO157" s="57">
        <f>[2]基础状态预期!F167</f>
        <v>0</v>
      </c>
      <c r="AP157" s="57">
        <f>[2]基础状态预期!G167</f>
        <v>0</v>
      </c>
      <c r="AQ157" s="57">
        <f>[2]基础状态预期!H167</f>
        <v>0</v>
      </c>
      <c r="AR157" s="57">
        <f>[2]基础状态预期!I167</f>
        <v>0</v>
      </c>
      <c r="AS157" s="57">
        <f>[2]基础状态预期!J167</f>
        <v>6</v>
      </c>
      <c r="AW157" s="16">
        <v>151</v>
      </c>
      <c r="AX157" s="16">
        <f>[1]节奏总纲!BJ154</f>
        <v>3.4999999999999978</v>
      </c>
      <c r="AY157" s="16">
        <f>[1]节奏总纲!BK154</f>
        <v>3.5699999999999976</v>
      </c>
      <c r="AZ157" s="16">
        <f>[1]节奏总纲!BL154</f>
        <v>3.7099999999999977</v>
      </c>
      <c r="BA157" s="16">
        <f>[1]节奏总纲!BM154</f>
        <v>3.9899999999999971</v>
      </c>
      <c r="BB157" s="16">
        <f>[1]节奏总纲!BN154</f>
        <v>4.8999999999999968</v>
      </c>
      <c r="BF157" s="21">
        <f>'[1]功能-行军令'!FZ155</f>
        <v>151</v>
      </c>
      <c r="BG157" s="21">
        <f>'[1]功能-行军令'!GA155*'[1]功能-行军令'!GB155</f>
        <v>1502.5533583650797</v>
      </c>
    </row>
    <row r="158" spans="2:59">
      <c r="B158" s="1">
        <v>155</v>
      </c>
      <c r="C158" s="16">
        <f>'[1]资源-钻石'!L158</f>
        <v>128770912.15692526</v>
      </c>
      <c r="D158" s="16">
        <f>'[1]资源-钻石'!M158</f>
        <v>209026117.58476669</v>
      </c>
      <c r="E158" s="16">
        <f>'[1]资源-钻石'!N158</f>
        <v>429272515.33814478</v>
      </c>
      <c r="F158" s="16">
        <f>'[1]资源-钻石'!O158</f>
        <v>1361176657.7009187</v>
      </c>
      <c r="G158" s="16">
        <f>'[1]资源-钻石'!P158</f>
        <v>3455416492.6939464</v>
      </c>
      <c r="I158" s="4">
        <v>155</v>
      </c>
      <c r="J158" s="16">
        <f>'[1]资源-钻石'!T158</f>
        <v>833850.89602463087</v>
      </c>
      <c r="K158" s="16">
        <f>'[1]资源-钻石'!U158</f>
        <v>1180155.9856270941</v>
      </c>
      <c r="L158" s="16">
        <f>'[1]资源-钻石'!V158</f>
        <v>1994909.5841898038</v>
      </c>
      <c r="M158" s="16">
        <f>'[1]资源-钻石'!W158</f>
        <v>5327530.5426087845</v>
      </c>
      <c r="N158" s="16">
        <f>'[1]资源-钻石'!X158</f>
        <v>12723591.096869662</v>
      </c>
      <c r="P158" s="16">
        <v>155</v>
      </c>
      <c r="Q158" s="16">
        <f>'[1]功能-行军令'!N158</f>
        <v>2131637.700544714</v>
      </c>
      <c r="R158" s="16">
        <f>'[1]功能-行军令'!O158</f>
        <v>2953263.5502346703</v>
      </c>
      <c r="S158" s="16">
        <f>'[1]功能-行军令'!P158</f>
        <v>4040667.5492225429</v>
      </c>
      <c r="T158" s="16">
        <f>'[1]功能-行军令'!Q158</f>
        <v>4573502.8304387024</v>
      </c>
      <c r="U158" s="16">
        <f>'[1]功能-行军令'!R158</f>
        <v>4587821.8749923613</v>
      </c>
      <c r="V158" s="16">
        <f>'[1]功能-行军令'!S158</f>
        <v>142752.48041522969</v>
      </c>
      <c r="W158" s="16">
        <f>'[1]功能-行军令'!T158</f>
        <v>476452.90164515888</v>
      </c>
      <c r="X158" s="16">
        <f>'[1]功能-行军令'!U158</f>
        <v>952058.51226711413</v>
      </c>
      <c r="Y158" s="16">
        <f>'[1]功能-行军令'!V158</f>
        <v>1055337.8225705251</v>
      </c>
      <c r="Z158" s="16">
        <f>'[1]功能-行军令'!W158</f>
        <v>1069656.867124184</v>
      </c>
      <c r="AC158" s="21">
        <v>155</v>
      </c>
      <c r="AD158" s="21">
        <f>'[1]功能-实力'!BF159</f>
        <v>138657468</v>
      </c>
      <c r="AE158" s="21">
        <f>'[1]功能-实力'!BG159</f>
        <v>161000088</v>
      </c>
      <c r="AF158" s="21">
        <f>'[1]功能-实力'!BH159</f>
        <v>170176302</v>
      </c>
      <c r="AG158" s="21">
        <f>'[1]功能-实力'!BI159</f>
        <v>174020988</v>
      </c>
      <c r="AH158" s="21">
        <f>'[1]功能-实力'!BJ159</f>
        <v>174299520</v>
      </c>
      <c r="AL158" s="57">
        <f>[2]基础状态预期!C168</f>
        <v>170</v>
      </c>
      <c r="AM158" s="57">
        <f>[2]基础状态预期!D168</f>
        <v>83.738783536778797</v>
      </c>
      <c r="AO158" s="57">
        <f>[2]基础状态预期!F168</f>
        <v>0</v>
      </c>
      <c r="AP158" s="57">
        <f>[2]基础状态预期!G168</f>
        <v>0</v>
      </c>
      <c r="AQ158" s="57">
        <f>[2]基础状态预期!H168</f>
        <v>0</v>
      </c>
      <c r="AR158" s="57">
        <f>[2]基础状态预期!I168</f>
        <v>0</v>
      </c>
      <c r="AS158" s="57">
        <f>[2]基础状态预期!J168</f>
        <v>6</v>
      </c>
      <c r="AW158" s="16">
        <v>152</v>
      </c>
      <c r="AX158" s="16">
        <f>[1]节奏总纲!BJ155</f>
        <v>3.4999999999999978</v>
      </c>
      <c r="AY158" s="16">
        <f>[1]节奏总纲!BK155</f>
        <v>3.5699999999999976</v>
      </c>
      <c r="AZ158" s="16">
        <f>[1]节奏总纲!BL155</f>
        <v>3.7099999999999977</v>
      </c>
      <c r="BA158" s="16">
        <f>[1]节奏总纲!BM155</f>
        <v>3.9899999999999971</v>
      </c>
      <c r="BB158" s="16">
        <f>[1]节奏总纲!BN155</f>
        <v>4.8999999999999968</v>
      </c>
      <c r="BF158" s="21">
        <f>'[1]功能-行军令'!FZ156</f>
        <v>152</v>
      </c>
      <c r="BG158" s="21">
        <f>'[1]功能-行军令'!GA156*'[1]功能-行军令'!GB156</f>
        <v>1532.6044255323814</v>
      </c>
    </row>
    <row r="159" spans="2:59">
      <c r="B159" s="1">
        <v>156</v>
      </c>
      <c r="C159" s="16">
        <f>'[1]资源-钻石'!L159</f>
        <v>137546563.07977226</v>
      </c>
      <c r="D159" s="16">
        <f>'[1]资源-钻石'!M159</f>
        <v>234742620.14612284</v>
      </c>
      <c r="E159" s="16">
        <f>'[1]资源-钻石'!N159</f>
        <v>484051157.41935933</v>
      </c>
      <c r="F159" s="16">
        <f>'[1]资源-钻石'!O159</f>
        <v>1536742765.4889503</v>
      </c>
      <c r="G159" s="16">
        <f>'[1]资源-钻石'!P159</f>
        <v>3901893226.6270924</v>
      </c>
      <c r="I159" s="4">
        <v>156</v>
      </c>
      <c r="J159" s="16">
        <f>'[1]资源-钻石'!T159</f>
        <v>838184.25380841119</v>
      </c>
      <c r="K159" s="16">
        <f>'[1]资源-钻石'!U159</f>
        <v>1186602.6791892524</v>
      </c>
      <c r="L159" s="16">
        <f>'[1]资源-钻石'!V159</f>
        <v>2006452.9471081779</v>
      </c>
      <c r="M159" s="16">
        <f>'[1]资源-钻石'!W159</f>
        <v>5360248.2418189961</v>
      </c>
      <c r="N159" s="16">
        <f>'[1]资源-钻石'!X159</f>
        <v>12803435.566000894</v>
      </c>
      <c r="P159" s="16">
        <v>156</v>
      </c>
      <c r="Q159" s="16">
        <f>'[1]功能-行军令'!N159</f>
        <v>2284636.0207649847</v>
      </c>
      <c r="R159" s="16">
        <f>'[1]功能-行军令'!O159</f>
        <v>3327622.0302446513</v>
      </c>
      <c r="S159" s="16">
        <f>'[1]功能-行军令'!P159</f>
        <v>4564802.1014893418</v>
      </c>
      <c r="T159" s="16">
        <f>'[1]功能-行军令'!Q159</f>
        <v>5166754.0269604633</v>
      </c>
      <c r="U159" s="16">
        <f>'[1]功能-行军令'!R159</f>
        <v>5182100.82109995</v>
      </c>
      <c r="V159" s="16">
        <f>'[1]功能-行军令'!S159</f>
        <v>152998.32022027066</v>
      </c>
      <c r="W159" s="16">
        <f>'[1]功能-行军令'!T159</f>
        <v>374358.48000998097</v>
      </c>
      <c r="X159" s="16">
        <f>'[1]功能-行军令'!U159</f>
        <v>524134.55226679891</v>
      </c>
      <c r="Y159" s="16">
        <f>'[1]功能-行军令'!V159</f>
        <v>593251.1965217609</v>
      </c>
      <c r="Z159" s="16">
        <f>'[1]功能-行军令'!W159</f>
        <v>594278.94610758871</v>
      </c>
      <c r="AC159" s="21">
        <v>156</v>
      </c>
      <c r="AD159" s="21">
        <f>'[1]功能-实力'!BF160</f>
        <v>140785044</v>
      </c>
      <c r="AE159" s="21">
        <f>'[1]功能-实力'!BG160</f>
        <v>162609276</v>
      </c>
      <c r="AF159" s="21">
        <f>'[1]功能-实力'!BH160</f>
        <v>170489976</v>
      </c>
      <c r="AG159" s="21">
        <f>'[1]功能-实力'!BI160</f>
        <v>174248634</v>
      </c>
      <c r="AH159" s="21">
        <f>'[1]功能-实力'!BJ160</f>
        <v>174528726</v>
      </c>
      <c r="AL159" s="57">
        <f>[2]基础状态预期!C169</f>
        <v>200</v>
      </c>
      <c r="AM159" s="57">
        <f>[2]基础状态预期!D169</f>
        <v>86.045919706798657</v>
      </c>
      <c r="AO159" s="57">
        <f>[2]基础状态预期!F169</f>
        <v>0</v>
      </c>
      <c r="AP159" s="57">
        <f>[2]基础状态预期!G169</f>
        <v>0</v>
      </c>
      <c r="AQ159" s="57">
        <f>[2]基础状态预期!H169</f>
        <v>0</v>
      </c>
      <c r="AR159" s="57">
        <f>[2]基础状态预期!I169</f>
        <v>0</v>
      </c>
      <c r="AS159" s="57">
        <f>[2]基础状态预期!J169</f>
        <v>6</v>
      </c>
      <c r="AW159" s="16">
        <v>153</v>
      </c>
      <c r="AX159" s="16">
        <f>[1]节奏总纲!BJ156</f>
        <v>3.4999999999999978</v>
      </c>
      <c r="AY159" s="16">
        <f>[1]节奏总纲!BK156</f>
        <v>3.5699999999999976</v>
      </c>
      <c r="AZ159" s="16">
        <f>[1]节奏总纲!BL156</f>
        <v>3.7099999999999977</v>
      </c>
      <c r="BA159" s="16">
        <f>[1]节奏总纲!BM156</f>
        <v>3.9899999999999971</v>
      </c>
      <c r="BB159" s="16">
        <f>[1]节奏总纲!BN156</f>
        <v>4.8999999999999968</v>
      </c>
      <c r="BF159" s="21">
        <f>'[1]功能-行军令'!FZ157</f>
        <v>153</v>
      </c>
      <c r="BG159" s="21">
        <f>'[1]功能-行军令'!GA157*'[1]功能-行军令'!GB157</f>
        <v>1563.256514043029</v>
      </c>
    </row>
    <row r="160" spans="2:59">
      <c r="B160" s="1">
        <v>157</v>
      </c>
      <c r="C160" s="16">
        <f>'[1]资源-钻石'!L160</f>
        <v>146952072.85536182</v>
      </c>
      <c r="D160" s="16">
        <f>'[1]资源-钻石'!M160</f>
        <v>251077498.86086968</v>
      </c>
      <c r="E160" s="16">
        <f>'[1]资源-钻石'!N160</f>
        <v>518228278.94566095</v>
      </c>
      <c r="F160" s="16">
        <f>'[1]资源-钻石'!O160</f>
        <v>1646418014.0173526</v>
      </c>
      <c r="G160" s="16">
        <f>'[1]资源-钻石'!P160</f>
        <v>4168905505.4417071</v>
      </c>
      <c r="I160" s="1">
        <v>157</v>
      </c>
      <c r="J160" s="16">
        <f>'[1]资源-钻石'!T160</f>
        <v>842517.6115921915</v>
      </c>
      <c r="K160" s="16">
        <f>'[1]资源-钻石'!U160</f>
        <v>1193049.3727514108</v>
      </c>
      <c r="L160" s="16">
        <f>'[1]资源-钻石'!V160</f>
        <v>2017996.3100265521</v>
      </c>
      <c r="M160" s="16">
        <f>'[1]资源-钻石'!W160</f>
        <v>5392965.9410292078</v>
      </c>
      <c r="N160" s="16">
        <f>'[1]资源-钻石'!X160</f>
        <v>12883280.035132127</v>
      </c>
      <c r="P160" s="16">
        <v>157</v>
      </c>
      <c r="Q160" s="16">
        <f>'[1]功能-行军令'!N160</f>
        <v>2448615.5601897002</v>
      </c>
      <c r="R160" s="16">
        <f>'[1]功能-行军令'!O160</f>
        <v>3566461.794189346</v>
      </c>
      <c r="S160" s="16">
        <f>'[1]功能-行军令'!P160</f>
        <v>4892440.3508051168</v>
      </c>
      <c r="T160" s="16">
        <f>'[1]功能-行军令'!Q160</f>
        <v>5537597.3201420549</v>
      </c>
      <c r="U160" s="16">
        <f>'[1]功能-行军令'!R160</f>
        <v>5537597.3201420549</v>
      </c>
      <c r="V160" s="16">
        <f>'[1]功能-行军令'!S160</f>
        <v>163979.53942471556</v>
      </c>
      <c r="W160" s="16">
        <f>'[1]功能-行军令'!T160</f>
        <v>238839.76394469477</v>
      </c>
      <c r="X160" s="16">
        <f>'[1]功能-行军令'!U160</f>
        <v>327638.249315775</v>
      </c>
      <c r="Y160" s="16">
        <f>'[1]功能-行军令'!V160</f>
        <v>370843.29318159167</v>
      </c>
      <c r="Z160" s="16">
        <f>'[1]功能-行军令'!W160</f>
        <v>355496.49904210493</v>
      </c>
      <c r="AC160" s="21">
        <v>157</v>
      </c>
      <c r="AD160" s="21">
        <f>'[1]功能-实力'!BF161</f>
        <v>142055244</v>
      </c>
      <c r="AE160" s="21">
        <f>'[1]功能-实力'!BG161</f>
        <v>163694622</v>
      </c>
      <c r="AF160" s="21">
        <f>'[1]功能-实力'!BH161</f>
        <v>170700456</v>
      </c>
      <c r="AG160" s="21">
        <f>'[1]功能-实力'!BI161</f>
        <v>174476172</v>
      </c>
      <c r="AH160" s="21">
        <f>'[1]功能-实力'!BJ161</f>
        <v>174757806</v>
      </c>
      <c r="AL160" s="57">
        <f>[2]基础状态预期!C170</f>
        <v>260</v>
      </c>
      <c r="AM160" s="57">
        <f>[2]基础状态预期!D170</f>
        <v>90.288435080379244</v>
      </c>
      <c r="AO160" s="57">
        <f>[2]基础状态预期!F170</f>
        <v>0</v>
      </c>
      <c r="AP160" s="57">
        <f>[2]基础状态预期!G170</f>
        <v>0</v>
      </c>
      <c r="AQ160" s="57">
        <f>[2]基础状态预期!H170</f>
        <v>0</v>
      </c>
      <c r="AR160" s="57">
        <f>[2]基础状态预期!I170</f>
        <v>0</v>
      </c>
      <c r="AS160" s="57">
        <f>[2]基础状态预期!J170</f>
        <v>6</v>
      </c>
      <c r="AW160" s="16">
        <v>154</v>
      </c>
      <c r="AX160" s="16">
        <f>[1]节奏总纲!BJ157</f>
        <v>3.4999999999999978</v>
      </c>
      <c r="AY160" s="16">
        <f>[1]节奏总纲!BK157</f>
        <v>3.5699999999999976</v>
      </c>
      <c r="AZ160" s="16">
        <f>[1]节奏总纲!BL157</f>
        <v>3.7099999999999977</v>
      </c>
      <c r="BA160" s="16">
        <f>[1]节奏总纲!BM157</f>
        <v>3.9899999999999971</v>
      </c>
      <c r="BB160" s="16">
        <f>[1]节奏总纲!BN157</f>
        <v>4.8999999999999968</v>
      </c>
      <c r="BF160" s="21">
        <f>'[1]功能-行军令'!FZ158</f>
        <v>154</v>
      </c>
      <c r="BG160" s="21">
        <f>'[1]功能-行军令'!GA158*'[1]功能-行军令'!GB158</f>
        <v>1594.5216443238896</v>
      </c>
    </row>
    <row r="161" spans="2:59">
      <c r="B161" s="1">
        <v>158</v>
      </c>
      <c r="C161" s="16">
        <f>'[1]资源-钻石'!L161</f>
        <v>157032648.63446465</v>
      </c>
      <c r="D161" s="16">
        <f>'[1]资源-钻石'!M161</f>
        <v>268584788.38108474</v>
      </c>
      <c r="E161" s="16">
        <f>'[1]资源-钻石'!N161</f>
        <v>554858410.82342982</v>
      </c>
      <c r="F161" s="16">
        <f>'[1]资源-钻石'!O161</f>
        <v>1763965034.8871698</v>
      </c>
      <c r="G161" s="16">
        <f>'[1]资源-钻石'!P161</f>
        <v>4467436435.3613586</v>
      </c>
      <c r="I161" s="1">
        <v>158</v>
      </c>
      <c r="J161" s="16">
        <f>'[1]资源-钻石'!T161</f>
        <v>846850.96937597182</v>
      </c>
      <c r="K161" s="16">
        <f>'[1]资源-钻石'!U161</f>
        <v>1199496.0663135692</v>
      </c>
      <c r="L161" s="16">
        <f>'[1]资源-钻石'!V161</f>
        <v>2029539.6729449264</v>
      </c>
      <c r="M161" s="16">
        <f>'[1]资源-钻石'!W161</f>
        <v>5425683.6402394194</v>
      </c>
      <c r="N161" s="16">
        <f>'[1]资源-钻石'!X161</f>
        <v>12963124.50426336</v>
      </c>
      <c r="P161" s="16">
        <v>158</v>
      </c>
      <c r="Q161" s="16">
        <f>'[1]功能-行军令'!N161</f>
        <v>2624364.4789440394</v>
      </c>
      <c r="R161" s="16">
        <f>'[1]功能-行军令'!O161</f>
        <v>3822443.9149837093</v>
      </c>
      <c r="S161" s="16">
        <f>'[1]功能-行军令'!P161</f>
        <v>5243594.3317336226</v>
      </c>
      <c r="T161" s="16">
        <f>'[1]功能-行军令'!Q161</f>
        <v>5935057.3205336612</v>
      </c>
      <c r="U161" s="16">
        <f>'[1]功能-行军令'!R161</f>
        <v>5935057.3205336612</v>
      </c>
      <c r="V161" s="16">
        <f>'[1]功能-行军令'!S161</f>
        <v>175748.91875433922</v>
      </c>
      <c r="W161" s="16">
        <f>'[1]功能-行军令'!T161</f>
        <v>255982.12079436332</v>
      </c>
      <c r="X161" s="16">
        <f>'[1]功能-行军令'!U161</f>
        <v>351153.98092850577</v>
      </c>
      <c r="Y161" s="16">
        <f>'[1]功能-行军令'!V161</f>
        <v>397460.00039160624</v>
      </c>
      <c r="Z161" s="16">
        <f>'[1]功能-行军令'!W161</f>
        <v>397460.00039160624</v>
      </c>
      <c r="AC161" s="21">
        <v>158</v>
      </c>
      <c r="AD161" s="21">
        <f>'[1]功能-实力'!BF162</f>
        <v>142966560</v>
      </c>
      <c r="AE161" s="21">
        <f>'[1]功能-实力'!BG162</f>
        <v>164429502</v>
      </c>
      <c r="AF161" s="21">
        <f>'[1]功能-实力'!BH162</f>
        <v>170910852</v>
      </c>
      <c r="AG161" s="21">
        <f>'[1]功能-实力'!BI162</f>
        <v>174703596</v>
      </c>
      <c r="AH161" s="21">
        <f>'[1]功能-实力'!BJ162</f>
        <v>174986784</v>
      </c>
      <c r="AL161" s="57">
        <f>[2]基础状态预期!C171</f>
        <v>320</v>
      </c>
      <c r="AM161" s="57">
        <f>[2]基础状态预期!D171</f>
        <v>93.400072017025948</v>
      </c>
      <c r="AO161" s="57">
        <f>[2]基础状态预期!F171</f>
        <v>0</v>
      </c>
      <c r="AP161" s="57">
        <f>[2]基础状态预期!G171</f>
        <v>0</v>
      </c>
      <c r="AQ161" s="57">
        <f>[2]基础状态预期!H171</f>
        <v>0</v>
      </c>
      <c r="AR161" s="57">
        <f>[2]基础状态预期!I171</f>
        <v>0</v>
      </c>
      <c r="AS161" s="57">
        <f>[2]基础状态预期!J171</f>
        <v>6</v>
      </c>
      <c r="AW161" s="16">
        <v>155</v>
      </c>
      <c r="AX161" s="16">
        <f>[1]节奏总纲!BJ158</f>
        <v>3.4999999999999978</v>
      </c>
      <c r="AY161" s="16">
        <f>[1]节奏总纲!BK158</f>
        <v>3.5699999999999976</v>
      </c>
      <c r="AZ161" s="16">
        <f>[1]节奏总纲!BL158</f>
        <v>3.7099999999999977</v>
      </c>
      <c r="BA161" s="16">
        <f>[1]节奏总纲!BM158</f>
        <v>3.9899999999999971</v>
      </c>
      <c r="BB161" s="16">
        <f>[1]节奏总纲!BN158</f>
        <v>4.8999999999999968</v>
      </c>
      <c r="BF161" s="21">
        <f>'[1]功能-行军令'!FZ159</f>
        <v>155</v>
      </c>
      <c r="BG161" s="21">
        <f>'[1]功能-行军令'!GA159*'[1]功能-行军令'!GB159</f>
        <v>1626.4120772103677</v>
      </c>
    </row>
    <row r="162" spans="2:59">
      <c r="B162" s="1">
        <v>159</v>
      </c>
      <c r="C162" s="16">
        <f>'[1]资源-钻石'!L162</f>
        <v>167836742.24159318</v>
      </c>
      <c r="D162" s="16">
        <f>'[1]资源-钻石'!M162</f>
        <v>287348636.68979102</v>
      </c>
      <c r="E162" s="16">
        <f>'[1]资源-钻石'!N162</f>
        <v>594117614.09922743</v>
      </c>
      <c r="F162" s="16">
        <f>'[1]资源-钻石'!O162</f>
        <v>1889948812.4556398</v>
      </c>
      <c r="G162" s="16">
        <f>'[1]资源-钻石'!P162</f>
        <v>4787393963.7955246</v>
      </c>
      <c r="I162" s="4">
        <v>159</v>
      </c>
      <c r="J162" s="16">
        <f>'[1]资源-钻石'!T162</f>
        <v>851184.32715975214</v>
      </c>
      <c r="K162" s="16">
        <f>'[1]资源-钻石'!U162</f>
        <v>1205942.7598757276</v>
      </c>
      <c r="L162" s="16">
        <f>'[1]资源-钻石'!V162</f>
        <v>2041083.0358633006</v>
      </c>
      <c r="M162" s="16">
        <f>'[1]资源-钻石'!W162</f>
        <v>5458401.3394496311</v>
      </c>
      <c r="N162" s="16">
        <f>'[1]资源-钻石'!X162</f>
        <v>13042968.973394593</v>
      </c>
      <c r="P162" s="16">
        <v>159</v>
      </c>
      <c r="Q162" s="16">
        <f>'[1]功能-行军令'!N162</f>
        <v>2812727.5061343871</v>
      </c>
      <c r="R162" s="16">
        <f>'[1]功能-行军令'!O162</f>
        <v>4096798.758934868</v>
      </c>
      <c r="S162" s="16">
        <f>'[1]功能-行军令'!P162</f>
        <v>5619951.8497567717</v>
      </c>
      <c r="T162" s="16">
        <f>'[1]功能-行军令'!Q162</f>
        <v>6361044.4013730492</v>
      </c>
      <c r="U162" s="16">
        <f>'[1]功能-行军令'!R162</f>
        <v>6361044.4013730492</v>
      </c>
      <c r="V162" s="16">
        <f>'[1]功能-行军令'!S162</f>
        <v>188363.02719034767</v>
      </c>
      <c r="W162" s="16">
        <f>'[1]功能-行军令'!T162</f>
        <v>274354.84395115869</v>
      </c>
      <c r="X162" s="16">
        <f>'[1]功能-行军令'!U162</f>
        <v>376357.51802314911</v>
      </c>
      <c r="Y162" s="16">
        <f>'[1]功能-行军令'!V162</f>
        <v>425987.08083938807</v>
      </c>
      <c r="Z162" s="16">
        <f>'[1]功能-行军令'!W162</f>
        <v>425987.08083938807</v>
      </c>
      <c r="AC162" s="21">
        <v>159</v>
      </c>
      <c r="AD162" s="21">
        <f>'[1]功能-实力'!BF163</f>
        <v>143680632</v>
      </c>
      <c r="AE162" s="21">
        <f>'[1]功能-实力'!BG163</f>
        <v>164982678</v>
      </c>
      <c r="AF162" s="21">
        <f>'[1]功能-实力'!BH163</f>
        <v>171121152</v>
      </c>
      <c r="AG162" s="21">
        <f>'[1]功能-实力'!BI163</f>
        <v>174930900</v>
      </c>
      <c r="AH162" s="21">
        <f>'[1]功能-实力'!BJ163</f>
        <v>175215636</v>
      </c>
      <c r="AL162" s="57">
        <f>[2]基础状态预期!C172</f>
        <v>410</v>
      </c>
      <c r="AM162" s="57">
        <f>[2]基础状态预期!D172</f>
        <v>97.006001686863456</v>
      </c>
      <c r="AO162" s="57">
        <f>[2]基础状态预期!F172</f>
        <v>0</v>
      </c>
      <c r="AP162" s="57">
        <f>[2]基础状态预期!G172</f>
        <v>0</v>
      </c>
      <c r="AQ162" s="57">
        <f>[2]基础状态预期!H172</f>
        <v>0</v>
      </c>
      <c r="AR162" s="57">
        <f>[2]基础状态预期!I172</f>
        <v>0</v>
      </c>
      <c r="AS162" s="57">
        <f>[2]基础状态预期!J172</f>
        <v>6</v>
      </c>
      <c r="AW162" s="16">
        <v>156</v>
      </c>
      <c r="AX162" s="16">
        <f>[1]节奏总纲!BJ159</f>
        <v>3.4999999999999978</v>
      </c>
      <c r="AY162" s="16">
        <f>[1]节奏总纲!BK159</f>
        <v>3.5699999999999976</v>
      </c>
      <c r="AZ162" s="16">
        <f>[1]节奏总纲!BL159</f>
        <v>3.7099999999999977</v>
      </c>
      <c r="BA162" s="16">
        <f>[1]节奏总纲!BM159</f>
        <v>3.9899999999999971</v>
      </c>
      <c r="BB162" s="16">
        <f>[1]节奏总纲!BN159</f>
        <v>4.8999999999999968</v>
      </c>
      <c r="BF162" s="21">
        <f>'[1]功能-行军令'!FZ160</f>
        <v>156</v>
      </c>
      <c r="BG162" s="21">
        <f>'[1]功能-行军令'!GA160*'[1]功能-行军令'!GB160</f>
        <v>1658.9403187545749</v>
      </c>
    </row>
    <row r="163" spans="2:59">
      <c r="B163" s="1">
        <v>160</v>
      </c>
      <c r="C163" s="16">
        <f>'[1]资源-钻石'!L163</f>
        <v>179416283.05647135</v>
      </c>
      <c r="D163" s="16">
        <f>'[1]资源-钻石'!M163</f>
        <v>307459231.36211848</v>
      </c>
      <c r="E163" s="16">
        <f>'[1]资源-钻石'!N163</f>
        <v>636194586.33054423</v>
      </c>
      <c r="F163" s="16">
        <f>'[1]资源-钻石'!O163</f>
        <v>2024974881.9635987</v>
      </c>
      <c r="G163" s="16">
        <f>'[1]资源-钻石'!P163</f>
        <v>5130315951.9099579</v>
      </c>
      <c r="I163" s="4">
        <v>160</v>
      </c>
      <c r="J163" s="16">
        <f>'[1]资源-钻石'!T163</f>
        <v>855517.68494353245</v>
      </c>
      <c r="K163" s="16">
        <f>'[1]资源-钻石'!U163</f>
        <v>1212389.453437886</v>
      </c>
      <c r="L163" s="16">
        <f>'[1]资源-钻石'!V163</f>
        <v>2052626.3987816747</v>
      </c>
      <c r="M163" s="16">
        <f>'[1]资源-钻石'!W163</f>
        <v>5491119.0386598427</v>
      </c>
      <c r="N163" s="16">
        <f>'[1]资源-钻石'!X163</f>
        <v>13122813.442525825</v>
      </c>
      <c r="P163" s="16">
        <v>160</v>
      </c>
      <c r="Q163" s="16">
        <f>'[1]功能-行军令'!N163</f>
        <v>3014610</v>
      </c>
      <c r="R163" s="16">
        <f>'[1]功能-行军令'!O163</f>
        <v>4390845</v>
      </c>
      <c r="S163" s="16">
        <f>'[1]功能-行军令'!P163</f>
        <v>6023321.8500000006</v>
      </c>
      <c r="T163" s="16">
        <f>'[1]功能-行军令'!Q163</f>
        <v>6817606.0500000007</v>
      </c>
      <c r="U163" s="16">
        <f>'[1]功能-行军令'!R163</f>
        <v>6817606.0500000007</v>
      </c>
      <c r="V163" s="16">
        <f>'[1]功能-行军令'!S163</f>
        <v>201882.49386561289</v>
      </c>
      <c r="W163" s="16">
        <f>'[1]功能-行军令'!T163</f>
        <v>294046.24106513197</v>
      </c>
      <c r="X163" s="16">
        <f>'[1]功能-行军令'!U163</f>
        <v>403370.00024322886</v>
      </c>
      <c r="Y163" s="16">
        <f>'[1]功能-行军令'!V163</f>
        <v>456561.6486269515</v>
      </c>
      <c r="Z163" s="16">
        <f>'[1]功能-行军令'!W163</f>
        <v>456561.6486269515</v>
      </c>
      <c r="AC163" s="21">
        <v>160</v>
      </c>
      <c r="AD163" s="21">
        <f>'[1]功能-实力'!BF164</f>
        <v>144395508</v>
      </c>
      <c r="AE163" s="21">
        <f>'[1]功能-实力'!BG164</f>
        <v>165536418</v>
      </c>
      <c r="AF163" s="21">
        <f>'[1]功能-实力'!BH164</f>
        <v>171331320</v>
      </c>
      <c r="AG163" s="21">
        <f>'[1]功能-实力'!BI164</f>
        <v>175158060</v>
      </c>
      <c r="AH163" s="21">
        <f>'[1]功能-实力'!BJ164</f>
        <v>175444344</v>
      </c>
      <c r="AL163" s="57">
        <f>[2]基础状态预期!C173</f>
        <v>530</v>
      </c>
      <c r="AM163" s="57">
        <f>[2]基础状态预期!D173</f>
        <v>100.64473135315967</v>
      </c>
      <c r="AO163" s="57">
        <f>[2]基础状态预期!F173</f>
        <v>0</v>
      </c>
      <c r="AP163" s="57">
        <f>[2]基础状态预期!G173</f>
        <v>0</v>
      </c>
      <c r="AQ163" s="57">
        <f>[2]基础状态预期!H173</f>
        <v>0</v>
      </c>
      <c r="AR163" s="57">
        <f>[2]基础状态预期!I173</f>
        <v>0</v>
      </c>
      <c r="AS163" s="57">
        <f>[2]基础状态预期!J173</f>
        <v>6</v>
      </c>
      <c r="AW163" s="16">
        <v>157</v>
      </c>
      <c r="AX163" s="16">
        <f>[1]节奏总纲!BJ160</f>
        <v>3.4999999999999978</v>
      </c>
      <c r="AY163" s="16">
        <f>[1]节奏总纲!BK160</f>
        <v>3.5699999999999976</v>
      </c>
      <c r="AZ163" s="16">
        <f>[1]节奏总纲!BL160</f>
        <v>3.7099999999999977</v>
      </c>
      <c r="BA163" s="16">
        <f>[1]节奏总纲!BM160</f>
        <v>3.9899999999999971</v>
      </c>
      <c r="BB163" s="16">
        <f>[1]节奏总纲!BN160</f>
        <v>4.8999999999999968</v>
      </c>
      <c r="BF163" s="21">
        <f>'[1]功能-行军令'!FZ161</f>
        <v>157</v>
      </c>
      <c r="BG163" s="21">
        <f>'[1]功能-行军令'!GA161*'[1]功能-行军令'!GB161</f>
        <v>1692.1191251296664</v>
      </c>
    </row>
    <row r="164" spans="2:59">
      <c r="I164" s="4">
        <v>161</v>
      </c>
      <c r="J164" s="16">
        <f>'[1]资源-钻石'!T164</f>
        <v>859851.04272731277</v>
      </c>
      <c r="K164" s="16">
        <f>'[1]资源-钻石'!U164</f>
        <v>1218836.1470000444</v>
      </c>
      <c r="L164" s="16">
        <f>'[1]资源-钻石'!V164</f>
        <v>2064169.761700049</v>
      </c>
      <c r="M164" s="16">
        <f>'[1]资源-钻石'!W164</f>
        <v>5523836.7378700543</v>
      </c>
      <c r="N164" s="16">
        <f>'[1]资源-钻石'!X164</f>
        <v>13202657.911657058</v>
      </c>
      <c r="AL164" s="57">
        <f>[2]基础状态预期!C174</f>
        <v>680</v>
      </c>
      <c r="AM164" s="57">
        <f>[2]基础状态预期!D174</f>
        <v>104.30731379164318</v>
      </c>
      <c r="AO164" s="57">
        <f>[2]基础状态预期!F174</f>
        <v>0</v>
      </c>
      <c r="AP164" s="57">
        <f>[2]基础状态预期!G174</f>
        <v>0</v>
      </c>
      <c r="AQ164" s="57">
        <f>[2]基础状态预期!H174</f>
        <v>0</v>
      </c>
      <c r="AR164" s="57">
        <f>[2]基础状态预期!I174</f>
        <v>0</v>
      </c>
      <c r="AS164" s="57">
        <f>[2]基础状态预期!J174</f>
        <v>6</v>
      </c>
      <c r="AW164" s="16">
        <v>158</v>
      </c>
      <c r="AX164" s="16">
        <f>[1]节奏总纲!BJ161</f>
        <v>3.4999999999999978</v>
      </c>
      <c r="AY164" s="16">
        <f>[1]节奏总纲!BK161</f>
        <v>3.5699999999999976</v>
      </c>
      <c r="AZ164" s="16">
        <f>[1]节奏总纲!BL161</f>
        <v>3.7099999999999977</v>
      </c>
      <c r="BA164" s="16">
        <f>[1]节奏总纲!BM161</f>
        <v>3.9899999999999971</v>
      </c>
      <c r="BB164" s="16">
        <f>[1]节奏总纲!BN161</f>
        <v>4.8999999999999968</v>
      </c>
      <c r="BF164" s="21">
        <f>'[1]功能-行军令'!FZ162</f>
        <v>158</v>
      </c>
      <c r="BG164" s="21">
        <f>'[1]功能-行军令'!GA162*'[1]功能-行军令'!GB162</f>
        <v>1725.9615076322598</v>
      </c>
    </row>
    <row r="165" spans="2:59">
      <c r="I165" s="4">
        <v>162</v>
      </c>
      <c r="J165" s="16">
        <f>'[1]资源-钻石'!T165</f>
        <v>864184.40051109309</v>
      </c>
      <c r="K165" s="16">
        <f>'[1]资源-钻石'!U165</f>
        <v>1225282.8405622025</v>
      </c>
      <c r="L165" s="16">
        <f>'[1]资源-钻石'!V165</f>
        <v>2075713.1246184232</v>
      </c>
      <c r="M165" s="16">
        <f>'[1]资源-钻石'!W165</f>
        <v>5556554.437080266</v>
      </c>
      <c r="N165" s="16">
        <f>'[1]资源-钻石'!X165</f>
        <v>13282502.380788291</v>
      </c>
      <c r="AL165" s="57">
        <f>[2]基础状态预期!C175</f>
        <v>860</v>
      </c>
      <c r="AM165" s="57">
        <f>[2]基础状态预期!D175</f>
        <v>107.78950972208385</v>
      </c>
      <c r="AO165" s="57">
        <f>[2]基础状态预期!F175</f>
        <v>0</v>
      </c>
      <c r="AP165" s="57">
        <f>[2]基础状态预期!G175</f>
        <v>0</v>
      </c>
      <c r="AQ165" s="57">
        <f>[2]基础状态预期!H175</f>
        <v>0</v>
      </c>
      <c r="AR165" s="57">
        <f>[2]基础状态预期!I175</f>
        <v>0</v>
      </c>
      <c r="AS165" s="57">
        <f>[2]基础状态预期!J175</f>
        <v>6</v>
      </c>
      <c r="AW165" s="16">
        <v>159</v>
      </c>
      <c r="AX165" s="16">
        <f>[1]节奏总纲!BJ162</f>
        <v>3.4999999999999978</v>
      </c>
      <c r="AY165" s="16">
        <f>[1]节奏总纲!BK162</f>
        <v>3.5699999999999976</v>
      </c>
      <c r="AZ165" s="16">
        <f>[1]节奏总纲!BL162</f>
        <v>3.7099999999999977</v>
      </c>
      <c r="BA165" s="16">
        <f>[1]节奏总纲!BM162</f>
        <v>3.9899999999999971</v>
      </c>
      <c r="BB165" s="16">
        <f>[1]节奏总纲!BN162</f>
        <v>4.8999999999999968</v>
      </c>
      <c r="BF165" s="21">
        <f>'[1]功能-行军令'!FZ163</f>
        <v>159</v>
      </c>
      <c r="BG165" s="21">
        <f>'[1]功能-行军令'!GA163*'[1]功能-行军令'!GB163</f>
        <v>1760.4807377849047</v>
      </c>
    </row>
    <row r="166" spans="2:59">
      <c r="I166" s="1">
        <v>163</v>
      </c>
      <c r="J166" s="16">
        <f>'[1]资源-钻石'!T166</f>
        <v>868517.75829487341</v>
      </c>
      <c r="K166" s="16">
        <f>'[1]资源-钻石'!U166</f>
        <v>1231729.5341243609</v>
      </c>
      <c r="L166" s="16">
        <f>'[1]资源-钻石'!V166</f>
        <v>2087256.4875367973</v>
      </c>
      <c r="M166" s="16">
        <f>'[1]资源-钻石'!W166</f>
        <v>5589272.1362904776</v>
      </c>
      <c r="N166" s="16">
        <f>'[1]资源-钻石'!X166</f>
        <v>13362346.849919524</v>
      </c>
      <c r="AL166" s="57">
        <f>[2]基础状态预期!C176</f>
        <v>1100</v>
      </c>
      <c r="AM166" s="57">
        <f>[2]基础状态预期!D176</f>
        <v>111.29737083030383</v>
      </c>
      <c r="AO166" s="57">
        <f>[2]基础状态预期!F176</f>
        <v>0</v>
      </c>
      <c r="AP166" s="57">
        <f>[2]基础状态预期!G176</f>
        <v>0</v>
      </c>
      <c r="AQ166" s="57">
        <f>[2]基础状态预期!H176</f>
        <v>0</v>
      </c>
      <c r="AR166" s="57">
        <f>[2]基础状态预期!I176</f>
        <v>0</v>
      </c>
      <c r="AS166" s="57">
        <f>[2]基础状态预期!J176</f>
        <v>6</v>
      </c>
      <c r="AW166" s="16">
        <v>160</v>
      </c>
      <c r="AX166" s="16">
        <f>[1]节奏总纲!BJ163</f>
        <v>3.4999999999999978</v>
      </c>
      <c r="AY166" s="16">
        <f>[1]节奏总纲!BK163</f>
        <v>3.5699999999999976</v>
      </c>
      <c r="AZ166" s="16">
        <f>[1]节奏总纲!BL163</f>
        <v>3.7099999999999977</v>
      </c>
      <c r="BA166" s="16">
        <f>[1]节奏总纲!BM163</f>
        <v>3.9899999999999971</v>
      </c>
      <c r="BB166" s="16">
        <f>[1]节奏总纲!BN163</f>
        <v>4.8999999999999968</v>
      </c>
      <c r="BF166" s="21">
        <f>'[1]功能-行军令'!FZ164</f>
        <v>160</v>
      </c>
      <c r="BG166" s="21">
        <f>'[1]功能-行军令'!GA164*'[1]功能-行军令'!GB164</f>
        <v>1795.690352540603</v>
      </c>
    </row>
    <row r="167" spans="2:59">
      <c r="I167" s="1">
        <v>164</v>
      </c>
      <c r="J167" s="16">
        <f>'[1]资源-钻石'!T167</f>
        <v>872851.11607865372</v>
      </c>
      <c r="K167" s="16">
        <f>'[1]资源-钻石'!U167</f>
        <v>1238176.2276865193</v>
      </c>
      <c r="L167" s="16">
        <f>'[1]资源-钻石'!V167</f>
        <v>2098799.8504551714</v>
      </c>
      <c r="M167" s="16">
        <f>'[1]资源-钻石'!W167</f>
        <v>5621989.8355006892</v>
      </c>
      <c r="N167" s="16">
        <f>'[1]资源-钻石'!X167</f>
        <v>13442191.319050755</v>
      </c>
      <c r="AL167" s="57">
        <f>[2]基础状态预期!C177</f>
        <v>1400</v>
      </c>
      <c r="AM167" s="57">
        <f>[2]基础状态预期!D177</f>
        <v>114.91888401282834</v>
      </c>
      <c r="AO167" s="57">
        <f>[2]基础状态预期!F177</f>
        <v>0</v>
      </c>
      <c r="AP167" s="57">
        <f>[2]基础状态预期!G177</f>
        <v>0</v>
      </c>
      <c r="AQ167" s="57">
        <f>[2]基础状态预期!H177</f>
        <v>0</v>
      </c>
      <c r="AR167" s="57">
        <f>[2]基础状态预期!I177</f>
        <v>0</v>
      </c>
      <c r="AS167" s="57">
        <f>[2]基础状态预期!J177</f>
        <v>6</v>
      </c>
      <c r="BF167" s="5"/>
      <c r="BG167" s="5"/>
    </row>
    <row r="168" spans="2:59">
      <c r="I168" s="4">
        <v>165</v>
      </c>
      <c r="J168" s="16">
        <f>'[1]资源-钻石'!T168</f>
        <v>877184.47386243404</v>
      </c>
      <c r="K168" s="16">
        <f>'[1]资源-钻石'!U168</f>
        <v>1244622.9212486777</v>
      </c>
      <c r="L168" s="16">
        <f>'[1]资源-钻石'!V168</f>
        <v>2110343.2133735456</v>
      </c>
      <c r="M168" s="16">
        <f>'[1]资源-钻石'!W168</f>
        <v>5654707.5347109009</v>
      </c>
      <c r="N168" s="16">
        <f>'[1]资源-钻石'!X168</f>
        <v>13522035.788181989</v>
      </c>
      <c r="AL168" s="57">
        <f>[2]基础状态预期!C178</f>
        <v>1790</v>
      </c>
      <c r="AM168" s="57">
        <f>[2]基础状态预期!D178</f>
        <v>118.4172728380062</v>
      </c>
      <c r="AO168" s="57">
        <f>[2]基础状态预期!F178</f>
        <v>0</v>
      </c>
      <c r="AP168" s="57">
        <f>[2]基础状态预期!G178</f>
        <v>0</v>
      </c>
      <c r="AQ168" s="57">
        <f>[2]基础状态预期!H178</f>
        <v>0</v>
      </c>
      <c r="AR168" s="57">
        <f>[2]基础状态预期!I178</f>
        <v>0</v>
      </c>
      <c r="AS168" s="57">
        <f>[2]基础状态预期!J178</f>
        <v>6</v>
      </c>
    </row>
    <row r="169" spans="2:59">
      <c r="I169" s="4">
        <v>166</v>
      </c>
      <c r="J169" s="16">
        <f>'[1]资源-钻石'!T169</f>
        <v>881517.83164621436</v>
      </c>
      <c r="K169" s="16">
        <f>'[1]资源-钻石'!U169</f>
        <v>1251069.614810836</v>
      </c>
      <c r="L169" s="16">
        <f>'[1]资源-钻石'!V169</f>
        <v>2121886.5762919202</v>
      </c>
      <c r="M169" s="16">
        <f>'[1]资源-钻石'!W169</f>
        <v>5687425.2339211125</v>
      </c>
      <c r="N169" s="16">
        <f>'[1]资源-钻石'!X169</f>
        <v>13601880.257313222</v>
      </c>
      <c r="AL169" s="57">
        <f>[2]基础状态预期!C179</f>
        <v>2270</v>
      </c>
      <c r="AM169" s="57">
        <f>[2]基础状态预期!D179</f>
        <v>121.99245722798884</v>
      </c>
      <c r="AO169" s="57">
        <f>[2]基础状态预期!F179</f>
        <v>0</v>
      </c>
      <c r="AP169" s="57">
        <f>[2]基础状态预期!G179</f>
        <v>0</v>
      </c>
      <c r="AQ169" s="57">
        <f>[2]基础状态预期!H179</f>
        <v>0</v>
      </c>
      <c r="AR169" s="57">
        <f>[2]基础状态预期!I179</f>
        <v>0</v>
      </c>
      <c r="AS169" s="57">
        <f>[2]基础状态预期!J179</f>
        <v>6</v>
      </c>
    </row>
    <row r="170" spans="2:59">
      <c r="I170" s="4">
        <v>167</v>
      </c>
      <c r="J170" s="16">
        <f>'[1]资源-钻石'!T170</f>
        <v>885851.18942999467</v>
      </c>
      <c r="K170" s="16">
        <f>'[1]资源-钻石'!U170</f>
        <v>1257516.3083729944</v>
      </c>
      <c r="L170" s="16">
        <f>'[1]资源-钻石'!V170</f>
        <v>2133429.9392102943</v>
      </c>
      <c r="M170" s="16">
        <f>'[1]资源-钻石'!W170</f>
        <v>5720142.9331313241</v>
      </c>
      <c r="N170" s="16">
        <f>'[1]资源-钻石'!X170</f>
        <v>13681724.726444455</v>
      </c>
      <c r="AL170" s="57">
        <f>[2]基础状态预期!C180</f>
        <v>2900</v>
      </c>
      <c r="AM170" s="57">
        <f>[2]基础状态预期!D180</f>
        <v>125.43876546297123</v>
      </c>
      <c r="AO170" s="57">
        <f>[2]基础状态预期!F180</f>
        <v>0</v>
      </c>
      <c r="AP170" s="57">
        <f>[2]基础状态预期!G180</f>
        <v>0</v>
      </c>
      <c r="AQ170" s="57">
        <f>[2]基础状态预期!H180</f>
        <v>0</v>
      </c>
      <c r="AR170" s="57">
        <f>[2]基础状态预期!I180</f>
        <v>0</v>
      </c>
      <c r="AS170" s="57">
        <f>[2]基础状态预期!J180</f>
        <v>6</v>
      </c>
    </row>
    <row r="171" spans="2:59">
      <c r="I171" s="4">
        <v>168</v>
      </c>
      <c r="J171" s="16">
        <f>'[1]资源-钻石'!T171</f>
        <v>890184.47403977695</v>
      </c>
      <c r="K171" s="16">
        <f>'[1]资源-钻石'!U171</f>
        <v>1263963.0019351528</v>
      </c>
      <c r="L171" s="16">
        <f>'[1]资源-钻石'!V171</f>
        <v>2144973.3021286684</v>
      </c>
      <c r="M171" s="16">
        <f>'[1]资源-钻石'!W171</f>
        <v>5752860.6323415348</v>
      </c>
      <c r="N171" s="16">
        <f>'[1]资源-钻石'!X171</f>
        <v>13761569.195575688</v>
      </c>
      <c r="AL171" s="57">
        <f>[2]基础状态预期!C181</f>
        <v>3710</v>
      </c>
      <c r="AM171" s="57">
        <f>[2]基础状态预期!D181</f>
        <v>129.12105302323599</v>
      </c>
      <c r="AO171" s="57">
        <f>[2]基础状态预期!F181</f>
        <v>0</v>
      </c>
      <c r="AP171" s="57">
        <f>[2]基础状态预期!G181</f>
        <v>0</v>
      </c>
      <c r="AQ171" s="57">
        <f>[2]基础状态预期!H181</f>
        <v>0</v>
      </c>
      <c r="AR171" s="57">
        <f>[2]基础状态预期!I181</f>
        <v>0</v>
      </c>
      <c r="AS171" s="57">
        <f>[2]基础状态预期!J181</f>
        <v>6</v>
      </c>
    </row>
    <row r="172" spans="2:59">
      <c r="I172" s="1">
        <v>169</v>
      </c>
      <c r="J172" s="16">
        <f>'[1]资源-钻石'!T172</f>
        <v>894517.12130961951</v>
      </c>
      <c r="K172" s="16">
        <f>'[1]资源-钻石'!U172</f>
        <v>1270409.6954973112</v>
      </c>
      <c r="L172" s="16">
        <f>'[1]资源-钻石'!V172</f>
        <v>2156512.5337531343</v>
      </c>
      <c r="M172" s="16">
        <f>'[1]资源-钻石'!W172</f>
        <v>5785578.3315517465</v>
      </c>
      <c r="N172" s="16">
        <f>'[1]资源-钻石'!X172</f>
        <v>13841413.664706919</v>
      </c>
      <c r="AL172" s="57">
        <f>[2]基础状态预期!C182</f>
        <v>4730</v>
      </c>
      <c r="AM172" s="57">
        <f>[2]基础状态预期!D182</f>
        <v>132.61179169042359</v>
      </c>
      <c r="AO172" s="57">
        <f>[2]基础状态预期!F182</f>
        <v>0</v>
      </c>
      <c r="AP172" s="57">
        <f>[2]基础状态预期!G182</f>
        <v>0</v>
      </c>
      <c r="AQ172" s="57">
        <f>[2]基础状态预期!H182</f>
        <v>0</v>
      </c>
      <c r="AR172" s="57">
        <f>[2]基础状态预期!I182</f>
        <v>0</v>
      </c>
      <c r="AS172" s="57">
        <f>[2]基础状态预期!J182</f>
        <v>6</v>
      </c>
    </row>
    <row r="173" spans="2:59">
      <c r="I173" s="1">
        <v>170</v>
      </c>
      <c r="J173" s="16">
        <f>'[1]资源-钻石'!T173</f>
        <v>898849.76857946208</v>
      </c>
      <c r="K173" s="16">
        <f>'[1]资源-钻石'!U173</f>
        <v>1276856.3890594693</v>
      </c>
      <c r="L173" s="16">
        <f>'[1]资源-钻石'!V173</f>
        <v>2168040.2855180311</v>
      </c>
      <c r="M173" s="16">
        <f>'[1]资源-钻石'!W173</f>
        <v>5818296.0307619581</v>
      </c>
      <c r="N173" s="16">
        <f>'[1]资源-钻石'!X173</f>
        <v>13921258.133838153</v>
      </c>
      <c r="AL173" s="57">
        <f>[2]基础状态预期!C183</f>
        <v>6020</v>
      </c>
      <c r="AM173" s="57">
        <f>[2]基础状态预期!D183</f>
        <v>136.12035534953262</v>
      </c>
      <c r="AO173" s="57">
        <f>[2]基础状态预期!F183</f>
        <v>0</v>
      </c>
      <c r="AP173" s="57">
        <f>[2]基础状态预期!G183</f>
        <v>0</v>
      </c>
      <c r="AQ173" s="57">
        <f>[2]基础状态预期!H183</f>
        <v>0</v>
      </c>
      <c r="AR173" s="57">
        <f>[2]基础状态预期!I183</f>
        <v>0</v>
      </c>
      <c r="AS173" s="57">
        <f>[2]基础状态预期!J183</f>
        <v>6</v>
      </c>
    </row>
    <row r="174" spans="2:59">
      <c r="I174" s="4">
        <v>171</v>
      </c>
      <c r="J174" s="16">
        <f>'[1]资源-钻石'!T174</f>
        <v>903182.41584930464</v>
      </c>
      <c r="K174" s="16">
        <f>'[1]资源-钻石'!U174</f>
        <v>1283303.0826216277</v>
      </c>
      <c r="L174" s="16">
        <f>'[1]资源-钻石'!V174</f>
        <v>2179568.0372829279</v>
      </c>
      <c r="M174" s="16">
        <f>'[1]资源-钻石'!W174</f>
        <v>5851013.7299721697</v>
      </c>
      <c r="N174" s="16">
        <f>'[1]资源-钻石'!X174</f>
        <v>14001102.602969386</v>
      </c>
      <c r="AL174" s="57">
        <f>[2]基础状态预期!C184</f>
        <v>7670</v>
      </c>
      <c r="AM174" s="57">
        <f>[2]基础状态预期!D184</f>
        <v>139.6793621861803</v>
      </c>
      <c r="AO174" s="57">
        <f>[2]基础状态预期!F184</f>
        <v>0</v>
      </c>
      <c r="AP174" s="57">
        <f>[2]基础状态预期!G184</f>
        <v>0</v>
      </c>
      <c r="AQ174" s="57">
        <f>[2]基础状态预期!H184</f>
        <v>0</v>
      </c>
      <c r="AR174" s="57">
        <f>[2]基础状态预期!I184</f>
        <v>0</v>
      </c>
      <c r="AS174" s="57">
        <f>[2]基础状态预期!J184</f>
        <v>6</v>
      </c>
    </row>
    <row r="175" spans="2:59">
      <c r="I175" s="4">
        <v>172</v>
      </c>
      <c r="J175" s="16">
        <f>'[1]资源-钻石'!T175</f>
        <v>907515.06311914721</v>
      </c>
      <c r="K175" s="16">
        <f>'[1]资源-钻石'!U175</f>
        <v>1289749.7761837861</v>
      </c>
      <c r="L175" s="16">
        <f>'[1]资源-钻石'!V175</f>
        <v>2191095.7890478252</v>
      </c>
      <c r="M175" s="16">
        <f>'[1]资源-钻石'!W175</f>
        <v>5883731.4291823814</v>
      </c>
      <c r="N175" s="16">
        <f>'[1]资源-钻石'!X175</f>
        <v>14080947.072100619</v>
      </c>
      <c r="AL175" s="57">
        <f>[2]基础状态预期!C185</f>
        <v>9770</v>
      </c>
      <c r="AM175" s="57">
        <f>[2]基础状态预期!D185</f>
        <v>143.14123736077869</v>
      </c>
      <c r="AO175" s="57">
        <f>[2]基础状态预期!F185</f>
        <v>0</v>
      </c>
      <c r="AP175" s="57">
        <f>[2]基础状态预期!G185</f>
        <v>0</v>
      </c>
      <c r="AQ175" s="57">
        <f>[2]基础状态预期!H185</f>
        <v>0</v>
      </c>
      <c r="AR175" s="57">
        <f>[2]基础状态预期!I185</f>
        <v>0</v>
      </c>
      <c r="AS175" s="57">
        <f>[2]基础状态预期!J185</f>
        <v>6</v>
      </c>
    </row>
    <row r="176" spans="2:59">
      <c r="I176" s="4">
        <v>173</v>
      </c>
      <c r="J176" s="16">
        <f>'[1]资源-钻石'!T176</f>
        <v>911847.71038898989</v>
      </c>
      <c r="K176" s="16">
        <f>'[1]资源-钻石'!U176</f>
        <v>1296196.4697459445</v>
      </c>
      <c r="L176" s="16">
        <f>'[1]资源-钻石'!V176</f>
        <v>2202623.5408127219</v>
      </c>
      <c r="M176" s="16">
        <f>'[1]资源-钻石'!W176</f>
        <v>5916443.2022817116</v>
      </c>
      <c r="N176" s="16">
        <f>'[1]资源-钻石'!X176</f>
        <v>14160791.54123185</v>
      </c>
      <c r="AL176" s="57">
        <f>[2]基础状态预期!C186</f>
        <v>12440</v>
      </c>
      <c r="AM176" s="57">
        <f>[2]基础状态预期!D186</f>
        <v>146.75578521325724</v>
      </c>
      <c r="AO176" s="57">
        <f>[2]基础状态预期!F186</f>
        <v>0</v>
      </c>
      <c r="AP176" s="57">
        <f>[2]基础状态预期!G186</f>
        <v>0</v>
      </c>
      <c r="AQ176" s="57">
        <f>[2]基础状态预期!H186</f>
        <v>0</v>
      </c>
      <c r="AR176" s="57">
        <f>[2]基础状态预期!I186</f>
        <v>0</v>
      </c>
      <c r="AS176" s="57">
        <f>[2]基础状态预期!J186</f>
        <v>6</v>
      </c>
    </row>
    <row r="177" spans="9:45">
      <c r="I177" s="4">
        <v>174</v>
      </c>
      <c r="J177" s="16">
        <f>'[1]资源-钻石'!T177</f>
        <v>916180.35765883245</v>
      </c>
      <c r="K177" s="16">
        <f>'[1]资源-钻石'!U177</f>
        <v>1302643.1633081029</v>
      </c>
      <c r="L177" s="16">
        <f>'[1]资源-钻石'!V177</f>
        <v>2214151.2925776187</v>
      </c>
      <c r="M177" s="16">
        <f>'[1]资源-钻石'!W177</f>
        <v>5948898.5527772438</v>
      </c>
      <c r="N177" s="16">
        <f>'[1]资源-钻石'!X177</f>
        <v>14240636.010363083</v>
      </c>
      <c r="AL177" s="57">
        <f>[2]基础状态预期!C187</f>
        <v>15860</v>
      </c>
      <c r="AM177" s="57">
        <f>[2]基础状态预期!D187</f>
        <v>150.21349802228445</v>
      </c>
      <c r="AO177" s="57">
        <f>[2]基础状态预期!F187</f>
        <v>0</v>
      </c>
      <c r="AP177" s="57">
        <f>[2]基础状态预期!G187</f>
        <v>0</v>
      </c>
      <c r="AQ177" s="57">
        <f>[2]基础状态预期!H187</f>
        <v>0</v>
      </c>
      <c r="AR177" s="57">
        <f>[2]基础状态预期!I187</f>
        <v>0</v>
      </c>
      <c r="AS177" s="57">
        <f>[2]基础状态预期!J187</f>
        <v>6</v>
      </c>
    </row>
    <row r="178" spans="9:45">
      <c r="I178" s="1">
        <v>175</v>
      </c>
      <c r="J178" s="16">
        <f>'[1]资源-钻石'!T178</f>
        <v>920513.00492867501</v>
      </c>
      <c r="K178" s="16">
        <f>'[1]资源-钻石'!U178</f>
        <v>1309089.856870261</v>
      </c>
      <c r="L178" s="16">
        <f>'[1]资源-钻石'!V178</f>
        <v>2225679.044342516</v>
      </c>
      <c r="M178" s="16">
        <f>'[1]资源-钻石'!W178</f>
        <v>5981353.9032727769</v>
      </c>
      <c r="N178" s="16">
        <f>'[1]资源-钻石'!X178</f>
        <v>14320480.479494317</v>
      </c>
      <c r="AL178" s="57">
        <f>[2]基础状态预期!C188</f>
        <v>20210</v>
      </c>
      <c r="AM178" s="57">
        <f>[2]基础状态预期!D188</f>
        <v>152.32856849044819</v>
      </c>
      <c r="AO178" s="57">
        <f>[2]基础状态预期!F188</f>
        <v>0</v>
      </c>
      <c r="AP178" s="57">
        <f>[2]基础状态预期!G188</f>
        <v>0</v>
      </c>
      <c r="AQ178" s="57">
        <f>[2]基础状态预期!H188</f>
        <v>0</v>
      </c>
      <c r="AR178" s="57">
        <f>[2]基础状态预期!I188</f>
        <v>0</v>
      </c>
      <c r="AS178" s="57">
        <f>[2]基础状态预期!J188</f>
        <v>6</v>
      </c>
    </row>
    <row r="179" spans="9:45">
      <c r="I179" s="1">
        <v>176</v>
      </c>
      <c r="J179" s="16">
        <f>'[1]资源-钻石'!T179</f>
        <v>924845.65219851758</v>
      </c>
      <c r="K179" s="16">
        <f>'[1]资源-钻石'!U179</f>
        <v>1315536.5504324194</v>
      </c>
      <c r="L179" s="16">
        <f>'[1]资源-钻石'!V179</f>
        <v>2237206.7961074128</v>
      </c>
      <c r="M179" s="16">
        <f>'[1]资源-钻石'!W179</f>
        <v>6013809.25376831</v>
      </c>
      <c r="N179" s="16">
        <f>'[1]资源-钻石'!X179</f>
        <v>14400324.94862555</v>
      </c>
      <c r="AL179" s="57">
        <f>[2]基础状态预期!C189</f>
        <v>25760</v>
      </c>
      <c r="AM179" s="57">
        <f>[2]基础状态预期!D189</f>
        <v>153.15627769682186</v>
      </c>
      <c r="AO179" s="57">
        <f>[2]基础状态预期!F189</f>
        <v>0</v>
      </c>
      <c r="AP179" s="57">
        <f>[2]基础状态预期!G189</f>
        <v>0</v>
      </c>
      <c r="AQ179" s="57">
        <f>[2]基础状态预期!H189</f>
        <v>0</v>
      </c>
      <c r="AR179" s="57">
        <f>[2]基础状态预期!I189</f>
        <v>0</v>
      </c>
      <c r="AS179" s="57">
        <f>[2]基础状态预期!J189</f>
        <v>6</v>
      </c>
    </row>
    <row r="180" spans="9:45">
      <c r="I180" s="4">
        <v>177</v>
      </c>
      <c r="J180" s="16">
        <f>'[1]资源-钻石'!T180</f>
        <v>929178.29946836014</v>
      </c>
      <c r="K180" s="16">
        <f>'[1]资源-钻石'!U180</f>
        <v>1321983.2439945778</v>
      </c>
      <c r="L180" s="16">
        <f>'[1]资源-钻石'!V180</f>
        <v>2248734.5478723096</v>
      </c>
      <c r="M180" s="16">
        <f>'[1]资源-钻石'!W180</f>
        <v>6046264.604263843</v>
      </c>
      <c r="N180" s="16">
        <f>'[1]资源-钻石'!X180</f>
        <v>14480169.417756781</v>
      </c>
      <c r="AL180" s="57">
        <f>[2]基础状态预期!C190</f>
        <v>32750</v>
      </c>
      <c r="AM180" s="57">
        <f>[2]基础状态预期!D190</f>
        <v>153.85863088955028</v>
      </c>
      <c r="AO180" s="57">
        <f>[2]基础状态预期!F190</f>
        <v>0</v>
      </c>
      <c r="AP180" s="57">
        <f>[2]基础状态预期!G190</f>
        <v>0</v>
      </c>
      <c r="AQ180" s="57">
        <f>[2]基础状态预期!H190</f>
        <v>0</v>
      </c>
      <c r="AR180" s="57">
        <f>[2]基础状态预期!I190</f>
        <v>0</v>
      </c>
      <c r="AS180" s="57">
        <f>[2]基础状态预期!J190</f>
        <v>6</v>
      </c>
    </row>
    <row r="181" spans="9:45">
      <c r="I181" s="4">
        <v>178</v>
      </c>
      <c r="J181" s="16">
        <f>'[1]资源-钻石'!T181</f>
        <v>933510.94673820282</v>
      </c>
      <c r="K181" s="16">
        <f>'[1]资源-钻石'!U181</f>
        <v>1328429.9375567362</v>
      </c>
      <c r="L181" s="16">
        <f>'[1]资源-钻石'!V181</f>
        <v>2260262.2996372068</v>
      </c>
      <c r="M181" s="16">
        <f>'[1]资源-钻石'!W181</f>
        <v>6078719.9547593761</v>
      </c>
      <c r="N181" s="16">
        <f>'[1]资源-钻石'!X181</f>
        <v>14560013.886888014</v>
      </c>
    </row>
    <row r="182" spans="9:45">
      <c r="I182" s="4">
        <v>179</v>
      </c>
      <c r="J182" s="16">
        <f>'[1]资源-钻石'!T182</f>
        <v>937843.59400804539</v>
      </c>
      <c r="K182" s="16">
        <f>'[1]资源-钻石'!U182</f>
        <v>1334876.6311188946</v>
      </c>
      <c r="L182" s="16">
        <f>'[1]资源-钻石'!V182</f>
        <v>2271790.0514021036</v>
      </c>
      <c r="M182" s="16">
        <f>'[1]资源-钻石'!W182</f>
        <v>6111175.3052549092</v>
      </c>
      <c r="N182" s="16">
        <f>'[1]资源-钻石'!X182</f>
        <v>14639858.356019247</v>
      </c>
    </row>
    <row r="183" spans="9:45">
      <c r="I183" s="4">
        <v>180</v>
      </c>
      <c r="J183" s="16">
        <f>'[1]资源-钻石'!T183</f>
        <v>942176.24127788795</v>
      </c>
      <c r="K183" s="16">
        <f>'[1]资源-钻石'!U183</f>
        <v>1340923.342526078</v>
      </c>
      <c r="L183" s="16">
        <f>'[1]资源-钻石'!V183</f>
        <v>2283317.8031670004</v>
      </c>
      <c r="M183" s="16">
        <f>'[1]资源-钻石'!W183</f>
        <v>6143630.6557504414</v>
      </c>
      <c r="N183" s="16">
        <f>'[1]资源-钻石'!X183</f>
        <v>14719476.170548452</v>
      </c>
    </row>
    <row r="184" spans="9:45">
      <c r="I184" s="1">
        <v>181</v>
      </c>
      <c r="J184" s="16">
        <f>'[1]资源-钻石'!T184</f>
        <v>946072.75534475804</v>
      </c>
      <c r="K184" s="16">
        <f>'[1]资源-钻石'!U184</f>
        <v>1346913.262017586</v>
      </c>
      <c r="L184" s="16">
        <f>'[1]资源-钻石'!V184</f>
        <v>2294498.0339671574</v>
      </c>
      <c r="M184" s="16">
        <f>'[1]资源-钻石'!W184</f>
        <v>6176086.0062459745</v>
      </c>
      <c r="N184" s="16">
        <f>'[1]资源-钻石'!X184</f>
        <v>14798686.112228729</v>
      </c>
      <c r="AL184" s="167" t="s">
        <v>357</v>
      </c>
      <c r="AM184" s="167"/>
      <c r="AO184" s="5"/>
      <c r="AP184" s="5"/>
      <c r="AQ184" s="5"/>
      <c r="AR184" s="5"/>
      <c r="AS184" s="5"/>
    </row>
    <row r="185" spans="9:45">
      <c r="I185" s="1">
        <v>182</v>
      </c>
      <c r="J185" s="16">
        <f>'[1]资源-钻石'!T185</f>
        <v>949960.67007037718</v>
      </c>
      <c r="K185" s="16">
        <f>'[1]资源-钻石'!U185</f>
        <v>1352903.1815090941</v>
      </c>
      <c r="L185" s="16">
        <f>'[1]资源-钻石'!V185</f>
        <v>2305502.4107851568</v>
      </c>
      <c r="M185" s="16">
        <f>'[1]资源-钻石'!W185</f>
        <v>6208541.3567415075</v>
      </c>
      <c r="N185" s="16">
        <f>'[1]资源-钻石'!X185</f>
        <v>14877896.053909006</v>
      </c>
      <c r="AL185" s="167"/>
      <c r="AM185" s="167"/>
      <c r="AO185" s="167" t="s">
        <v>351</v>
      </c>
      <c r="AP185" s="167"/>
      <c r="AQ185" s="167"/>
      <c r="AR185" s="167"/>
      <c r="AS185" s="167"/>
    </row>
    <row r="186" spans="9:45">
      <c r="I186" s="4">
        <v>183</v>
      </c>
      <c r="J186" s="16">
        <f>'[1]资源-钻石'!T186</f>
        <v>953848.58479599631</v>
      </c>
      <c r="K186" s="16">
        <f>'[1]资源-钻石'!U186</f>
        <v>1358893.1010006021</v>
      </c>
      <c r="L186" s="16">
        <f>'[1]资源-钻石'!V186</f>
        <v>2316506.7876031557</v>
      </c>
      <c r="M186" s="16">
        <f>'[1]资源-钻石'!W186</f>
        <v>6240996.7072370406</v>
      </c>
      <c r="N186" s="16">
        <f>'[1]资源-钻石'!X186</f>
        <v>14957105.995589282</v>
      </c>
      <c r="AL186" s="57" t="s">
        <v>352</v>
      </c>
      <c r="AM186" s="57" t="s">
        <v>353</v>
      </c>
      <c r="AO186" s="57" t="s">
        <v>25</v>
      </c>
      <c r="AP186" s="57" t="s">
        <v>1</v>
      </c>
      <c r="AQ186" s="57" t="s">
        <v>2</v>
      </c>
      <c r="AR186" s="57" t="s">
        <v>0</v>
      </c>
      <c r="AS186" s="57" t="s">
        <v>205</v>
      </c>
    </row>
    <row r="187" spans="9:45">
      <c r="I187" s="4">
        <v>184</v>
      </c>
      <c r="J187" s="16">
        <f>'[1]资源-钻石'!T187</f>
        <v>957736.49952161545</v>
      </c>
      <c r="K187" s="16">
        <f>'[1]资源-钻石'!U187</f>
        <v>1364883.0204921104</v>
      </c>
      <c r="L187" s="16">
        <f>'[1]资源-钻石'!V187</f>
        <v>2327511.1644211551</v>
      </c>
      <c r="M187" s="16">
        <f>'[1]资源-钻石'!W187</f>
        <v>6273452.0577325737</v>
      </c>
      <c r="N187" s="16">
        <f>'[1]资源-钻石'!X187</f>
        <v>15036315.937269557</v>
      </c>
      <c r="AL187" s="57">
        <f>[2]基础状态预期!C197</f>
        <v>0.27500000000000002</v>
      </c>
      <c r="AM187" s="57">
        <f>[2]基础状态预期!D197</f>
        <v>10.040470049930473</v>
      </c>
      <c r="AO187" s="57">
        <f>[2]基础状态预期!F197</f>
        <v>0</v>
      </c>
      <c r="AP187" s="57">
        <f>[2]基础状态预期!G197</f>
        <v>0</v>
      </c>
      <c r="AQ187" s="57">
        <f>[2]基础状态预期!H197</f>
        <v>0</v>
      </c>
      <c r="AR187" s="57">
        <f>[2]基础状态预期!I197</f>
        <v>6</v>
      </c>
      <c r="AS187" s="57">
        <f>[2]基础状态预期!J197</f>
        <v>0</v>
      </c>
    </row>
    <row r="188" spans="9:45">
      <c r="I188" s="4">
        <v>185</v>
      </c>
      <c r="J188" s="16">
        <f>'[1]资源-钻石'!T188</f>
        <v>961624.41424723458</v>
      </c>
      <c r="K188" s="16">
        <f>'[1]资源-钻石'!U188</f>
        <v>1370872.9399836184</v>
      </c>
      <c r="L188" s="16">
        <f>'[1]资源-钻石'!V188</f>
        <v>2338515.5412391541</v>
      </c>
      <c r="M188" s="16">
        <f>'[1]资源-钻石'!W188</f>
        <v>6305907.4082281068</v>
      </c>
      <c r="N188" s="16">
        <f>'[1]资源-钻石'!X188</f>
        <v>15115525.878949834</v>
      </c>
      <c r="AL188" s="57">
        <f>[2]基础状态预期!C198</f>
        <v>0.82500000000000007</v>
      </c>
      <c r="AM188" s="57">
        <f>[2]基础状态预期!D198</f>
        <v>19.288856680060892</v>
      </c>
      <c r="AO188" s="57">
        <f>[2]基础状态预期!F198</f>
        <v>0</v>
      </c>
      <c r="AP188" s="57">
        <f>[2]基础状态预期!G198</f>
        <v>0</v>
      </c>
      <c r="AQ188" s="57">
        <f>[2]基础状态预期!H198</f>
        <v>0</v>
      </c>
      <c r="AR188" s="57">
        <f>[2]基础状态预期!I198</f>
        <v>6</v>
      </c>
      <c r="AS188" s="57">
        <f>[2]基础状态预期!J198</f>
        <v>0</v>
      </c>
    </row>
    <row r="189" spans="9:45">
      <c r="I189" s="4">
        <v>186</v>
      </c>
      <c r="J189" s="16">
        <f>'[1]资源-钻石'!T189</f>
        <v>965512.32897285372</v>
      </c>
      <c r="K189" s="16">
        <f>'[1]资源-钻石'!U189</f>
        <v>1376862.8594751265</v>
      </c>
      <c r="L189" s="16">
        <f>'[1]资源-钻石'!V189</f>
        <v>2349519.918057153</v>
      </c>
      <c r="M189" s="16">
        <f>'[1]资源-钻石'!W189</f>
        <v>6338221.9098628685</v>
      </c>
      <c r="N189" s="16">
        <f>'[1]资源-钻石'!X189</f>
        <v>15194735.820630111</v>
      </c>
      <c r="AL189" s="57">
        <f>[2]基础状态预期!C199</f>
        <v>1.6500000000000001</v>
      </c>
      <c r="AM189" s="57">
        <f>[2]基础状态预期!D199</f>
        <v>27.144641112884834</v>
      </c>
      <c r="AO189" s="57">
        <f>[2]基础状态预期!F199</f>
        <v>0</v>
      </c>
      <c r="AP189" s="57">
        <f>[2]基础状态预期!G199</f>
        <v>0</v>
      </c>
      <c r="AQ189" s="57">
        <f>[2]基础状态预期!H199</f>
        <v>0</v>
      </c>
      <c r="AR189" s="57">
        <f>[2]基础状态预期!I199</f>
        <v>6</v>
      </c>
      <c r="AS189" s="57">
        <f>[2]基础状态预期!J199</f>
        <v>0</v>
      </c>
    </row>
    <row r="190" spans="9:45">
      <c r="I190" s="1">
        <v>187</v>
      </c>
      <c r="J190" s="16">
        <f>'[1]资源-钻石'!T190</f>
        <v>969400.24369847286</v>
      </c>
      <c r="K190" s="16">
        <f>'[1]资源-钻石'!U190</f>
        <v>1382852.7789666345</v>
      </c>
      <c r="L190" s="16">
        <f>'[1]资源-钻石'!V190</f>
        <v>2360524.2948751524</v>
      </c>
      <c r="M190" s="16">
        <f>'[1]资源-钻石'!W190</f>
        <v>6370346.7243626676</v>
      </c>
      <c r="N190" s="16">
        <f>'[1]资源-钻石'!X190</f>
        <v>15273945.762310388</v>
      </c>
      <c r="AL190" s="57">
        <f>[2]基础状态预期!C200</f>
        <v>2.75</v>
      </c>
      <c r="AM190" s="57">
        <f>[2]基础状态预期!D200</f>
        <v>33.399598377161809</v>
      </c>
      <c r="AO190" s="57">
        <f>[2]基础状态预期!F200</f>
        <v>0</v>
      </c>
      <c r="AP190" s="57">
        <f>[2]基础状态预期!G200</f>
        <v>0</v>
      </c>
      <c r="AQ190" s="57">
        <f>[2]基础状态预期!H200</f>
        <v>0</v>
      </c>
      <c r="AR190" s="57">
        <f>[2]基础状态预期!I200</f>
        <v>6</v>
      </c>
      <c r="AS190" s="57">
        <f>[2]基础状态预期!J200</f>
        <v>0</v>
      </c>
    </row>
    <row r="191" spans="9:45">
      <c r="I191" s="1">
        <v>188</v>
      </c>
      <c r="J191" s="16">
        <f>'[1]资源-钻石'!T191</f>
        <v>973288.15842409199</v>
      </c>
      <c r="K191" s="16">
        <f>'[1]资源-钻石'!U191</f>
        <v>1388842.6984581426</v>
      </c>
      <c r="L191" s="16">
        <f>'[1]资源-钻石'!V191</f>
        <v>2371528.6716931514</v>
      </c>
      <c r="M191" s="16">
        <f>'[1]资源-钻石'!W191</f>
        <v>6402471.5388624668</v>
      </c>
      <c r="N191" s="16">
        <f>'[1]资源-钻石'!X191</f>
        <v>15353155.703990664</v>
      </c>
      <c r="AL191" s="57">
        <f>[2]基础状态预期!C201</f>
        <v>4.125</v>
      </c>
      <c r="AM191" s="57">
        <f>[2]基础状态预期!D201</f>
        <v>38.848984787984186</v>
      </c>
      <c r="AO191" s="57">
        <f>[2]基础状态预期!F201</f>
        <v>0</v>
      </c>
      <c r="AP191" s="57">
        <f>[2]基础状态预期!G201</f>
        <v>0</v>
      </c>
      <c r="AQ191" s="57">
        <f>[2]基础状态预期!H201</f>
        <v>0</v>
      </c>
      <c r="AR191" s="57">
        <f>[2]基础状态预期!I201</f>
        <v>6</v>
      </c>
      <c r="AS191" s="57">
        <f>[2]基础状态预期!J201</f>
        <v>0</v>
      </c>
    </row>
    <row r="192" spans="9:45">
      <c r="I192" s="4">
        <v>189</v>
      </c>
      <c r="J192" s="16">
        <f>'[1]资源-钻石'!T192</f>
        <v>977176.07314971113</v>
      </c>
      <c r="K192" s="16">
        <f>'[1]资源-钻石'!U192</f>
        <v>1394832.6179496506</v>
      </c>
      <c r="L192" s="16">
        <f>'[1]资源-钻石'!V192</f>
        <v>2382533.0485111508</v>
      </c>
      <c r="M192" s="16">
        <f>'[1]资源-钻石'!W192</f>
        <v>6434596.353362266</v>
      </c>
      <c r="N192" s="16">
        <f>'[1]资源-钻石'!X192</f>
        <v>15432365.645670941</v>
      </c>
      <c r="AL192" s="57">
        <f>[2]基础状态预期!C202</f>
        <v>5.5</v>
      </c>
      <c r="AM192" s="57">
        <f>[2]基础状态预期!D202</f>
        <v>42.643360270022924</v>
      </c>
      <c r="AO192" s="57">
        <f>[2]基础状态预期!F202</f>
        <v>0</v>
      </c>
      <c r="AP192" s="57">
        <f>[2]基础状态预期!G202</f>
        <v>0</v>
      </c>
      <c r="AQ192" s="57">
        <f>[2]基础状态预期!H202</f>
        <v>0</v>
      </c>
      <c r="AR192" s="57">
        <f>[2]基础状态预期!I202</f>
        <v>6</v>
      </c>
      <c r="AS192" s="57">
        <f>[2]基础状态预期!J202</f>
        <v>0</v>
      </c>
    </row>
    <row r="193" spans="9:45">
      <c r="I193" s="4">
        <v>190</v>
      </c>
      <c r="J193" s="16">
        <f>'[1]资源-钻石'!T193</f>
        <v>981063.98787533026</v>
      </c>
      <c r="K193" s="16">
        <f>'[1]资源-钻石'!U193</f>
        <v>1400822.5374411589</v>
      </c>
      <c r="L193" s="16">
        <f>'[1]资源-钻石'!V193</f>
        <v>2393537.4253291497</v>
      </c>
      <c r="M193" s="16">
        <f>'[1]资源-钻石'!W193</f>
        <v>6466721.1678620651</v>
      </c>
      <c r="N193" s="16">
        <f>'[1]资源-钻石'!X193</f>
        <v>15511575.587351218</v>
      </c>
      <c r="AL193" s="57">
        <f>[2]基础状态预期!C203</f>
        <v>8.25</v>
      </c>
      <c r="AM193" s="57">
        <f>[2]基础状态预期!D203</f>
        <v>48.493134765265182</v>
      </c>
      <c r="AO193" s="57">
        <f>[2]基础状态预期!F203</f>
        <v>0</v>
      </c>
      <c r="AP193" s="57">
        <f>[2]基础状态预期!G203</f>
        <v>0</v>
      </c>
      <c r="AQ193" s="57">
        <f>[2]基础状态预期!H203</f>
        <v>0</v>
      </c>
      <c r="AR193" s="57">
        <f>[2]基础状态预期!I203</f>
        <v>6</v>
      </c>
      <c r="AS193" s="57">
        <f>[2]基础状态预期!J203</f>
        <v>0</v>
      </c>
    </row>
    <row r="194" spans="9:45">
      <c r="I194" s="4">
        <v>191</v>
      </c>
      <c r="J194" s="16">
        <f>'[1]资源-钻石'!T194</f>
        <v>984951.9026009494</v>
      </c>
      <c r="K194" s="16">
        <f>'[1]资源-钻石'!U194</f>
        <v>1406812.4569326669</v>
      </c>
      <c r="L194" s="16">
        <f>'[1]资源-钻石'!V194</f>
        <v>2404541.8021471491</v>
      </c>
      <c r="M194" s="16">
        <f>'[1]资源-钻石'!W194</f>
        <v>6498845.9823618643</v>
      </c>
      <c r="N194" s="16">
        <f>'[1]资源-钻石'!X194</f>
        <v>15590785.529031493</v>
      </c>
      <c r="AL194" s="57">
        <f>[2]基础状态预期!C204</f>
        <v>11</v>
      </c>
      <c r="AM194" s="57">
        <f>[2]基础状态预期!D204</f>
        <v>52.559419343629337</v>
      </c>
      <c r="AO194" s="57">
        <f>[2]基础状态预期!F204</f>
        <v>0</v>
      </c>
      <c r="AP194" s="57">
        <f>[2]基础状态预期!G204</f>
        <v>0</v>
      </c>
      <c r="AQ194" s="57">
        <f>[2]基础状态预期!H204</f>
        <v>0</v>
      </c>
      <c r="AR194" s="57">
        <f>[2]基础状态预期!I204</f>
        <v>5</v>
      </c>
      <c r="AS194" s="57">
        <f>[2]基础状态预期!J204</f>
        <v>1</v>
      </c>
    </row>
    <row r="195" spans="9:45">
      <c r="I195" s="4">
        <v>192</v>
      </c>
      <c r="J195" s="16">
        <f>'[1]资源-钻石'!T195</f>
        <v>988839.81732656853</v>
      </c>
      <c r="K195" s="16">
        <f>'[1]资源-钻石'!U195</f>
        <v>1412802.376424175</v>
      </c>
      <c r="L195" s="16">
        <f>'[1]资源-钻石'!V195</f>
        <v>2415546.1789651481</v>
      </c>
      <c r="M195" s="16">
        <f>'[1]资源-钻石'!W195</f>
        <v>6530970.7968616635</v>
      </c>
      <c r="N195" s="16">
        <f>'[1]资源-钻石'!X195</f>
        <v>15669995.47071177</v>
      </c>
      <c r="AL195" s="57">
        <f>[2]基础状态预期!C205</f>
        <v>16.5</v>
      </c>
      <c r="AM195" s="57">
        <f>[2]基础状态预期!D205</f>
        <v>58.560986008166232</v>
      </c>
      <c r="AO195" s="57">
        <f>[2]基础状态预期!F205</f>
        <v>0</v>
      </c>
      <c r="AP195" s="57">
        <f>[2]基础状态预期!G205</f>
        <v>0</v>
      </c>
      <c r="AQ195" s="57">
        <f>[2]基础状态预期!H205</f>
        <v>0</v>
      </c>
      <c r="AR195" s="57">
        <f>[2]基础状态预期!I205</f>
        <v>4</v>
      </c>
      <c r="AS195" s="57">
        <f>[2]基础状态预期!J205</f>
        <v>2</v>
      </c>
    </row>
    <row r="196" spans="9:45">
      <c r="I196" s="1">
        <v>193</v>
      </c>
      <c r="J196" s="16">
        <f>'[1]资源-钻石'!T196</f>
        <v>992727.73205218767</v>
      </c>
      <c r="K196" s="16">
        <f>'[1]资源-钻石'!U196</f>
        <v>1418760.5052574067</v>
      </c>
      <c r="L196" s="16">
        <f>'[1]资源-钻石'!V196</f>
        <v>2426550.5557831475</v>
      </c>
      <c r="M196" s="16">
        <f>'[1]资源-钻石'!W196</f>
        <v>6563095.6113614617</v>
      </c>
      <c r="N196" s="16">
        <f>'[1]资源-钻石'!X196</f>
        <v>15749202.672497608</v>
      </c>
      <c r="AL196" s="57">
        <f>[2]基础状态预期!C206</f>
        <v>24.750000000000004</v>
      </c>
      <c r="AM196" s="57">
        <f>[2]基础状态预期!D206</f>
        <v>64.247064283227857</v>
      </c>
      <c r="AO196" s="57">
        <f>[2]基础状态预期!F206</f>
        <v>0</v>
      </c>
      <c r="AP196" s="57">
        <f>[2]基础状态预期!G206</f>
        <v>0</v>
      </c>
      <c r="AQ196" s="57">
        <f>[2]基础状态预期!H206</f>
        <v>0</v>
      </c>
      <c r="AR196" s="57">
        <f>[2]基础状态预期!I206</f>
        <v>3</v>
      </c>
      <c r="AS196" s="57">
        <f>[2]基础状态预期!J206</f>
        <v>3</v>
      </c>
    </row>
    <row r="197" spans="9:45">
      <c r="I197" s="1">
        <v>194</v>
      </c>
      <c r="J197" s="16">
        <f>'[1]资源-钻石'!T197</f>
        <v>996615.64677780692</v>
      </c>
      <c r="K197" s="16">
        <f>'[1]资源-钻石'!U197</f>
        <v>1424717.2114555878</v>
      </c>
      <c r="L197" s="16">
        <f>'[1]资源-钻石'!V197</f>
        <v>2437554.9326011464</v>
      </c>
      <c r="M197" s="16">
        <f>'[1]资源-钻石'!W197</f>
        <v>6595220.4258612609</v>
      </c>
      <c r="N197" s="16">
        <f>'[1]资源-钻石'!X197</f>
        <v>15828394.968447385</v>
      </c>
      <c r="AL197" s="57">
        <f>[2]基础状态预期!C207</f>
        <v>33</v>
      </c>
      <c r="AM197" s="57">
        <f>[2]基础状态预期!D207</f>
        <v>68.518369035696878</v>
      </c>
      <c r="AO197" s="57">
        <f>[2]基础状态预期!F207</f>
        <v>0</v>
      </c>
      <c r="AP197" s="57">
        <f>[2]基础状态预期!G207</f>
        <v>0</v>
      </c>
      <c r="AQ197" s="57">
        <f>[2]基础状态预期!H207</f>
        <v>0</v>
      </c>
      <c r="AR197" s="57">
        <f>[2]基础状态预期!I207</f>
        <v>2</v>
      </c>
      <c r="AS197" s="57">
        <f>[2]基础状态预期!J207</f>
        <v>4</v>
      </c>
    </row>
    <row r="198" spans="9:45">
      <c r="I198" s="4">
        <v>195</v>
      </c>
      <c r="J198" s="16">
        <f>'[1]资源-钻石'!T198</f>
        <v>1000503.5615034261</v>
      </c>
      <c r="K198" s="16">
        <f>'[1]资源-钻石'!U198</f>
        <v>1430673.9176537688</v>
      </c>
      <c r="L198" s="16">
        <f>'[1]资源-钻石'!V198</f>
        <v>2448559.3094191458</v>
      </c>
      <c r="M198" s="16">
        <f>'[1]资源-钻石'!W198</f>
        <v>6627345.24036106</v>
      </c>
      <c r="N198" s="16">
        <f>'[1]资源-钻石'!X198</f>
        <v>15907587.264397165</v>
      </c>
      <c r="AL198" s="57">
        <f>[2]基础状态预期!C208</f>
        <v>41.25</v>
      </c>
      <c r="AM198" s="57">
        <f>[2]基础状态预期!D208</f>
        <v>71.7664716439551</v>
      </c>
      <c r="AO198" s="57">
        <f>[2]基础状态预期!F208</f>
        <v>0</v>
      </c>
      <c r="AP198" s="57">
        <f>[2]基础状态预期!G208</f>
        <v>0</v>
      </c>
      <c r="AQ198" s="57">
        <f>[2]基础状态预期!H208</f>
        <v>0</v>
      </c>
      <c r="AR198" s="57">
        <f>[2]基础状态预期!I208</f>
        <v>1</v>
      </c>
      <c r="AS198" s="57">
        <f>[2]基础状态预期!J208</f>
        <v>5</v>
      </c>
    </row>
    <row r="199" spans="9:45">
      <c r="I199" s="4">
        <v>196</v>
      </c>
      <c r="J199" s="16">
        <f>'[1]资源-钻石'!T199</f>
        <v>1004391.4762290452</v>
      </c>
      <c r="K199" s="16">
        <f>'[1]资源-钻石'!U199</f>
        <v>1436630.6238519498</v>
      </c>
      <c r="L199" s="16">
        <f>'[1]资源-钻石'!V199</f>
        <v>2459563.6862371447</v>
      </c>
      <c r="M199" s="16">
        <f>'[1]资源-钻石'!W199</f>
        <v>6659470.0548608592</v>
      </c>
      <c r="N199" s="16">
        <f>'[1]资源-钻石'!X199</f>
        <v>15986779.560346944</v>
      </c>
      <c r="AL199" s="57">
        <f>[2]基础状态预期!C209</f>
        <v>49.500000000000007</v>
      </c>
      <c r="AM199" s="57">
        <f>[2]基础状态预期!D209</f>
        <v>74.370993278111257</v>
      </c>
      <c r="AO199" s="57">
        <f>[2]基础状态预期!F209</f>
        <v>0</v>
      </c>
      <c r="AP199" s="57">
        <f>[2]基础状态预期!G209</f>
        <v>0</v>
      </c>
      <c r="AQ199" s="57">
        <f>[2]基础状态预期!H209</f>
        <v>0</v>
      </c>
      <c r="AR199" s="57">
        <f>[2]基础状态预期!I209</f>
        <v>0.5</v>
      </c>
      <c r="AS199" s="57">
        <f>[2]基础状态预期!J209</f>
        <v>5.5</v>
      </c>
    </row>
    <row r="200" spans="9:45">
      <c r="I200" s="4">
        <v>197</v>
      </c>
      <c r="J200" s="16">
        <f>'[1]资源-钻石'!T200</f>
        <v>1008279.3909546643</v>
      </c>
      <c r="K200" s="16">
        <f>'[1]资源-钻石'!U200</f>
        <v>1442587.3300501308</v>
      </c>
      <c r="L200" s="16">
        <f>'[1]资源-钻石'!V200</f>
        <v>2470568.0630551442</v>
      </c>
      <c r="M200" s="16">
        <f>'[1]资源-钻石'!W200</f>
        <v>6691594.8693606583</v>
      </c>
      <c r="N200" s="16">
        <f>'[1]资源-钻石'!X200</f>
        <v>16065971.856296724</v>
      </c>
      <c r="AL200" s="57">
        <f>[2]基础状态预期!C210</f>
        <v>60.500000000000007</v>
      </c>
      <c r="AM200" s="57">
        <f>[2]基础状态预期!D210</f>
        <v>77.234275947206214</v>
      </c>
      <c r="AO200" s="57">
        <f>[2]基础状态预期!F210</f>
        <v>0</v>
      </c>
      <c r="AP200" s="57">
        <f>[2]基础状态预期!G210</f>
        <v>0</v>
      </c>
      <c r="AQ200" s="57">
        <f>[2]基础状态预期!H210</f>
        <v>0</v>
      </c>
      <c r="AR200" s="57">
        <f>[2]基础状态预期!I210</f>
        <v>0</v>
      </c>
      <c r="AS200" s="57">
        <f>[2]基础状态预期!J210</f>
        <v>6</v>
      </c>
    </row>
    <row r="201" spans="9:45">
      <c r="I201" s="4">
        <v>198</v>
      </c>
      <c r="J201" s="16">
        <f>'[1]资源-钻石'!T201</f>
        <v>1012167.3056802835</v>
      </c>
      <c r="K201" s="16">
        <f>'[1]资源-钻石'!U201</f>
        <v>1448544.0362483119</v>
      </c>
      <c r="L201" s="16">
        <f>'[1]资源-钻石'!V201</f>
        <v>2481572.4398731431</v>
      </c>
      <c r="M201" s="16">
        <f>'[1]资源-钻石'!W201</f>
        <v>6723719.6838604575</v>
      </c>
      <c r="N201" s="16">
        <f>'[1]资源-钻石'!X201</f>
        <v>16145164.152246501</v>
      </c>
      <c r="AL201" s="57">
        <f>[2]基础状态预期!C211</f>
        <v>71.5</v>
      </c>
      <c r="AM201" s="57">
        <f>[2]基础状态预期!D211</f>
        <v>79.725666247801229</v>
      </c>
      <c r="AO201" s="57">
        <f>[2]基础状态预期!F211</f>
        <v>0</v>
      </c>
      <c r="AP201" s="57">
        <f>[2]基础状态预期!G211</f>
        <v>0</v>
      </c>
      <c r="AQ201" s="57">
        <f>[2]基础状态预期!H211</f>
        <v>0</v>
      </c>
      <c r="AR201" s="57">
        <f>[2]基础状态预期!I211</f>
        <v>0</v>
      </c>
      <c r="AS201" s="57">
        <f>[2]基础状态预期!J211</f>
        <v>6</v>
      </c>
    </row>
    <row r="202" spans="9:45">
      <c r="I202" s="1">
        <v>199</v>
      </c>
      <c r="J202" s="16">
        <f>'[1]资源-钻石'!T202</f>
        <v>1016055.2204059026</v>
      </c>
      <c r="K202" s="16">
        <f>'[1]资源-钻石'!U202</f>
        <v>1454500.7424464929</v>
      </c>
      <c r="L202" s="16">
        <f>'[1]资源-钻石'!V202</f>
        <v>2492576.8166911425</v>
      </c>
      <c r="M202" s="16">
        <f>'[1]资源-钻石'!W202</f>
        <v>6755844.4983602567</v>
      </c>
      <c r="N202" s="16">
        <f>'[1]资源-钻石'!X202</f>
        <v>16224356.448196281</v>
      </c>
      <c r="AL202" s="57">
        <f>[2]基础状态预期!C212</f>
        <v>82.5</v>
      </c>
      <c r="AM202" s="57">
        <f>[2]基础状态预期!D212</f>
        <v>81.863982387630472</v>
      </c>
      <c r="AO202" s="57">
        <f>[2]基础状态预期!F212</f>
        <v>0</v>
      </c>
      <c r="AP202" s="57">
        <f>[2]基础状态预期!G212</f>
        <v>0</v>
      </c>
      <c r="AQ202" s="57">
        <f>[2]基础状态预期!H212</f>
        <v>0</v>
      </c>
      <c r="AR202" s="57">
        <f>[2]基础状态预期!I212</f>
        <v>0</v>
      </c>
      <c r="AS202" s="57">
        <f>[2]基础状态预期!J212</f>
        <v>6</v>
      </c>
    </row>
    <row r="203" spans="9:45">
      <c r="I203" s="1">
        <v>200</v>
      </c>
      <c r="J203" s="16">
        <f>'[1]资源-钻石'!T203</f>
        <v>1019943.1351315217</v>
      </c>
      <c r="K203" s="16">
        <f>'[1]资源-钻石'!U203</f>
        <v>1460457.4486446739</v>
      </c>
      <c r="L203" s="16">
        <f>'[1]资源-钻石'!V203</f>
        <v>2503581.1935091414</v>
      </c>
      <c r="M203" s="16">
        <f>'[1]资源-钻石'!W203</f>
        <v>6787969.3128600558</v>
      </c>
      <c r="N203" s="16">
        <f>'[1]资源-钻石'!X203</f>
        <v>16303548.74414606</v>
      </c>
      <c r="AL203" s="57">
        <f>[2]基础状态预期!C213</f>
        <v>93.500000000000014</v>
      </c>
      <c r="AM203" s="57">
        <f>[2]基础状态预期!D213</f>
        <v>83.667042947574714</v>
      </c>
      <c r="AO203" s="57">
        <f>[2]基础状态预期!F213</f>
        <v>0</v>
      </c>
      <c r="AP203" s="57">
        <f>[2]基础状态预期!G213</f>
        <v>0</v>
      </c>
      <c r="AQ203" s="57">
        <f>[2]基础状态预期!H213</f>
        <v>0</v>
      </c>
      <c r="AR203" s="57">
        <f>[2]基础状态预期!I213</f>
        <v>0</v>
      </c>
      <c r="AS203" s="57">
        <f>[2]基础状态预期!J213</f>
        <v>6</v>
      </c>
    </row>
    <row r="204" spans="9:45">
      <c r="I204" s="4">
        <v>201</v>
      </c>
      <c r="J204" s="16">
        <f>'[1]资源-钻石'!T204</f>
        <v>1023831.0498571409</v>
      </c>
      <c r="K204" s="16">
        <f>'[1]资源-钻石'!U204</f>
        <v>1466414.1548428549</v>
      </c>
      <c r="L204" s="16">
        <f>'[1]资源-钻石'!V204</f>
        <v>2514585.5703271409</v>
      </c>
      <c r="M204" s="16">
        <f>'[1]资源-钻石'!W204</f>
        <v>6820094.127359855</v>
      </c>
      <c r="N204" s="16">
        <f>'[1]资源-钻石'!X204</f>
        <v>16382741.04009584</v>
      </c>
      <c r="AL204" s="57">
        <f>[2]基础状态预期!C214</f>
        <v>110.00000000000001</v>
      </c>
      <c r="AM204" s="57">
        <f>[2]基础状态预期!D214</f>
        <v>86.154780808490059</v>
      </c>
      <c r="AO204" s="57">
        <f>[2]基础状态预期!F214</f>
        <v>0</v>
      </c>
      <c r="AP204" s="57">
        <f>[2]基础状态预期!G214</f>
        <v>0</v>
      </c>
      <c r="AQ204" s="57">
        <f>[2]基础状态预期!H214</f>
        <v>0</v>
      </c>
      <c r="AR204" s="57">
        <f>[2]基础状态预期!I214</f>
        <v>0</v>
      </c>
      <c r="AS204" s="57">
        <f>[2]基础状态预期!J214</f>
        <v>6</v>
      </c>
    </row>
    <row r="205" spans="9:45">
      <c r="I205" s="4">
        <v>202</v>
      </c>
      <c r="J205" s="16">
        <f>'[1]资源-钻石'!T205</f>
        <v>1027718.96458276</v>
      </c>
      <c r="K205" s="16">
        <f>'[1]资源-钻石'!U205</f>
        <v>1472370.861041036</v>
      </c>
      <c r="L205" s="16">
        <f>'[1]资源-钻石'!V205</f>
        <v>2525589.9471451398</v>
      </c>
      <c r="M205" s="16">
        <f>'[1]资源-钻石'!W205</f>
        <v>6852218.9418596542</v>
      </c>
      <c r="N205" s="16">
        <f>'[1]资源-钻石'!X205</f>
        <v>16461933.336045617</v>
      </c>
      <c r="AL205" s="57">
        <f>[2]基础状态预期!C215</f>
        <v>143</v>
      </c>
      <c r="AM205" s="57">
        <f>[2]基础状态预期!D215</f>
        <v>90.480184629206022</v>
      </c>
      <c r="AO205" s="57">
        <f>[2]基础状态预期!F215</f>
        <v>0</v>
      </c>
      <c r="AP205" s="57">
        <f>[2]基础状态预期!G215</f>
        <v>0</v>
      </c>
      <c r="AQ205" s="57">
        <f>[2]基础状态预期!H215</f>
        <v>0</v>
      </c>
      <c r="AR205" s="57">
        <f>[2]基础状态预期!I215</f>
        <v>0</v>
      </c>
      <c r="AS205" s="57">
        <f>[2]基础状态预期!J215</f>
        <v>6</v>
      </c>
    </row>
    <row r="206" spans="9:45">
      <c r="I206" s="4">
        <v>203</v>
      </c>
      <c r="J206" s="16">
        <f>'[1]资源-钻石'!T206</f>
        <v>1031606.8793083791</v>
      </c>
      <c r="K206" s="16">
        <f>'[1]资源-钻石'!U206</f>
        <v>1478327.567239217</v>
      </c>
      <c r="L206" s="16">
        <f>'[1]资源-钻石'!V206</f>
        <v>2536594.3239631392</v>
      </c>
      <c r="M206" s="16">
        <f>'[1]资源-钻石'!W206</f>
        <v>6884343.7563594533</v>
      </c>
      <c r="N206" s="16">
        <f>'[1]资源-钻石'!X206</f>
        <v>16541125.631995397</v>
      </c>
      <c r="AL206" s="57">
        <f>[2]基础状态预期!C216</f>
        <v>176</v>
      </c>
      <c r="AM206" s="57">
        <f>[2]基础状态预期!D216</f>
        <v>93.6774218048877</v>
      </c>
      <c r="AO206" s="57">
        <f>[2]基础状态预期!F216</f>
        <v>0</v>
      </c>
      <c r="AP206" s="57">
        <f>[2]基础状态预期!G216</f>
        <v>0</v>
      </c>
      <c r="AQ206" s="57">
        <f>[2]基础状态预期!H216</f>
        <v>0</v>
      </c>
      <c r="AR206" s="57">
        <f>[2]基础状态预期!I216</f>
        <v>0</v>
      </c>
      <c r="AS206" s="57">
        <f>[2]基础状态预期!J216</f>
        <v>6</v>
      </c>
    </row>
    <row r="207" spans="9:45">
      <c r="I207" s="4">
        <v>204</v>
      </c>
      <c r="J207" s="16">
        <f>'[1]资源-钻石'!T207</f>
        <v>1035494.7940339983</v>
      </c>
      <c r="K207" s="16">
        <f>'[1]资源-钻石'!U207</f>
        <v>1484284.273437398</v>
      </c>
      <c r="L207" s="16">
        <f>'[1]资源-钻石'!V207</f>
        <v>2547598.7007811381</v>
      </c>
      <c r="M207" s="16">
        <f>'[1]资源-钻石'!W207</f>
        <v>6916468.5708592515</v>
      </c>
      <c r="N207" s="16">
        <f>'[1]资源-钻石'!X207</f>
        <v>16620317.927945176</v>
      </c>
      <c r="P207" s="27"/>
      <c r="AL207" s="57">
        <f>[2]基础状态预期!C217</f>
        <v>225.50000000000003</v>
      </c>
      <c r="AM207" s="57">
        <f>[2]基础状态预期!D217</f>
        <v>97.125654465362558</v>
      </c>
      <c r="AO207" s="57">
        <f>[2]基础状态预期!F217</f>
        <v>0</v>
      </c>
      <c r="AP207" s="57">
        <f>[2]基础状态预期!G217</f>
        <v>0</v>
      </c>
      <c r="AQ207" s="57">
        <f>[2]基础状态预期!H217</f>
        <v>0</v>
      </c>
      <c r="AR207" s="57">
        <f>[2]基础状态预期!I217</f>
        <v>0</v>
      </c>
      <c r="AS207" s="57">
        <f>[2]基础状态预期!J217</f>
        <v>6</v>
      </c>
    </row>
    <row r="208" spans="9:45">
      <c r="I208" s="1">
        <v>205</v>
      </c>
      <c r="J208" s="16">
        <f>'[1]资源-钻石'!T208</f>
        <v>1039382.7087596174</v>
      </c>
      <c r="K208" s="16">
        <f>'[1]资源-钻石'!U208</f>
        <v>1490240.9796355793</v>
      </c>
      <c r="L208" s="16">
        <f>'[1]资源-钻石'!V208</f>
        <v>2558603.0775991376</v>
      </c>
      <c r="M208" s="16">
        <f>'[1]资源-钻石'!W208</f>
        <v>6948593.3853590507</v>
      </c>
      <c r="N208" s="16">
        <f>'[1]资源-钻石'!X208</f>
        <v>16699510.223894954</v>
      </c>
      <c r="AL208" s="57">
        <f>[2]基础状态预期!C218</f>
        <v>291.5</v>
      </c>
      <c r="AM208" s="57">
        <f>[2]基础状态预期!D218</f>
        <v>100.89689545435591</v>
      </c>
      <c r="AO208" s="57">
        <f>[2]基础状态预期!F218</f>
        <v>0</v>
      </c>
      <c r="AP208" s="57">
        <f>[2]基础状态预期!G218</f>
        <v>0</v>
      </c>
      <c r="AQ208" s="57">
        <f>[2]基础状态预期!H218</f>
        <v>0</v>
      </c>
      <c r="AR208" s="57">
        <f>[2]基础状态预期!I218</f>
        <v>0</v>
      </c>
      <c r="AS208" s="57">
        <f>[2]基础状态预期!J218</f>
        <v>6</v>
      </c>
    </row>
    <row r="209" spans="9:45">
      <c r="I209" s="1">
        <v>206</v>
      </c>
      <c r="J209" s="16">
        <f>'[1]资源-钻石'!T209</f>
        <v>1043270.6234852365</v>
      </c>
      <c r="K209" s="16">
        <f>'[1]资源-钻石'!U209</f>
        <v>1496197.6858337603</v>
      </c>
      <c r="L209" s="16">
        <f>'[1]资源-钻石'!V209</f>
        <v>2569607.4544171365</v>
      </c>
      <c r="M209" s="16">
        <f>'[1]资源-钻石'!W209</f>
        <v>6980718.1998588499</v>
      </c>
      <c r="N209" s="16">
        <f>'[1]资源-钻石'!X209</f>
        <v>16778702.519844733</v>
      </c>
      <c r="AL209" s="57">
        <f>[2]基础状态预期!C219</f>
        <v>374.00000000000006</v>
      </c>
      <c r="AM209" s="57">
        <f>[2]基础状态预期!D219</f>
        <v>104.52148587104635</v>
      </c>
      <c r="AO209" s="57">
        <f>[2]基础状态预期!F219</f>
        <v>0</v>
      </c>
      <c r="AP209" s="57">
        <f>[2]基础状态预期!G219</f>
        <v>0</v>
      </c>
      <c r="AQ209" s="57">
        <f>[2]基础状态预期!H219</f>
        <v>0</v>
      </c>
      <c r="AR209" s="57">
        <f>[2]基础状态预期!I219</f>
        <v>0</v>
      </c>
      <c r="AS209" s="57">
        <f>[2]基础状态预期!J219</f>
        <v>6</v>
      </c>
    </row>
    <row r="210" spans="9:45">
      <c r="I210" s="4">
        <v>207</v>
      </c>
      <c r="J210" s="16">
        <f>'[1]资源-钻石'!T210</f>
        <v>1047158.5382108557</v>
      </c>
      <c r="K210" s="16">
        <f>'[1]资源-钻石'!U210</f>
        <v>1502154.3920319413</v>
      </c>
      <c r="L210" s="16">
        <f>'[1]资源-钻石'!V210</f>
        <v>2580611.8312351359</v>
      </c>
      <c r="M210" s="16">
        <f>'[1]资源-钻石'!W210</f>
        <v>7012843.014358649</v>
      </c>
      <c r="N210" s="16">
        <f>'[1]资源-钻石'!X210</f>
        <v>16857894.815794513</v>
      </c>
      <c r="AL210" s="57">
        <f>[2]基础状态预期!C220</f>
        <v>473.00000000000006</v>
      </c>
      <c r="AM210" s="57">
        <f>[2]基础状态预期!D220</f>
        <v>108.05586950728798</v>
      </c>
      <c r="AO210" s="57">
        <f>[2]基础状态预期!F220</f>
        <v>0</v>
      </c>
      <c r="AP210" s="57">
        <f>[2]基础状态预期!G220</f>
        <v>0</v>
      </c>
      <c r="AQ210" s="57">
        <f>[2]基础状态预期!H220</f>
        <v>0</v>
      </c>
      <c r="AR210" s="57">
        <f>[2]基础状态预期!I220</f>
        <v>0</v>
      </c>
      <c r="AS210" s="57">
        <f>[2]基础状态预期!J220</f>
        <v>6</v>
      </c>
    </row>
    <row r="211" spans="9:45">
      <c r="I211" s="4">
        <v>208</v>
      </c>
      <c r="J211" s="16">
        <f>'[1]资源-钻石'!T211</f>
        <v>1051046.4529364747</v>
      </c>
      <c r="K211" s="16">
        <f>'[1]资源-钻石'!U211</f>
        <v>1508111.0982301224</v>
      </c>
      <c r="L211" s="16">
        <f>'[1]资源-钻石'!V211</f>
        <v>2591616.2080531348</v>
      </c>
      <c r="M211" s="16">
        <f>'[1]资源-钻石'!W211</f>
        <v>7044967.8288584482</v>
      </c>
      <c r="N211" s="16">
        <f>'[1]资源-钻石'!X211</f>
        <v>16937087.111744292</v>
      </c>
      <c r="AL211" s="57">
        <f>[2]基础状态预期!C221</f>
        <v>605</v>
      </c>
      <c r="AM211" s="57">
        <f>[2]基础状态预期!D221</f>
        <v>111.54601176466306</v>
      </c>
      <c r="AO211" s="57">
        <f>[2]基础状态预期!F221</f>
        <v>0</v>
      </c>
      <c r="AP211" s="57">
        <f>[2]基础状态预期!G221</f>
        <v>0</v>
      </c>
      <c r="AQ211" s="57">
        <f>[2]基础状态预期!H221</f>
        <v>0</v>
      </c>
      <c r="AR211" s="57">
        <f>[2]基础状态预期!I221</f>
        <v>0</v>
      </c>
      <c r="AS211" s="57">
        <f>[2]基础状态预期!J221</f>
        <v>6</v>
      </c>
    </row>
    <row r="212" spans="9:45">
      <c r="I212" s="4">
        <v>209</v>
      </c>
      <c r="J212" s="16">
        <f>'[1]资源-钻石'!T212</f>
        <v>1054934.3676620938</v>
      </c>
      <c r="K212" s="16">
        <f>'[1]资源-钻石'!U212</f>
        <v>1514067.8044283034</v>
      </c>
      <c r="L212" s="16">
        <f>'[1]资源-钻石'!V212</f>
        <v>2602620.5848711343</v>
      </c>
      <c r="M212" s="16">
        <f>'[1]资源-钻石'!W212</f>
        <v>7077092.6433582474</v>
      </c>
      <c r="N212" s="16">
        <f>'[1]资源-钻石'!X212</f>
        <v>17016279.407694072</v>
      </c>
      <c r="AL212" s="57">
        <f>[2]基础状态预期!C222</f>
        <v>770.00000000000011</v>
      </c>
      <c r="AM212" s="57">
        <f>[2]基础状态预期!D222</f>
        <v>115.20444967370992</v>
      </c>
      <c r="AO212" s="57">
        <f>[2]基础状态预期!F222</f>
        <v>0</v>
      </c>
      <c r="AP212" s="57">
        <f>[2]基础状态预期!G222</f>
        <v>0</v>
      </c>
      <c r="AQ212" s="57">
        <f>[2]基础状态预期!H222</f>
        <v>0</v>
      </c>
      <c r="AR212" s="57">
        <f>[2]基础状态预期!I222</f>
        <v>0</v>
      </c>
      <c r="AS212" s="57">
        <f>[2]基础状态预期!J222</f>
        <v>6</v>
      </c>
    </row>
    <row r="213" spans="9:45">
      <c r="I213" s="4">
        <v>210</v>
      </c>
      <c r="J213" s="16">
        <f>'[1]资源-钻石'!T213</f>
        <v>1058822.282387713</v>
      </c>
      <c r="K213" s="16">
        <f>'[1]资源-钻石'!U213</f>
        <v>1520024.5106264844</v>
      </c>
      <c r="L213" s="16">
        <f>'[1]资源-钻石'!V213</f>
        <v>2613624.9616891332</v>
      </c>
      <c r="M213" s="16">
        <f>'[1]资源-钻石'!W213</f>
        <v>7109217.4578580465</v>
      </c>
      <c r="N213" s="16">
        <f>'[1]资源-钻石'!X213</f>
        <v>17095471.703643851</v>
      </c>
      <c r="AL213" s="57">
        <f>[2]基础状态预期!C223</f>
        <v>984.50000000000011</v>
      </c>
      <c r="AM213" s="57">
        <f>[2]基础状态预期!D223</f>
        <v>118.75432507225094</v>
      </c>
      <c r="AO213" s="57">
        <f>[2]基础状态预期!F223</f>
        <v>0</v>
      </c>
      <c r="AP213" s="57">
        <f>[2]基础状态预期!G223</f>
        <v>0</v>
      </c>
      <c r="AQ213" s="57">
        <f>[2]基础状态预期!H223</f>
        <v>0</v>
      </c>
      <c r="AR213" s="57">
        <f>[2]基础状态预期!I223</f>
        <v>0</v>
      </c>
      <c r="AS213" s="57">
        <f>[2]基础状态预期!J223</f>
        <v>6</v>
      </c>
    </row>
    <row r="214" spans="9:45">
      <c r="I214" s="1">
        <v>211</v>
      </c>
      <c r="J214" s="16">
        <f>'[1]资源-钻石'!T214</f>
        <v>1062710.1971133321</v>
      </c>
      <c r="K214" s="16">
        <f>'[1]资源-钻石'!U214</f>
        <v>1525981.2168246654</v>
      </c>
      <c r="L214" s="16">
        <f>'[1]资源-钻石'!V214</f>
        <v>2624629.3385071326</v>
      </c>
      <c r="M214" s="16">
        <f>'[1]资源-钻石'!W214</f>
        <v>7141342.2723578457</v>
      </c>
      <c r="N214" s="16">
        <f>'[1]资源-钻石'!X214</f>
        <v>17174663.99959363</v>
      </c>
      <c r="AL214" s="57">
        <f>[2]基础状态预期!C224</f>
        <v>1248.5</v>
      </c>
      <c r="AM214" s="57">
        <f>[2]基础状态预期!D224</f>
        <v>122.26514676047371</v>
      </c>
      <c r="AO214" s="57">
        <f>[2]基础状态预期!F224</f>
        <v>0</v>
      </c>
      <c r="AP214" s="57">
        <f>[2]基础状态预期!G224</f>
        <v>0</v>
      </c>
      <c r="AQ214" s="57">
        <f>[2]基础状态预期!H224</f>
        <v>0</v>
      </c>
      <c r="AR214" s="57">
        <f>[2]基础状态预期!I224</f>
        <v>0</v>
      </c>
      <c r="AS214" s="57">
        <f>[2]基础状态预期!J224</f>
        <v>6</v>
      </c>
    </row>
    <row r="215" spans="9:45">
      <c r="I215" s="1">
        <v>212</v>
      </c>
      <c r="J215" s="16">
        <f>'[1]资源-钻石'!T215</f>
        <v>1066598.1118389512</v>
      </c>
      <c r="K215" s="16">
        <f>'[1]资源-钻石'!U215</f>
        <v>1531937.9230228467</v>
      </c>
      <c r="L215" s="16">
        <f>'[1]资源-钻石'!V215</f>
        <v>2635633.7153251315</v>
      </c>
      <c r="M215" s="16">
        <f>'[1]资源-钻石'!W215</f>
        <v>7173467.0868576448</v>
      </c>
      <c r="N215" s="16">
        <f>'[1]资源-钻石'!X215</f>
        <v>17253856.295543406</v>
      </c>
      <c r="AL215" s="57">
        <f>[2]基础状态预期!C225</f>
        <v>1595.0000000000002</v>
      </c>
      <c r="AM215" s="57">
        <f>[2]基础状态预期!D225</f>
        <v>125.84855083483956</v>
      </c>
      <c r="AO215" s="57">
        <f>[2]基础状态预期!F225</f>
        <v>0</v>
      </c>
      <c r="AP215" s="57">
        <f>[2]基础状态预期!G225</f>
        <v>0</v>
      </c>
      <c r="AQ215" s="57">
        <f>[2]基础状态预期!H225</f>
        <v>0</v>
      </c>
      <c r="AR215" s="57">
        <f>[2]基础状态预期!I225</f>
        <v>0</v>
      </c>
      <c r="AS215" s="57">
        <f>[2]基础状态预期!J225</f>
        <v>6</v>
      </c>
    </row>
    <row r="216" spans="9:45">
      <c r="I216" s="4">
        <v>213</v>
      </c>
      <c r="J216" s="16">
        <f>'[1]资源-钻石'!T216</f>
        <v>1070486.0265645704</v>
      </c>
      <c r="K216" s="16">
        <f>'[1]资源-钻石'!U216</f>
        <v>1537894.6292210277</v>
      </c>
      <c r="L216" s="16">
        <f>'[1]资源-钻石'!V216</f>
        <v>2646638.092143131</v>
      </c>
      <c r="M216" s="16">
        <f>'[1]资源-钻石'!W216</f>
        <v>7205591.901357444</v>
      </c>
      <c r="N216" s="16">
        <f>'[1]资源-钻石'!X216</f>
        <v>17333048.591493186</v>
      </c>
      <c r="AL216" s="57">
        <f>[2]基础状态预期!C226</f>
        <v>2040.5000000000002</v>
      </c>
      <c r="AM216" s="57">
        <f>[2]基础状态预期!D226</f>
        <v>129.43528964176323</v>
      </c>
      <c r="AO216" s="57">
        <f>[2]基础状态预期!F226</f>
        <v>0</v>
      </c>
      <c r="AP216" s="57">
        <f>[2]基础状态预期!G226</f>
        <v>0</v>
      </c>
      <c r="AQ216" s="57">
        <f>[2]基础状态预期!H226</f>
        <v>0</v>
      </c>
      <c r="AR216" s="57">
        <f>[2]基础状态预期!I226</f>
        <v>0</v>
      </c>
      <c r="AS216" s="57">
        <f>[2]基础状态预期!J226</f>
        <v>6</v>
      </c>
    </row>
    <row r="217" spans="9:45">
      <c r="I217" s="4">
        <v>214</v>
      </c>
      <c r="J217" s="16">
        <f>'[1]资源-钻石'!T217</f>
        <v>1074373.9412901895</v>
      </c>
      <c r="K217" s="16">
        <f>'[1]资源-钻石'!U217</f>
        <v>1543851.3354192087</v>
      </c>
      <c r="L217" s="16">
        <f>'[1]资源-钻石'!V217</f>
        <v>2657642.4689611299</v>
      </c>
      <c r="M217" s="16">
        <f>'[1]资源-钻石'!W217</f>
        <v>7237716.7158572432</v>
      </c>
      <c r="N217" s="16">
        <f>'[1]资源-钻石'!X217</f>
        <v>17412240.887442965</v>
      </c>
      <c r="AL217" s="57">
        <f>[2]基础状态预期!C227</f>
        <v>2601.5</v>
      </c>
      <c r="AM217" s="57">
        <f>[2]基础状态预期!D227</f>
        <v>133.03192104200832</v>
      </c>
      <c r="AO217" s="57">
        <f>[2]基础状态预期!F227</f>
        <v>0</v>
      </c>
      <c r="AP217" s="57">
        <f>[2]基础状态预期!G227</f>
        <v>0</v>
      </c>
      <c r="AQ217" s="57">
        <f>[2]基础状态预期!H227</f>
        <v>0</v>
      </c>
      <c r="AR217" s="57">
        <f>[2]基础状态预期!I227</f>
        <v>0</v>
      </c>
      <c r="AS217" s="57">
        <f>[2]基础状态预期!J227</f>
        <v>6</v>
      </c>
    </row>
    <row r="218" spans="9:45">
      <c r="I218" s="4">
        <v>215</v>
      </c>
      <c r="J218" s="16">
        <f>'[1]资源-钻石'!T218</f>
        <v>1078261.8560158086</v>
      </c>
      <c r="K218" s="16">
        <f>'[1]资源-钻石'!U218</f>
        <v>1549808.0416173898</v>
      </c>
      <c r="L218" s="16">
        <f>'[1]资源-钻石'!V218</f>
        <v>2668646.8457791293</v>
      </c>
      <c r="M218" s="16">
        <f>'[1]资源-钻石'!W218</f>
        <v>7269841.5303570414</v>
      </c>
      <c r="N218" s="16">
        <f>'[1]资源-钻石'!X218</f>
        <v>17491433.183392745</v>
      </c>
      <c r="AL218" s="57">
        <f>[2]基础状态预期!C228</f>
        <v>3311.0000000000005</v>
      </c>
      <c r="AM218" s="57">
        <f>[2]基础状态预期!D228</f>
        <v>136.45508882162355</v>
      </c>
      <c r="AO218" s="57">
        <f>[2]基础状态预期!F228</f>
        <v>0</v>
      </c>
      <c r="AP218" s="57">
        <f>[2]基础状态预期!G228</f>
        <v>0</v>
      </c>
      <c r="AQ218" s="57">
        <f>[2]基础状态预期!H228</f>
        <v>0</v>
      </c>
      <c r="AR218" s="57">
        <f>[2]基础状态预期!I228</f>
        <v>0</v>
      </c>
      <c r="AS218" s="57">
        <f>[2]基础状态预期!J228</f>
        <v>6</v>
      </c>
    </row>
    <row r="219" spans="9:45">
      <c r="I219" s="4">
        <v>216</v>
      </c>
      <c r="J219" s="16">
        <f>'[1]资源-钻石'!T219</f>
        <v>1082149.7707414278</v>
      </c>
      <c r="K219" s="16">
        <f>'[1]资源-钻石'!U219</f>
        <v>1555764.7478155708</v>
      </c>
      <c r="L219" s="16">
        <f>'[1]资源-钻石'!V219</f>
        <v>2679651.2225971282</v>
      </c>
      <c r="M219" s="16">
        <f>'[1]资源-钻石'!W219</f>
        <v>7301966.3448568406</v>
      </c>
      <c r="N219" s="16">
        <f>'[1]资源-钻石'!X219</f>
        <v>17570625.479342524</v>
      </c>
      <c r="AL219" s="57">
        <f>[2]基础状态预期!C229</f>
        <v>4218.5</v>
      </c>
      <c r="AM219" s="57">
        <f>[2]基础状态预期!D229</f>
        <v>140.08772492574531</v>
      </c>
      <c r="AO219" s="57">
        <f>[2]基础状态预期!F229</f>
        <v>0</v>
      </c>
      <c r="AP219" s="57">
        <f>[2]基础状态预期!G229</f>
        <v>0</v>
      </c>
      <c r="AQ219" s="57">
        <f>[2]基础状态预期!H229</f>
        <v>0</v>
      </c>
      <c r="AR219" s="57">
        <f>[2]基础状态预期!I229</f>
        <v>0</v>
      </c>
      <c r="AS219" s="57">
        <f>[2]基础状态预期!J229</f>
        <v>6</v>
      </c>
    </row>
    <row r="220" spans="9:45">
      <c r="I220" s="1">
        <v>217</v>
      </c>
      <c r="J220" s="16">
        <f>'[1]资源-钻石'!T220</f>
        <v>1086037.6854670469</v>
      </c>
      <c r="K220" s="16">
        <f>'[1]资源-钻石'!U220</f>
        <v>1561721.4540137518</v>
      </c>
      <c r="L220" s="16">
        <f>'[1]资源-钻石'!V220</f>
        <v>2690655.5994151277</v>
      </c>
      <c r="M220" s="16">
        <f>'[1]资源-钻石'!W220</f>
        <v>7334091.1593566397</v>
      </c>
      <c r="N220" s="16">
        <f>'[1]资源-钻石'!X220</f>
        <v>17649817.775292303</v>
      </c>
      <c r="AL220" s="57">
        <f>[2]基础状态预期!C230</f>
        <v>5373.5</v>
      </c>
      <c r="AM220" s="57">
        <f>[2]基础状态预期!D230</f>
        <v>143.51956656528549</v>
      </c>
      <c r="AO220" s="57">
        <f>[2]基础状态预期!F230</f>
        <v>0</v>
      </c>
      <c r="AP220" s="57">
        <f>[2]基础状态预期!G230</f>
        <v>0</v>
      </c>
      <c r="AQ220" s="57">
        <f>[2]基础状态预期!H230</f>
        <v>0</v>
      </c>
      <c r="AR220" s="57">
        <f>[2]基础状态预期!I230</f>
        <v>0</v>
      </c>
      <c r="AS220" s="57">
        <f>[2]基础状态预期!J230</f>
        <v>6</v>
      </c>
    </row>
    <row r="221" spans="9:45">
      <c r="I221" s="1">
        <v>218</v>
      </c>
      <c r="J221" s="16">
        <f>'[1]资源-钻石'!T221</f>
        <v>1089925.6001926661</v>
      </c>
      <c r="K221" s="16">
        <f>'[1]资源-钻石'!U221</f>
        <v>1567678.1602119331</v>
      </c>
      <c r="L221" s="16">
        <f>'[1]资源-钻石'!V221</f>
        <v>2701659.9762331266</v>
      </c>
      <c r="M221" s="16">
        <f>'[1]资源-钻石'!W221</f>
        <v>7366215.9738564389</v>
      </c>
      <c r="N221" s="16">
        <f>'[1]资源-钻石'!X221</f>
        <v>17729010.071242083</v>
      </c>
      <c r="AL221" s="57">
        <f>[2]基础状态预期!C231</f>
        <v>6842.0000000000009</v>
      </c>
      <c r="AM221" s="57">
        <f>[2]基础状态预期!D231</f>
        <v>147.17868266109423</v>
      </c>
      <c r="AO221" s="57">
        <f>[2]基础状态预期!F231</f>
        <v>0</v>
      </c>
      <c r="AP221" s="57">
        <f>[2]基础状态预期!G231</f>
        <v>0</v>
      </c>
      <c r="AQ221" s="57">
        <f>[2]基础状态预期!H231</f>
        <v>0</v>
      </c>
      <c r="AR221" s="57">
        <f>[2]基础状态预期!I231</f>
        <v>0</v>
      </c>
      <c r="AS221" s="57">
        <f>[2]基础状态预期!J231</f>
        <v>6</v>
      </c>
    </row>
    <row r="222" spans="9:45">
      <c r="I222" s="4">
        <v>219</v>
      </c>
      <c r="J222" s="16">
        <f>'[1]资源-钻石'!T222</f>
        <v>1093813.5149182852</v>
      </c>
      <c r="K222" s="16">
        <f>'[1]资源-钻石'!U222</f>
        <v>1573634.8664101141</v>
      </c>
      <c r="L222" s="16">
        <f>'[1]资源-钻石'!V222</f>
        <v>2712664.353051126</v>
      </c>
      <c r="M222" s="16">
        <f>'[1]资源-钻石'!W222</f>
        <v>7398340.788356238</v>
      </c>
      <c r="N222" s="16">
        <f>'[1]资源-钻石'!X222</f>
        <v>17808202.367191862</v>
      </c>
      <c r="AL222" s="57">
        <f>[2]基础状态预期!C232</f>
        <v>8723</v>
      </c>
      <c r="AM222" s="57">
        <f>[2]基础状态预期!D232</f>
        <v>150.49637054967232</v>
      </c>
      <c r="AO222" s="57">
        <f>[2]基础状态预期!F232</f>
        <v>0</v>
      </c>
      <c r="AP222" s="57">
        <f>[2]基础状态预期!G232</f>
        <v>0</v>
      </c>
      <c r="AQ222" s="57">
        <f>[2]基础状态预期!H232</f>
        <v>0</v>
      </c>
      <c r="AR222" s="57">
        <f>[2]基础状态预期!I232</f>
        <v>0</v>
      </c>
      <c r="AS222" s="57">
        <f>[2]基础状态预期!J232</f>
        <v>6</v>
      </c>
    </row>
    <row r="223" spans="9:45">
      <c r="I223" s="4">
        <v>220</v>
      </c>
      <c r="J223" s="16">
        <f>'[1]资源-钻石'!T223</f>
        <v>1097701.4296439043</v>
      </c>
      <c r="K223" s="16">
        <f>'[1]资源-钻石'!U223</f>
        <v>1579591.5726082951</v>
      </c>
      <c r="L223" s="16">
        <f>'[1]资源-钻石'!V223</f>
        <v>2723668.7298691249</v>
      </c>
      <c r="M223" s="16">
        <f>'[1]资源-钻石'!W223</f>
        <v>7430465.6028560372</v>
      </c>
      <c r="N223" s="16">
        <f>'[1]资源-钻石'!X223</f>
        <v>17887394.663141642</v>
      </c>
      <c r="AL223" s="57">
        <f>[2]基础状态预期!C233</f>
        <v>11115.5</v>
      </c>
      <c r="AM223" s="57">
        <f>[2]基础状态预期!D233</f>
        <v>151.40240982411487</v>
      </c>
      <c r="AO223" s="57">
        <f>[2]基础状态预期!F233</f>
        <v>0</v>
      </c>
      <c r="AP223" s="57">
        <f>[2]基础状态预期!G233</f>
        <v>0</v>
      </c>
      <c r="AQ223" s="57">
        <f>[2]基础状态预期!H233</f>
        <v>0</v>
      </c>
      <c r="AR223" s="57">
        <f>[2]基础状态预期!I233</f>
        <v>0</v>
      </c>
      <c r="AS223" s="57">
        <f>[2]基础状态预期!J233</f>
        <v>6</v>
      </c>
    </row>
    <row r="224" spans="9:45">
      <c r="I224" s="4">
        <v>221</v>
      </c>
      <c r="J224" s="16">
        <f>'[1]资源-钻石'!T224</f>
        <v>1101589.3443695235</v>
      </c>
      <c r="K224" s="16">
        <f>'[1]资源-钻石'!U224</f>
        <v>1585548.2788064762</v>
      </c>
      <c r="L224" s="16">
        <f>'[1]资源-钻石'!V224</f>
        <v>2734673.1066871239</v>
      </c>
      <c r="M224" s="16">
        <f>'[1]资源-钻石'!W224</f>
        <v>7462590.4173558364</v>
      </c>
      <c r="N224" s="16">
        <f>'[1]资源-钻石'!X224</f>
        <v>17966586.959091417</v>
      </c>
      <c r="AL224" s="57">
        <f>[2]基础状态预期!C234</f>
        <v>14168.000000000002</v>
      </c>
      <c r="AM224" s="57">
        <f>[2]基础状态预期!D234</f>
        <v>152.00526961196863</v>
      </c>
      <c r="AO224" s="57">
        <f>[2]基础状态预期!F234</f>
        <v>0</v>
      </c>
      <c r="AP224" s="57">
        <f>[2]基础状态预期!G234</f>
        <v>0</v>
      </c>
      <c r="AQ224" s="57">
        <f>[2]基础状态预期!H234</f>
        <v>0</v>
      </c>
      <c r="AR224" s="57">
        <f>[2]基础状态预期!I234</f>
        <v>0</v>
      </c>
      <c r="AS224" s="57">
        <f>[2]基础状态预期!J234</f>
        <v>6</v>
      </c>
    </row>
    <row r="225" spans="9:45">
      <c r="I225" s="4">
        <v>222</v>
      </c>
      <c r="J225" s="16">
        <f>'[1]资源-钻石'!T225</f>
        <v>1105477.2590951426</v>
      </c>
      <c r="K225" s="16">
        <f>'[1]资源-钻石'!U225</f>
        <v>1591504.9850046572</v>
      </c>
      <c r="L225" s="16">
        <f>'[1]资源-钻石'!V225</f>
        <v>2745677.4835051233</v>
      </c>
      <c r="M225" s="16">
        <f>'[1]资源-钻石'!W225</f>
        <v>7494715.2318556355</v>
      </c>
      <c r="N225" s="16">
        <f>'[1]资源-钻石'!X225</f>
        <v>18045779.255041197</v>
      </c>
      <c r="AL225" s="57">
        <f>[2]基础状态预期!C235</f>
        <v>18012.5</v>
      </c>
      <c r="AM225" s="57">
        <f>[2]基础状态预期!D235</f>
        <v>152.38629594951036</v>
      </c>
      <c r="AO225" s="57">
        <f>[2]基础状态预期!F235</f>
        <v>0</v>
      </c>
      <c r="AP225" s="57">
        <f>[2]基础状态预期!G235</f>
        <v>0</v>
      </c>
      <c r="AQ225" s="57">
        <f>[2]基础状态预期!H235</f>
        <v>0</v>
      </c>
      <c r="AR225" s="57">
        <f>[2]基础状态预期!I235</f>
        <v>0</v>
      </c>
      <c r="AS225" s="57">
        <f>[2]基础状态预期!J235</f>
        <v>6</v>
      </c>
    </row>
    <row r="226" spans="9:45">
      <c r="I226" s="1">
        <v>223</v>
      </c>
      <c r="J226" s="16">
        <f>'[1]资源-钻石'!T226</f>
        <v>1109365.1738207617</v>
      </c>
      <c r="K226" s="16">
        <f>'[1]资源-钻石'!U226</f>
        <v>1597461.6912028382</v>
      </c>
      <c r="L226" s="16">
        <f>'[1]资源-钻石'!V226</f>
        <v>2756681.8603231222</v>
      </c>
      <c r="M226" s="16">
        <f>'[1]资源-钻石'!W226</f>
        <v>7526840.0463554347</v>
      </c>
      <c r="N226" s="16">
        <f>'[1]资源-钻石'!X226</f>
        <v>18124971.550990976</v>
      </c>
    </row>
    <row r="227" spans="9:45">
      <c r="I227" s="1">
        <v>224</v>
      </c>
      <c r="J227" s="16">
        <f>'[1]资源-钻石'!T227</f>
        <v>1113253.0885463809</v>
      </c>
      <c r="K227" s="16">
        <f>'[1]资源-钻石'!U227</f>
        <v>1603418.3974010192</v>
      </c>
      <c r="L227" s="16">
        <f>'[1]资源-钻石'!V227</f>
        <v>2767686.2371411216</v>
      </c>
      <c r="M227" s="16">
        <f>'[1]资源-钻石'!W227</f>
        <v>7558964.8608552339</v>
      </c>
      <c r="N227" s="16">
        <f>'[1]资源-钻石'!X227</f>
        <v>18204163.846940756</v>
      </c>
    </row>
    <row r="228" spans="9:45">
      <c r="I228" s="4">
        <v>225</v>
      </c>
      <c r="J228" s="16">
        <f>'[1]资源-钻石'!T228</f>
        <v>1117141.003272</v>
      </c>
      <c r="K228" s="16">
        <f>'[1]资源-钻石'!U228</f>
        <v>1609375.1035992003</v>
      </c>
      <c r="L228" s="16">
        <f>'[1]资源-钻石'!V228</f>
        <v>2778690.6139591206</v>
      </c>
      <c r="M228" s="16">
        <f>'[1]资源-钻石'!W228</f>
        <v>7591089.675355033</v>
      </c>
      <c r="N228" s="16">
        <f>'[1]资源-钻石'!X228</f>
        <v>18283356.142890535</v>
      </c>
    </row>
    <row r="229" spans="9:45">
      <c r="I229" s="4">
        <v>226</v>
      </c>
      <c r="J229" s="16">
        <f>'[1]资源-钻石'!T229</f>
        <v>1121028.9179976194</v>
      </c>
      <c r="K229" s="16">
        <f>'[1]资源-钻石'!U229</f>
        <v>1615331.8097973813</v>
      </c>
      <c r="L229" s="16">
        <f>'[1]资源-钻石'!V229</f>
        <v>2789694.99077712</v>
      </c>
      <c r="M229" s="16">
        <f>'[1]资源-钻石'!W229</f>
        <v>7623214.4898548322</v>
      </c>
      <c r="N229" s="16">
        <f>'[1]资源-钻石'!X229</f>
        <v>18362548.438840315</v>
      </c>
    </row>
    <row r="230" spans="9:45">
      <c r="I230" s="4">
        <v>227</v>
      </c>
      <c r="J230" s="16">
        <f>'[1]资源-钻石'!T230</f>
        <v>1124916.8327232385</v>
      </c>
      <c r="K230" s="16">
        <f>'[1]资源-钻石'!U230</f>
        <v>1621288.5159955623</v>
      </c>
      <c r="L230" s="16">
        <f>'[1]资源-钻石'!V230</f>
        <v>2800699.3675951189</v>
      </c>
      <c r="M230" s="16">
        <f>'[1]资源-钻石'!W230</f>
        <v>7655339.3043546304</v>
      </c>
      <c r="N230" s="16">
        <f>'[1]资源-钻石'!X230</f>
        <v>18441740.734790094</v>
      </c>
    </row>
    <row r="231" spans="9:45">
      <c r="I231" s="4">
        <v>228</v>
      </c>
      <c r="J231" s="16">
        <f>'[1]资源-钻石'!T231</f>
        <v>1128804.7474488576</v>
      </c>
      <c r="K231" s="16">
        <f>'[1]资源-钻石'!U231</f>
        <v>1627245.2221937433</v>
      </c>
      <c r="L231" s="16">
        <f>'[1]资源-钻石'!V231</f>
        <v>2811703.7444131183</v>
      </c>
      <c r="M231" s="16">
        <f>'[1]资源-钻石'!W231</f>
        <v>7687464.1188544296</v>
      </c>
      <c r="N231" s="16">
        <f>'[1]资源-钻石'!X231</f>
        <v>18520933.030739874</v>
      </c>
    </row>
    <row r="232" spans="9:45">
      <c r="I232" s="1">
        <v>229</v>
      </c>
      <c r="J232" s="16">
        <f>'[1]资源-钻石'!T232</f>
        <v>1132692.6621744768</v>
      </c>
      <c r="K232" s="16">
        <f>'[1]资源-钻石'!U232</f>
        <v>1633201.9283919244</v>
      </c>
      <c r="L232" s="16">
        <f>'[1]资源-钻石'!V232</f>
        <v>2822708.1212311173</v>
      </c>
      <c r="M232" s="16">
        <f>'[1]资源-钻石'!W232</f>
        <v>7719588.9333542287</v>
      </c>
      <c r="N232" s="16">
        <f>'[1]资源-钻石'!X232</f>
        <v>18600125.326689649</v>
      </c>
    </row>
    <row r="233" spans="9:45">
      <c r="I233" s="1">
        <v>230</v>
      </c>
      <c r="J233" s="16">
        <f>'[1]资源-钻石'!T233</f>
        <v>1136580.5769000959</v>
      </c>
      <c r="K233" s="16">
        <f>'[1]资源-钻石'!U233</f>
        <v>1639158.6345901056</v>
      </c>
      <c r="L233" s="16">
        <f>'[1]资源-钻石'!V233</f>
        <v>2833712.4980491167</v>
      </c>
      <c r="M233" s="16">
        <f>'[1]资源-钻石'!W233</f>
        <v>7751713.7478540279</v>
      </c>
      <c r="N233" s="16">
        <f>'[1]资源-钻石'!X233</f>
        <v>18679317.622639429</v>
      </c>
    </row>
    <row r="234" spans="9:45">
      <c r="I234" s="4">
        <v>231</v>
      </c>
      <c r="J234" s="16">
        <f>'[1]资源-钻石'!T234</f>
        <v>1140468.491625715</v>
      </c>
      <c r="K234" s="16">
        <f>'[1]资源-钻石'!U234</f>
        <v>1645115.3407882866</v>
      </c>
      <c r="L234" s="16">
        <f>'[1]资源-钻石'!V234</f>
        <v>2844716.8748671156</v>
      </c>
      <c r="M234" s="16">
        <f>'[1]资源-钻石'!W234</f>
        <v>7783838.5623538271</v>
      </c>
      <c r="N234" s="16">
        <f>'[1]资源-钻石'!X234</f>
        <v>18758509.918589208</v>
      </c>
    </row>
    <row r="235" spans="9:45">
      <c r="I235" s="4">
        <v>232</v>
      </c>
      <c r="J235" s="16">
        <f>'[1]资源-钻石'!T235</f>
        <v>1144356.4063513342</v>
      </c>
      <c r="K235" s="16">
        <f>'[1]资源-钻石'!U235</f>
        <v>1651072.0469864677</v>
      </c>
      <c r="L235" s="16">
        <f>'[1]资源-钻石'!V235</f>
        <v>2855721.2516851146</v>
      </c>
      <c r="M235" s="16">
        <f>'[1]资源-钻石'!W235</f>
        <v>7815963.3768536262</v>
      </c>
      <c r="N235" s="16">
        <f>'[1]资源-钻石'!X235</f>
        <v>18837702.214538988</v>
      </c>
    </row>
    <row r="236" spans="9:45">
      <c r="I236" s="4">
        <v>233</v>
      </c>
      <c r="J236" s="16">
        <f>'[1]资源-钻石'!T236</f>
        <v>1148244.3210769533</v>
      </c>
      <c r="K236" s="16">
        <f>'[1]资源-钻石'!U236</f>
        <v>1657028.7531846487</v>
      </c>
      <c r="L236" s="16">
        <f>'[1]资源-钻石'!V236</f>
        <v>2866725.628503114</v>
      </c>
      <c r="M236" s="16">
        <f>'[1]资源-钻石'!W236</f>
        <v>7848088.1913534254</v>
      </c>
      <c r="N236" s="16">
        <f>'[1]资源-钻石'!X236</f>
        <v>18916894.510488767</v>
      </c>
    </row>
    <row r="237" spans="9:45">
      <c r="I237" s="4">
        <v>234</v>
      </c>
      <c r="J237" s="16">
        <f>'[1]资源-钻石'!T237</f>
        <v>1152132.2358025725</v>
      </c>
      <c r="K237" s="16">
        <f>'[1]资源-钻石'!U237</f>
        <v>1662985.4593828297</v>
      </c>
      <c r="L237" s="16">
        <f>'[1]资源-钻石'!V237</f>
        <v>2877730.0053211129</v>
      </c>
      <c r="M237" s="16">
        <f>'[1]资源-钻石'!W237</f>
        <v>7880213.0058532245</v>
      </c>
      <c r="N237" s="16">
        <f>'[1]资源-钻石'!X237</f>
        <v>18996086.806438547</v>
      </c>
    </row>
    <row r="238" spans="9:45">
      <c r="I238" s="1">
        <v>235</v>
      </c>
      <c r="J238" s="16">
        <f>'[1]资源-钻石'!T238</f>
        <v>1156020.1505281916</v>
      </c>
      <c r="K238" s="16">
        <f>'[1]资源-钻石'!U238</f>
        <v>1668942.1655810107</v>
      </c>
      <c r="L238" s="16">
        <f>'[1]资源-钻石'!V238</f>
        <v>2888734.3821391123</v>
      </c>
      <c r="M238" s="16">
        <f>'[1]资源-钻石'!W238</f>
        <v>7912337.8203530237</v>
      </c>
      <c r="N238" s="16">
        <f>'[1]资源-钻石'!X238</f>
        <v>19075279.102388322</v>
      </c>
    </row>
    <row r="239" spans="9:45">
      <c r="I239" s="1">
        <v>236</v>
      </c>
      <c r="J239" s="16">
        <f>'[1]资源-钻石'!T239</f>
        <v>1159908.0652538107</v>
      </c>
      <c r="K239" s="16">
        <f>'[1]资源-钻石'!U239</f>
        <v>1674898.8717791918</v>
      </c>
      <c r="L239" s="16">
        <f>'[1]资源-钻石'!V239</f>
        <v>2899738.7589571113</v>
      </c>
      <c r="M239" s="16">
        <f>'[1]资源-钻石'!W239</f>
        <v>7944462.6348528229</v>
      </c>
      <c r="N239" s="16">
        <f>'[1]资源-钻石'!X239</f>
        <v>19154471.398338102</v>
      </c>
    </row>
    <row r="240" spans="9:45">
      <c r="I240" s="4">
        <v>237</v>
      </c>
      <c r="J240" s="16">
        <f>'[1]资源-钻石'!T240</f>
        <v>1163795.9799794299</v>
      </c>
      <c r="K240" s="16">
        <f>'[1]资源-钻石'!U240</f>
        <v>1680855.5779773728</v>
      </c>
      <c r="L240" s="16">
        <f>'[1]资源-钻石'!V240</f>
        <v>2910743.1357751107</v>
      </c>
      <c r="M240" s="16">
        <f>'[1]资源-钻石'!W240</f>
        <v>7976587.449352622</v>
      </c>
      <c r="N240" s="16">
        <f>'[1]资源-钻石'!X240</f>
        <v>19233663.694287881</v>
      </c>
    </row>
    <row r="241" spans="9:14">
      <c r="I241" s="4">
        <v>238</v>
      </c>
      <c r="J241" s="16">
        <f>'[1]资源-钻石'!T241</f>
        <v>1167683.894705049</v>
      </c>
      <c r="K241" s="16">
        <f>'[1]资源-钻石'!U241</f>
        <v>1686812.2841755538</v>
      </c>
      <c r="L241" s="16">
        <f>'[1]资源-钻石'!V241</f>
        <v>2921747.5125931096</v>
      </c>
      <c r="M241" s="16">
        <f>'[1]资源-钻石'!W241</f>
        <v>8008712.2638524203</v>
      </c>
      <c r="N241" s="16">
        <f>'[1]资源-钻石'!X241</f>
        <v>19312855.990237661</v>
      </c>
    </row>
    <row r="242" spans="9:14">
      <c r="I242" s="4">
        <v>239</v>
      </c>
      <c r="J242" s="16">
        <f>'[1]资源-钻石'!T242</f>
        <v>1171571.8094306681</v>
      </c>
      <c r="K242" s="16">
        <f>'[1]资源-钻石'!U242</f>
        <v>1692768.9903737349</v>
      </c>
      <c r="L242" s="16">
        <f>'[1]资源-钻石'!V242</f>
        <v>2932751.889411109</v>
      </c>
      <c r="M242" s="16">
        <f>'[1]资源-钻石'!W242</f>
        <v>8040837.0783522194</v>
      </c>
      <c r="N242" s="16">
        <f>'[1]资源-钻石'!X242</f>
        <v>19392048.28618744</v>
      </c>
    </row>
    <row r="243" spans="9:14">
      <c r="I243" s="4">
        <v>240</v>
      </c>
      <c r="J243" s="16">
        <f>'[1]资源-钻石'!T243</f>
        <v>1175459.7241562873</v>
      </c>
      <c r="K243" s="16">
        <f>'[1]资源-钻石'!U243</f>
        <v>1698725.6965719159</v>
      </c>
      <c r="L243" s="16">
        <f>'[1]资源-钻石'!V243</f>
        <v>2943756.266229108</v>
      </c>
      <c r="M243" s="16">
        <f>'[1]资源-钻石'!W243</f>
        <v>8072961.8928520186</v>
      </c>
      <c r="N243" s="16">
        <f>'[1]资源-钻石'!X243</f>
        <v>19471240.58213722</v>
      </c>
    </row>
    <row r="244" spans="9:14">
      <c r="I244" s="1">
        <v>241</v>
      </c>
      <c r="J244" s="16">
        <f>'[1]资源-钻石'!T244</f>
        <v>1179347.6388819064</v>
      </c>
      <c r="K244" s="16">
        <f>'[1]资源-钻石'!U244</f>
        <v>1704682.4027700971</v>
      </c>
      <c r="L244" s="16">
        <f>'[1]资源-钻石'!V244</f>
        <v>2954760.6430471069</v>
      </c>
      <c r="M244" s="16">
        <f>'[1]资源-钻石'!W244</f>
        <v>8105086.7073518177</v>
      </c>
      <c r="N244" s="16">
        <f>'[1]资源-钻石'!X244</f>
        <v>19550432.878086999</v>
      </c>
    </row>
    <row r="245" spans="9:14">
      <c r="I245" s="1">
        <v>242</v>
      </c>
      <c r="J245" s="16">
        <f>'[1]资源-钻石'!T245</f>
        <v>1183235.5536075255</v>
      </c>
      <c r="K245" s="16">
        <f>'[1]资源-钻石'!U245</f>
        <v>1710639.1089682782</v>
      </c>
      <c r="L245" s="16">
        <f>'[1]资源-钻石'!V245</f>
        <v>2965765.0198651063</v>
      </c>
      <c r="M245" s="16">
        <f>'[1]资源-钻石'!W245</f>
        <v>8137211.5218516169</v>
      </c>
      <c r="N245" s="16">
        <f>'[1]资源-钻石'!X245</f>
        <v>19629625.174036775</v>
      </c>
    </row>
    <row r="246" spans="9:14">
      <c r="I246" s="4">
        <v>243</v>
      </c>
      <c r="J246" s="16">
        <f>'[1]资源-钻石'!T246</f>
        <v>1187123.4683331447</v>
      </c>
      <c r="K246" s="16">
        <f>'[1]资源-钻石'!U246</f>
        <v>1716595.8151664592</v>
      </c>
      <c r="L246" s="16">
        <f>'[1]资源-钻石'!V246</f>
        <v>2976769.3966831053</v>
      </c>
      <c r="M246" s="16">
        <f>'[1]资源-钻石'!W246</f>
        <v>8169336.3363514161</v>
      </c>
      <c r="N246" s="16">
        <f>'[1]资源-钻石'!X246</f>
        <v>19708817.469986554</v>
      </c>
    </row>
    <row r="247" spans="9:14">
      <c r="I247" s="4">
        <v>244</v>
      </c>
      <c r="J247" s="16">
        <f>'[1]资源-钻石'!T247</f>
        <v>1191011.3830587638</v>
      </c>
      <c r="K247" s="16">
        <f>'[1]资源-钻石'!U247</f>
        <v>1722552.5213646402</v>
      </c>
      <c r="L247" s="16">
        <f>'[1]资源-钻石'!V247</f>
        <v>2987773.7735011047</v>
      </c>
      <c r="M247" s="16">
        <f>'[1]资源-钻石'!W247</f>
        <v>8201461.1508512152</v>
      </c>
      <c r="N247" s="16">
        <f>'[1]资源-钻石'!X247</f>
        <v>19788009.765936334</v>
      </c>
    </row>
    <row r="248" spans="9:14">
      <c r="I248" s="4">
        <v>245</v>
      </c>
      <c r="J248" s="16">
        <f>'[1]资源-钻石'!T248</f>
        <v>1194899.2977843829</v>
      </c>
      <c r="K248" s="16">
        <f>'[1]资源-钻石'!U248</f>
        <v>1728509.2275628212</v>
      </c>
      <c r="L248" s="16">
        <f>'[1]资源-钻石'!V248</f>
        <v>2998778.1503191036</v>
      </c>
      <c r="M248" s="16">
        <f>'[1]资源-钻石'!W248</f>
        <v>8233585.9653510144</v>
      </c>
      <c r="N248" s="16">
        <f>'[1]资源-钻石'!X248</f>
        <v>19867202.061886113</v>
      </c>
    </row>
    <row r="249" spans="9:14">
      <c r="I249" s="4">
        <v>246</v>
      </c>
      <c r="J249" s="16">
        <f>'[1]资源-钻石'!T249</f>
        <v>1198787.2125100021</v>
      </c>
      <c r="K249" s="16">
        <f>'[1]资源-钻石'!U249</f>
        <v>1734465.9337610023</v>
      </c>
      <c r="L249" s="16">
        <f>'[1]资源-钻石'!V249</f>
        <v>3009782.527137103</v>
      </c>
      <c r="M249" s="16">
        <f>'[1]资源-钻石'!W249</f>
        <v>8265710.7798508136</v>
      </c>
      <c r="N249" s="16">
        <f>'[1]资源-钻石'!X249</f>
        <v>19946394.357835893</v>
      </c>
    </row>
    <row r="250" spans="9:14">
      <c r="I250" s="1">
        <v>247</v>
      </c>
      <c r="J250" s="16">
        <f>'[1]资源-钻石'!T250</f>
        <v>1202675.1272356212</v>
      </c>
      <c r="K250" s="16">
        <f>'[1]资源-钻石'!U250</f>
        <v>1740422.6399591835</v>
      </c>
      <c r="L250" s="16">
        <f>'[1]资源-钻石'!V250</f>
        <v>3020786.903955102</v>
      </c>
      <c r="M250" s="16">
        <f>'[1]资源-钻石'!W250</f>
        <v>8297835.5943506127</v>
      </c>
      <c r="N250" s="16">
        <f>'[1]资源-钻石'!X250</f>
        <v>20025586.653785672</v>
      </c>
    </row>
    <row r="251" spans="9:14">
      <c r="I251" s="1">
        <v>248</v>
      </c>
      <c r="J251" s="16">
        <f>'[1]资源-钻石'!T251</f>
        <v>1206563.0419612403</v>
      </c>
      <c r="K251" s="16">
        <f>'[1]资源-钻石'!U251</f>
        <v>1746379.3461573645</v>
      </c>
      <c r="L251" s="16">
        <f>'[1]资源-钻石'!V251</f>
        <v>3031791.2807731009</v>
      </c>
      <c r="M251" s="16">
        <f>'[1]资源-钻石'!W251</f>
        <v>8329960.4088504119</v>
      </c>
      <c r="N251" s="16">
        <f>'[1]资源-钻石'!X251</f>
        <v>20104778.949735451</v>
      </c>
    </row>
    <row r="252" spans="9:14">
      <c r="I252" s="4">
        <v>249</v>
      </c>
      <c r="J252" s="16">
        <f>'[1]资源-钻石'!T252</f>
        <v>1210450.9566868595</v>
      </c>
      <c r="K252" s="16">
        <f>'[1]资源-钻石'!U252</f>
        <v>1752336.0523555456</v>
      </c>
      <c r="L252" s="16">
        <f>'[1]资源-钻石'!V252</f>
        <v>3042795.6575911003</v>
      </c>
      <c r="M252" s="16">
        <f>'[1]资源-钻石'!W252</f>
        <v>8362085.223350211</v>
      </c>
      <c r="N252" s="16">
        <f>'[1]资源-钻石'!X252</f>
        <v>20183971.245685227</v>
      </c>
    </row>
    <row r="253" spans="9:14">
      <c r="I253" s="4">
        <v>250</v>
      </c>
      <c r="J253" s="16">
        <f>'[1]资源-钻石'!T253</f>
        <v>1214338.8714124786</v>
      </c>
      <c r="K253" s="16">
        <f>'[1]资源-钻石'!U253</f>
        <v>1758292.7585537266</v>
      </c>
      <c r="L253" s="16">
        <f>'[1]资源-钻石'!V253</f>
        <v>3053800.0344090993</v>
      </c>
      <c r="M253" s="16">
        <f>'[1]资源-钻石'!W253</f>
        <v>8394210.0378500111</v>
      </c>
      <c r="N253" s="16">
        <f>'[1]资源-钻石'!X253</f>
        <v>20263163.541635007</v>
      </c>
    </row>
    <row r="254" spans="9:14">
      <c r="I254" s="4">
        <v>251</v>
      </c>
      <c r="J254" s="16">
        <f>'[1]资源-钻石'!T254</f>
        <v>1218226.7861380978</v>
      </c>
      <c r="K254" s="16">
        <f>'[1]资源-钻石'!U254</f>
        <v>1764249.4647519076</v>
      </c>
      <c r="L254" s="16">
        <f>'[1]资源-钻石'!V254</f>
        <v>3064804.4112270987</v>
      </c>
      <c r="M254" s="16">
        <f>'[1]资源-钻石'!W254</f>
        <v>8426334.8523498103</v>
      </c>
      <c r="N254" s="16">
        <f>'[1]资源-钻石'!X254</f>
        <v>20342355.837584786</v>
      </c>
    </row>
    <row r="255" spans="9:14">
      <c r="I255" s="4">
        <v>252</v>
      </c>
      <c r="J255" s="16">
        <f>'[1]资源-钻石'!T255</f>
        <v>1222114.7008637169</v>
      </c>
      <c r="K255" s="16">
        <f>'[1]资源-钻石'!U255</f>
        <v>1770206.1709500886</v>
      </c>
      <c r="L255" s="16">
        <f>'[1]资源-钻石'!V255</f>
        <v>3075808.7880450976</v>
      </c>
      <c r="M255" s="16">
        <f>'[1]资源-钻石'!W255</f>
        <v>8458459.6668496095</v>
      </c>
      <c r="N255" s="16">
        <f>'[1]资源-钻石'!X255</f>
        <v>20421548.133534566</v>
      </c>
    </row>
    <row r="256" spans="9:14">
      <c r="I256" s="1">
        <v>253</v>
      </c>
      <c r="J256" s="16">
        <f>'[1]资源-钻石'!T256</f>
        <v>1226002.615589336</v>
      </c>
      <c r="K256" s="16">
        <f>'[1]资源-钻石'!U256</f>
        <v>1776162.8771482697</v>
      </c>
      <c r="L256" s="16">
        <f>'[1]资源-钻石'!V256</f>
        <v>3086813.1648630966</v>
      </c>
      <c r="M256" s="16">
        <f>'[1]资源-钻石'!W256</f>
        <v>8490584.4813494068</v>
      </c>
      <c r="N256" s="16">
        <f>'[1]资源-钻石'!X256</f>
        <v>20500740.429484345</v>
      </c>
    </row>
    <row r="257" spans="9:14">
      <c r="I257" s="1">
        <v>254</v>
      </c>
      <c r="J257" s="16">
        <f>'[1]资源-钻石'!T257</f>
        <v>1229890.5303149552</v>
      </c>
      <c r="K257" s="16">
        <f>'[1]资源-钻石'!U257</f>
        <v>1782119.5833464509</v>
      </c>
      <c r="L257" s="16">
        <f>'[1]资源-钻石'!V257</f>
        <v>3097817.541681096</v>
      </c>
      <c r="M257" s="16">
        <f>'[1]资源-钻石'!W257</f>
        <v>8522709.2958492059</v>
      </c>
      <c r="N257" s="16">
        <f>'[1]资源-钻石'!X257</f>
        <v>20579932.725434124</v>
      </c>
    </row>
    <row r="258" spans="9:14">
      <c r="I258" s="4">
        <v>255</v>
      </c>
      <c r="J258" s="16">
        <f>'[1]资源-钻石'!T258</f>
        <v>1233778.4450405743</v>
      </c>
      <c r="K258" s="16">
        <f>'[1]资源-钻石'!U258</f>
        <v>1788076.289544632</v>
      </c>
      <c r="L258" s="16">
        <f>'[1]资源-钻石'!V258</f>
        <v>3108821.9184990949</v>
      </c>
      <c r="M258" s="16">
        <f>'[1]资源-钻石'!W258</f>
        <v>8554834.1103490051</v>
      </c>
      <c r="N258" s="16">
        <f>'[1]资源-钻石'!X258</f>
        <v>20659125.021383904</v>
      </c>
    </row>
    <row r="259" spans="9:14">
      <c r="I259" s="4">
        <v>256</v>
      </c>
      <c r="J259" s="16">
        <f>'[1]资源-钻石'!T259</f>
        <v>1237666.3597661934</v>
      </c>
      <c r="K259" s="16">
        <f>'[1]资源-钻石'!U259</f>
        <v>1794032.995742813</v>
      </c>
      <c r="L259" s="16">
        <f>'[1]资源-钻石'!V259</f>
        <v>3119826.2953170943</v>
      </c>
      <c r="M259" s="16">
        <f>'[1]资源-钻石'!W259</f>
        <v>8586958.9248488043</v>
      </c>
      <c r="N259" s="16">
        <f>'[1]资源-钻石'!X259</f>
        <v>20738317.31733368</v>
      </c>
    </row>
    <row r="260" spans="9:14">
      <c r="I260" s="4">
        <v>257</v>
      </c>
      <c r="J260" s="16">
        <f>'[1]资源-钻石'!T260</f>
        <v>1241554.2744918126</v>
      </c>
      <c r="K260" s="16">
        <f>'[1]资源-钻石'!U260</f>
        <v>1799989.701940994</v>
      </c>
      <c r="L260" s="16">
        <f>'[1]资源-钻石'!V260</f>
        <v>3130830.6721350932</v>
      </c>
      <c r="M260" s="16">
        <f>'[1]资源-钻石'!W260</f>
        <v>8619083.7393486034</v>
      </c>
      <c r="N260" s="16">
        <f>'[1]资源-钻石'!X260</f>
        <v>20817509.613283459</v>
      </c>
    </row>
    <row r="261" spans="9:14">
      <c r="I261" s="4">
        <v>258</v>
      </c>
      <c r="J261" s="16">
        <f>'[1]资源-钻石'!T261</f>
        <v>1245442.1892174317</v>
      </c>
      <c r="K261" s="16">
        <f>'[1]资源-钻石'!U261</f>
        <v>1805946.408139175</v>
      </c>
      <c r="L261" s="16">
        <f>'[1]资源-钻石'!V261</f>
        <v>3141835.0489530927</v>
      </c>
      <c r="M261" s="16">
        <f>'[1]资源-钻石'!W261</f>
        <v>8651208.5538484026</v>
      </c>
      <c r="N261" s="16">
        <f>'[1]资源-钻石'!X261</f>
        <v>20896701.909233239</v>
      </c>
    </row>
    <row r="262" spans="9:14">
      <c r="I262" s="1">
        <v>259</v>
      </c>
      <c r="J262" s="16">
        <f>'[1]资源-钻石'!T262</f>
        <v>1249330.1039430508</v>
      </c>
      <c r="K262" s="16">
        <f>'[1]资源-钻石'!U262</f>
        <v>1811903.1143373561</v>
      </c>
      <c r="L262" s="16">
        <f>'[1]资源-钻石'!V262</f>
        <v>3152839.4257710916</v>
      </c>
      <c r="M262" s="16">
        <f>'[1]资源-钻石'!W262</f>
        <v>8683333.3683482017</v>
      </c>
      <c r="N262" s="16">
        <f>'[1]资源-钻石'!X262</f>
        <v>20975894.205183018</v>
      </c>
    </row>
    <row r="263" spans="9:14">
      <c r="I263" s="1">
        <v>260</v>
      </c>
      <c r="J263" s="16">
        <f>'[1]资源-钻石'!T263</f>
        <v>1253218.01866867</v>
      </c>
      <c r="K263" s="16">
        <f>'[1]资源-钻石'!U263</f>
        <v>1817859.8205355371</v>
      </c>
      <c r="L263" s="16">
        <f>'[1]资源-钻石'!V263</f>
        <v>3163843.802589091</v>
      </c>
      <c r="M263" s="16">
        <f>'[1]资源-钻石'!W263</f>
        <v>8715458.1828480009</v>
      </c>
      <c r="N263" s="16">
        <f>'[1]资源-钻石'!X263</f>
        <v>21055086.501132797</v>
      </c>
    </row>
    <row r="264" spans="9:14">
      <c r="I264" s="4">
        <v>261</v>
      </c>
      <c r="J264" s="16">
        <f>'[1]资源-钻石'!T264</f>
        <v>1257105.9333942891</v>
      </c>
      <c r="K264" s="16">
        <f>'[1]资源-钻石'!U264</f>
        <v>1823816.5267337181</v>
      </c>
      <c r="L264" s="16">
        <f>'[1]资源-钻石'!V264</f>
        <v>3174848.1794070899</v>
      </c>
      <c r="M264" s="16">
        <f>'[1]资源-钻石'!W264</f>
        <v>8747582.9973478001</v>
      </c>
      <c r="N264" s="16">
        <f>'[1]资源-钻石'!X264</f>
        <v>21134278.797082577</v>
      </c>
    </row>
    <row r="265" spans="9:14">
      <c r="I265" s="4">
        <v>262</v>
      </c>
      <c r="J265" s="16">
        <f>'[1]资源-钻石'!T265</f>
        <v>1260993.8481199082</v>
      </c>
      <c r="K265" s="16">
        <f>'[1]资源-钻石'!U265</f>
        <v>1829773.2329318991</v>
      </c>
      <c r="L265" s="16">
        <f>'[1]资源-钻石'!V265</f>
        <v>3185852.5562250894</v>
      </c>
      <c r="M265" s="16">
        <f>'[1]资源-钻石'!W265</f>
        <v>8779707.8118475992</v>
      </c>
      <c r="N265" s="16">
        <f>'[1]资源-钻石'!X265</f>
        <v>21213471.093032356</v>
      </c>
    </row>
    <row r="266" spans="9:14">
      <c r="I266" s="4">
        <v>263</v>
      </c>
      <c r="J266" s="16">
        <f>'[1]资源-钻石'!T266</f>
        <v>1264881.7628455274</v>
      </c>
      <c r="K266" s="16">
        <f>'[1]资源-钻石'!U266</f>
        <v>1835729.9391300802</v>
      </c>
      <c r="L266" s="16">
        <f>'[1]资源-钻石'!V266</f>
        <v>3196856.9330430883</v>
      </c>
      <c r="M266" s="16">
        <f>'[1]资源-钻石'!W266</f>
        <v>8811832.6263473984</v>
      </c>
      <c r="N266" s="16">
        <f>'[1]资源-钻石'!X266</f>
        <v>21292663.388982136</v>
      </c>
    </row>
    <row r="267" spans="9:14">
      <c r="I267" s="4">
        <v>264</v>
      </c>
      <c r="J267" s="16">
        <f>'[1]资源-钻石'!T267</f>
        <v>1268769.6775711465</v>
      </c>
      <c r="K267" s="16">
        <f>'[1]资源-钻石'!U267</f>
        <v>1841686.6453282614</v>
      </c>
      <c r="L267" s="16">
        <f>'[1]资源-钻石'!V267</f>
        <v>3207861.3098610877</v>
      </c>
      <c r="M267" s="16">
        <f>'[1]资源-钻石'!W267</f>
        <v>8843957.4408471957</v>
      </c>
      <c r="N267" s="16">
        <f>'[1]资源-钻石'!X267</f>
        <v>21371855.684931912</v>
      </c>
    </row>
    <row r="268" spans="9:14">
      <c r="I268" s="1">
        <v>265</v>
      </c>
      <c r="J268" s="16">
        <f>'[1]资源-钻石'!T268</f>
        <v>1272657.5922967657</v>
      </c>
      <c r="K268" s="16">
        <f>'[1]资源-钻石'!U268</f>
        <v>1847643.3515264424</v>
      </c>
      <c r="L268" s="16">
        <f>'[1]资源-钻石'!V268</f>
        <v>3218865.6866790866</v>
      </c>
      <c r="M268" s="16">
        <f>'[1]资源-钻石'!W268</f>
        <v>8876082.2553469948</v>
      </c>
      <c r="N268" s="16">
        <f>'[1]资源-钻石'!X268</f>
        <v>21451047.980881691</v>
      </c>
    </row>
    <row r="269" spans="9:14">
      <c r="I269" s="1">
        <v>266</v>
      </c>
      <c r="J269" s="16">
        <f>'[1]资源-钻石'!T269</f>
        <v>1276545.5070223848</v>
      </c>
      <c r="K269" s="16">
        <f>'[1]资源-钻石'!U269</f>
        <v>1853600.0577246235</v>
      </c>
      <c r="L269" s="16">
        <f>'[1]资源-钻石'!V269</f>
        <v>3229870.0634970861</v>
      </c>
      <c r="M269" s="16">
        <f>'[1]资源-钻石'!W269</f>
        <v>8908207.069846794</v>
      </c>
      <c r="N269" s="16">
        <f>'[1]资源-钻石'!X269</f>
        <v>21530240.27683147</v>
      </c>
    </row>
    <row r="270" spans="9:14">
      <c r="I270" s="4">
        <v>267</v>
      </c>
      <c r="J270" s="16">
        <f>'[1]资源-钻石'!T270</f>
        <v>1280433.4217480039</v>
      </c>
      <c r="K270" s="16">
        <f>'[1]资源-钻石'!U270</f>
        <v>1859556.7639228045</v>
      </c>
      <c r="L270" s="16">
        <f>'[1]资源-钻石'!V270</f>
        <v>3240874.440315085</v>
      </c>
      <c r="M270" s="16">
        <f>'[1]资源-钻石'!W270</f>
        <v>8940331.8843465932</v>
      </c>
      <c r="N270" s="16">
        <f>'[1]资源-钻石'!X270</f>
        <v>21609432.57278125</v>
      </c>
    </row>
    <row r="271" spans="9:14">
      <c r="I271" s="4">
        <v>268</v>
      </c>
      <c r="J271" s="16">
        <f>'[1]资源-钻石'!T271</f>
        <v>1284321.3364736231</v>
      </c>
      <c r="K271" s="16">
        <f>'[1]资源-钻石'!U271</f>
        <v>1865513.4701209855</v>
      </c>
      <c r="L271" s="16">
        <f>'[1]资源-钻石'!V271</f>
        <v>3251878.8171330839</v>
      </c>
      <c r="M271" s="16">
        <f>'[1]资源-钻石'!W271</f>
        <v>8972456.6988463923</v>
      </c>
      <c r="N271" s="16">
        <f>'[1]资源-钻石'!X271</f>
        <v>21688624.868731029</v>
      </c>
    </row>
    <row r="272" spans="9:14">
      <c r="I272" s="4">
        <v>269</v>
      </c>
      <c r="J272" s="16">
        <f>'[1]资源-钻石'!T272</f>
        <v>1288209.2511992422</v>
      </c>
      <c r="K272" s="16">
        <f>'[1]资源-钻石'!U272</f>
        <v>1871470.1763191666</v>
      </c>
      <c r="L272" s="16">
        <f>'[1]资源-钻石'!V272</f>
        <v>3262883.1939510833</v>
      </c>
      <c r="M272" s="16">
        <f>'[1]资源-钻石'!W272</f>
        <v>9004581.5133461915</v>
      </c>
      <c r="N272" s="16">
        <f>'[1]资源-钻石'!X272</f>
        <v>21767817.164680809</v>
      </c>
    </row>
    <row r="273" spans="9:14">
      <c r="I273" s="4">
        <v>270</v>
      </c>
      <c r="J273" s="16">
        <f>'[1]资源-钻石'!T273</f>
        <v>1292097.1659248616</v>
      </c>
      <c r="K273" s="16">
        <f>'[1]资源-钻石'!U273</f>
        <v>1877426.8825173476</v>
      </c>
      <c r="L273" s="16">
        <f>'[1]资源-钻石'!V273</f>
        <v>3273887.5707690823</v>
      </c>
      <c r="M273" s="16">
        <f>'[1]资源-钻石'!W273</f>
        <v>9036706.3278459907</v>
      </c>
      <c r="N273" s="16">
        <f>'[1]资源-钻石'!X273</f>
        <v>21847009.460630588</v>
      </c>
    </row>
    <row r="274" spans="9:14">
      <c r="I274" s="1">
        <v>271</v>
      </c>
      <c r="J274" s="16">
        <f>'[1]资源-钻石'!T274</f>
        <v>1295985.0806504807</v>
      </c>
      <c r="K274" s="16">
        <f>'[1]资源-钻石'!U274</f>
        <v>1883383.5887155286</v>
      </c>
      <c r="L274" s="16">
        <f>'[1]资源-钻石'!V274</f>
        <v>3284891.9475870817</v>
      </c>
      <c r="M274" s="16">
        <f>'[1]资源-钻石'!W274</f>
        <v>9068831.1423457898</v>
      </c>
      <c r="N274" s="16">
        <f>'[1]资源-钻石'!X274</f>
        <v>21926201.756580368</v>
      </c>
    </row>
    <row r="275" spans="9:14">
      <c r="I275" s="1">
        <v>272</v>
      </c>
      <c r="J275" s="16">
        <f>'[1]资源-钻石'!T275</f>
        <v>1299872.9953760998</v>
      </c>
      <c r="K275" s="16">
        <f>'[1]资源-钻石'!U275</f>
        <v>1889340.2949137096</v>
      </c>
      <c r="L275" s="16">
        <f>'[1]资源-钻石'!V275</f>
        <v>3295896.3244050806</v>
      </c>
      <c r="M275" s="16">
        <f>'[1]资源-钻石'!W275</f>
        <v>9100955.956845589</v>
      </c>
      <c r="N275" s="16">
        <f>'[1]资源-钻石'!X275</f>
        <v>22005394.052530147</v>
      </c>
    </row>
    <row r="276" spans="9:14">
      <c r="I276" s="4">
        <v>273</v>
      </c>
      <c r="J276" s="16">
        <f>'[1]资源-钻石'!T276</f>
        <v>1303760.910101719</v>
      </c>
      <c r="K276" s="16">
        <f>'[1]资源-钻石'!U276</f>
        <v>1895297.0011118907</v>
      </c>
      <c r="L276" s="16">
        <f>'[1]资源-钻石'!V276</f>
        <v>3306900.70122308</v>
      </c>
      <c r="M276" s="16">
        <f>'[1]资源-钻石'!W276</f>
        <v>9133080.7713453881</v>
      </c>
      <c r="N276" s="16">
        <f>'[1]资源-钻石'!X276</f>
        <v>22084586.348479923</v>
      </c>
    </row>
    <row r="277" spans="9:14">
      <c r="I277" s="4">
        <v>274</v>
      </c>
      <c r="J277" s="16">
        <f>'[1]资源-钻石'!T277</f>
        <v>1307648.8248273381</v>
      </c>
      <c r="K277" s="16">
        <f>'[1]资源-钻石'!U277</f>
        <v>1901253.7073100717</v>
      </c>
      <c r="L277" s="16">
        <f>'[1]资源-钻石'!V277</f>
        <v>3317905.078041079</v>
      </c>
      <c r="M277" s="16">
        <f>'[1]资源-钻石'!W277</f>
        <v>9165205.5858451873</v>
      </c>
      <c r="N277" s="16">
        <f>'[1]资源-钻石'!X277</f>
        <v>22163778.644429702</v>
      </c>
    </row>
    <row r="278" spans="9:14">
      <c r="I278" s="4">
        <v>275</v>
      </c>
      <c r="J278" s="16">
        <f>'[1]资源-钻石'!T278</f>
        <v>1311536.7395529572</v>
      </c>
      <c r="K278" s="16">
        <f>'[1]资源-钻石'!U278</f>
        <v>1907210.4135082529</v>
      </c>
      <c r="L278" s="16">
        <f>'[1]资源-钻石'!V278</f>
        <v>3328909.4548590784</v>
      </c>
      <c r="M278" s="16">
        <f>'[1]资源-钻石'!W278</f>
        <v>9197330.4003449865</v>
      </c>
      <c r="N278" s="16">
        <f>'[1]资源-钻石'!X278</f>
        <v>22242970.940379482</v>
      </c>
    </row>
    <row r="279" spans="9:14">
      <c r="I279" s="4">
        <v>276</v>
      </c>
      <c r="J279" s="16">
        <f>'[1]资源-钻石'!T279</f>
        <v>1315424.6542785764</v>
      </c>
      <c r="K279" s="16">
        <f>'[1]资源-钻石'!U279</f>
        <v>1913167.119706434</v>
      </c>
      <c r="L279" s="16">
        <f>'[1]资源-钻石'!V279</f>
        <v>3339913.8316770773</v>
      </c>
      <c r="M279" s="16">
        <f>'[1]资源-钻石'!W279</f>
        <v>9229455.2148447856</v>
      </c>
      <c r="N279" s="16">
        <f>'[1]资源-钻石'!X279</f>
        <v>22322163.236329261</v>
      </c>
    </row>
    <row r="280" spans="9:14">
      <c r="I280" s="1">
        <v>277</v>
      </c>
      <c r="J280" s="16">
        <f>'[1]资源-钻石'!T280</f>
        <v>1319312.5690041955</v>
      </c>
      <c r="K280" s="16">
        <f>'[1]资源-钻石'!U280</f>
        <v>1919123.825904615</v>
      </c>
      <c r="L280" s="16">
        <f>'[1]资源-钻石'!V280</f>
        <v>3350918.2084950767</v>
      </c>
      <c r="M280" s="16">
        <f>'[1]资源-钻石'!W280</f>
        <v>9261580.0293445848</v>
      </c>
      <c r="N280" s="16">
        <f>'[1]资源-钻石'!X280</f>
        <v>22401355.532279041</v>
      </c>
    </row>
    <row r="281" spans="9:14">
      <c r="I281" s="1">
        <v>278</v>
      </c>
      <c r="J281" s="16">
        <f>'[1]资源-钻石'!T281</f>
        <v>1323200.4837298146</v>
      </c>
      <c r="K281" s="16">
        <f>'[1]资源-钻石'!U281</f>
        <v>1925080.532102796</v>
      </c>
      <c r="L281" s="16">
        <f>'[1]资源-钻石'!V281</f>
        <v>3361922.5853130757</v>
      </c>
      <c r="M281" s="16">
        <f>'[1]资源-钻石'!W281</f>
        <v>9293704.843844384</v>
      </c>
      <c r="N281" s="16">
        <f>'[1]资源-钻石'!X281</f>
        <v>22480547.82822882</v>
      </c>
    </row>
    <row r="282" spans="9:14">
      <c r="I282" s="4">
        <v>279</v>
      </c>
      <c r="J282" s="16">
        <f>'[1]资源-钻石'!T282</f>
        <v>1327088.3984554338</v>
      </c>
      <c r="K282" s="16">
        <f>'[1]资源-钻石'!U282</f>
        <v>1931037.238300977</v>
      </c>
      <c r="L282" s="16">
        <f>'[1]资源-钻石'!V282</f>
        <v>3372926.9621310751</v>
      </c>
      <c r="M282" s="16">
        <f>'[1]资源-钻石'!W282</f>
        <v>9325829.6583441831</v>
      </c>
      <c r="N282" s="16">
        <f>'[1]资源-钻石'!X282</f>
        <v>22559740.1241786</v>
      </c>
    </row>
    <row r="283" spans="9:14">
      <c r="I283" s="4">
        <v>280</v>
      </c>
      <c r="J283" s="16">
        <f>'[1]资源-钻石'!T283</f>
        <v>1330976.3131810529</v>
      </c>
      <c r="K283" s="16">
        <f>'[1]资源-钻石'!U283</f>
        <v>1936993.9444991581</v>
      </c>
      <c r="L283" s="16">
        <f>'[1]资源-钻石'!V283</f>
        <v>3383931.338949074</v>
      </c>
      <c r="M283" s="16">
        <f>'[1]资源-钻石'!W283</f>
        <v>9357954.4728439823</v>
      </c>
      <c r="N283" s="16">
        <f>'[1]资源-钻石'!X283</f>
        <v>22638932.420128379</v>
      </c>
    </row>
    <row r="284" spans="9:14">
      <c r="I284" s="4">
        <v>281</v>
      </c>
      <c r="J284" s="16">
        <f>'[1]资源-钻石'!T284</f>
        <v>1334864.2279066721</v>
      </c>
      <c r="K284" s="16">
        <f>'[1]资源-钻石'!U284</f>
        <v>1942950.6506973391</v>
      </c>
      <c r="L284" s="16">
        <f>'[1]资源-钻石'!V284</f>
        <v>3394935.715767073</v>
      </c>
      <c r="M284" s="16">
        <f>'[1]资源-钻石'!W284</f>
        <v>9390079.2873437814</v>
      </c>
      <c r="N284" s="16">
        <f>'[1]资源-钻石'!X284</f>
        <v>22718124.716078155</v>
      </c>
    </row>
    <row r="285" spans="9:14">
      <c r="I285" s="4">
        <v>282</v>
      </c>
      <c r="J285" s="16">
        <f>'[1]资源-钻石'!T285</f>
        <v>1338752.1426322912</v>
      </c>
      <c r="K285" s="16">
        <f>'[1]资源-钻石'!U285</f>
        <v>1948907.3568955201</v>
      </c>
      <c r="L285" s="16">
        <f>'[1]资源-钻石'!V285</f>
        <v>3405940.0925850724</v>
      </c>
      <c r="M285" s="16">
        <f>'[1]资源-钻石'!W285</f>
        <v>9422204.1018435806</v>
      </c>
      <c r="N285" s="16">
        <f>'[1]资源-钻石'!X285</f>
        <v>22797317.012027934</v>
      </c>
    </row>
    <row r="286" spans="9:14">
      <c r="I286" s="1">
        <v>283</v>
      </c>
      <c r="J286" s="16">
        <f>'[1]资源-钻石'!T286</f>
        <v>1342640.0573579101</v>
      </c>
      <c r="K286" s="16">
        <f>'[1]资源-钻石'!U286</f>
        <v>1954864.0630937011</v>
      </c>
      <c r="L286" s="16">
        <f>'[1]资源-钻石'!V286</f>
        <v>3416944.4694030713</v>
      </c>
      <c r="M286" s="16">
        <f>'[1]资源-钻石'!W286</f>
        <v>9454328.9163433798</v>
      </c>
      <c r="N286" s="16">
        <f>'[1]资源-钻石'!X286</f>
        <v>22876509.307977714</v>
      </c>
    </row>
    <row r="287" spans="9:14">
      <c r="I287" s="1">
        <v>284</v>
      </c>
      <c r="J287" s="16">
        <f>'[1]资源-钻石'!T287</f>
        <v>1346527.9720835295</v>
      </c>
      <c r="K287" s="16">
        <f>'[1]资源-钻石'!U287</f>
        <v>1960820.7692918822</v>
      </c>
      <c r="L287" s="16">
        <f>'[1]资源-钻石'!V287</f>
        <v>3427948.8462210707</v>
      </c>
      <c r="M287" s="16">
        <f>'[1]资源-钻石'!W287</f>
        <v>9486453.7308431789</v>
      </c>
      <c r="N287" s="16">
        <f>'[1]资源-钻石'!X287</f>
        <v>22955701.603927493</v>
      </c>
    </row>
    <row r="288" spans="9:14">
      <c r="I288" s="4">
        <v>285</v>
      </c>
      <c r="J288" s="16">
        <f>'[1]资源-钻石'!T288</f>
        <v>1350415.8868091484</v>
      </c>
      <c r="K288" s="16">
        <f>'[1]资源-钻石'!U288</f>
        <v>1966777.4754900634</v>
      </c>
      <c r="L288" s="16">
        <f>'[1]资源-钻石'!V288</f>
        <v>3438953.2230390697</v>
      </c>
      <c r="M288" s="16">
        <f>'[1]资源-钻石'!W288</f>
        <v>9518578.5453429781</v>
      </c>
      <c r="N288" s="16">
        <f>'[1]资源-钻石'!X288</f>
        <v>23034893.899877273</v>
      </c>
    </row>
    <row r="289" spans="9:14">
      <c r="I289" s="4">
        <v>286</v>
      </c>
      <c r="J289" s="16">
        <f>'[1]资源-钻石'!T289</f>
        <v>1354303.8015347675</v>
      </c>
      <c r="K289" s="16">
        <f>'[1]资源-钻石'!U289</f>
        <v>1972734.1816882445</v>
      </c>
      <c r="L289" s="16">
        <f>'[1]资源-钻石'!V289</f>
        <v>3449957.5998570691</v>
      </c>
      <c r="M289" s="16">
        <f>'[1]资源-钻石'!W289</f>
        <v>9550703.3598427773</v>
      </c>
      <c r="N289" s="16">
        <f>'[1]资源-钻石'!X289</f>
        <v>23114086.195827052</v>
      </c>
    </row>
    <row r="290" spans="9:14">
      <c r="I290" s="4">
        <v>287</v>
      </c>
      <c r="J290" s="16">
        <f>'[1]资源-钻石'!T290</f>
        <v>1358191.7162603866</v>
      </c>
      <c r="K290" s="16">
        <f>'[1]资源-钻石'!U290</f>
        <v>1978690.8878864255</v>
      </c>
      <c r="L290" s="16">
        <f>'[1]资源-钻石'!V290</f>
        <v>3460961.976675068</v>
      </c>
      <c r="M290" s="16">
        <f>'[1]资源-钻石'!W290</f>
        <v>9582828.1743425764</v>
      </c>
      <c r="N290" s="16">
        <f>'[1]资源-钻石'!X290</f>
        <v>23193278.491776831</v>
      </c>
    </row>
    <row r="291" spans="9:14">
      <c r="I291" s="4">
        <v>288</v>
      </c>
      <c r="J291" s="16">
        <f>'[1]资源-钻石'!T291</f>
        <v>1362079.6309860058</v>
      </c>
      <c r="K291" s="16">
        <f>'[1]资源-钻石'!U291</f>
        <v>1984647.5940846065</v>
      </c>
      <c r="L291" s="16">
        <f>'[1]资源-钻石'!V291</f>
        <v>3471966.3534930674</v>
      </c>
      <c r="M291" s="16">
        <f>'[1]资源-钻石'!W291</f>
        <v>9614952.9888423756</v>
      </c>
      <c r="N291" s="16">
        <f>'[1]资源-钻石'!X291</f>
        <v>23272470.787726611</v>
      </c>
    </row>
    <row r="292" spans="9:14">
      <c r="I292" s="1">
        <v>289</v>
      </c>
      <c r="J292" s="16">
        <f>'[1]资源-钻石'!T292</f>
        <v>1365967.5457116249</v>
      </c>
      <c r="K292" s="16">
        <f>'[1]资源-钻石'!U292</f>
        <v>1990604.3002827875</v>
      </c>
      <c r="L292" s="16">
        <f>'[1]资源-钻石'!V292</f>
        <v>3482970.7303110664</v>
      </c>
      <c r="M292" s="16">
        <f>'[1]资源-钻石'!W292</f>
        <v>9647077.8033421747</v>
      </c>
      <c r="N292" s="16">
        <f>'[1]资源-钻石'!X292</f>
        <v>23351663.08367639</v>
      </c>
    </row>
    <row r="293" spans="9:14">
      <c r="I293" s="1">
        <v>290</v>
      </c>
      <c r="J293" s="16">
        <f>'[1]资源-钻石'!T293</f>
        <v>1369855.460437244</v>
      </c>
      <c r="K293" s="16">
        <f>'[1]资源-钻石'!U293</f>
        <v>1996561.0064809686</v>
      </c>
      <c r="L293" s="16">
        <f>'[1]资源-钻石'!V293</f>
        <v>3493975.1071290653</v>
      </c>
      <c r="M293" s="16">
        <f>'[1]资源-钻石'!W293</f>
        <v>9679202.6178419739</v>
      </c>
      <c r="N293" s="16">
        <f>'[1]资源-钻石'!X293</f>
        <v>23430855.37962617</v>
      </c>
    </row>
    <row r="294" spans="9:14">
      <c r="I294" s="4">
        <v>291</v>
      </c>
      <c r="J294" s="16">
        <f>'[1]资源-钻石'!T294</f>
        <v>1373743.3751628632</v>
      </c>
      <c r="K294" s="16">
        <f>'[1]资源-钻石'!U294</f>
        <v>2002517.7126791496</v>
      </c>
      <c r="L294" s="16">
        <f>'[1]资源-钻石'!V294</f>
        <v>3504979.4839470647</v>
      </c>
      <c r="M294" s="16">
        <f>'[1]资源-钻石'!W294</f>
        <v>9711327.4323417731</v>
      </c>
      <c r="N294" s="16">
        <f>'[1]资源-钻石'!X294</f>
        <v>23510047.675575946</v>
      </c>
    </row>
    <row r="295" spans="9:14">
      <c r="I295" s="4">
        <v>292</v>
      </c>
      <c r="J295" s="16">
        <f>'[1]资源-钻石'!T295</f>
        <v>1377631.2898884823</v>
      </c>
      <c r="K295" s="16">
        <f>'[1]资源-钻石'!U295</f>
        <v>2008474.4188773306</v>
      </c>
      <c r="L295" s="16">
        <f>'[1]资源-钻石'!V295</f>
        <v>3515983.8607650637</v>
      </c>
      <c r="M295" s="16">
        <f>'[1]资源-钻石'!W295</f>
        <v>9743452.2468415722</v>
      </c>
      <c r="N295" s="16">
        <f>'[1]资源-钻石'!X295</f>
        <v>23589239.971525725</v>
      </c>
    </row>
    <row r="296" spans="9:14">
      <c r="I296" s="4">
        <v>293</v>
      </c>
      <c r="J296" s="16">
        <f>'[1]资源-钻石'!T296</f>
        <v>1381519.2046141014</v>
      </c>
      <c r="K296" s="16">
        <f>'[1]资源-钻石'!U296</f>
        <v>2014431.1250755116</v>
      </c>
      <c r="L296" s="16">
        <f>'[1]资源-钻石'!V296</f>
        <v>3526988.2375830631</v>
      </c>
      <c r="M296" s="16">
        <f>'[1]资源-钻石'!W296</f>
        <v>9775577.0613413714</v>
      </c>
      <c r="N296" s="16">
        <f>'[1]资源-钻石'!X296</f>
        <v>23668432.267475504</v>
      </c>
    </row>
    <row r="297" spans="9:14">
      <c r="I297" s="4">
        <v>294</v>
      </c>
      <c r="J297" s="16">
        <f>'[1]资源-钻石'!T297</f>
        <v>1385407.1193397206</v>
      </c>
      <c r="K297" s="16">
        <f>'[1]资源-钻石'!U297</f>
        <v>2020387.8312736927</v>
      </c>
      <c r="L297" s="16">
        <f>'[1]资源-钻石'!V297</f>
        <v>3537992.614401062</v>
      </c>
      <c r="M297" s="16">
        <f>'[1]资源-钻石'!W297</f>
        <v>9807701.8758411705</v>
      </c>
      <c r="N297" s="16">
        <f>'[1]资源-钻石'!X297</f>
        <v>23747624.563425284</v>
      </c>
    </row>
    <row r="298" spans="9:14">
      <c r="I298" s="1">
        <v>295</v>
      </c>
      <c r="J298" s="16">
        <f>'[1]资源-钻石'!T298</f>
        <v>1389295.0340653397</v>
      </c>
      <c r="K298" s="16">
        <f>'[1]资源-钻石'!U298</f>
        <v>2026344.5374718737</v>
      </c>
      <c r="L298" s="16">
        <f>'[1]资源-钻石'!V298</f>
        <v>3548996.9912190614</v>
      </c>
      <c r="M298" s="16">
        <f>'[1]资源-钻石'!W298</f>
        <v>9839826.6903409697</v>
      </c>
      <c r="N298" s="16">
        <f>'[1]资源-钻石'!X298</f>
        <v>23826816.859375063</v>
      </c>
    </row>
    <row r="299" spans="9:14">
      <c r="I299" s="1">
        <v>296</v>
      </c>
      <c r="J299" s="16">
        <f>'[1]资源-钻石'!T299</f>
        <v>1393182.9487909588</v>
      </c>
      <c r="K299" s="16">
        <f>'[1]资源-钻石'!U299</f>
        <v>2032301.2436700547</v>
      </c>
      <c r="L299" s="16">
        <f>'[1]资源-钻石'!V299</f>
        <v>3560001.3680370604</v>
      </c>
      <c r="M299" s="16">
        <f>'[1]资源-钻石'!W299</f>
        <v>9871951.5048407689</v>
      </c>
      <c r="N299" s="16">
        <f>'[1]资源-钻石'!X299</f>
        <v>23906009.155324843</v>
      </c>
    </row>
    <row r="300" spans="9:14">
      <c r="I300" s="4">
        <v>297</v>
      </c>
      <c r="J300" s="16">
        <f>'[1]资源-钻石'!T300</f>
        <v>1397070.863516578</v>
      </c>
      <c r="K300" s="16">
        <f>'[1]资源-钻石'!U300</f>
        <v>2038257.949868236</v>
      </c>
      <c r="L300" s="16">
        <f>'[1]资源-钻石'!V300</f>
        <v>3571005.7448550598</v>
      </c>
      <c r="M300" s="16">
        <f>'[1]资源-钻石'!W300</f>
        <v>9904076.3193405662</v>
      </c>
      <c r="N300" s="16">
        <f>'[1]资源-钻石'!X300</f>
        <v>23985201.451274622</v>
      </c>
    </row>
    <row r="301" spans="9:14">
      <c r="I301" s="4">
        <v>298</v>
      </c>
      <c r="J301" s="16">
        <f>'[1]资源-钻石'!T301</f>
        <v>1400958.7782421971</v>
      </c>
      <c r="K301" s="16">
        <f>'[1]资源-钻石'!U301</f>
        <v>2044214.656066417</v>
      </c>
      <c r="L301" s="16">
        <f>'[1]资源-钻石'!V301</f>
        <v>3582010.1216730587</v>
      </c>
      <c r="M301" s="16">
        <f>'[1]资源-钻石'!W301</f>
        <v>9936201.1338403653</v>
      </c>
      <c r="N301" s="16">
        <f>'[1]资源-钻石'!X301</f>
        <v>24064393.747224402</v>
      </c>
    </row>
    <row r="302" spans="9:14">
      <c r="I302" s="4">
        <v>299</v>
      </c>
      <c r="J302" s="16">
        <f>'[1]资源-钻石'!T302</f>
        <v>1404846.6929678163</v>
      </c>
      <c r="K302" s="16">
        <f>'[1]资源-钻石'!U302</f>
        <v>2050171.362264598</v>
      </c>
      <c r="L302" s="16">
        <f>'[1]资源-钻石'!V302</f>
        <v>3593014.4984910581</v>
      </c>
      <c r="M302" s="16">
        <f>'[1]资源-钻石'!W302</f>
        <v>9968325.9483401645</v>
      </c>
      <c r="N302" s="16">
        <f>'[1]资源-钻石'!X302</f>
        <v>24143586.043174177</v>
      </c>
    </row>
    <row r="303" spans="9:14">
      <c r="I303" s="4">
        <v>300</v>
      </c>
      <c r="J303" s="16">
        <f>'[1]资源-钻石'!T303</f>
        <v>1408734.6076934354</v>
      </c>
      <c r="K303" s="16">
        <f>'[1]资源-钻石'!U303</f>
        <v>2056128.068462779</v>
      </c>
      <c r="L303" s="16">
        <f>'[1]资源-钻石'!V303</f>
        <v>3604018.8753090571</v>
      </c>
      <c r="M303" s="16">
        <f>'[1]资源-钻石'!W303</f>
        <v>10000450.762839964</v>
      </c>
      <c r="N303" s="16">
        <f>'[1]资源-钻石'!X303</f>
        <v>24222778.339123957</v>
      </c>
    </row>
    <row r="304" spans="9:14">
      <c r="I304" s="1">
        <v>301</v>
      </c>
      <c r="J304" s="16">
        <f>'[1]资源-钻石'!T304</f>
        <v>1412622.5224190545</v>
      </c>
      <c r="K304" s="16">
        <f>'[1]资源-钻石'!U304</f>
        <v>2062084.7746609601</v>
      </c>
      <c r="L304" s="16">
        <f>'[1]资源-钻石'!V304</f>
        <v>3615023.2521270565</v>
      </c>
      <c r="M304" s="16">
        <f>'[1]资源-钻石'!W304</f>
        <v>10032575.577339763</v>
      </c>
      <c r="N304" s="16">
        <f>'[1]资源-钻石'!X304</f>
        <v>24301970.635073736</v>
      </c>
    </row>
    <row r="305" spans="9:14">
      <c r="I305" s="1">
        <v>302</v>
      </c>
      <c r="J305" s="16">
        <f>'[1]资源-钻石'!T305</f>
        <v>1416510.4371446737</v>
      </c>
      <c r="K305" s="16">
        <f>'[1]资源-钻石'!U305</f>
        <v>2068041.4808591411</v>
      </c>
      <c r="L305" s="16">
        <f>'[1]资源-钻石'!V305</f>
        <v>3626027.6289450554</v>
      </c>
      <c r="M305" s="16">
        <f>'[1]资源-钻石'!W305</f>
        <v>10064700.391839562</v>
      </c>
      <c r="N305" s="16">
        <f>'[1]资源-钻石'!X305</f>
        <v>24381162.931023516</v>
      </c>
    </row>
    <row r="306" spans="9:14">
      <c r="I306" s="4">
        <v>303</v>
      </c>
      <c r="J306" s="16">
        <f>'[1]资源-钻石'!T306</f>
        <v>1420398.3518702928</v>
      </c>
      <c r="K306" s="16">
        <f>'[1]资源-钻石'!U306</f>
        <v>2073998.1870573221</v>
      </c>
      <c r="L306" s="16">
        <f>'[1]资源-钻石'!V306</f>
        <v>3637032.0057630544</v>
      </c>
      <c r="M306" s="16">
        <f>'[1]资源-钻石'!W306</f>
        <v>10096825.206339361</v>
      </c>
      <c r="N306" s="16">
        <f>'[1]资源-钻石'!X306</f>
        <v>24460355.226973295</v>
      </c>
    </row>
    <row r="307" spans="9:14">
      <c r="I307" s="4">
        <v>304</v>
      </c>
      <c r="J307" s="16">
        <f>'[1]资源-钻石'!T307</f>
        <v>1424286.2665959122</v>
      </c>
      <c r="K307" s="16">
        <f>'[1]资源-钻石'!U307</f>
        <v>2079954.8932555031</v>
      </c>
      <c r="L307" s="16">
        <f>'[1]资源-钻石'!V307</f>
        <v>3648036.3825810538</v>
      </c>
      <c r="M307" s="16">
        <f>'[1]资源-钻石'!W307</f>
        <v>10128950.02083916</v>
      </c>
      <c r="N307" s="16">
        <f>'[1]资源-钻石'!X307</f>
        <v>24539547.522923075</v>
      </c>
    </row>
    <row r="308" spans="9:14">
      <c r="I308" s="4">
        <v>305</v>
      </c>
      <c r="J308" s="16">
        <f>'[1]资源-钻石'!T308</f>
        <v>1428174.1813215311</v>
      </c>
      <c r="K308" s="16">
        <f>'[1]资源-钻石'!U308</f>
        <v>2085911.5994536842</v>
      </c>
      <c r="L308" s="16">
        <f>'[1]资源-钻石'!V308</f>
        <v>3659040.7593990527</v>
      </c>
      <c r="M308" s="16">
        <f>'[1]资源-钻石'!W308</f>
        <v>10161074.835338959</v>
      </c>
      <c r="N308" s="16">
        <f>'[1]资源-钻石'!X308</f>
        <v>24618739.818872854</v>
      </c>
    </row>
    <row r="309" spans="9:14">
      <c r="I309" s="4">
        <v>306</v>
      </c>
      <c r="J309" s="16">
        <f>'[1]资源-钻石'!T309</f>
        <v>1432062.0960471504</v>
      </c>
      <c r="K309" s="16">
        <f>'[1]资源-钻石'!U309</f>
        <v>2091868.3056518652</v>
      </c>
      <c r="L309" s="16">
        <f>'[1]资源-钻石'!V309</f>
        <v>3670045.1362170521</v>
      </c>
      <c r="M309" s="16">
        <f>'[1]资源-钻石'!W309</f>
        <v>10193199.649838759</v>
      </c>
      <c r="N309" s="16">
        <f>'[1]资源-钻石'!X309</f>
        <v>24697932.114822634</v>
      </c>
    </row>
    <row r="310" spans="9:14">
      <c r="I310" s="1">
        <v>307</v>
      </c>
      <c r="J310" s="16">
        <f>'[1]资源-钻石'!T310</f>
        <v>1435950.0107727696</v>
      </c>
      <c r="K310" s="16">
        <f>'[1]资源-钻石'!U310</f>
        <v>2097825.0118500465</v>
      </c>
      <c r="L310" s="16">
        <f>'[1]资源-钻石'!V310</f>
        <v>3681049.5130350511</v>
      </c>
      <c r="M310" s="16">
        <f>'[1]资源-钻石'!W310</f>
        <v>10225324.464338558</v>
      </c>
      <c r="N310" s="16">
        <f>'[1]资源-钻石'!X310</f>
        <v>24777124.410772413</v>
      </c>
    </row>
    <row r="311" spans="9:14">
      <c r="I311" s="1">
        <v>308</v>
      </c>
      <c r="J311" s="16">
        <f>'[1]资源-钻石'!T311</f>
        <v>1439837.9254983887</v>
      </c>
      <c r="K311" s="16">
        <f>'[1]资源-钻石'!U311</f>
        <v>2103781.7180482275</v>
      </c>
      <c r="L311" s="16">
        <f>'[1]资源-钻石'!V311</f>
        <v>3692053.8898530505</v>
      </c>
      <c r="M311" s="16">
        <f>'[1]资源-钻石'!W311</f>
        <v>10257449.278838357</v>
      </c>
      <c r="N311" s="16">
        <f>'[1]资源-钻石'!X311</f>
        <v>24856316.706722189</v>
      </c>
    </row>
    <row r="312" spans="9:14">
      <c r="I312" s="4">
        <v>309</v>
      </c>
      <c r="J312" s="16">
        <f>'[1]资源-钻石'!T312</f>
        <v>1443725.8402240078</v>
      </c>
      <c r="K312" s="16">
        <f>'[1]资源-钻石'!U312</f>
        <v>2109738.4242464085</v>
      </c>
      <c r="L312" s="16">
        <f>'[1]资源-钻石'!V312</f>
        <v>3703058.2666710494</v>
      </c>
      <c r="M312" s="16">
        <f>'[1]资源-钻石'!W312</f>
        <v>10289574.093338156</v>
      </c>
      <c r="N312" s="16">
        <f>'[1]资源-钻石'!X312</f>
        <v>24935509.002671968</v>
      </c>
    </row>
    <row r="313" spans="9:14">
      <c r="I313" s="4">
        <v>310</v>
      </c>
      <c r="J313" s="16">
        <f>'[1]资源-钻石'!T313</f>
        <v>1447613.754949627</v>
      </c>
      <c r="K313" s="16">
        <f>'[1]资源-钻石'!U313</f>
        <v>2115695.1304445895</v>
      </c>
      <c r="L313" s="16">
        <f>'[1]资源-钻石'!V313</f>
        <v>3714062.6434890488</v>
      </c>
      <c r="M313" s="16">
        <f>'[1]资源-钻石'!W313</f>
        <v>10321698.907837955</v>
      </c>
      <c r="N313" s="16">
        <f>'[1]资源-钻石'!X313</f>
        <v>25014701.298621748</v>
      </c>
    </row>
    <row r="314" spans="9:14">
      <c r="I314" s="4">
        <v>311</v>
      </c>
      <c r="J314" s="16">
        <f>'[1]资源-钻石'!T314</f>
        <v>1451501.6696752461</v>
      </c>
      <c r="K314" s="16">
        <f>'[1]资源-钻石'!U314</f>
        <v>2121651.8366427706</v>
      </c>
      <c r="L314" s="16">
        <f>'[1]资源-钻石'!V314</f>
        <v>3725067.0203070478</v>
      </c>
      <c r="M314" s="16">
        <f>'[1]资源-钻石'!W314</f>
        <v>10353823.722337754</v>
      </c>
      <c r="N314" s="16">
        <f>'[1]资源-钻石'!X314</f>
        <v>25093893.594571527</v>
      </c>
    </row>
    <row r="315" spans="9:14">
      <c r="I315" s="4">
        <v>312</v>
      </c>
      <c r="J315" s="16">
        <f>'[1]资源-钻石'!T315</f>
        <v>1455389.5844008652</v>
      </c>
      <c r="K315" s="16">
        <f>'[1]资源-钻石'!U315</f>
        <v>2127608.5428409516</v>
      </c>
      <c r="L315" s="16">
        <f>'[1]资源-钻石'!V315</f>
        <v>3736071.3971250472</v>
      </c>
      <c r="M315" s="16">
        <f>'[1]资源-钻石'!W315</f>
        <v>10385948.536837554</v>
      </c>
      <c r="N315" s="16">
        <f>'[1]资源-钻石'!X315</f>
        <v>25173085.890521307</v>
      </c>
    </row>
    <row r="316" spans="9:14">
      <c r="I316" s="1">
        <v>313</v>
      </c>
      <c r="J316" s="16">
        <f>'[1]资源-钻石'!T316</f>
        <v>1459277.4991264844</v>
      </c>
      <c r="K316" s="16">
        <f>'[1]资源-钻石'!U316</f>
        <v>2133565.2490391326</v>
      </c>
      <c r="L316" s="16">
        <f>'[1]资源-钻石'!V316</f>
        <v>3747075.7739430461</v>
      </c>
      <c r="M316" s="16">
        <f>'[1]资源-钻石'!W316</f>
        <v>10418073.351337353</v>
      </c>
      <c r="N316" s="16">
        <f>'[1]资源-钻石'!X316</f>
        <v>25252278.186471086</v>
      </c>
    </row>
    <row r="317" spans="9:14">
      <c r="I317" s="1">
        <v>314</v>
      </c>
      <c r="J317" s="16">
        <f>'[1]资源-钻石'!T317</f>
        <v>1463165.4138521035</v>
      </c>
      <c r="K317" s="16">
        <f>'[1]资源-钻石'!U317</f>
        <v>2139521.9552373136</v>
      </c>
      <c r="L317" s="16">
        <f>'[1]资源-钻石'!V317</f>
        <v>3758080.1507610455</v>
      </c>
      <c r="M317" s="16">
        <f>'[1]资源-钻石'!W317</f>
        <v>10450198.165837152</v>
      </c>
      <c r="N317" s="16">
        <f>'[1]资源-钻石'!X317</f>
        <v>25331470.482420865</v>
      </c>
    </row>
    <row r="318" spans="9:14">
      <c r="I318" s="4">
        <v>315</v>
      </c>
      <c r="J318" s="16">
        <f>'[1]资源-钻石'!T318</f>
        <v>1467053.3285777227</v>
      </c>
      <c r="K318" s="16">
        <f>'[1]资源-钻石'!U318</f>
        <v>2145478.6614354947</v>
      </c>
      <c r="L318" s="16">
        <f>'[1]资源-钻石'!V318</f>
        <v>3769084.5275790445</v>
      </c>
      <c r="M318" s="16">
        <f>'[1]资源-钻石'!W318</f>
        <v>10482322.980336951</v>
      </c>
      <c r="N318" s="16">
        <f>'[1]资源-钻石'!X318</f>
        <v>25410662.778370641</v>
      </c>
    </row>
    <row r="319" spans="9:14">
      <c r="I319" s="4">
        <v>316</v>
      </c>
      <c r="J319" s="16">
        <f>'[1]资源-钻石'!T319</f>
        <v>1470941.2433033418</v>
      </c>
      <c r="K319" s="16">
        <f>'[1]资源-钻石'!U319</f>
        <v>2151435.3676336757</v>
      </c>
      <c r="L319" s="16">
        <f>'[1]资源-钻石'!V319</f>
        <v>3780088.9043970439</v>
      </c>
      <c r="M319" s="16">
        <f>'[1]资源-钻石'!W319</f>
        <v>10514447.794836748</v>
      </c>
      <c r="N319" s="16">
        <f>'[1]资源-钻石'!X319</f>
        <v>25489855.074320421</v>
      </c>
    </row>
    <row r="320" spans="9:14">
      <c r="I320" s="4">
        <v>317</v>
      </c>
      <c r="J320" s="16">
        <f>'[1]资源-钻石'!T320</f>
        <v>1474829.1580289609</v>
      </c>
      <c r="K320" s="16">
        <f>'[1]资源-钻石'!U320</f>
        <v>2157392.0738318567</v>
      </c>
      <c r="L320" s="16">
        <f>'[1]资源-钻石'!V320</f>
        <v>3791093.2812150428</v>
      </c>
      <c r="M320" s="16">
        <f>'[1]资源-钻石'!W320</f>
        <v>10546572.609336548</v>
      </c>
      <c r="N320" s="16">
        <f>'[1]资源-钻石'!X320</f>
        <v>25569047.3702702</v>
      </c>
    </row>
    <row r="321" spans="9:14">
      <c r="I321" s="4">
        <v>318</v>
      </c>
      <c r="J321" s="16">
        <f>'[1]资源-钻石'!T321</f>
        <v>1478717.0727545801</v>
      </c>
      <c r="K321" s="16">
        <f>'[1]资源-钻石'!U321</f>
        <v>2163348.7800300377</v>
      </c>
      <c r="L321" s="16">
        <f>'[1]资源-钻石'!V321</f>
        <v>3802097.6580330422</v>
      </c>
      <c r="M321" s="16">
        <f>'[1]资源-钻石'!W321</f>
        <v>10578697.423836347</v>
      </c>
      <c r="N321" s="16">
        <f>'[1]资源-钻石'!X321</f>
        <v>25648239.66621998</v>
      </c>
    </row>
    <row r="322" spans="9:14">
      <c r="I322" s="1">
        <v>319</v>
      </c>
      <c r="J322" s="16">
        <f>'[1]资源-钻石'!T322</f>
        <v>1482604.9874801992</v>
      </c>
      <c r="K322" s="16">
        <f>'[1]资源-钻石'!U322</f>
        <v>2169305.4862282188</v>
      </c>
      <c r="L322" s="16">
        <f>'[1]资源-钻石'!V322</f>
        <v>3813102.0348510412</v>
      </c>
      <c r="M322" s="16">
        <f>'[1]资源-钻石'!W322</f>
        <v>10610822.238336146</v>
      </c>
      <c r="N322" s="16">
        <f>'[1]资源-钻石'!X322</f>
        <v>25727431.962169759</v>
      </c>
    </row>
    <row r="323" spans="9:14">
      <c r="I323" s="1">
        <v>320</v>
      </c>
      <c r="J323" s="16">
        <f>'[1]资源-钻石'!T323</f>
        <v>1486492.9022058183</v>
      </c>
      <c r="K323" s="16">
        <f>'[1]资源-钻石'!U323</f>
        <v>2175262.1924263998</v>
      </c>
      <c r="L323" s="16">
        <f>'[1]资源-钻石'!V323</f>
        <v>3824106.4116690401</v>
      </c>
      <c r="M323" s="16">
        <f>'[1]资源-钻石'!W323</f>
        <v>10642947.052835945</v>
      </c>
      <c r="N323" s="16">
        <f>'[1]资源-钻石'!X323</f>
        <v>25806624.258119538</v>
      </c>
    </row>
    <row r="324" spans="9:14">
      <c r="I324" s="4">
        <v>321</v>
      </c>
      <c r="J324" s="16">
        <f>'[1]资源-钻石'!T324</f>
        <v>1490380.8169314375</v>
      </c>
      <c r="K324" s="16">
        <f>'[1]资源-钻石'!U324</f>
        <v>2181218.8986245808</v>
      </c>
      <c r="L324" s="16">
        <f>'[1]资源-钻石'!V324</f>
        <v>3835110.7884870395</v>
      </c>
      <c r="M324" s="16">
        <f>'[1]资源-钻石'!W324</f>
        <v>10675071.867335744</v>
      </c>
      <c r="N324" s="16">
        <f>'[1]资源-钻石'!X324</f>
        <v>25885816.554069318</v>
      </c>
    </row>
    <row r="325" spans="9:14">
      <c r="I325" s="4">
        <v>322</v>
      </c>
      <c r="J325" s="16">
        <f>'[1]资源-钻石'!T325</f>
        <v>1494268.7316570566</v>
      </c>
      <c r="K325" s="16">
        <f>'[1]资源-钻石'!U325</f>
        <v>2187175.6048227618</v>
      </c>
      <c r="L325" s="16">
        <f>'[1]资源-钻石'!V325</f>
        <v>3846115.1653050384</v>
      </c>
      <c r="M325" s="16">
        <f>'[1]资源-钻石'!W325</f>
        <v>10707196.681835543</v>
      </c>
      <c r="N325" s="16">
        <f>'[1]资源-钻石'!X325</f>
        <v>25965008.850019094</v>
      </c>
    </row>
    <row r="326" spans="9:14">
      <c r="I326" s="4">
        <v>323</v>
      </c>
      <c r="J326" s="16">
        <f>'[1]资源-钻石'!T326</f>
        <v>1498156.6463826757</v>
      </c>
      <c r="K326" s="16">
        <f>'[1]资源-钻石'!U326</f>
        <v>2193132.3110209429</v>
      </c>
      <c r="L326" s="16">
        <f>'[1]资源-钻石'!V326</f>
        <v>3857119.5421230379</v>
      </c>
      <c r="M326" s="16">
        <f>'[1]资源-钻石'!W326</f>
        <v>10739321.496335343</v>
      </c>
      <c r="N326" s="16">
        <f>'[1]资源-钻石'!X326</f>
        <v>26044201.145968873</v>
      </c>
    </row>
    <row r="327" spans="9:14">
      <c r="I327" s="4">
        <v>324</v>
      </c>
      <c r="J327" s="16">
        <f>'[1]资源-钻石'!T327</f>
        <v>1502044.5611082949</v>
      </c>
      <c r="K327" s="16">
        <f>'[1]资源-钻石'!U327</f>
        <v>2199089.0172191239</v>
      </c>
      <c r="L327" s="16">
        <f>'[1]资源-钻石'!V327</f>
        <v>3868123.9189410368</v>
      </c>
      <c r="M327" s="16">
        <f>'[1]资源-钻石'!W327</f>
        <v>10771446.310835142</v>
      </c>
      <c r="N327" s="16">
        <f>'[1]资源-钻石'!X327</f>
        <v>26123393.441918653</v>
      </c>
    </row>
    <row r="328" spans="9:14">
      <c r="I328" s="1">
        <v>325</v>
      </c>
      <c r="J328" s="16">
        <f>'[1]资源-钻石'!T328</f>
        <v>1505932.475833914</v>
      </c>
      <c r="K328" s="16">
        <f>'[1]资源-钻石'!U328</f>
        <v>2205045.7234173049</v>
      </c>
      <c r="L328" s="16">
        <f>'[1]资源-钻石'!V328</f>
        <v>3879128.2957590362</v>
      </c>
      <c r="M328" s="16">
        <f>'[1]资源-钻石'!W328</f>
        <v>10803571.125334941</v>
      </c>
      <c r="N328" s="16">
        <f>'[1]资源-钻石'!X328</f>
        <v>26202585.737868432</v>
      </c>
    </row>
    <row r="329" spans="9:14">
      <c r="I329" s="1">
        <v>326</v>
      </c>
      <c r="J329" s="16">
        <f>'[1]资源-钻石'!T329</f>
        <v>1509820.3905595331</v>
      </c>
      <c r="K329" s="16">
        <f>'[1]资源-钻石'!U329</f>
        <v>2211002.4296154864</v>
      </c>
      <c r="L329" s="16">
        <f>'[1]资源-钻石'!V329</f>
        <v>3890132.6725770351</v>
      </c>
      <c r="M329" s="16">
        <f>'[1]资源-钻石'!W329</f>
        <v>10835695.93983474</v>
      </c>
      <c r="N329" s="16">
        <f>'[1]资源-钻石'!X329</f>
        <v>26281778.033818211</v>
      </c>
    </row>
    <row r="330" spans="9:14">
      <c r="I330" s="4">
        <v>327</v>
      </c>
      <c r="J330" s="16">
        <f>'[1]资源-钻石'!T330</f>
        <v>1513708.3052851523</v>
      </c>
      <c r="K330" s="16">
        <f>'[1]资源-钻石'!U330</f>
        <v>2216959.1358136674</v>
      </c>
      <c r="L330" s="16">
        <f>'[1]资源-钻石'!V330</f>
        <v>3901137.0493950346</v>
      </c>
      <c r="M330" s="16">
        <f>'[1]资源-钻石'!W330</f>
        <v>10867820.754334539</v>
      </c>
      <c r="N330" s="16">
        <f>'[1]资源-钻石'!X330</f>
        <v>26360970.329767991</v>
      </c>
    </row>
    <row r="331" spans="9:14">
      <c r="I331" s="4">
        <v>328</v>
      </c>
      <c r="J331" s="16">
        <f>'[1]资源-钻石'!T331</f>
        <v>1517596.2200107714</v>
      </c>
      <c r="K331" s="16">
        <f>'[1]资源-钻石'!U331</f>
        <v>2222915.8420118485</v>
      </c>
      <c r="L331" s="16">
        <f>'[1]资源-钻石'!V331</f>
        <v>3912141.4262130335</v>
      </c>
      <c r="M331" s="16">
        <f>'[1]资源-钻石'!W331</f>
        <v>10899945.568834338</v>
      </c>
      <c r="N331" s="16">
        <f>'[1]资源-钻石'!X331</f>
        <v>26440162.625717767</v>
      </c>
    </row>
    <row r="332" spans="9:14">
      <c r="I332" s="4">
        <v>329</v>
      </c>
      <c r="J332" s="16">
        <f>'[1]资源-钻石'!T332</f>
        <v>1521484.1347363906</v>
      </c>
      <c r="K332" s="16">
        <f>'[1]资源-钻石'!U332</f>
        <v>2228872.5482100295</v>
      </c>
      <c r="L332" s="16">
        <f>'[1]资源-钻石'!V332</f>
        <v>3923145.8030310329</v>
      </c>
      <c r="M332" s="16">
        <f>'[1]资源-钻石'!W332</f>
        <v>10932070.383334137</v>
      </c>
      <c r="N332" s="16">
        <f>'[1]资源-钻石'!X332</f>
        <v>26519354.921667546</v>
      </c>
    </row>
    <row r="333" spans="9:14">
      <c r="I333" s="4">
        <v>330</v>
      </c>
      <c r="J333" s="16">
        <f>'[1]资源-钻石'!T333</f>
        <v>1525372.0494620097</v>
      </c>
      <c r="K333" s="16">
        <f>'[1]资源-钻石'!U333</f>
        <v>2234829.2544082105</v>
      </c>
      <c r="L333" s="16">
        <f>'[1]资源-钻石'!V333</f>
        <v>3934150.1798490318</v>
      </c>
      <c r="M333" s="16">
        <f>'[1]资源-钻石'!W333</f>
        <v>10964195.197833937</v>
      </c>
      <c r="N333" s="16">
        <f>'[1]资源-钻石'!X333</f>
        <v>26598547.217617325</v>
      </c>
    </row>
    <row r="334" spans="9:14">
      <c r="I334" s="1">
        <v>331</v>
      </c>
      <c r="J334" s="16">
        <f>'[1]资源-钻石'!T334</f>
        <v>1529259.9641876288</v>
      </c>
      <c r="K334" s="16">
        <f>'[1]资源-钻石'!U334</f>
        <v>2240785.9606063915</v>
      </c>
      <c r="L334" s="16">
        <f>'[1]资源-钻石'!V334</f>
        <v>3945154.5566670313</v>
      </c>
      <c r="M334" s="16">
        <f>'[1]资源-钻石'!W334</f>
        <v>10996320.012333736</v>
      </c>
      <c r="N334" s="16">
        <f>'[1]资源-钻石'!X334</f>
        <v>26677739.513567105</v>
      </c>
    </row>
    <row r="335" spans="9:14">
      <c r="I335" s="1">
        <v>332</v>
      </c>
      <c r="J335" s="16">
        <f>'[1]资源-钻石'!T335</f>
        <v>1533147.878913248</v>
      </c>
      <c r="K335" s="16">
        <f>'[1]资源-钻石'!U335</f>
        <v>2246742.6668045726</v>
      </c>
      <c r="L335" s="16">
        <f>'[1]资源-钻石'!V335</f>
        <v>3956158.9334850302</v>
      </c>
      <c r="M335" s="16">
        <f>'[1]资源-钻石'!W335</f>
        <v>11028444.826833533</v>
      </c>
      <c r="N335" s="16">
        <f>'[1]资源-钻石'!X335</f>
        <v>26756931.809516884</v>
      </c>
    </row>
    <row r="336" spans="9:14">
      <c r="I336" s="4">
        <v>333</v>
      </c>
      <c r="J336" s="16">
        <f>'[1]资源-钻石'!T336</f>
        <v>1537035.7936388671</v>
      </c>
      <c r="K336" s="16">
        <f>'[1]资源-钻石'!U336</f>
        <v>2252699.3730027536</v>
      </c>
      <c r="L336" s="16">
        <f>'[1]资源-钻石'!V336</f>
        <v>3967163.3103030296</v>
      </c>
      <c r="M336" s="16">
        <f>'[1]资源-钻石'!W336</f>
        <v>11060569.641333332</v>
      </c>
      <c r="N336" s="16">
        <f>'[1]资源-钻石'!X336</f>
        <v>26836124.105466664</v>
      </c>
    </row>
    <row r="337" spans="9:14">
      <c r="I337" s="4">
        <v>334</v>
      </c>
      <c r="J337" s="16">
        <f>'[1]资源-钻石'!T337</f>
        <v>1540923.7083644862</v>
      </c>
      <c r="K337" s="16">
        <f>'[1]资源-钻石'!U337</f>
        <v>2258656.0792009346</v>
      </c>
      <c r="L337" s="16">
        <f>'[1]资源-钻石'!V337</f>
        <v>3978167.6871210285</v>
      </c>
      <c r="M337" s="16">
        <f>'[1]资源-钻石'!W337</f>
        <v>11092694.455833131</v>
      </c>
      <c r="N337" s="16">
        <f>'[1]资源-钻石'!X337</f>
        <v>26915316.40141644</v>
      </c>
    </row>
    <row r="338" spans="9:14">
      <c r="I338" s="4">
        <v>335</v>
      </c>
      <c r="J338" s="16">
        <f>'[1]资源-钻石'!T338</f>
        <v>1544811.6230901054</v>
      </c>
      <c r="K338" s="16">
        <f>'[1]资源-钻石'!U338</f>
        <v>2264612.7853991156</v>
      </c>
      <c r="L338" s="16">
        <f>'[1]资源-钻石'!V338</f>
        <v>3989172.063939028</v>
      </c>
      <c r="M338" s="16">
        <f>'[1]资源-钻石'!W338</f>
        <v>11124819.270332931</v>
      </c>
      <c r="N338" s="16">
        <f>'[1]资源-钻石'!X338</f>
        <v>26994508.697366219</v>
      </c>
    </row>
    <row r="339" spans="9:14">
      <c r="I339" s="4">
        <v>336</v>
      </c>
      <c r="J339" s="16">
        <f>'[1]资源-钻石'!T339</f>
        <v>1548699.5378157245</v>
      </c>
      <c r="K339" s="16">
        <f>'[1]资源-钻石'!U339</f>
        <v>2270569.4915972967</v>
      </c>
      <c r="L339" s="16">
        <f>'[1]资源-钻石'!V339</f>
        <v>4000176.4407570269</v>
      </c>
      <c r="M339" s="16">
        <f>'[1]资源-钻石'!W339</f>
        <v>11156944.08483273</v>
      </c>
      <c r="N339" s="16">
        <f>'[1]资源-钻石'!X339</f>
        <v>27073699.263363283</v>
      </c>
    </row>
    <row r="340" spans="9:14">
      <c r="I340" s="1">
        <v>337</v>
      </c>
      <c r="J340" s="16">
        <f>'[1]资源-钻石'!T340</f>
        <v>1552584.3384676364</v>
      </c>
      <c r="K340" s="16">
        <f>'[1]资源-钻石'!U340</f>
        <v>2276526.1977954777</v>
      </c>
      <c r="L340" s="16">
        <f>'[1]资源-钻石'!V340</f>
        <v>4011180.8175750263</v>
      </c>
      <c r="M340" s="16">
        <f>'[1]资源-钻石'!W340</f>
        <v>11189068.899332529</v>
      </c>
      <c r="N340" s="16">
        <f>'[1]资源-钻石'!X340</f>
        <v>27152881.147005476</v>
      </c>
    </row>
    <row r="341" spans="9:14">
      <c r="I341" s="1">
        <v>338</v>
      </c>
      <c r="J341" s="16">
        <f>'[1]资源-钻石'!T341</f>
        <v>1556457.134484218</v>
      </c>
      <c r="K341" s="16">
        <f>'[1]资源-钻石'!U341</f>
        <v>2282482.9039936587</v>
      </c>
      <c r="L341" s="16">
        <f>'[1]资源-钻石'!V341</f>
        <v>4022185.1943930252</v>
      </c>
      <c r="M341" s="16">
        <f>'[1]资源-钻石'!W341</f>
        <v>11221193.713832328</v>
      </c>
      <c r="N341" s="16">
        <f>'[1]资源-钻石'!X341</f>
        <v>27232063.030647673</v>
      </c>
    </row>
    <row r="342" spans="9:14">
      <c r="I342" s="4">
        <v>339</v>
      </c>
      <c r="J342" s="16">
        <f>'[1]资源-钻石'!T342</f>
        <v>1560329.9305007996</v>
      </c>
      <c r="K342" s="16">
        <f>'[1]资源-钻石'!U342</f>
        <v>2288439.6101918397</v>
      </c>
      <c r="L342" s="16">
        <f>'[1]资源-钻石'!V342</f>
        <v>4033189.5712110247</v>
      </c>
      <c r="M342" s="16">
        <f>'[1]资源-钻石'!W342</f>
        <v>11253318.528332127</v>
      </c>
      <c r="N342" s="16">
        <f>'[1]资源-钻石'!X342</f>
        <v>27311244.914289866</v>
      </c>
    </row>
    <row r="343" spans="9:14">
      <c r="I343" s="4">
        <v>340</v>
      </c>
      <c r="J343" s="16">
        <f>'[1]资源-钻石'!T343</f>
        <v>1564202.7265173811</v>
      </c>
      <c r="K343" s="16">
        <f>'[1]资源-钻石'!U343</f>
        <v>2294396.3163900208</v>
      </c>
      <c r="L343" s="16">
        <f>'[1]资源-钻石'!V343</f>
        <v>4044193.9480290236</v>
      </c>
      <c r="M343" s="16">
        <f>'[1]资源-钻石'!W343</f>
        <v>11285443.342831926</v>
      </c>
      <c r="N343" s="16">
        <f>'[1]资源-钻石'!X343</f>
        <v>27390426.797932062</v>
      </c>
    </row>
    <row r="344" spans="9:14">
      <c r="I344" s="4">
        <v>341</v>
      </c>
      <c r="J344" s="16">
        <f>'[1]资源-钻石'!T344</f>
        <v>1568075.5225339627</v>
      </c>
      <c r="K344" s="16">
        <f>'[1]资源-钻石'!U344</f>
        <v>2300353.0225882018</v>
      </c>
      <c r="L344" s="16">
        <f>'[1]资源-钻石'!V344</f>
        <v>4055198.324847023</v>
      </c>
      <c r="M344" s="16">
        <f>'[1]资源-钻石'!W344</f>
        <v>11317568.157331726</v>
      </c>
      <c r="N344" s="16">
        <f>'[1]资源-钻石'!X344</f>
        <v>27469608.681574255</v>
      </c>
    </row>
    <row r="345" spans="9:14">
      <c r="I345" s="4">
        <v>342</v>
      </c>
      <c r="J345" s="16">
        <f>'[1]资源-钻石'!T345</f>
        <v>1571948.3185505446</v>
      </c>
      <c r="K345" s="16">
        <f>'[1]资源-钻石'!U345</f>
        <v>2306309.7287863828</v>
      </c>
      <c r="L345" s="16">
        <f>'[1]资源-钻石'!V345</f>
        <v>4066202.7016650219</v>
      </c>
      <c r="M345" s="16">
        <f>'[1]资源-钻石'!W345</f>
        <v>11349692.971831525</v>
      </c>
      <c r="N345" s="16">
        <f>'[1]资源-钻石'!X345</f>
        <v>27548790.565216452</v>
      </c>
    </row>
    <row r="346" spans="9:14">
      <c r="I346" s="1">
        <v>343</v>
      </c>
      <c r="J346" s="16">
        <f>'[1]资源-钻石'!T346</f>
        <v>1575821.1145671261</v>
      </c>
      <c r="K346" s="16">
        <f>'[1]资源-钻石'!U346</f>
        <v>2312266.4349845638</v>
      </c>
      <c r="L346" s="16">
        <f>'[1]资源-钻石'!V346</f>
        <v>4077207.0784830214</v>
      </c>
      <c r="M346" s="16">
        <f>'[1]资源-钻石'!W346</f>
        <v>11381817.786331324</v>
      </c>
      <c r="N346" s="16">
        <f>'[1]资源-钻石'!X346</f>
        <v>27627972.448858645</v>
      </c>
    </row>
    <row r="347" spans="9:14">
      <c r="I347" s="1">
        <v>344</v>
      </c>
      <c r="J347" s="16">
        <f>'[1]资源-钻石'!T347</f>
        <v>1579693.9105837077</v>
      </c>
      <c r="K347" s="16">
        <f>'[1]资源-钻石'!U347</f>
        <v>2318223.1411827449</v>
      </c>
      <c r="L347" s="16">
        <f>'[1]资源-钻石'!V347</f>
        <v>4088211.4553010203</v>
      </c>
      <c r="M347" s="16">
        <f>'[1]资源-钻石'!W347</f>
        <v>11413942.600831123</v>
      </c>
      <c r="N347" s="16">
        <f>'[1]资源-钻石'!X347</f>
        <v>27707154.332500841</v>
      </c>
    </row>
    <row r="348" spans="9:14">
      <c r="I348" s="4">
        <v>345</v>
      </c>
      <c r="J348" s="16">
        <f>'[1]资源-钻石'!T348</f>
        <v>1583566.7066002893</v>
      </c>
      <c r="K348" s="16">
        <f>'[1]资源-钻石'!U348</f>
        <v>2324179.8473809259</v>
      </c>
      <c r="L348" s="16">
        <f>'[1]资源-钻石'!V348</f>
        <v>4099215.8321190197</v>
      </c>
      <c r="M348" s="16">
        <f>'[1]资源-钻石'!W348</f>
        <v>11446067.415330922</v>
      </c>
      <c r="N348" s="16">
        <f>'[1]资源-钻石'!X348</f>
        <v>27786336.216143034</v>
      </c>
    </row>
    <row r="349" spans="9:14">
      <c r="I349" s="4">
        <v>346</v>
      </c>
      <c r="J349" s="16">
        <f>'[1]资源-钻石'!T349</f>
        <v>1587439.5026168709</v>
      </c>
      <c r="K349" s="16">
        <f>'[1]资源-钻石'!U349</f>
        <v>2330136.5535791074</v>
      </c>
      <c r="L349" s="16">
        <f>'[1]资源-钻石'!V349</f>
        <v>4110220.2089370186</v>
      </c>
      <c r="M349" s="16">
        <f>'[1]资源-钻石'!W349</f>
        <v>11478192.229830721</v>
      </c>
      <c r="N349" s="16">
        <f>'[1]资源-钻石'!X349</f>
        <v>27865518.099785231</v>
      </c>
    </row>
    <row r="350" spans="9:14">
      <c r="I350" s="4">
        <v>347</v>
      </c>
      <c r="J350" s="16">
        <f>'[1]资源-钻石'!T350</f>
        <v>1591312.2986334525</v>
      </c>
      <c r="K350" s="16">
        <f>'[1]资源-钻石'!U350</f>
        <v>2336093.2597772884</v>
      </c>
      <c r="L350" s="16">
        <f>'[1]资源-钻石'!V350</f>
        <v>4121224.5857550181</v>
      </c>
      <c r="M350" s="16">
        <f>'[1]资源-钻石'!W350</f>
        <v>11510317.044330521</v>
      </c>
      <c r="N350" s="16">
        <f>'[1]资源-钻石'!X350</f>
        <v>27944699.983427424</v>
      </c>
    </row>
    <row r="351" spans="9:14">
      <c r="I351" s="4">
        <v>348</v>
      </c>
      <c r="J351" s="16">
        <f>'[1]资源-钻石'!T351</f>
        <v>1595185.0946500343</v>
      </c>
      <c r="K351" s="16">
        <f>'[1]资源-钻石'!U351</f>
        <v>2342049.9659754694</v>
      </c>
      <c r="L351" s="16">
        <f>'[1]资源-钻石'!V351</f>
        <v>4132228.962573017</v>
      </c>
      <c r="M351" s="16">
        <f>'[1]资源-钻石'!W351</f>
        <v>11542441.85883032</v>
      </c>
      <c r="N351" s="16">
        <f>'[1]资源-钻石'!X351</f>
        <v>28023881.867069621</v>
      </c>
    </row>
    <row r="352" spans="9:14">
      <c r="I352" s="1">
        <v>349</v>
      </c>
      <c r="J352" s="16">
        <f>'[1]资源-钻石'!T352</f>
        <v>1599057.8906666159</v>
      </c>
      <c r="K352" s="16">
        <f>'[1]资源-钻石'!U352</f>
        <v>2348006.6721736505</v>
      </c>
      <c r="L352" s="16">
        <f>'[1]资源-钻石'!V352</f>
        <v>4143233.3393910164</v>
      </c>
      <c r="M352" s="16">
        <f>'[1]资源-钻石'!W352</f>
        <v>11574566.673330119</v>
      </c>
      <c r="N352" s="16">
        <f>'[1]资源-钻石'!X352</f>
        <v>28103063.750711814</v>
      </c>
    </row>
    <row r="353" spans="9:14">
      <c r="I353" s="1">
        <v>350</v>
      </c>
      <c r="J353" s="16">
        <f>'[1]资源-钻石'!T353</f>
        <v>1602930.6866831975</v>
      </c>
      <c r="K353" s="16">
        <f>'[1]资源-钻石'!U353</f>
        <v>2353963.3783718315</v>
      </c>
      <c r="L353" s="16">
        <f>'[1]资源-钻石'!V353</f>
        <v>4154237.7162090153</v>
      </c>
      <c r="M353" s="16">
        <f>'[1]资源-钻石'!W353</f>
        <v>11606691.487829918</v>
      </c>
      <c r="N353" s="16">
        <f>'[1]资源-钻石'!X353</f>
        <v>28182245.63435401</v>
      </c>
    </row>
    <row r="354" spans="9:14">
      <c r="I354" s="4">
        <v>351</v>
      </c>
      <c r="J354" s="16">
        <f>'[1]资源-钻石'!T354</f>
        <v>1606803.4826997791</v>
      </c>
      <c r="K354" s="16">
        <f>'[1]资源-钻石'!U354</f>
        <v>2359920.0845700125</v>
      </c>
      <c r="L354" s="16">
        <f>'[1]资源-钻石'!V354</f>
        <v>4165242.0930270143</v>
      </c>
      <c r="M354" s="16">
        <f>'[1]资源-钻石'!W354</f>
        <v>11638816.302329717</v>
      </c>
      <c r="N354" s="16">
        <f>'[1]资源-钻石'!X354</f>
        <v>28261427.517996203</v>
      </c>
    </row>
    <row r="355" spans="9:14">
      <c r="I355" s="4">
        <v>352</v>
      </c>
      <c r="J355" s="16">
        <f>'[1]资源-钻石'!T355</f>
        <v>1610676.2787163607</v>
      </c>
      <c r="K355" s="16">
        <f>'[1]资源-钻石'!U355</f>
        <v>2365876.7907681935</v>
      </c>
      <c r="L355" s="16">
        <f>'[1]资源-钻石'!V355</f>
        <v>4176246.4698450137</v>
      </c>
      <c r="M355" s="16">
        <f>'[1]资源-钻石'!W355</f>
        <v>11670941.116829516</v>
      </c>
      <c r="N355" s="16">
        <f>'[1]资源-钻石'!X355</f>
        <v>28340609.4016384</v>
      </c>
    </row>
    <row r="356" spans="9:14">
      <c r="I356" s="4">
        <v>353</v>
      </c>
      <c r="J356" s="16">
        <f>'[1]资源-钻石'!T356</f>
        <v>1614549.0747329423</v>
      </c>
      <c r="K356" s="16">
        <f>'[1]资源-钻石'!U356</f>
        <v>2371833.4969663746</v>
      </c>
      <c r="L356" s="16">
        <f>'[1]资源-钻石'!V356</f>
        <v>4187250.8466630131</v>
      </c>
      <c r="M356" s="16">
        <f>'[1]资源-钻石'!W356</f>
        <v>11703065.931329316</v>
      </c>
      <c r="N356" s="16">
        <f>'[1]资源-钻石'!X356</f>
        <v>28419791.285280593</v>
      </c>
    </row>
    <row r="357" spans="9:14">
      <c r="I357" s="1">
        <v>354</v>
      </c>
      <c r="J357" s="16">
        <f>'[1]资源-钻石'!T357</f>
        <v>1618421.8707495241</v>
      </c>
      <c r="K357" s="16">
        <f>'[1]资源-钻石'!U357</f>
        <v>2377790.2031645556</v>
      </c>
      <c r="L357" s="16">
        <f>'[1]资源-钻石'!V357</f>
        <v>4198255.2234810125</v>
      </c>
      <c r="M357" s="16">
        <f>'[1]资源-钻石'!W357</f>
        <v>11735190.745829113</v>
      </c>
      <c r="N357" s="16">
        <f>'[1]资源-钻石'!X357</f>
        <v>28498973.168922789</v>
      </c>
    </row>
    <row r="358" spans="9:14">
      <c r="I358" s="1">
        <v>355</v>
      </c>
      <c r="J358" s="16">
        <f>'[1]资源-钻石'!T358</f>
        <v>1622294.6667661057</v>
      </c>
      <c r="K358" s="16">
        <f>'[1]资源-钻石'!U358</f>
        <v>2383746.9093627366</v>
      </c>
      <c r="L358" s="16">
        <f>'[1]资源-钻石'!V358</f>
        <v>4208975.6234510429</v>
      </c>
      <c r="M358" s="16">
        <f>'[1]资源-钻石'!W358</f>
        <v>11767315.560328912</v>
      </c>
      <c r="N358" s="16">
        <f>'[1]资源-钻石'!X358</f>
        <v>28578155.052564986</v>
      </c>
    </row>
    <row r="359" spans="9:14">
      <c r="I359" s="4">
        <v>356</v>
      </c>
      <c r="J359" s="16">
        <f>'[1]资源-钻石'!T359</f>
        <v>1626167.4627826873</v>
      </c>
      <c r="K359" s="16">
        <f>'[1]资源-钻石'!U359</f>
        <v>2389703.6155609176</v>
      </c>
      <c r="L359" s="16">
        <f>'[1]资源-钻石'!V359</f>
        <v>4219656.1954252925</v>
      </c>
      <c r="M359" s="16">
        <f>'[1]资源-钻石'!W359</f>
        <v>11799206.97581517</v>
      </c>
      <c r="N359" s="16">
        <f>'[1]资源-钻石'!X359</f>
        <v>28657336.936207179</v>
      </c>
    </row>
    <row r="360" spans="9:14">
      <c r="I360" s="4">
        <v>357</v>
      </c>
      <c r="J360" s="16">
        <f>'[1]资源-钻石'!T360</f>
        <v>1630040.2587992689</v>
      </c>
      <c r="K360" s="16">
        <f>'[1]资源-钻石'!U360</f>
        <v>2395660.3217590987</v>
      </c>
      <c r="L360" s="16">
        <f>'[1]资源-钻石'!V360</f>
        <v>4230336.767399542</v>
      </c>
      <c r="M360" s="16">
        <f>'[1]资源-钻石'!W360</f>
        <v>11830947.585209705</v>
      </c>
      <c r="N360" s="16">
        <f>'[1]资源-钻石'!X360</f>
        <v>28736518.819849376</v>
      </c>
    </row>
    <row r="361" spans="9:14">
      <c r="I361" s="4">
        <v>358</v>
      </c>
      <c r="J361" s="16">
        <f>'[1]资源-钻石'!T361</f>
        <v>1633913.0548158505</v>
      </c>
      <c r="K361" s="16">
        <f>'[1]资源-钻石'!U361</f>
        <v>2401617.0279572797</v>
      </c>
      <c r="L361" s="16">
        <f>'[1]资源-钻石'!V361</f>
        <v>4241017.3393737916</v>
      </c>
      <c r="M361" s="16">
        <f>'[1]资源-钻石'!W361</f>
        <v>11862688.194604242</v>
      </c>
      <c r="N361" s="16">
        <f>'[1]资源-钻石'!X361</f>
        <v>28815700.703491569</v>
      </c>
    </row>
    <row r="362" spans="9:14">
      <c r="I362" s="1">
        <v>359</v>
      </c>
      <c r="J362" s="16">
        <f>'[1]资源-钻石'!T362</f>
        <v>1637785.850832432</v>
      </c>
      <c r="K362" s="16">
        <f>'[1]资源-钻石'!U362</f>
        <v>2407313.9784725667</v>
      </c>
      <c r="L362" s="16">
        <f>'[1]资源-钻石'!V362</f>
        <v>4251697.9113480402</v>
      </c>
      <c r="M362" s="16">
        <f>'[1]资源-钻石'!W362</f>
        <v>11894428.80399878</v>
      </c>
      <c r="N362" s="16">
        <f>'[1]资源-钻石'!X362</f>
        <v>28894882.587133765</v>
      </c>
    </row>
    <row r="363" spans="9:14">
      <c r="I363" s="4">
        <v>360</v>
      </c>
      <c r="J363" s="16">
        <f>'[1]资源-钻石'!T363</f>
        <v>1641658.6468490139</v>
      </c>
      <c r="K363" s="16">
        <f>'[1]资源-钻石'!U363</f>
        <v>2412907.6343546393</v>
      </c>
      <c r="L363" s="16">
        <f>'[1]资源-钻石'!V363</f>
        <v>4262378.4833222898</v>
      </c>
      <c r="M363" s="16">
        <f>'[1]资源-钻石'!W363</f>
        <v>11926169.413393315</v>
      </c>
      <c r="N363" s="16">
        <f>'[1]资源-钻石'!X363</f>
        <v>28974064.470775958</v>
      </c>
    </row>
    <row r="364" spans="9:14">
      <c r="I364" s="4">
        <v>361</v>
      </c>
      <c r="J364" s="16">
        <f>'[1]资源-钻石'!T364</f>
        <v>1645531.4428655955</v>
      </c>
      <c r="K364" s="16">
        <f>'[1]资源-钻石'!U364</f>
        <v>2418501.2902367124</v>
      </c>
      <c r="L364" s="16">
        <f>'[1]资源-钻石'!V364</f>
        <v>4273059.0552965393</v>
      </c>
      <c r="M364" s="16">
        <f>'[1]资源-钻石'!W364</f>
        <v>11957910.022787852</v>
      </c>
      <c r="N364" s="16">
        <f>'[1]资源-钻石'!X364</f>
        <v>29052991.710573517</v>
      </c>
    </row>
    <row r="365" spans="9:14">
      <c r="I365" s="1">
        <v>362</v>
      </c>
      <c r="J365" s="16">
        <f>'[1]资源-钻石'!T365</f>
        <v>1649079.5198663634</v>
      </c>
      <c r="K365" s="16">
        <f>'[1]资源-钻石'!U365</f>
        <v>2424094.9461187851</v>
      </c>
      <c r="L365" s="16">
        <f>'[1]资源-钻石'!V365</f>
        <v>4283739.6272707889</v>
      </c>
      <c r="M365" s="16">
        <f>'[1]资源-钻石'!W365</f>
        <v>11989650.632182389</v>
      </c>
      <c r="N365" s="16">
        <f>'[1]资源-钻石'!X365</f>
        <v>29131667.325036339</v>
      </c>
    </row>
    <row r="366" spans="9:14">
      <c r="I366" s="4">
        <v>363</v>
      </c>
      <c r="J366" s="16">
        <f>'[1]资源-钻石'!T366</f>
        <v>1652614.5341842531</v>
      </c>
      <c r="K366" s="16">
        <f>'[1]资源-钻石'!U366</f>
        <v>2429688.6020008582</v>
      </c>
      <c r="L366" s="16">
        <f>'[1]资源-钻石'!V366</f>
        <v>4294420.1992450384</v>
      </c>
      <c r="M366" s="16">
        <f>'[1]资源-钻石'!W366</f>
        <v>12021391.241576927</v>
      </c>
      <c r="N366" s="16">
        <f>'[1]资源-钻石'!X366</f>
        <v>29210342.939499162</v>
      </c>
    </row>
    <row r="367" spans="9:14">
      <c r="I367" s="4">
        <v>364</v>
      </c>
      <c r="J367" s="16">
        <f>'[1]资源-钻石'!T367</f>
        <v>1656149.548502143</v>
      </c>
      <c r="K367" s="16">
        <f>'[1]资源-钻石'!U367</f>
        <v>2435282.2578829308</v>
      </c>
      <c r="L367" s="16">
        <f>'[1]资源-钻石'!V367</f>
        <v>4305100.771219288</v>
      </c>
      <c r="M367" s="16">
        <f>'[1]资源-钻石'!W367</f>
        <v>12053131.850971462</v>
      </c>
      <c r="N367" s="16">
        <f>'[1]资源-钻石'!X367</f>
        <v>29289018.553961985</v>
      </c>
    </row>
    <row r="368" spans="9:14">
      <c r="I368" s="4">
        <v>365</v>
      </c>
      <c r="J368" s="16">
        <f>'[1]资源-钻石'!T368</f>
        <v>1659684.5628200327</v>
      </c>
      <c r="K368" s="16">
        <f>'[1]资源-钻石'!U368</f>
        <v>2440875.9137650039</v>
      </c>
      <c r="L368" s="16">
        <f>'[1]资源-钻石'!V368</f>
        <v>4315781.3431935376</v>
      </c>
      <c r="M368" s="16">
        <f>'[1]资源-钻石'!W368</f>
        <v>12084872.460365999</v>
      </c>
      <c r="N368" s="16">
        <f>'[1]资源-钻石'!X368</f>
        <v>29367694.168424807</v>
      </c>
    </row>
    <row r="369" spans="9:14">
      <c r="I369" s="4">
        <v>366</v>
      </c>
      <c r="J369" s="16">
        <f>'[1]资源-钻石'!T369</f>
        <v>1663219.5771379226</v>
      </c>
      <c r="K369" s="16">
        <f>'[1]资源-钻石'!U369</f>
        <v>2446469.5696470765</v>
      </c>
      <c r="L369" s="16">
        <f>'[1]资源-钻石'!V369</f>
        <v>4326461.9151677871</v>
      </c>
      <c r="M369" s="16">
        <f>'[1]资源-钻石'!W369</f>
        <v>12116613.069760537</v>
      </c>
      <c r="N369" s="16">
        <f>'[1]资源-钻石'!X369</f>
        <v>29446369.78288763</v>
      </c>
    </row>
    <row r="370" spans="9:14">
      <c r="I370" s="4">
        <v>367</v>
      </c>
      <c r="J370" s="16">
        <f>'[1]资源-钻石'!T370</f>
        <v>1666754.5914558123</v>
      </c>
      <c r="K370" s="16">
        <f>'[1]资源-钻石'!U370</f>
        <v>2452063.2255291492</v>
      </c>
      <c r="L370" s="16">
        <f>'[1]资源-钻石'!V370</f>
        <v>4337142.4871420367</v>
      </c>
      <c r="M370" s="16">
        <f>'[1]资源-钻石'!W370</f>
        <v>12148353.679155072</v>
      </c>
      <c r="N370" s="16">
        <f>'[1]资源-钻石'!X370</f>
        <v>29525045.397350453</v>
      </c>
    </row>
    <row r="371" spans="9:14">
      <c r="I371" s="1">
        <v>368</v>
      </c>
      <c r="J371" s="16">
        <f>'[1]资源-钻石'!T371</f>
        <v>1670289.6057737023</v>
      </c>
      <c r="K371" s="16">
        <f>'[1]资源-钻石'!U371</f>
        <v>2457656.8814112223</v>
      </c>
      <c r="L371" s="16">
        <f>'[1]资源-钻石'!V371</f>
        <v>4347823.0591162862</v>
      </c>
      <c r="M371" s="16">
        <f>'[1]资源-钻石'!W371</f>
        <v>12180094.288549609</v>
      </c>
      <c r="N371" s="16">
        <f>'[1]资源-钻石'!X371</f>
        <v>29603721.011813276</v>
      </c>
    </row>
    <row r="372" spans="9:14">
      <c r="I372" s="4">
        <v>369</v>
      </c>
      <c r="J372" s="16">
        <f>'[1]资源-钻石'!T372</f>
        <v>1673824.6200915922</v>
      </c>
      <c r="K372" s="16">
        <f>'[1]资源-钻石'!U372</f>
        <v>2463250.5372932949</v>
      </c>
      <c r="L372" s="16">
        <f>'[1]资源-钻石'!V372</f>
        <v>4358503.6310905358</v>
      </c>
      <c r="M372" s="16">
        <f>'[1]资源-钻石'!W372</f>
        <v>12211834.897944147</v>
      </c>
      <c r="N372" s="16">
        <f>'[1]资源-钻石'!X372</f>
        <v>29682396.626276098</v>
      </c>
    </row>
    <row r="373" spans="9:14">
      <c r="I373" s="4">
        <v>370</v>
      </c>
      <c r="J373" s="16">
        <f>'[1]资源-钻石'!T373</f>
        <v>1677359.6344094819</v>
      </c>
      <c r="K373" s="16">
        <f>'[1]资源-钻石'!U373</f>
        <v>2468844.193175368</v>
      </c>
      <c r="L373" s="16">
        <f>'[1]资源-钻石'!V373</f>
        <v>4369184.2030647853</v>
      </c>
      <c r="M373" s="16">
        <f>'[1]资源-钻石'!W373</f>
        <v>12243575.507338684</v>
      </c>
      <c r="N373" s="16">
        <f>'[1]资源-钻石'!X373</f>
        <v>29761072.240738921</v>
      </c>
    </row>
    <row r="374" spans="9:14">
      <c r="I374" s="1">
        <v>371</v>
      </c>
      <c r="J374" s="16">
        <f>'[1]资源-钻石'!T374</f>
        <v>1680894.6487273718</v>
      </c>
      <c r="K374" s="16">
        <f>'[1]资源-钻石'!U374</f>
        <v>2474437.8490574406</v>
      </c>
      <c r="L374" s="16">
        <f>'[1]资源-钻石'!V374</f>
        <v>4379864.7750390349</v>
      </c>
      <c r="M374" s="16">
        <f>'[1]资源-钻石'!W374</f>
        <v>12275316.116733219</v>
      </c>
      <c r="N374" s="16">
        <f>'[1]资源-钻石'!X374</f>
        <v>29839747.855201744</v>
      </c>
    </row>
    <row r="375" spans="9:14">
      <c r="I375" s="4">
        <v>372</v>
      </c>
      <c r="J375" s="16">
        <f>'[1]资源-钻石'!T375</f>
        <v>1684429.6630452615</v>
      </c>
      <c r="K375" s="16">
        <f>'[1]资源-钻石'!U375</f>
        <v>2480031.5049395133</v>
      </c>
      <c r="L375" s="16">
        <f>'[1]资源-钻石'!V375</f>
        <v>4390545.3470132835</v>
      </c>
      <c r="M375" s="16">
        <f>'[1]资源-钻石'!W375</f>
        <v>12307056.726127757</v>
      </c>
      <c r="N375" s="16">
        <f>'[1]资源-钻石'!X375</f>
        <v>29918423.469664566</v>
      </c>
    </row>
    <row r="376" spans="9:14">
      <c r="I376" s="4">
        <v>373</v>
      </c>
      <c r="J376" s="16">
        <f>'[1]资源-钻石'!T376</f>
        <v>1687964.6773631515</v>
      </c>
      <c r="K376" s="16">
        <f>'[1]资源-钻石'!U376</f>
        <v>2485625.1608215864</v>
      </c>
      <c r="L376" s="16">
        <f>'[1]资源-钻石'!V376</f>
        <v>4401225.9189875331</v>
      </c>
      <c r="M376" s="16">
        <f>'[1]资源-钻石'!W376</f>
        <v>12338797.335522294</v>
      </c>
      <c r="N376" s="16">
        <f>'[1]资源-钻石'!X376</f>
        <v>29997099.084127389</v>
      </c>
    </row>
    <row r="377" spans="9:14">
      <c r="I377" s="4">
        <v>374</v>
      </c>
      <c r="J377" s="16">
        <f>'[1]资源-钻石'!T377</f>
        <v>1691499.6916810411</v>
      </c>
      <c r="K377" s="16">
        <f>'[1]资源-钻石'!U377</f>
        <v>2491218.816703659</v>
      </c>
      <c r="L377" s="16">
        <f>'[1]资源-钻石'!V377</f>
        <v>4411906.4909617826</v>
      </c>
      <c r="M377" s="16">
        <f>'[1]资源-钻石'!W377</f>
        <v>12370537.944916829</v>
      </c>
      <c r="N377" s="16">
        <f>'[1]资源-钻石'!X377</f>
        <v>30075774.698590212</v>
      </c>
    </row>
    <row r="378" spans="9:14">
      <c r="I378" s="4">
        <v>375</v>
      </c>
      <c r="J378" s="16">
        <f>'[1]资源-钻石'!T378</f>
        <v>1695034.7059989311</v>
      </c>
      <c r="K378" s="16">
        <f>'[1]资源-钻石'!U378</f>
        <v>2496812.4725857321</v>
      </c>
      <c r="L378" s="16">
        <f>'[1]资源-钻石'!V378</f>
        <v>4422587.0629360322</v>
      </c>
      <c r="M378" s="16">
        <f>'[1]资源-钻石'!W378</f>
        <v>12402278.554311367</v>
      </c>
      <c r="N378" s="16">
        <f>'[1]资源-钻石'!X378</f>
        <v>30154450.313053031</v>
      </c>
    </row>
    <row r="379" spans="9:14">
      <c r="I379" s="4">
        <v>376</v>
      </c>
      <c r="J379" s="16">
        <f>'[1]资源-钻石'!T379</f>
        <v>1698569.7203168208</v>
      </c>
      <c r="K379" s="16">
        <f>'[1]资源-钻石'!U379</f>
        <v>2502406.1284678048</v>
      </c>
      <c r="L379" s="16">
        <f>'[1]资源-钻石'!V379</f>
        <v>4433267.6349102817</v>
      </c>
      <c r="M379" s="16">
        <f>'[1]资源-钻石'!W379</f>
        <v>12434019.163705904</v>
      </c>
      <c r="N379" s="16">
        <f>'[1]资源-钻石'!X379</f>
        <v>30233125.927515853</v>
      </c>
    </row>
    <row r="380" spans="9:14">
      <c r="I380" s="1">
        <v>377</v>
      </c>
      <c r="J380" s="16">
        <f>'[1]资源-钻石'!T380</f>
        <v>1702104.7346347107</v>
      </c>
      <c r="K380" s="16">
        <f>'[1]资源-钻石'!U380</f>
        <v>2507999.7843498774</v>
      </c>
      <c r="L380" s="16">
        <f>'[1]资源-钻石'!V380</f>
        <v>4443948.2068845313</v>
      </c>
      <c r="M380" s="16">
        <f>'[1]资源-钻石'!W380</f>
        <v>12465759.773100439</v>
      </c>
      <c r="N380" s="16">
        <f>'[1]资源-钻石'!X380</f>
        <v>30311801.541978676</v>
      </c>
    </row>
    <row r="381" spans="9:14">
      <c r="I381" s="4">
        <v>378</v>
      </c>
      <c r="J381" s="16">
        <f>'[1]资源-钻石'!T381</f>
        <v>1705639.7489526006</v>
      </c>
      <c r="K381" s="16">
        <f>'[1]资源-钻石'!U381</f>
        <v>2513593.4402319505</v>
      </c>
      <c r="L381" s="16">
        <f>'[1]资源-钻石'!V381</f>
        <v>4454628.7788587809</v>
      </c>
      <c r="M381" s="16">
        <f>'[1]资源-钻石'!W381</f>
        <v>12497500.382494977</v>
      </c>
      <c r="N381" s="16">
        <f>'[1]资源-钻石'!X381</f>
        <v>30390477.156441499</v>
      </c>
    </row>
    <row r="382" spans="9:14">
      <c r="I382" s="4">
        <v>379</v>
      </c>
      <c r="J382" s="16">
        <f>'[1]资源-钻石'!T382</f>
        <v>1709174.7632704903</v>
      </c>
      <c r="K382" s="16">
        <f>'[1]资源-钻石'!U382</f>
        <v>2519187.0961140231</v>
      </c>
      <c r="L382" s="16">
        <f>'[1]资源-钻石'!V382</f>
        <v>4465251.4635572936</v>
      </c>
      <c r="M382" s="16">
        <f>'[1]资源-钻石'!W382</f>
        <v>12529240.991889514</v>
      </c>
      <c r="N382" s="16">
        <f>'[1]资源-钻石'!X382</f>
        <v>30469152.770904321</v>
      </c>
    </row>
    <row r="383" spans="9:14">
      <c r="I383" s="1">
        <v>380</v>
      </c>
      <c r="J383" s="16">
        <f>'[1]资源-钻石'!T383</f>
        <v>1712709.7775883803</v>
      </c>
      <c r="K383" s="16">
        <f>'[1]资源-钻石'!U383</f>
        <v>2524780.7519960962</v>
      </c>
      <c r="L383" s="16">
        <f>'[1]资源-钻石'!V383</f>
        <v>4475828.8308819402</v>
      </c>
      <c r="M383" s="16">
        <f>'[1]资源-钻石'!W383</f>
        <v>12560981.601284051</v>
      </c>
      <c r="N383" s="16">
        <f>'[1]资源-钻石'!X383</f>
        <v>30547828.385367144</v>
      </c>
    </row>
    <row r="384" spans="9:14">
      <c r="I384" s="4">
        <v>381</v>
      </c>
      <c r="J384" s="16">
        <f>'[1]资源-钻石'!T384</f>
        <v>1716244.79190627</v>
      </c>
      <c r="K384" s="16">
        <f>'[1]资源-钻石'!U384</f>
        <v>2530374.4078781689</v>
      </c>
      <c r="L384" s="16">
        <f>'[1]资源-钻石'!V384</f>
        <v>4486406.1982065868</v>
      </c>
      <c r="M384" s="16">
        <f>'[1]资源-钻石'!W384</f>
        <v>12592696.818027247</v>
      </c>
      <c r="N384" s="16">
        <f>'[1]资源-钻石'!X384</f>
        <v>30626503.999829967</v>
      </c>
    </row>
    <row r="385" spans="9:14">
      <c r="I385" s="4">
        <v>382</v>
      </c>
      <c r="J385" s="16">
        <f>'[1]资源-钻石'!T385</f>
        <v>1719779.8062241599</v>
      </c>
      <c r="K385" s="16">
        <f>'[1]资源-钻石'!U385</f>
        <v>2535968.0637602415</v>
      </c>
      <c r="L385" s="16">
        <f>'[1]资源-钻石'!V385</f>
        <v>4496983.5655312343</v>
      </c>
      <c r="M385" s="16">
        <f>'[1]资源-钻石'!W385</f>
        <v>12624351.922084358</v>
      </c>
      <c r="N385" s="16">
        <f>'[1]资源-钻石'!X385</f>
        <v>30705179.614292789</v>
      </c>
    </row>
    <row r="386" spans="9:14">
      <c r="I386" s="4">
        <v>383</v>
      </c>
      <c r="J386" s="16">
        <f>'[1]资源-钻石'!T386</f>
        <v>1723314.8205420496</v>
      </c>
      <c r="K386" s="16">
        <f>'[1]资源-钻石'!U386</f>
        <v>2541561.7196423146</v>
      </c>
      <c r="L386" s="16">
        <f>'[1]资源-钻石'!V386</f>
        <v>4507560.9328558808</v>
      </c>
      <c r="M386" s="16">
        <f>'[1]资源-钻石'!W386</f>
        <v>12656007.026141468</v>
      </c>
      <c r="N386" s="16">
        <f>'[1]资源-钻石'!X386</f>
        <v>30783855.228755612</v>
      </c>
    </row>
    <row r="387" spans="9:14">
      <c r="I387" s="4">
        <v>384</v>
      </c>
      <c r="J387" s="16">
        <f>'[1]资源-钻石'!T387</f>
        <v>1726849.8348599395</v>
      </c>
      <c r="K387" s="16">
        <f>'[1]资源-钻石'!U387</f>
        <v>2547155.3755243872</v>
      </c>
      <c r="L387" s="16">
        <f>'[1]资源-钻石'!V387</f>
        <v>4518138.3001805274</v>
      </c>
      <c r="M387" s="16">
        <f>'[1]资源-钻石'!W387</f>
        <v>12687662.130198581</v>
      </c>
      <c r="N387" s="16">
        <f>'[1]资源-钻石'!X387</f>
        <v>30862530.843218435</v>
      </c>
    </row>
    <row r="388" spans="9:14">
      <c r="I388" s="4">
        <v>385</v>
      </c>
      <c r="J388" s="16">
        <f>'[1]资源-钻石'!T388</f>
        <v>1730384.8491778295</v>
      </c>
      <c r="K388" s="16">
        <f>'[1]资源-钻石'!U388</f>
        <v>2552743.3340956126</v>
      </c>
      <c r="L388" s="16">
        <f>'[1]资源-钻石'!V388</f>
        <v>4528715.6675051739</v>
      </c>
      <c r="M388" s="16">
        <f>'[1]资源-钻石'!W388</f>
        <v>12719317.234255692</v>
      </c>
      <c r="N388" s="16">
        <f>'[1]资源-钻石'!X388</f>
        <v>30941206.457681257</v>
      </c>
    </row>
    <row r="389" spans="9:14">
      <c r="I389" s="1">
        <v>386</v>
      </c>
      <c r="J389" s="16">
        <f>'[1]资源-钻石'!T389</f>
        <v>1733919.8634957192</v>
      </c>
      <c r="K389" s="16">
        <f>'[1]资源-钻石'!U389</f>
        <v>2558311.8498452911</v>
      </c>
      <c r="L389" s="16">
        <f>'[1]资源-钻石'!V389</f>
        <v>4539293.0348298205</v>
      </c>
      <c r="M389" s="16">
        <f>'[1]资源-钻石'!W389</f>
        <v>12750972.338312803</v>
      </c>
      <c r="N389" s="16">
        <f>'[1]资源-钻石'!X389</f>
        <v>31019882.07214408</v>
      </c>
    </row>
    <row r="390" spans="9:14">
      <c r="I390" s="4">
        <v>387</v>
      </c>
      <c r="J390" s="16">
        <f>'[1]资源-钻石'!T390</f>
        <v>1737454.8778136091</v>
      </c>
      <c r="K390" s="16">
        <f>'[1]资源-钻石'!U390</f>
        <v>2563880.3655949701</v>
      </c>
      <c r="L390" s="16">
        <f>'[1]资源-钻石'!V390</f>
        <v>4549870.4021544671</v>
      </c>
      <c r="M390" s="16">
        <f>'[1]资源-钻石'!W390</f>
        <v>12782627.442369914</v>
      </c>
      <c r="N390" s="16">
        <f>'[1]资源-钻石'!X390</f>
        <v>31098557.686606903</v>
      </c>
    </row>
    <row r="391" spans="9:14">
      <c r="I391" s="4">
        <v>388</v>
      </c>
      <c r="J391" s="16">
        <f>'[1]资源-钻石'!T391</f>
        <v>1740989.8921314988</v>
      </c>
      <c r="K391" s="16">
        <f>'[1]资源-钻石'!U391</f>
        <v>2569448.881344649</v>
      </c>
      <c r="L391" s="16">
        <f>'[1]资源-钻石'!V391</f>
        <v>4560447.7694791136</v>
      </c>
      <c r="M391" s="16">
        <f>'[1]资源-钻石'!W391</f>
        <v>12814282.546427026</v>
      </c>
      <c r="N391" s="16">
        <f>'[1]资源-钻石'!X391</f>
        <v>31177233.301069725</v>
      </c>
    </row>
    <row r="392" spans="9:14">
      <c r="I392" s="1">
        <v>389</v>
      </c>
      <c r="J392" s="16">
        <f>'[1]资源-钻石'!T392</f>
        <v>1744524.9064493887</v>
      </c>
      <c r="K392" s="16">
        <f>'[1]资源-钻石'!U392</f>
        <v>2575017.397094328</v>
      </c>
      <c r="L392" s="16">
        <f>'[1]资源-钻石'!V392</f>
        <v>4571025.1368037602</v>
      </c>
      <c r="M392" s="16">
        <f>'[1]资源-钻石'!W392</f>
        <v>12845937.650484137</v>
      </c>
      <c r="N392" s="16">
        <f>'[1]资源-钻石'!X392</f>
        <v>31255908.915532548</v>
      </c>
    </row>
    <row r="393" spans="9:14">
      <c r="I393" s="4">
        <v>390</v>
      </c>
      <c r="J393" s="16">
        <f>'[1]资源-钻石'!T393</f>
        <v>1748059.9207672784</v>
      </c>
      <c r="K393" s="16">
        <f>'[1]资源-钻石'!U393</f>
        <v>2580585.9128440064</v>
      </c>
      <c r="L393" s="16">
        <f>'[1]资源-钻石'!V393</f>
        <v>4581602.5041284077</v>
      </c>
      <c r="M393" s="16">
        <f>'[1]资源-钻石'!W393</f>
        <v>12877592.754541248</v>
      </c>
      <c r="N393" s="16">
        <f>'[1]资源-钻石'!X393</f>
        <v>31334584.529995371</v>
      </c>
    </row>
    <row r="394" spans="9:14">
      <c r="I394" s="4">
        <v>391</v>
      </c>
      <c r="J394" s="16">
        <f>'[1]资源-钻石'!T394</f>
        <v>1751594.9350851683</v>
      </c>
      <c r="K394" s="16">
        <f>'[1]资源-钻石'!U394</f>
        <v>2586154.4285936854</v>
      </c>
      <c r="L394" s="16">
        <f>'[1]资源-钻石'!V394</f>
        <v>4592179.8714530542</v>
      </c>
      <c r="M394" s="16">
        <f>'[1]资源-钻石'!W394</f>
        <v>12909247.858598361</v>
      </c>
      <c r="N394" s="16">
        <f>'[1]资源-钻石'!X394</f>
        <v>31413260.144458193</v>
      </c>
    </row>
    <row r="395" spans="9:14">
      <c r="I395" s="4">
        <v>392</v>
      </c>
      <c r="J395" s="16">
        <f>'[1]资源-钻石'!T395</f>
        <v>1755129.949403058</v>
      </c>
      <c r="K395" s="16">
        <f>'[1]资源-钻石'!U395</f>
        <v>2591722.9443433643</v>
      </c>
      <c r="L395" s="16">
        <f>'[1]资源-钻石'!V395</f>
        <v>4602757.2387777008</v>
      </c>
      <c r="M395" s="16">
        <f>'[1]资源-钻石'!W395</f>
        <v>12940902.962655472</v>
      </c>
      <c r="N395" s="16">
        <f>'[1]资源-钻石'!X395</f>
        <v>31491935.758921012</v>
      </c>
    </row>
    <row r="396" spans="9:14">
      <c r="I396" s="4">
        <v>393</v>
      </c>
      <c r="J396" s="16">
        <f>'[1]资源-钻石'!T396</f>
        <v>1758664.963720948</v>
      </c>
      <c r="K396" s="16">
        <f>'[1]资源-钻石'!U396</f>
        <v>2597291.4600930428</v>
      </c>
      <c r="L396" s="16">
        <f>'[1]资源-钻石'!V396</f>
        <v>4613334.6061023474</v>
      </c>
      <c r="M396" s="16">
        <f>'[1]资源-钻石'!W396</f>
        <v>12972558.066712582</v>
      </c>
      <c r="N396" s="16">
        <f>'[1]资源-钻石'!X396</f>
        <v>31570611.373383835</v>
      </c>
    </row>
    <row r="397" spans="9:14">
      <c r="I397" s="4">
        <v>394</v>
      </c>
      <c r="J397" s="16">
        <f>'[1]资源-钻石'!T397</f>
        <v>1762199.9780388377</v>
      </c>
      <c r="K397" s="16">
        <f>'[1]资源-钻石'!U397</f>
        <v>2602859.9758427218</v>
      </c>
      <c r="L397" s="16">
        <f>'[1]资源-钻石'!V397</f>
        <v>4623911.9734269939</v>
      </c>
      <c r="M397" s="16">
        <f>'[1]资源-钻石'!W397</f>
        <v>13004213.170769693</v>
      </c>
      <c r="N397" s="16">
        <f>'[1]资源-钻石'!X397</f>
        <v>31649286.987846658</v>
      </c>
    </row>
    <row r="398" spans="9:14">
      <c r="I398" s="1">
        <v>395</v>
      </c>
      <c r="J398" s="16">
        <f>'[1]资源-钻石'!T398</f>
        <v>1765734.9923567276</v>
      </c>
      <c r="K398" s="16">
        <f>'[1]资源-钻石'!U398</f>
        <v>2608428.4915924007</v>
      </c>
      <c r="L398" s="16">
        <f>'[1]资源-钻石'!V398</f>
        <v>4634489.3407516405</v>
      </c>
      <c r="M398" s="16">
        <f>'[1]资源-钻石'!W398</f>
        <v>13035868.274826806</v>
      </c>
      <c r="N398" s="16">
        <f>'[1]资源-钻石'!X398</f>
        <v>31727962.60230948</v>
      </c>
    </row>
    <row r="399" spans="9:14">
      <c r="I399" s="4">
        <v>396</v>
      </c>
      <c r="J399" s="16">
        <f>'[1]资源-钻石'!T399</f>
        <v>1769270.0066746173</v>
      </c>
      <c r="K399" s="16">
        <f>'[1]资源-钻石'!U399</f>
        <v>2613997.0073420792</v>
      </c>
      <c r="L399" s="16">
        <f>'[1]资源-钻石'!V399</f>
        <v>4645066.7080762871</v>
      </c>
      <c r="M399" s="16">
        <f>'[1]资源-钻石'!W399</f>
        <v>13067523.378883917</v>
      </c>
      <c r="N399" s="16">
        <f>'[1]资源-钻石'!X399</f>
        <v>31806638.216772303</v>
      </c>
    </row>
    <row r="400" spans="9:14">
      <c r="I400" s="4">
        <v>397</v>
      </c>
      <c r="J400" s="16">
        <f>'[1]资源-钻石'!T400</f>
        <v>1772805.0209925072</v>
      </c>
      <c r="K400" s="16">
        <f>'[1]资源-钻石'!U400</f>
        <v>2619565.5230917581</v>
      </c>
      <c r="L400" s="16">
        <f>'[1]资源-钻石'!V400</f>
        <v>4655644.0754009336</v>
      </c>
      <c r="M400" s="16">
        <f>'[1]资源-钻石'!W400</f>
        <v>13099178.482941028</v>
      </c>
      <c r="N400" s="16">
        <f>'[1]资源-钻石'!X400</f>
        <v>31885313.831235126</v>
      </c>
    </row>
    <row r="401" spans="9:14">
      <c r="I401" s="1">
        <v>398</v>
      </c>
      <c r="J401" s="16">
        <f>'[1]资源-钻石'!T401</f>
        <v>1776340.0353103969</v>
      </c>
      <c r="K401" s="16">
        <f>'[1]资源-钻石'!U401</f>
        <v>2625134.0388414371</v>
      </c>
      <c r="L401" s="16">
        <f>'[1]资源-钻石'!V401</f>
        <v>4666221.4427255802</v>
      </c>
      <c r="M401" s="16">
        <f>'[1]资源-钻石'!W401</f>
        <v>13130833.586998139</v>
      </c>
      <c r="N401" s="16">
        <f>'[1]资源-钻石'!X401</f>
        <v>31963989.445697948</v>
      </c>
    </row>
    <row r="402" spans="9:14">
      <c r="I402" s="4">
        <v>399</v>
      </c>
      <c r="J402" s="16">
        <f>'[1]资源-钻石'!T402</f>
        <v>1779875.0496282869</v>
      </c>
      <c r="K402" s="16">
        <f>'[1]资源-钻石'!U402</f>
        <v>2630702.5545911156</v>
      </c>
      <c r="L402" s="16">
        <f>'[1]资源-钻石'!V402</f>
        <v>4676798.8100502277</v>
      </c>
      <c r="M402" s="16">
        <f>'[1]资源-钻石'!W402</f>
        <v>13162488.691055251</v>
      </c>
      <c r="N402" s="16">
        <f>'[1]资源-钻石'!X402</f>
        <v>32042665.060160771</v>
      </c>
    </row>
    <row r="403" spans="9:14">
      <c r="I403" s="4">
        <v>400</v>
      </c>
      <c r="J403" s="16">
        <f>'[1]资源-钻石'!T403</f>
        <v>1783410.0639461766</v>
      </c>
      <c r="K403" s="16">
        <f>'[1]资源-钻石'!U403</f>
        <v>2636271.0703407945</v>
      </c>
      <c r="L403" s="16">
        <f>'[1]资源-钻石'!V403</f>
        <v>4687376.1773748742</v>
      </c>
      <c r="M403" s="16">
        <f>'[1]资源-钻石'!W403</f>
        <v>13194143.795112362</v>
      </c>
      <c r="N403" s="16">
        <f>'[1]资源-钻石'!X403</f>
        <v>32121340.674623594</v>
      </c>
    </row>
    <row r="404" spans="9:14">
      <c r="I404" s="4">
        <v>401</v>
      </c>
      <c r="J404" s="16">
        <f>'[1]资源-钻石'!T404</f>
        <v>1786945.0782640665</v>
      </c>
      <c r="K404" s="16">
        <f>'[1]资源-钻石'!U404</f>
        <v>2641839.5860904735</v>
      </c>
      <c r="L404" s="16">
        <f>'[1]资源-钻石'!V404</f>
        <v>4697953.5446995208</v>
      </c>
      <c r="M404" s="16">
        <f>'[1]资源-钻石'!W404</f>
        <v>13225798.899169473</v>
      </c>
      <c r="N404" s="16">
        <f>'[1]资源-钻石'!X404</f>
        <v>32200016.289086416</v>
      </c>
    </row>
    <row r="405" spans="9:14">
      <c r="I405" s="4">
        <v>402</v>
      </c>
      <c r="J405" s="16">
        <f>'[1]资源-钻石'!T405</f>
        <v>1790480.0925819562</v>
      </c>
      <c r="K405" s="16">
        <f>'[1]资源-钻石'!U405</f>
        <v>2647408.1018401524</v>
      </c>
      <c r="L405" s="16">
        <f>'[1]资源-钻石'!V405</f>
        <v>4708530.9120241674</v>
      </c>
      <c r="M405" s="16">
        <f>'[1]资源-钻石'!W405</f>
        <v>13257454.003226584</v>
      </c>
      <c r="N405" s="16">
        <f>'[1]资源-钻石'!X405</f>
        <v>32278691.903549239</v>
      </c>
    </row>
    <row r="406" spans="9:14">
      <c r="I406" s="4">
        <v>403</v>
      </c>
      <c r="J406" s="16">
        <f>'[1]资源-钻石'!T406</f>
        <v>1794015.1068998461</v>
      </c>
      <c r="K406" s="16">
        <f>'[1]资源-钻石'!U406</f>
        <v>2652976.6175898309</v>
      </c>
      <c r="L406" s="16">
        <f>'[1]资源-钻石'!V406</f>
        <v>4719108.2793488139</v>
      </c>
      <c r="M406" s="16">
        <f>'[1]资源-钻石'!W406</f>
        <v>13289109.107283697</v>
      </c>
      <c r="N406" s="16">
        <f>'[1]资源-钻石'!X406</f>
        <v>32357367.518012062</v>
      </c>
    </row>
    <row r="407" spans="9:14">
      <c r="I407" s="1">
        <v>404</v>
      </c>
      <c r="J407" s="16">
        <f>'[1]资源-钻石'!T407</f>
        <v>1797550.1212177358</v>
      </c>
      <c r="K407" s="16">
        <f>'[1]资源-钻石'!U407</f>
        <v>2658545.1333395098</v>
      </c>
      <c r="L407" s="16">
        <f>'[1]资源-钻石'!V407</f>
        <v>4729685.6466734605</v>
      </c>
      <c r="M407" s="16">
        <f>'[1]资源-钻石'!W407</f>
        <v>13320764.211340807</v>
      </c>
      <c r="N407" s="16">
        <f>'[1]资源-钻石'!X407</f>
        <v>32436043.132474884</v>
      </c>
    </row>
    <row r="408" spans="9:14">
      <c r="I408" s="4">
        <v>405</v>
      </c>
      <c r="J408" s="16">
        <f>'[1]资源-钻石'!T408</f>
        <v>1801085.1355356257</v>
      </c>
      <c r="K408" s="16">
        <f>'[1]资源-钻石'!U408</f>
        <v>2664113.6490891888</v>
      </c>
      <c r="L408" s="16">
        <f>'[1]资源-钻石'!V408</f>
        <v>4740263.0139981071</v>
      </c>
      <c r="M408" s="16">
        <f>'[1]资源-钻石'!W408</f>
        <v>13352419.315397918</v>
      </c>
      <c r="N408" s="16">
        <f>'[1]资源-钻石'!X408</f>
        <v>32514718.746937707</v>
      </c>
    </row>
    <row r="409" spans="9:14">
      <c r="I409" s="4">
        <v>406</v>
      </c>
      <c r="J409" s="16">
        <f>'[1]资源-钻石'!T409</f>
        <v>1804620.1498535154</v>
      </c>
      <c r="K409" s="16">
        <f>'[1]资源-钻石'!U409</f>
        <v>2669682.1648388673</v>
      </c>
      <c r="L409" s="16">
        <f>'[1]资源-钻石'!V409</f>
        <v>4750840.3813227536</v>
      </c>
      <c r="M409" s="16">
        <f>'[1]资源-钻石'!W409</f>
        <v>13384074.419455029</v>
      </c>
      <c r="N409" s="16">
        <f>'[1]资源-钻石'!X409</f>
        <v>32593394.36140053</v>
      </c>
    </row>
    <row r="410" spans="9:14">
      <c r="I410" s="1">
        <v>407</v>
      </c>
      <c r="J410" s="16">
        <f>'[1]资源-钻石'!T410</f>
        <v>1808155.1641714054</v>
      </c>
      <c r="K410" s="16">
        <f>'[1]资源-钻石'!U410</f>
        <v>2675250.6805885462</v>
      </c>
      <c r="L410" s="16">
        <f>'[1]资源-钻石'!V410</f>
        <v>4761417.7486474002</v>
      </c>
      <c r="M410" s="16">
        <f>'[1]资源-钻石'!W410</f>
        <v>13415729.523512142</v>
      </c>
      <c r="N410" s="16">
        <f>'[1]资源-钻石'!X410</f>
        <v>32672069.975863352</v>
      </c>
    </row>
    <row r="411" spans="9:14">
      <c r="I411" s="4">
        <v>408</v>
      </c>
      <c r="J411" s="16">
        <f>'[1]资源-钻石'!T411</f>
        <v>1811690.1784892951</v>
      </c>
      <c r="K411" s="16">
        <f>'[1]资源-钻石'!U411</f>
        <v>2680819.1963382252</v>
      </c>
      <c r="L411" s="16">
        <f>'[1]资源-钻石'!V411</f>
        <v>4771995.1159720477</v>
      </c>
      <c r="M411" s="16">
        <f>'[1]资源-钻石'!W411</f>
        <v>13447384.627569253</v>
      </c>
      <c r="N411" s="16">
        <f>'[1]资源-钻石'!X411</f>
        <v>32750745.590326175</v>
      </c>
    </row>
    <row r="412" spans="9:14">
      <c r="I412" s="4">
        <v>409</v>
      </c>
      <c r="J412" s="16">
        <f>'[1]资源-钻石'!T412</f>
        <v>1815225.192807185</v>
      </c>
      <c r="K412" s="16">
        <f>'[1]资源-钻石'!U412</f>
        <v>2686387.7120879041</v>
      </c>
      <c r="L412" s="16">
        <f>'[1]资源-钻石'!V412</f>
        <v>4782572.4832966942</v>
      </c>
      <c r="M412" s="16">
        <f>'[1]资源-钻石'!W412</f>
        <v>13479039.731626363</v>
      </c>
      <c r="N412" s="16">
        <f>'[1]资源-钻石'!X412</f>
        <v>32829421.204788998</v>
      </c>
    </row>
    <row r="413" spans="9:14">
      <c r="I413" s="4">
        <v>410</v>
      </c>
      <c r="J413" s="16">
        <f>'[1]资源-钻石'!T413</f>
        <v>1818760.2071250747</v>
      </c>
      <c r="K413" s="16">
        <f>'[1]资源-钻石'!U413</f>
        <v>2691956.2278375826</v>
      </c>
      <c r="L413" s="16">
        <f>'[1]资源-钻石'!V413</f>
        <v>4793149.8506213408</v>
      </c>
      <c r="M413" s="16">
        <f>'[1]资源-钻石'!W413</f>
        <v>13510694.835683476</v>
      </c>
      <c r="N413" s="16">
        <f>'[1]资源-钻石'!X413</f>
        <v>32908096.81925182</v>
      </c>
    </row>
    <row r="414" spans="9:14">
      <c r="I414" s="4">
        <v>411</v>
      </c>
      <c r="J414" s="16">
        <f>'[1]资源-钻石'!T414</f>
        <v>1822295.2214429646</v>
      </c>
      <c r="K414" s="16">
        <f>'[1]资源-钻石'!U414</f>
        <v>2697524.7435872615</v>
      </c>
      <c r="L414" s="16">
        <f>'[1]资源-钻石'!V414</f>
        <v>4803727.2179459874</v>
      </c>
      <c r="M414" s="16">
        <f>'[1]资源-钻石'!W414</f>
        <v>13542349.939740587</v>
      </c>
      <c r="N414" s="16">
        <f>'[1]资源-钻石'!X414</f>
        <v>32986772.433714643</v>
      </c>
    </row>
    <row r="415" spans="9:14">
      <c r="I415" s="4">
        <v>412</v>
      </c>
      <c r="J415" s="16">
        <f>'[1]资源-钻石'!T415</f>
        <v>1825830.2357608543</v>
      </c>
      <c r="K415" s="16">
        <f>'[1]资源-钻石'!U415</f>
        <v>2703093.2593369405</v>
      </c>
      <c r="L415" s="16">
        <f>'[1]资源-钻石'!V415</f>
        <v>4814304.5852706339</v>
      </c>
      <c r="M415" s="16">
        <f>'[1]资源-钻石'!W415</f>
        <v>13574005.043797698</v>
      </c>
      <c r="N415" s="16">
        <f>'[1]资源-钻石'!X415</f>
        <v>33065448.048177466</v>
      </c>
    </row>
    <row r="416" spans="9:14">
      <c r="I416" s="1">
        <v>413</v>
      </c>
      <c r="J416" s="16">
        <f>'[1]资源-钻石'!T416</f>
        <v>1829365.2500787443</v>
      </c>
      <c r="K416" s="16">
        <f>'[1]资源-钻石'!U416</f>
        <v>2708661.775086619</v>
      </c>
      <c r="L416" s="16">
        <f>'[1]资源-钻石'!V416</f>
        <v>4824881.9525952805</v>
      </c>
      <c r="M416" s="16">
        <f>'[1]资源-钻石'!W416</f>
        <v>13605660.147854809</v>
      </c>
      <c r="N416" s="16">
        <f>'[1]资源-钻石'!X416</f>
        <v>33144123.662640288</v>
      </c>
    </row>
    <row r="417" spans="9:14">
      <c r="I417" s="4">
        <v>414</v>
      </c>
      <c r="J417" s="16">
        <f>'[1]资源-钻石'!T417</f>
        <v>1832900.264396634</v>
      </c>
      <c r="K417" s="16">
        <f>'[1]资源-钻石'!U417</f>
        <v>2714230.2908362979</v>
      </c>
      <c r="L417" s="16">
        <f>'[1]资源-钻石'!V417</f>
        <v>4835459.319919928</v>
      </c>
      <c r="M417" s="16">
        <f>'[1]资源-钻石'!W417</f>
        <v>13637315.251911921</v>
      </c>
      <c r="N417" s="16">
        <f>'[1]资源-钻石'!X417</f>
        <v>33222799.277103111</v>
      </c>
    </row>
    <row r="418" spans="9:14">
      <c r="I418" s="4">
        <v>415</v>
      </c>
      <c r="J418" s="16">
        <f>'[1]资源-钻石'!T418</f>
        <v>1836435.2787145239</v>
      </c>
      <c r="K418" s="16">
        <f>'[1]资源-钻石'!U418</f>
        <v>2719798.8065859769</v>
      </c>
      <c r="L418" s="16">
        <f>'[1]资源-钻石'!V418</f>
        <v>4846036.6872445745</v>
      </c>
      <c r="M418" s="16">
        <f>'[1]资源-钻石'!W418</f>
        <v>13668970.355969032</v>
      </c>
      <c r="N418" s="16">
        <f>'[1]资源-钻石'!X418</f>
        <v>33301474.891565934</v>
      </c>
    </row>
    <row r="419" spans="9:14">
      <c r="I419" s="1">
        <v>416</v>
      </c>
      <c r="J419" s="16">
        <f>'[1]资源-钻石'!T419</f>
        <v>1839970.2930324136</v>
      </c>
      <c r="K419" s="16">
        <f>'[1]资源-钻石'!U419</f>
        <v>2725367.3223356553</v>
      </c>
      <c r="L419" s="16">
        <f>'[1]资源-钻石'!V419</f>
        <v>4856614.0545692211</v>
      </c>
      <c r="M419" s="16">
        <f>'[1]资源-钻石'!W419</f>
        <v>13700625.460026143</v>
      </c>
      <c r="N419" s="16">
        <f>'[1]资源-钻石'!X419</f>
        <v>33380150.506028753</v>
      </c>
    </row>
    <row r="420" spans="9:14">
      <c r="I420" s="4">
        <v>417</v>
      </c>
      <c r="J420" s="16">
        <f>'[1]资源-钻石'!T420</f>
        <v>1843505.3073503035</v>
      </c>
      <c r="K420" s="16">
        <f>'[1]资源-钻石'!U420</f>
        <v>2730935.8380853343</v>
      </c>
      <c r="L420" s="16">
        <f>'[1]资源-钻石'!V420</f>
        <v>4867191.4218938677</v>
      </c>
      <c r="M420" s="16">
        <f>'[1]资源-钻石'!W420</f>
        <v>13732280.564083254</v>
      </c>
      <c r="N420" s="16">
        <f>'[1]资源-钻石'!X420</f>
        <v>33458826.120491575</v>
      </c>
    </row>
    <row r="421" spans="9:14">
      <c r="I421" s="4">
        <v>418</v>
      </c>
      <c r="J421" s="16">
        <f>'[1]资源-钻石'!T421</f>
        <v>1847040.3216681932</v>
      </c>
      <c r="K421" s="16">
        <f>'[1]资源-钻石'!U421</f>
        <v>2736504.3538350132</v>
      </c>
      <c r="L421" s="16">
        <f>'[1]资源-钻石'!V421</f>
        <v>4877768.7892185142</v>
      </c>
      <c r="M421" s="16">
        <f>'[1]资源-钻石'!W421</f>
        <v>13763935.668140367</v>
      </c>
      <c r="N421" s="16">
        <f>'[1]资源-钻石'!X421</f>
        <v>33537501.734954398</v>
      </c>
    </row>
    <row r="422" spans="9:14">
      <c r="I422" s="4">
        <v>419</v>
      </c>
      <c r="J422" s="16">
        <f>'[1]资源-钻石'!T422</f>
        <v>1850575.3359860831</v>
      </c>
      <c r="K422" s="16">
        <f>'[1]资源-钻石'!U422</f>
        <v>2742072.8695846917</v>
      </c>
      <c r="L422" s="16">
        <f>'[1]资源-钻石'!V422</f>
        <v>4888346.1565431608</v>
      </c>
      <c r="M422" s="16">
        <f>'[1]资源-钻石'!W422</f>
        <v>13795590.772197478</v>
      </c>
      <c r="N422" s="16">
        <f>'[1]资源-钻石'!X422</f>
        <v>33616177.349417225</v>
      </c>
    </row>
    <row r="423" spans="9:14">
      <c r="I423" s="4">
        <v>420</v>
      </c>
      <c r="J423" s="16">
        <f>'[1]资源-钻石'!T423</f>
        <v>1854110.3503039728</v>
      </c>
      <c r="K423" s="16">
        <f>'[1]资源-钻石'!U423</f>
        <v>2747641.3853343707</v>
      </c>
      <c r="L423" s="16">
        <f>'[1]资源-钻石'!V423</f>
        <v>4898923.5238678074</v>
      </c>
      <c r="M423" s="16">
        <f>'[1]资源-钻石'!W423</f>
        <v>13827245.876254588</v>
      </c>
      <c r="N423" s="16">
        <f>'[1]资源-钻石'!X423</f>
        <v>33694852.963880047</v>
      </c>
    </row>
    <row r="424" spans="9:14">
      <c r="I424" s="4">
        <v>421</v>
      </c>
      <c r="J424" s="16">
        <f>'[1]资源-钻石'!T424</f>
        <v>1857645.3646218628</v>
      </c>
      <c r="K424" s="16">
        <f>'[1]资源-钻石'!U424</f>
        <v>2753209.9010840496</v>
      </c>
      <c r="L424" s="16">
        <f>'[1]资源-钻石'!V424</f>
        <v>4909500.8911924548</v>
      </c>
      <c r="M424" s="16">
        <f>'[1]资源-钻石'!W424</f>
        <v>13858900.980311701</v>
      </c>
      <c r="N424" s="16">
        <f>'[1]资源-钻石'!X424</f>
        <v>33773528.57834287</v>
      </c>
    </row>
    <row r="425" spans="9:14">
      <c r="I425" s="1">
        <v>422</v>
      </c>
      <c r="J425" s="16">
        <f>'[1]资源-钻石'!T425</f>
        <v>1861180.3789397525</v>
      </c>
      <c r="K425" s="16">
        <f>'[1]资源-钻石'!U425</f>
        <v>2758778.4168337281</v>
      </c>
      <c r="L425" s="16">
        <f>'[1]资源-钻石'!V425</f>
        <v>4920078.2585171014</v>
      </c>
      <c r="M425" s="16">
        <f>'[1]资源-钻石'!W425</f>
        <v>13890556.084368812</v>
      </c>
      <c r="N425" s="16">
        <f>'[1]资源-钻石'!X425</f>
        <v>33852204.192805693</v>
      </c>
    </row>
    <row r="426" spans="9:14">
      <c r="I426" s="4">
        <v>423</v>
      </c>
      <c r="J426" s="16">
        <f>'[1]资源-钻石'!T426</f>
        <v>1864715.3932576424</v>
      </c>
      <c r="K426" s="16">
        <f>'[1]资源-钻石'!U426</f>
        <v>2764346.932583407</v>
      </c>
      <c r="L426" s="16">
        <f>'[1]资源-钻石'!V426</f>
        <v>4930655.625841748</v>
      </c>
      <c r="M426" s="16">
        <f>'[1]资源-钻石'!W426</f>
        <v>13922211.188425923</v>
      </c>
      <c r="N426" s="16">
        <f>'[1]资源-钻石'!X426</f>
        <v>33930879.807268515</v>
      </c>
    </row>
    <row r="427" spans="9:14">
      <c r="I427" s="4">
        <v>424</v>
      </c>
      <c r="J427" s="16">
        <f>'[1]资源-钻石'!T427</f>
        <v>1868250.4075755323</v>
      </c>
      <c r="K427" s="16">
        <f>'[1]资源-钻石'!U427</f>
        <v>2769915.448333086</v>
      </c>
      <c r="L427" s="16">
        <f>'[1]资源-钻石'!V427</f>
        <v>4941232.9931663945</v>
      </c>
      <c r="M427" s="16">
        <f>'[1]资源-钻石'!W427</f>
        <v>13953866.292483034</v>
      </c>
      <c r="N427" s="16">
        <f>'[1]资源-钻石'!X427</f>
        <v>34009555.421731338</v>
      </c>
    </row>
    <row r="428" spans="9:14">
      <c r="I428" s="1">
        <v>425</v>
      </c>
      <c r="J428" s="16">
        <f>'[1]资源-钻石'!T428</f>
        <v>1871785.421893422</v>
      </c>
      <c r="K428" s="16">
        <f>'[1]资源-钻石'!U428</f>
        <v>2775483.9640827649</v>
      </c>
      <c r="L428" s="16">
        <f>'[1]资源-钻石'!V428</f>
        <v>4951810.3604910411</v>
      </c>
      <c r="M428" s="16">
        <f>'[1]资源-钻石'!W428</f>
        <v>13985521.396540146</v>
      </c>
      <c r="N428" s="16">
        <f>'[1]资源-钻石'!X428</f>
        <v>34088231.036194153</v>
      </c>
    </row>
    <row r="429" spans="9:14">
      <c r="I429" s="4">
        <v>426</v>
      </c>
      <c r="J429" s="16">
        <f>'[1]资源-钻石'!T429</f>
        <v>1875320.436211312</v>
      </c>
      <c r="K429" s="16">
        <f>'[1]资源-钻石'!U429</f>
        <v>2781052.4798324434</v>
      </c>
      <c r="L429" s="16">
        <f>'[1]资源-钻石'!V429</f>
        <v>4962387.7278156877</v>
      </c>
      <c r="M429" s="16">
        <f>'[1]资源-钻石'!W429</f>
        <v>14017176.500597257</v>
      </c>
      <c r="N429" s="16">
        <f>'[1]资源-钻石'!X429</f>
        <v>34166906.650656976</v>
      </c>
    </row>
    <row r="430" spans="9:14">
      <c r="I430" s="4">
        <v>427</v>
      </c>
      <c r="J430" s="16">
        <f>'[1]资源-钻石'!T430</f>
        <v>1878855.4505292017</v>
      </c>
      <c r="K430" s="16">
        <f>'[1]资源-钻石'!U430</f>
        <v>2786620.9955821224</v>
      </c>
      <c r="L430" s="16">
        <f>'[1]资源-钻石'!V430</f>
        <v>4972965.0951403352</v>
      </c>
      <c r="M430" s="16">
        <f>'[1]资源-钻石'!W430</f>
        <v>14048831.604654368</v>
      </c>
      <c r="N430" s="16">
        <f>'[1]资源-钻石'!X430</f>
        <v>34245582.265119798</v>
      </c>
    </row>
    <row r="431" spans="9:14">
      <c r="I431" s="4">
        <v>428</v>
      </c>
      <c r="J431" s="16">
        <f>'[1]资源-钻石'!T431</f>
        <v>1882390.4648470916</v>
      </c>
      <c r="K431" s="16">
        <f>'[1]资源-钻石'!U431</f>
        <v>2792189.5113318013</v>
      </c>
      <c r="L431" s="16">
        <f>'[1]资源-钻石'!V431</f>
        <v>4983542.4624649817</v>
      </c>
      <c r="M431" s="16">
        <f>'[1]资源-钻石'!W431</f>
        <v>14080486.708711479</v>
      </c>
      <c r="N431" s="16">
        <f>'[1]资源-钻石'!X431</f>
        <v>34324257.879582621</v>
      </c>
    </row>
    <row r="432" spans="9:14">
      <c r="I432" s="4">
        <v>429</v>
      </c>
      <c r="J432" s="16">
        <f>'[1]资源-钻石'!T432</f>
        <v>1885925.4791649813</v>
      </c>
      <c r="K432" s="16">
        <f>'[1]资源-钻石'!U432</f>
        <v>2797758.0270814798</v>
      </c>
      <c r="L432" s="16">
        <f>'[1]资源-钻石'!V432</f>
        <v>4994119.8297896283</v>
      </c>
      <c r="M432" s="16">
        <f>'[1]资源-钻石'!W432</f>
        <v>14112141.812768592</v>
      </c>
      <c r="N432" s="16">
        <f>'[1]资源-钻石'!X432</f>
        <v>34402933.494045444</v>
      </c>
    </row>
    <row r="433" spans="9:14">
      <c r="I433" s="4">
        <v>430</v>
      </c>
      <c r="J433" s="16">
        <f>'[1]资源-钻石'!T433</f>
        <v>1889460.4934828712</v>
      </c>
      <c r="K433" s="16">
        <f>'[1]资源-钻石'!U433</f>
        <v>2803326.5428311587</v>
      </c>
      <c r="L433" s="16">
        <f>'[1]资源-钻石'!V433</f>
        <v>5004697.1971142748</v>
      </c>
      <c r="M433" s="16">
        <f>'[1]资源-钻石'!W433</f>
        <v>14143796.916825702</v>
      </c>
      <c r="N433" s="16">
        <f>'[1]资源-钻石'!X433</f>
        <v>34481609.108508267</v>
      </c>
    </row>
    <row r="434" spans="9:14">
      <c r="I434" s="1">
        <v>431</v>
      </c>
      <c r="J434" s="16">
        <f>'[1]资源-钻石'!T434</f>
        <v>1892995.5078007609</v>
      </c>
      <c r="K434" s="16">
        <f>'[1]资源-钻石'!U434</f>
        <v>2808895.0585808377</v>
      </c>
      <c r="L434" s="16">
        <f>'[1]资源-钻石'!V434</f>
        <v>5015274.5644389214</v>
      </c>
      <c r="M434" s="16">
        <f>'[1]资源-钻石'!W434</f>
        <v>14175452.020882813</v>
      </c>
      <c r="N434" s="16">
        <f>'[1]资源-钻石'!X434</f>
        <v>34560284.722971089</v>
      </c>
    </row>
    <row r="435" spans="9:14">
      <c r="I435" s="4">
        <v>432</v>
      </c>
      <c r="J435" s="16">
        <f>'[1]资源-钻石'!T435</f>
        <v>1896530.5221186508</v>
      </c>
      <c r="K435" s="16">
        <f>'[1]资源-钻石'!U435</f>
        <v>2814463.5743305162</v>
      </c>
      <c r="L435" s="16">
        <f>'[1]资源-钻石'!V435</f>
        <v>5025851.931763568</v>
      </c>
      <c r="M435" s="16">
        <f>'[1]资源-钻石'!W435</f>
        <v>14207107.124939926</v>
      </c>
      <c r="N435" s="16">
        <f>'[1]资源-钻石'!X435</f>
        <v>34638960.337433912</v>
      </c>
    </row>
    <row r="436" spans="9:14">
      <c r="I436" s="4">
        <v>433</v>
      </c>
      <c r="J436" s="16">
        <f>'[1]资源-钻石'!T436</f>
        <v>1900065.5364365405</v>
      </c>
      <c r="K436" s="16">
        <f>'[1]资源-钻石'!U436</f>
        <v>2820032.0900801951</v>
      </c>
      <c r="L436" s="16">
        <f>'[1]资源-钻石'!V436</f>
        <v>5036429.2990882145</v>
      </c>
      <c r="M436" s="16">
        <f>'[1]资源-钻石'!W436</f>
        <v>14238762.228997037</v>
      </c>
      <c r="N436" s="16">
        <f>'[1]资源-钻石'!X436</f>
        <v>34717635.951896735</v>
      </c>
    </row>
    <row r="437" spans="9:14">
      <c r="I437" s="1">
        <v>434</v>
      </c>
      <c r="J437" s="16">
        <f>'[1]资源-钻石'!T437</f>
        <v>1903600.5507544305</v>
      </c>
      <c r="K437" s="16">
        <f>'[1]资源-钻石'!U437</f>
        <v>2825600.6058298741</v>
      </c>
      <c r="L437" s="16">
        <f>'[1]资源-钻石'!V437</f>
        <v>5047006.666412862</v>
      </c>
      <c r="M437" s="16">
        <f>'[1]资源-钻石'!W437</f>
        <v>14270417.333054148</v>
      </c>
      <c r="N437" s="16">
        <f>'[1]资源-钻石'!X437</f>
        <v>34796311.566359557</v>
      </c>
    </row>
    <row r="438" spans="9:14">
      <c r="I438" s="4">
        <v>435</v>
      </c>
      <c r="J438" s="16">
        <f>'[1]资源-钻石'!T438</f>
        <v>1907135.5650723204</v>
      </c>
      <c r="K438" s="16">
        <f>'[1]资源-钻石'!U438</f>
        <v>2831169.1215795525</v>
      </c>
      <c r="L438" s="16">
        <f>'[1]资源-钻石'!V438</f>
        <v>5057584.0337375086</v>
      </c>
      <c r="M438" s="16">
        <f>'[1]资源-钻石'!W438</f>
        <v>14302072.437111259</v>
      </c>
      <c r="N438" s="16">
        <f>'[1]资源-钻石'!X438</f>
        <v>34874987.18082238</v>
      </c>
    </row>
    <row r="439" spans="9:14">
      <c r="I439" s="4">
        <v>436</v>
      </c>
      <c r="J439" s="16">
        <f>'[1]资源-钻石'!T439</f>
        <v>1910670.5793902101</v>
      </c>
      <c r="K439" s="16">
        <f>'[1]资源-钻石'!U439</f>
        <v>2836737.6373292315</v>
      </c>
      <c r="L439" s="16">
        <f>'[1]资源-钻石'!V439</f>
        <v>5068161.4010621551</v>
      </c>
      <c r="M439" s="16">
        <f>'[1]资源-钻石'!W439</f>
        <v>14333727.541168371</v>
      </c>
      <c r="N439" s="16">
        <f>'[1]资源-钻石'!X439</f>
        <v>34953662.795285203</v>
      </c>
    </row>
    <row r="440" spans="9:14">
      <c r="I440" s="4">
        <v>437</v>
      </c>
      <c r="J440" s="16">
        <f>'[1]资源-钻石'!T440</f>
        <v>1914205.5937081</v>
      </c>
      <c r="K440" s="16">
        <f>'[1]资源-钻石'!U440</f>
        <v>2842306.1530789104</v>
      </c>
      <c r="L440" s="16">
        <f>'[1]资源-钻石'!V440</f>
        <v>5078738.7683868017</v>
      </c>
      <c r="M440" s="16">
        <f>'[1]资源-钻石'!W440</f>
        <v>14365382.645225482</v>
      </c>
      <c r="N440" s="16">
        <f>'[1]资源-钻石'!X440</f>
        <v>35032338.409748025</v>
      </c>
    </row>
    <row r="441" spans="9:14">
      <c r="I441" s="4">
        <v>438</v>
      </c>
      <c r="J441" s="16">
        <f>'[1]资源-钻石'!T441</f>
        <v>1917740.6080259897</v>
      </c>
      <c r="K441" s="16">
        <f>'[1]资源-钻石'!U441</f>
        <v>2847874.6688285889</v>
      </c>
      <c r="L441" s="16">
        <f>'[1]资源-钻石'!V441</f>
        <v>5089316.1357114483</v>
      </c>
      <c r="M441" s="16">
        <f>'[1]资源-钻石'!W441</f>
        <v>14397037.749282593</v>
      </c>
      <c r="N441" s="16">
        <f>'[1]资源-钻石'!X441</f>
        <v>35111014.024210848</v>
      </c>
    </row>
    <row r="442" spans="9:14">
      <c r="I442" s="4">
        <v>439</v>
      </c>
      <c r="J442" s="16">
        <f>'[1]资源-钻石'!T442</f>
        <v>1921275.6223438797</v>
      </c>
      <c r="K442" s="16">
        <f>'[1]资源-钻石'!U442</f>
        <v>2853443.1845782679</v>
      </c>
      <c r="L442" s="16">
        <f>'[1]资源-钻石'!V442</f>
        <v>5099893.5030360948</v>
      </c>
      <c r="M442" s="16">
        <f>'[1]资源-钻石'!W442</f>
        <v>14428692.853339704</v>
      </c>
      <c r="N442" s="16">
        <f>'[1]资源-钻石'!X442</f>
        <v>35189689.638673671</v>
      </c>
    </row>
    <row r="443" spans="9:14">
      <c r="I443" s="1">
        <v>440</v>
      </c>
      <c r="J443" s="16">
        <f>'[1]资源-钻石'!T443</f>
        <v>1924810.6366617694</v>
      </c>
      <c r="K443" s="16">
        <f>'[1]资源-钻石'!U443</f>
        <v>2859011.7003279468</v>
      </c>
      <c r="L443" s="16">
        <f>'[1]资源-钻石'!V443</f>
        <v>5110470.8703607414</v>
      </c>
      <c r="M443" s="16">
        <f>'[1]资源-钻石'!W443</f>
        <v>14460347.957396816</v>
      </c>
      <c r="N443" s="16">
        <f>'[1]资源-钻石'!X443</f>
        <v>35268365.253136493</v>
      </c>
    </row>
    <row r="444" spans="9:14">
      <c r="I444" s="4">
        <v>441</v>
      </c>
      <c r="J444" s="16">
        <f>'[1]资源-钻石'!T444</f>
        <v>1928345.6509796593</v>
      </c>
      <c r="K444" s="16">
        <f>'[1]资源-钻石'!U444</f>
        <v>2864580.2160776258</v>
      </c>
      <c r="L444" s="16">
        <f>'[1]资源-钻石'!V444</f>
        <v>5121048.237685388</v>
      </c>
      <c r="M444" s="16">
        <f>'[1]资源-钻石'!W444</f>
        <v>14492003.061453927</v>
      </c>
      <c r="N444" s="16">
        <f>'[1]资源-钻石'!X444</f>
        <v>35347040.867599316</v>
      </c>
    </row>
    <row r="445" spans="9:14">
      <c r="I445" s="4">
        <v>442</v>
      </c>
      <c r="J445" s="16">
        <f>'[1]资源-钻石'!T445</f>
        <v>1931880.665297549</v>
      </c>
      <c r="K445" s="16">
        <f>'[1]资源-钻石'!U445</f>
        <v>2870148.7318273042</v>
      </c>
      <c r="L445" s="16">
        <f>'[1]资源-钻石'!V445</f>
        <v>5131625.6050100354</v>
      </c>
      <c r="M445" s="16">
        <f>'[1]资源-钻石'!W445</f>
        <v>14523658.165511038</v>
      </c>
      <c r="N445" s="16">
        <f>'[1]资源-钻石'!X445</f>
        <v>35425716.482062139</v>
      </c>
    </row>
    <row r="446" spans="9:14">
      <c r="I446" s="1">
        <v>443</v>
      </c>
      <c r="J446" s="16">
        <f>'[1]资源-钻石'!T446</f>
        <v>1935415.6796154389</v>
      </c>
      <c r="K446" s="16">
        <f>'[1]资源-钻石'!U446</f>
        <v>2875717.2475769832</v>
      </c>
      <c r="L446" s="16">
        <f>'[1]资源-钻石'!V446</f>
        <v>5142202.972334682</v>
      </c>
      <c r="M446" s="16">
        <f>'[1]资源-钻石'!W446</f>
        <v>14555313.269568151</v>
      </c>
      <c r="N446" s="16">
        <f>'[1]资源-钻石'!X446</f>
        <v>35504392.096524961</v>
      </c>
    </row>
    <row r="447" spans="9:14">
      <c r="I447" s="4">
        <v>444</v>
      </c>
      <c r="J447" s="16">
        <f>'[1]资源-钻石'!T447</f>
        <v>1938950.6939333288</v>
      </c>
      <c r="K447" s="16">
        <f>'[1]资源-钻石'!U447</f>
        <v>2881285.7633266621</v>
      </c>
      <c r="L447" s="16">
        <f>'[1]资源-钻石'!V447</f>
        <v>5152780.3396593286</v>
      </c>
      <c r="M447" s="16">
        <f>'[1]资源-钻石'!W447</f>
        <v>14586968.373625262</v>
      </c>
      <c r="N447" s="16">
        <f>'[1]资源-钻石'!X447</f>
        <v>35583067.710987784</v>
      </c>
    </row>
    <row r="448" spans="9:14">
      <c r="I448" s="4">
        <v>445</v>
      </c>
      <c r="J448" s="16">
        <f>'[1]资源-钻石'!T448</f>
        <v>1942485.7082512185</v>
      </c>
      <c r="K448" s="16">
        <f>'[1]资源-钻石'!U448</f>
        <v>2886854.2790763406</v>
      </c>
      <c r="L448" s="16">
        <f>'[1]资源-钻石'!V448</f>
        <v>5163357.7069839751</v>
      </c>
      <c r="M448" s="16">
        <f>'[1]资源-钻石'!W448</f>
        <v>14618623.477682373</v>
      </c>
      <c r="N448" s="16">
        <f>'[1]资源-钻石'!X448</f>
        <v>35661743.325450607</v>
      </c>
    </row>
    <row r="449" spans="9:14">
      <c r="I449" s="4">
        <v>446</v>
      </c>
      <c r="J449" s="16">
        <f>'[1]资源-钻石'!T449</f>
        <v>1946020.7225691085</v>
      </c>
      <c r="K449" s="16">
        <f>'[1]资源-钻石'!U449</f>
        <v>2892422.7948260196</v>
      </c>
      <c r="L449" s="16">
        <f>'[1]资源-钻石'!V449</f>
        <v>5173935.0743086217</v>
      </c>
      <c r="M449" s="16">
        <f>'[1]资源-钻石'!W449</f>
        <v>14650278.581739483</v>
      </c>
      <c r="N449" s="16">
        <f>'[1]资源-钻石'!X449</f>
        <v>35740418.939913429</v>
      </c>
    </row>
    <row r="450" spans="9:14">
      <c r="I450" s="4">
        <v>447</v>
      </c>
      <c r="J450" s="16">
        <f>'[1]资源-钻石'!T450</f>
        <v>1949555.7368869982</v>
      </c>
      <c r="K450" s="16">
        <f>'[1]资源-钻石'!U450</f>
        <v>2897991.3105756985</v>
      </c>
      <c r="L450" s="16">
        <f>'[1]资源-钻石'!V450</f>
        <v>5184512.4416332683</v>
      </c>
      <c r="M450" s="16">
        <f>'[1]资源-钻石'!W450</f>
        <v>14681933.685796596</v>
      </c>
      <c r="N450" s="16">
        <f>'[1]资源-钻石'!X450</f>
        <v>35819094.554376252</v>
      </c>
    </row>
    <row r="451" spans="9:14">
      <c r="I451" s="4">
        <v>448</v>
      </c>
      <c r="J451" s="16">
        <f>'[1]资源-钻石'!T451</f>
        <v>1953090.7512048881</v>
      </c>
      <c r="K451" s="16">
        <f>'[1]资源-钻石'!U451</f>
        <v>2903559.826325377</v>
      </c>
      <c r="L451" s="16">
        <f>'[1]资源-钻石'!V451</f>
        <v>5195089.8089579148</v>
      </c>
      <c r="M451" s="16">
        <f>'[1]资源-钻石'!W451</f>
        <v>14713588.789853707</v>
      </c>
      <c r="N451" s="16">
        <f>'[1]资源-钻石'!X451</f>
        <v>35897770.168839075</v>
      </c>
    </row>
    <row r="452" spans="9:14">
      <c r="I452" s="1">
        <v>449</v>
      </c>
      <c r="J452" s="16">
        <f>'[1]资源-钻石'!T452</f>
        <v>1956625.7655227778</v>
      </c>
      <c r="K452" s="16">
        <f>'[1]资源-钻石'!U452</f>
        <v>2909128.3420750559</v>
      </c>
      <c r="L452" s="16">
        <f>'[1]资源-钻石'!V452</f>
        <v>5205667.1762825623</v>
      </c>
      <c r="M452" s="16">
        <f>'[1]资源-钻石'!W452</f>
        <v>14745243.893910818</v>
      </c>
      <c r="N452" s="16">
        <f>'[1]资源-钻石'!X452</f>
        <v>35976445.783301897</v>
      </c>
    </row>
    <row r="453" spans="9:14">
      <c r="I453" s="4">
        <v>450</v>
      </c>
      <c r="J453" s="16">
        <f>'[1]资源-钻石'!T453</f>
        <v>1960160.7798406677</v>
      </c>
      <c r="K453" s="16">
        <f>'[1]资源-钻石'!U453</f>
        <v>2914696.8578247349</v>
      </c>
      <c r="L453" s="16">
        <f>'[1]资源-钻石'!V453</f>
        <v>5216244.5436072089</v>
      </c>
      <c r="M453" s="16">
        <f>'[1]资源-钻石'!W453</f>
        <v>14776898.997967931</v>
      </c>
      <c r="N453" s="16">
        <f>'[1]资源-钻石'!X453</f>
        <v>36055121.39776472</v>
      </c>
    </row>
    <row r="454" spans="9:14">
      <c r="I454" s="4">
        <v>451</v>
      </c>
      <c r="J454" s="16">
        <f>'[1]资源-钻石'!T454</f>
        <v>1963695.7941585574</v>
      </c>
      <c r="K454" s="16">
        <f>'[1]资源-钻石'!U454</f>
        <v>2920265.3735744134</v>
      </c>
      <c r="L454" s="16">
        <f>'[1]资源-钻石'!V454</f>
        <v>5226821.9109318554</v>
      </c>
      <c r="M454" s="16">
        <f>'[1]资源-钻石'!W454</f>
        <v>14808554.102025041</v>
      </c>
      <c r="N454" s="16">
        <f>'[1]资源-钻石'!X454</f>
        <v>36133797.012227543</v>
      </c>
    </row>
    <row r="455" spans="9:14">
      <c r="I455" s="1">
        <v>452</v>
      </c>
      <c r="J455" s="16">
        <f>'[1]资源-钻石'!T455</f>
        <v>1967230.8084764474</v>
      </c>
      <c r="K455" s="16">
        <f>'[1]资源-钻石'!U455</f>
        <v>2925833.8893240923</v>
      </c>
      <c r="L455" s="16">
        <f>'[1]资源-钻石'!V455</f>
        <v>5237399.278256502</v>
      </c>
      <c r="M455" s="16">
        <f>'[1]资源-钻石'!W455</f>
        <v>14840209.206082152</v>
      </c>
      <c r="N455" s="16">
        <f>'[1]资源-钻石'!X455</f>
        <v>36212472.626690365</v>
      </c>
    </row>
    <row r="456" spans="9:14">
      <c r="I456" s="4">
        <v>453</v>
      </c>
      <c r="J456" s="16">
        <f>'[1]资源-钻石'!T456</f>
        <v>1970765.8227943371</v>
      </c>
      <c r="K456" s="16">
        <f>'[1]资源-钻石'!U456</f>
        <v>2931402.4050737713</v>
      </c>
      <c r="L456" s="16">
        <f>'[1]资源-钻石'!V456</f>
        <v>5247976.6455811486</v>
      </c>
      <c r="M456" s="16">
        <f>'[1]资源-钻石'!W456</f>
        <v>14871864.310139263</v>
      </c>
      <c r="N456" s="16">
        <f>'[1]资源-钻石'!X456</f>
        <v>36291148.241153188</v>
      </c>
    </row>
    <row r="457" spans="9:14">
      <c r="I457" s="4">
        <v>454</v>
      </c>
      <c r="J457" s="16">
        <f>'[1]资源-钻石'!T457</f>
        <v>1974300.837112227</v>
      </c>
      <c r="K457" s="16">
        <f>'[1]资源-钻石'!U457</f>
        <v>2936970.9208234502</v>
      </c>
      <c r="L457" s="16">
        <f>'[1]资源-钻石'!V457</f>
        <v>5258554.0129057951</v>
      </c>
      <c r="M457" s="16">
        <f>'[1]资源-钻石'!W457</f>
        <v>14903519.414196376</v>
      </c>
      <c r="N457" s="16">
        <f>'[1]资源-钻石'!X457</f>
        <v>36369823.855616011</v>
      </c>
    </row>
    <row r="458" spans="9:14">
      <c r="I458" s="4">
        <v>455</v>
      </c>
      <c r="J458" s="16">
        <f>'[1]资源-钻石'!T458</f>
        <v>1977835.8514301167</v>
      </c>
      <c r="K458" s="16">
        <f>'[1]资源-钻石'!U458</f>
        <v>2942539.4365731287</v>
      </c>
      <c r="L458" s="16">
        <f>'[1]资源-钻石'!V458</f>
        <v>5269131.3802304417</v>
      </c>
      <c r="M458" s="16">
        <f>'[1]资源-钻石'!W458</f>
        <v>14935174.518253487</v>
      </c>
      <c r="N458" s="16">
        <f>'[1]资源-钻石'!X458</f>
        <v>36448499.470078833</v>
      </c>
    </row>
    <row r="459" spans="9:14">
      <c r="I459" s="4">
        <v>456</v>
      </c>
      <c r="J459" s="16">
        <f>'[1]资源-钻石'!T459</f>
        <v>1981370.8657480066</v>
      </c>
      <c r="K459" s="16">
        <f>'[1]资源-钻石'!U459</f>
        <v>2948107.9523228076</v>
      </c>
      <c r="L459" s="16">
        <f>'[1]资源-钻石'!V459</f>
        <v>5279708.7475550883</v>
      </c>
      <c r="M459" s="16">
        <f>'[1]资源-钻石'!W459</f>
        <v>14966829.622310597</v>
      </c>
      <c r="N459" s="16">
        <f>'[1]资源-钻石'!X459</f>
        <v>36527175.084541656</v>
      </c>
    </row>
    <row r="460" spans="9:14">
      <c r="I460" s="4">
        <v>457</v>
      </c>
      <c r="J460" s="16">
        <f>'[1]资源-钻石'!T460</f>
        <v>1984905.8800658965</v>
      </c>
      <c r="K460" s="16">
        <f>'[1]资源-钻石'!U460</f>
        <v>2953676.4680724866</v>
      </c>
      <c r="L460" s="16">
        <f>'[1]资源-钻石'!V460</f>
        <v>5290286.1148797348</v>
      </c>
      <c r="M460" s="16">
        <f>'[1]资源-钻石'!W460</f>
        <v>14998484.72636771</v>
      </c>
      <c r="N460" s="16">
        <f>'[1]资源-钻石'!X460</f>
        <v>36605850.699004479</v>
      </c>
    </row>
    <row r="461" spans="9:14">
      <c r="I461" s="1">
        <v>458</v>
      </c>
      <c r="J461" s="16">
        <f>'[1]资源-钻石'!T461</f>
        <v>1988440.8943837862</v>
      </c>
      <c r="K461" s="16">
        <f>'[1]资源-钻石'!U461</f>
        <v>2959244.9838221651</v>
      </c>
      <c r="L461" s="16">
        <f>'[1]资源-钻石'!V461</f>
        <v>5300863.4822043823</v>
      </c>
      <c r="M461" s="16">
        <f>'[1]资源-钻石'!W461</f>
        <v>15030139.830424821</v>
      </c>
      <c r="N461" s="16">
        <f>'[1]资源-钻石'!X461</f>
        <v>36684526.313467301</v>
      </c>
    </row>
    <row r="462" spans="9:14">
      <c r="I462" s="4">
        <v>459</v>
      </c>
      <c r="J462" s="16">
        <f>'[1]资源-钻石'!T462</f>
        <v>1991975.9087016762</v>
      </c>
      <c r="K462" s="16">
        <f>'[1]资源-钻石'!U462</f>
        <v>2964813.499571844</v>
      </c>
      <c r="L462" s="16">
        <f>'[1]资源-钻石'!V462</f>
        <v>5311440.8495290289</v>
      </c>
      <c r="M462" s="16">
        <f>'[1]资源-钻石'!W462</f>
        <v>15061794.934481932</v>
      </c>
      <c r="N462" s="16">
        <f>'[1]资源-钻石'!X462</f>
        <v>36763201.927930124</v>
      </c>
    </row>
    <row r="463" spans="9:14">
      <c r="I463" s="4">
        <v>460</v>
      </c>
      <c r="J463" s="16">
        <f>'[1]资源-钻石'!T463</f>
        <v>1995510.9230195659</v>
      </c>
      <c r="K463" s="16">
        <f>'[1]资源-钻石'!U463</f>
        <v>2970382.015321523</v>
      </c>
      <c r="L463" s="16">
        <f>'[1]资源-钻石'!V463</f>
        <v>5322018.2168536754</v>
      </c>
      <c r="M463" s="16">
        <f>'[1]资源-钻石'!W463</f>
        <v>15093450.038539043</v>
      </c>
      <c r="N463" s="16">
        <f>'[1]资源-钻石'!X463</f>
        <v>36841877.542392947</v>
      </c>
    </row>
    <row r="464" spans="9:14">
      <c r="I464" s="1">
        <v>461</v>
      </c>
      <c r="J464" s="16">
        <f>'[1]资源-钻石'!T464</f>
        <v>1999045.9373374558</v>
      </c>
      <c r="K464" s="16">
        <f>'[1]资源-钻石'!U464</f>
        <v>2975950.5310712014</v>
      </c>
      <c r="L464" s="16">
        <f>'[1]资源-钻石'!V464</f>
        <v>5332595.584178322</v>
      </c>
      <c r="M464" s="16">
        <f>'[1]资源-钻石'!W464</f>
        <v>15125105.142596155</v>
      </c>
      <c r="N464" s="16">
        <f>'[1]资源-钻石'!X464</f>
        <v>36920553.156855769</v>
      </c>
    </row>
    <row r="465" spans="9:14">
      <c r="I465" s="4">
        <v>462</v>
      </c>
      <c r="J465" s="16">
        <f>'[1]资源-钻石'!T465</f>
        <v>2002580.9516553455</v>
      </c>
      <c r="K465" s="16">
        <f>'[1]资源-钻石'!U465</f>
        <v>2981519.0468208804</v>
      </c>
      <c r="L465" s="16">
        <f>'[1]资源-钻石'!V465</f>
        <v>5343172.9515029686</v>
      </c>
      <c r="M465" s="16">
        <f>'[1]资源-钻石'!W465</f>
        <v>15156760.246653266</v>
      </c>
      <c r="N465" s="16">
        <f>'[1]资源-钻石'!X465</f>
        <v>36999228.771318592</v>
      </c>
    </row>
    <row r="466" spans="9:14">
      <c r="I466" s="4">
        <v>463</v>
      </c>
      <c r="J466" s="16">
        <f>'[1]资源-钻石'!T466</f>
        <v>2006115.9659732354</v>
      </c>
      <c r="K466" s="16">
        <f>'[1]资源-钻石'!U466</f>
        <v>2987087.5625705593</v>
      </c>
      <c r="L466" s="16">
        <f>'[1]资源-钻石'!V466</f>
        <v>5353750.3188276151</v>
      </c>
      <c r="M466" s="16">
        <f>'[1]资源-钻石'!W466</f>
        <v>15188415.350710377</v>
      </c>
      <c r="N466" s="16">
        <f>'[1]资源-钻石'!X466</f>
        <v>37077904.385781415</v>
      </c>
    </row>
    <row r="467" spans="9:14">
      <c r="I467" s="4">
        <v>464</v>
      </c>
      <c r="J467" s="16">
        <f>'[1]资源-钻石'!T467</f>
        <v>2009650.9802911251</v>
      </c>
      <c r="K467" s="16">
        <f>'[1]资源-钻石'!U467</f>
        <v>2992656.0783202378</v>
      </c>
      <c r="L467" s="16">
        <f>'[1]资源-钻石'!V467</f>
        <v>5364327.6861522617</v>
      </c>
      <c r="M467" s="16">
        <f>'[1]资源-钻石'!W467</f>
        <v>15220070.45476749</v>
      </c>
      <c r="N467" s="16">
        <f>'[1]资源-钻石'!X467</f>
        <v>37156580.000244237</v>
      </c>
    </row>
    <row r="468" spans="9:14">
      <c r="I468" s="4">
        <v>465</v>
      </c>
      <c r="J468" s="16">
        <f>'[1]资源-钻石'!T468</f>
        <v>2013185.9946090151</v>
      </c>
      <c r="K468" s="16">
        <f>'[1]资源-钻石'!U468</f>
        <v>2998224.5940699168</v>
      </c>
      <c r="L468" s="16">
        <f>'[1]资源-钻石'!V468</f>
        <v>5374905.0534769092</v>
      </c>
      <c r="M468" s="16">
        <f>'[1]资源-钻石'!W468</f>
        <v>15251725.558824601</v>
      </c>
      <c r="N468" s="16">
        <f>'[1]资源-钻石'!X468</f>
        <v>37235255.61470706</v>
      </c>
    </row>
    <row r="469" spans="9:14">
      <c r="I469" s="4">
        <v>466</v>
      </c>
      <c r="J469" s="16">
        <f>'[1]资源-钻石'!T469</f>
        <v>2016721.0089269048</v>
      </c>
      <c r="K469" s="16">
        <f>'[1]资源-钻石'!U469</f>
        <v>3003793.1098195957</v>
      </c>
      <c r="L469" s="16">
        <f>'[1]资源-钻石'!V469</f>
        <v>5385482.4208015557</v>
      </c>
      <c r="M469" s="16">
        <f>'[1]资源-钻石'!W469</f>
        <v>15283380.662881711</v>
      </c>
      <c r="N469" s="16">
        <f>'[1]资源-钻石'!X469</f>
        <v>37313931.229169883</v>
      </c>
    </row>
    <row r="470" spans="9:14">
      <c r="I470" s="1">
        <v>467</v>
      </c>
      <c r="J470" s="16">
        <f>'[1]资源-钻石'!T470</f>
        <v>2020256.0232447947</v>
      </c>
      <c r="K470" s="16">
        <f>'[1]资源-钻石'!U470</f>
        <v>3009361.6255692746</v>
      </c>
      <c r="L470" s="16">
        <f>'[1]资源-钻石'!V470</f>
        <v>5396059.7881262023</v>
      </c>
      <c r="M470" s="16">
        <f>'[1]资源-钻石'!W470</f>
        <v>15315035.766938822</v>
      </c>
      <c r="N470" s="16">
        <f>'[1]资源-钻石'!X470</f>
        <v>37392606.843632706</v>
      </c>
    </row>
    <row r="471" spans="9:14">
      <c r="I471" s="4">
        <v>468</v>
      </c>
      <c r="J471" s="16">
        <f>'[1]资源-钻石'!T471</f>
        <v>2023791.0375626844</v>
      </c>
      <c r="K471" s="16">
        <f>'[1]资源-钻石'!U471</f>
        <v>3014930.1413189531</v>
      </c>
      <c r="L471" s="16">
        <f>'[1]资源-钻石'!V471</f>
        <v>5406637.1554508489</v>
      </c>
      <c r="M471" s="16">
        <f>'[1]资源-钻石'!W471</f>
        <v>15346690.870995935</v>
      </c>
      <c r="N471" s="16">
        <f>'[1]资源-钻石'!X471</f>
        <v>37471282.458095528</v>
      </c>
    </row>
    <row r="472" spans="9:14">
      <c r="I472" s="4">
        <v>469</v>
      </c>
      <c r="J472" s="16">
        <f>'[1]资源-钻石'!T472</f>
        <v>2027326.0518805743</v>
      </c>
      <c r="K472" s="16">
        <f>'[1]资源-钻石'!U472</f>
        <v>3020498.6570686321</v>
      </c>
      <c r="L472" s="16">
        <f>'[1]资源-钻石'!V472</f>
        <v>5417214.5227754954</v>
      </c>
      <c r="M472" s="16">
        <f>'[1]资源-钻石'!W472</f>
        <v>15378345.975053046</v>
      </c>
      <c r="N472" s="16">
        <f>'[1]资源-钻石'!X472</f>
        <v>37549958.072558351</v>
      </c>
    </row>
    <row r="473" spans="9:14">
      <c r="I473" s="1">
        <v>470</v>
      </c>
      <c r="J473" s="16">
        <f>'[1]资源-钻石'!T473</f>
        <v>2030861.066198464</v>
      </c>
      <c r="K473" s="16">
        <f>'[1]资源-钻石'!U473</f>
        <v>3026067.172818311</v>
      </c>
      <c r="L473" s="16">
        <f>'[1]资源-钻石'!V473</f>
        <v>5427791.890100142</v>
      </c>
      <c r="M473" s="16">
        <f>'[1]资源-钻石'!W473</f>
        <v>15410001.079110157</v>
      </c>
      <c r="N473" s="16">
        <f>'[1]资源-钻石'!X473</f>
        <v>37628633.687021174</v>
      </c>
    </row>
    <row r="474" spans="9:14">
      <c r="I474" s="4">
        <v>471</v>
      </c>
      <c r="J474" s="16">
        <f>'[1]资源-钻石'!T474</f>
        <v>2034396.0805163539</v>
      </c>
      <c r="K474" s="16">
        <f>'[1]资源-钻石'!U474</f>
        <v>3031635.6885679895</v>
      </c>
      <c r="L474" s="16">
        <f>'[1]资源-钻石'!V474</f>
        <v>5438369.2574247885</v>
      </c>
      <c r="M474" s="16">
        <f>'[1]资源-钻石'!W474</f>
        <v>15441656.183167269</v>
      </c>
      <c r="N474" s="16">
        <f>'[1]资源-钻石'!X474</f>
        <v>37707309.301483996</v>
      </c>
    </row>
    <row r="475" spans="9:14">
      <c r="I475" s="4">
        <v>472</v>
      </c>
      <c r="J475" s="16">
        <f>'[1]资源-钻石'!T475</f>
        <v>2037931.0948342439</v>
      </c>
      <c r="K475" s="16">
        <f>'[1]资源-钻石'!U475</f>
        <v>3037204.2043176685</v>
      </c>
      <c r="L475" s="16">
        <f>'[1]资源-钻石'!V475</f>
        <v>5448946.6247494351</v>
      </c>
      <c r="M475" s="16">
        <f>'[1]资源-钻石'!W475</f>
        <v>15473311.28722438</v>
      </c>
      <c r="N475" s="16">
        <f>'[1]资源-钻石'!X475</f>
        <v>37785984.915946819</v>
      </c>
    </row>
    <row r="476" spans="9:14">
      <c r="I476" s="4">
        <v>473</v>
      </c>
      <c r="J476" s="16">
        <f>'[1]资源-钻石'!T476</f>
        <v>2041466.1091521336</v>
      </c>
      <c r="K476" s="16">
        <f>'[1]资源-钻石'!U476</f>
        <v>3042772.7200673474</v>
      </c>
      <c r="L476" s="16">
        <f>'[1]资源-钻石'!V476</f>
        <v>5459523.9920740826</v>
      </c>
      <c r="M476" s="16">
        <f>'[1]资源-钻石'!W476</f>
        <v>15504966.391281491</v>
      </c>
      <c r="N476" s="16">
        <f>'[1]资源-钻石'!X476</f>
        <v>37864660.530409642</v>
      </c>
    </row>
    <row r="477" spans="9:14">
      <c r="I477" s="4">
        <v>474</v>
      </c>
      <c r="J477" s="16">
        <f>'[1]资源-钻石'!T477</f>
        <v>2045001.1234700235</v>
      </c>
      <c r="K477" s="16">
        <f>'[1]资源-钻石'!U477</f>
        <v>3048341.2358170259</v>
      </c>
      <c r="L477" s="16">
        <f>'[1]资源-钻石'!V477</f>
        <v>5470101.3593987292</v>
      </c>
      <c r="M477" s="16">
        <f>'[1]资源-钻石'!W477</f>
        <v>15536621.495338602</v>
      </c>
      <c r="N477" s="16">
        <f>'[1]资源-钻石'!X477</f>
        <v>37943336.144872457</v>
      </c>
    </row>
    <row r="478" spans="9:14">
      <c r="I478" s="4">
        <v>475</v>
      </c>
      <c r="J478" s="16">
        <f>'[1]资源-钻石'!T478</f>
        <v>2048536.1377879132</v>
      </c>
      <c r="K478" s="16">
        <f>'[1]资源-钻石'!U478</f>
        <v>3053909.7515667048</v>
      </c>
      <c r="L478" s="16">
        <f>'[1]资源-钻石'!V478</f>
        <v>5480678.7267233757</v>
      </c>
      <c r="M478" s="16">
        <f>'[1]资源-钻石'!W478</f>
        <v>15568276.599395715</v>
      </c>
      <c r="N478" s="16">
        <f>'[1]资源-钻石'!X478</f>
        <v>38022011.759335279</v>
      </c>
    </row>
    <row r="479" spans="9:14">
      <c r="I479" s="1">
        <v>476</v>
      </c>
      <c r="J479" s="16">
        <f>'[1]资源-钻石'!T479</f>
        <v>2052071.1521058031</v>
      </c>
      <c r="K479" s="16">
        <f>'[1]资源-钻石'!U479</f>
        <v>3059478.2673163838</v>
      </c>
      <c r="L479" s="16">
        <f>'[1]资源-钻石'!V479</f>
        <v>5491256.0940480223</v>
      </c>
      <c r="M479" s="16">
        <f>'[1]资源-钻石'!W479</f>
        <v>15599931.703452826</v>
      </c>
      <c r="N479" s="16">
        <f>'[1]资源-钻石'!X479</f>
        <v>38100687.373798102</v>
      </c>
    </row>
    <row r="480" spans="9:14">
      <c r="I480" s="4">
        <v>477</v>
      </c>
      <c r="J480" s="16">
        <f>'[1]资源-钻石'!T480</f>
        <v>2055606.1664236928</v>
      </c>
      <c r="K480" s="16">
        <f>'[1]资源-钻石'!U480</f>
        <v>3065046.7830660627</v>
      </c>
      <c r="L480" s="16">
        <f>'[1]资源-钻石'!V480</f>
        <v>5501833.4613726689</v>
      </c>
      <c r="M480" s="16">
        <f>'[1]资源-钻石'!W480</f>
        <v>15631586.807509936</v>
      </c>
      <c r="N480" s="16">
        <f>'[1]资源-钻石'!X480</f>
        <v>38179362.988260925</v>
      </c>
    </row>
    <row r="481" spans="9:14">
      <c r="I481" s="4">
        <v>478</v>
      </c>
      <c r="J481" s="16">
        <f>'[1]资源-钻石'!T481</f>
        <v>2059141.1807415828</v>
      </c>
      <c r="K481" s="16">
        <f>'[1]资源-钻石'!U481</f>
        <v>3070615.2988157412</v>
      </c>
      <c r="L481" s="16">
        <f>'[1]资源-钻石'!V481</f>
        <v>5512410.8286973154</v>
      </c>
      <c r="M481" s="16">
        <f>'[1]资源-钻石'!W481</f>
        <v>15663241.911567047</v>
      </c>
      <c r="N481" s="16">
        <f>'[1]资源-钻石'!X481</f>
        <v>38258038.602723747</v>
      </c>
    </row>
    <row r="482" spans="9:14">
      <c r="I482" s="1">
        <v>479</v>
      </c>
      <c r="J482" s="16">
        <f>'[1]资源-钻石'!T482</f>
        <v>2062676.1950594725</v>
      </c>
      <c r="K482" s="16">
        <f>'[1]资源-钻石'!U482</f>
        <v>3076183.8145654202</v>
      </c>
      <c r="L482" s="16">
        <f>'[1]资源-钻石'!V482</f>
        <v>5522988.196021962</v>
      </c>
      <c r="M482" s="16">
        <f>'[1]资源-钻石'!W482</f>
        <v>15694897.01562416</v>
      </c>
      <c r="N482" s="16">
        <f>'[1]资源-钻石'!X482</f>
        <v>38336714.21718657</v>
      </c>
    </row>
    <row r="483" spans="9:14">
      <c r="I483" s="4">
        <v>480</v>
      </c>
      <c r="J483" s="16">
        <f>'[1]资源-钻石'!T483</f>
        <v>2066211.2093773624</v>
      </c>
      <c r="K483" s="16">
        <f>'[1]资源-钻石'!U483</f>
        <v>3081752.3303150991</v>
      </c>
      <c r="L483" s="16">
        <f>'[1]资源-钻石'!V483</f>
        <v>5533565.5633466095</v>
      </c>
      <c r="M483" s="16">
        <f>'[1]资源-钻石'!W483</f>
        <v>15726552.119681271</v>
      </c>
      <c r="N483" s="16">
        <f>'[1]资源-钻石'!X483</f>
        <v>38415389.831649393</v>
      </c>
    </row>
    <row r="484" spans="9:14">
      <c r="I484" s="4">
        <v>481</v>
      </c>
      <c r="J484" s="16">
        <f>'[1]资源-钻石'!T484</f>
        <v>2069746.2236952521</v>
      </c>
      <c r="K484" s="16">
        <f>'[1]资源-钻石'!U484</f>
        <v>3087320.8460647776</v>
      </c>
      <c r="L484" s="16">
        <f>'[1]资源-钻石'!V484</f>
        <v>5544142.930671256</v>
      </c>
      <c r="M484" s="16">
        <f>'[1]资源-钻石'!W484</f>
        <v>15758207.223738382</v>
      </c>
      <c r="N484" s="16">
        <f>'[1]资源-钻石'!X484</f>
        <v>38494065.446112216</v>
      </c>
    </row>
    <row r="485" spans="9:14">
      <c r="I485" s="4">
        <v>482</v>
      </c>
      <c r="J485" s="16">
        <f>'[1]资源-钻石'!T485</f>
        <v>2073281.238013142</v>
      </c>
      <c r="K485" s="16">
        <f>'[1]资源-钻石'!U485</f>
        <v>3092889.3618144565</v>
      </c>
      <c r="L485" s="16">
        <f>'[1]资源-钻石'!V485</f>
        <v>5554720.2979959026</v>
      </c>
      <c r="M485" s="16">
        <f>'[1]资源-钻石'!W485</f>
        <v>15789862.327795492</v>
      </c>
      <c r="N485" s="16">
        <f>'[1]资源-钻石'!X485</f>
        <v>38572741.060575038</v>
      </c>
    </row>
    <row r="486" spans="9:14">
      <c r="I486" s="4">
        <v>483</v>
      </c>
      <c r="J486" s="16">
        <f>'[1]资源-钻石'!T486</f>
        <v>2076816.2523310317</v>
      </c>
      <c r="K486" s="16">
        <f>'[1]资源-钻石'!U486</f>
        <v>3098457.8775641355</v>
      </c>
      <c r="L486" s="16">
        <f>'[1]资源-钻石'!V486</f>
        <v>5565297.6653205492</v>
      </c>
      <c r="M486" s="16">
        <f>'[1]资源-钻石'!W486</f>
        <v>15821517.431852605</v>
      </c>
      <c r="N486" s="16">
        <f>'[1]资源-钻石'!X486</f>
        <v>38651416.675037861</v>
      </c>
    </row>
    <row r="487" spans="9:14">
      <c r="I487" s="4">
        <v>484</v>
      </c>
      <c r="J487" s="16">
        <f>'[1]资源-钻石'!T487</f>
        <v>2080351.2666489216</v>
      </c>
      <c r="K487" s="16">
        <f>'[1]资源-钻石'!U487</f>
        <v>3104026.3933138144</v>
      </c>
      <c r="L487" s="16">
        <f>'[1]资源-钻石'!V487</f>
        <v>5575875.0326451957</v>
      </c>
      <c r="M487" s="16">
        <f>'[1]资源-钻石'!W487</f>
        <v>15853172.535909716</v>
      </c>
      <c r="N487" s="16">
        <f>'[1]资源-钻石'!X487</f>
        <v>38730092.289500684</v>
      </c>
    </row>
    <row r="488" spans="9:14">
      <c r="I488" s="1">
        <v>485</v>
      </c>
      <c r="J488" s="16">
        <f>'[1]资源-钻石'!T488</f>
        <v>2083886.2809668113</v>
      </c>
      <c r="K488" s="16">
        <f>'[1]资源-钻石'!U488</f>
        <v>3109594.9090634929</v>
      </c>
      <c r="L488" s="16">
        <f>'[1]资源-钻石'!V488</f>
        <v>5586452.3999698423</v>
      </c>
      <c r="M488" s="16">
        <f>'[1]资源-钻石'!W488</f>
        <v>15884827.639966827</v>
      </c>
      <c r="N488" s="16">
        <f>'[1]资源-钻石'!X488</f>
        <v>38808767.903963506</v>
      </c>
    </row>
    <row r="489" spans="9:14">
      <c r="I489" s="4">
        <v>486</v>
      </c>
      <c r="J489" s="16">
        <f>'[1]资源-钻石'!T489</f>
        <v>2087421.2952847013</v>
      </c>
      <c r="K489" s="16">
        <f>'[1]资源-钻石'!U489</f>
        <v>3115163.4248131718</v>
      </c>
      <c r="L489" s="16">
        <f>'[1]资源-钻石'!V489</f>
        <v>5597029.7672944888</v>
      </c>
      <c r="M489" s="16">
        <f>'[1]资源-钻石'!W489</f>
        <v>15916482.74402394</v>
      </c>
      <c r="N489" s="16">
        <f>'[1]资源-钻石'!X489</f>
        <v>38887443.518426329</v>
      </c>
    </row>
    <row r="490" spans="9:14">
      <c r="I490" s="4">
        <v>487</v>
      </c>
      <c r="J490" s="16">
        <f>'[1]资源-钻石'!T490</f>
        <v>2090956.309602591</v>
      </c>
      <c r="K490" s="16">
        <f>'[1]资源-钻石'!U490</f>
        <v>3120731.9405628508</v>
      </c>
      <c r="L490" s="16">
        <f>'[1]资源-钻石'!V490</f>
        <v>5607607.1346191354</v>
      </c>
      <c r="M490" s="16">
        <f>'[1]资源-钻石'!W490</f>
        <v>15948137.84808105</v>
      </c>
      <c r="N490" s="16">
        <f>'[1]资源-钻石'!X490</f>
        <v>38966119.132889152</v>
      </c>
    </row>
    <row r="491" spans="9:14">
      <c r="I491" s="1">
        <v>488</v>
      </c>
      <c r="J491" s="16">
        <f>'[1]资源-钻石'!T491</f>
        <v>2094491.3239204809</v>
      </c>
      <c r="K491" s="16">
        <f>'[1]资源-钻石'!U491</f>
        <v>3126300.4563125293</v>
      </c>
      <c r="L491" s="16">
        <f>'[1]资源-钻石'!V491</f>
        <v>5618184.5019437829</v>
      </c>
      <c r="M491" s="16">
        <f>'[1]资源-钻石'!W491</f>
        <v>15979792.952138161</v>
      </c>
      <c r="N491" s="16">
        <f>'[1]资源-钻石'!X491</f>
        <v>39044794.747351974</v>
      </c>
    </row>
    <row r="492" spans="9:14">
      <c r="I492" s="4">
        <v>489</v>
      </c>
      <c r="J492" s="16">
        <f>'[1]资源-钻石'!T492</f>
        <v>2098026.3382383706</v>
      </c>
      <c r="K492" s="16">
        <f>'[1]资源-钻石'!U492</f>
        <v>3131868.9720622082</v>
      </c>
      <c r="L492" s="16">
        <f>'[1]资源-钻石'!V492</f>
        <v>5628761.8692684295</v>
      </c>
      <c r="M492" s="16">
        <f>'[1]资源-钻石'!W492</f>
        <v>16011448.056195272</v>
      </c>
      <c r="N492" s="16">
        <f>'[1]资源-钻石'!X492</f>
        <v>39123470.361814797</v>
      </c>
    </row>
    <row r="493" spans="9:14">
      <c r="I493" s="4">
        <v>490</v>
      </c>
      <c r="J493" s="16">
        <f>'[1]资源-钻石'!T493</f>
        <v>2101561.3525562608</v>
      </c>
      <c r="K493" s="16">
        <f>'[1]资源-钻石'!U493</f>
        <v>3137437.4878118872</v>
      </c>
      <c r="L493" s="16">
        <f>'[1]资源-钻石'!V493</f>
        <v>5639339.236593076</v>
      </c>
      <c r="M493" s="16">
        <f>'[1]资源-钻石'!W493</f>
        <v>16043103.160252385</v>
      </c>
      <c r="N493" s="16">
        <f>'[1]资源-钻石'!X493</f>
        <v>39202145.97627762</v>
      </c>
    </row>
    <row r="494" spans="9:14">
      <c r="I494" s="4">
        <v>491</v>
      </c>
      <c r="J494" s="16">
        <f>'[1]资源-钻石'!T494</f>
        <v>2105096.3668741505</v>
      </c>
      <c r="K494" s="16">
        <f>'[1]资源-钻石'!U494</f>
        <v>3143006.0035615657</v>
      </c>
      <c r="L494" s="16">
        <f>'[1]资源-钻石'!V494</f>
        <v>5649916.6039177226</v>
      </c>
      <c r="M494" s="16">
        <f>'[1]资源-钻石'!W494</f>
        <v>16074758.264309496</v>
      </c>
      <c r="N494" s="16">
        <f>'[1]资源-钻石'!X494</f>
        <v>39280821.590740442</v>
      </c>
    </row>
    <row r="495" spans="9:14">
      <c r="I495" s="4">
        <v>492</v>
      </c>
      <c r="J495" s="16">
        <f>'[1]资源-钻石'!T495</f>
        <v>2108631.3811920402</v>
      </c>
      <c r="K495" s="16">
        <f>'[1]资源-钻石'!U495</f>
        <v>3148574.5193112446</v>
      </c>
      <c r="L495" s="16">
        <f>'[1]资源-钻石'!V495</f>
        <v>5660493.9712423692</v>
      </c>
      <c r="M495" s="16">
        <f>'[1]资源-钻石'!W495</f>
        <v>16106413.368366607</v>
      </c>
      <c r="N495" s="16">
        <f>'[1]资源-钻石'!X495</f>
        <v>39359497.205203265</v>
      </c>
    </row>
    <row r="496" spans="9:14">
      <c r="I496" s="4">
        <v>493</v>
      </c>
      <c r="J496" s="16">
        <f>'[1]资源-钻石'!T496</f>
        <v>2112166.3955099299</v>
      </c>
      <c r="K496" s="16">
        <f>'[1]资源-钻石'!U496</f>
        <v>3154143.0350609235</v>
      </c>
      <c r="L496" s="16">
        <f>'[1]资源-钻石'!V496</f>
        <v>5671071.3385670157</v>
      </c>
      <c r="M496" s="16">
        <f>'[1]资源-钻石'!W496</f>
        <v>16138068.472423717</v>
      </c>
      <c r="N496" s="16">
        <f>'[1]资源-钻石'!X496</f>
        <v>39438172.819666088</v>
      </c>
    </row>
    <row r="497" spans="9:14">
      <c r="I497" s="1">
        <v>494</v>
      </c>
      <c r="J497" s="16">
        <f>'[1]资源-钻石'!T497</f>
        <v>2115701.40982782</v>
      </c>
      <c r="K497" s="16">
        <f>'[1]资源-钻石'!U497</f>
        <v>3159711.5508106025</v>
      </c>
      <c r="L497" s="16">
        <f>'[1]资源-钻石'!V497</f>
        <v>5681648.7058916623</v>
      </c>
      <c r="M497" s="16">
        <f>'[1]资源-钻石'!W497</f>
        <v>16169723.57648083</v>
      </c>
      <c r="N497" s="16">
        <f>'[1]资源-钻石'!X497</f>
        <v>39516848.43412891</v>
      </c>
    </row>
    <row r="498" spans="9:14">
      <c r="I498" s="4">
        <v>495</v>
      </c>
      <c r="J498" s="16">
        <f>'[1]资源-钻石'!T498</f>
        <v>2119236.4241457097</v>
      </c>
      <c r="K498" s="16">
        <f>'[1]资源-钻石'!U498</f>
        <v>3165280.066560281</v>
      </c>
      <c r="L498" s="16">
        <f>'[1]资源-钻石'!V498</f>
        <v>5692226.0732163088</v>
      </c>
      <c r="M498" s="16">
        <f>'[1]资源-钻石'!W498</f>
        <v>16201378.680537941</v>
      </c>
      <c r="N498" s="16">
        <f>'[1]资源-钻石'!X498</f>
        <v>39595524.048591733</v>
      </c>
    </row>
    <row r="499" spans="9:14">
      <c r="I499" s="4">
        <v>496</v>
      </c>
      <c r="J499" s="16">
        <f>'[1]资源-钻石'!T499</f>
        <v>2122771.4384635994</v>
      </c>
      <c r="K499" s="16">
        <f>'[1]资源-钻石'!U499</f>
        <v>3170848.5823099599</v>
      </c>
      <c r="L499" s="16">
        <f>'[1]资源-钻石'!V499</f>
        <v>5702803.4405409563</v>
      </c>
      <c r="M499" s="16">
        <f>'[1]资源-钻石'!W499</f>
        <v>16233033.784595052</v>
      </c>
      <c r="N499" s="16">
        <f>'[1]资源-钻石'!X499</f>
        <v>39674199.663054548</v>
      </c>
    </row>
    <row r="500" spans="9:14">
      <c r="I500" s="1">
        <v>497</v>
      </c>
      <c r="J500" s="16">
        <f>'[1]资源-钻石'!T500</f>
        <v>2126306.4527814891</v>
      </c>
      <c r="K500" s="16">
        <f>'[1]资源-钻石'!U500</f>
        <v>3176417.0980596389</v>
      </c>
      <c r="L500" s="16">
        <f>'[1]资源-钻石'!V500</f>
        <v>5713380.8078656029</v>
      </c>
      <c r="M500" s="16">
        <f>'[1]资源-钻石'!W500</f>
        <v>16264688.888652163</v>
      </c>
      <c r="N500" s="16">
        <f>'[1]资源-钻石'!X500</f>
        <v>39752875.277517371</v>
      </c>
    </row>
    <row r="501" spans="9:14">
      <c r="I501" s="4">
        <v>498</v>
      </c>
      <c r="J501" s="16">
        <f>'[1]资源-钻石'!T501</f>
        <v>2129841.4670993793</v>
      </c>
      <c r="K501" s="16">
        <f>'[1]资源-钻石'!U501</f>
        <v>3181985.6138093174</v>
      </c>
      <c r="L501" s="16">
        <f>'[1]资源-钻石'!V501</f>
        <v>5723958.1751902495</v>
      </c>
      <c r="M501" s="16">
        <f>'[1]资源-钻石'!W501</f>
        <v>16296343.992709275</v>
      </c>
      <c r="N501" s="16">
        <f>'[1]资源-钻石'!X501</f>
        <v>39831550.891980194</v>
      </c>
    </row>
    <row r="502" spans="9:14">
      <c r="I502" s="4">
        <v>499</v>
      </c>
      <c r="J502" s="16">
        <f>'[1]资源-钻石'!T502</f>
        <v>2133376.481417269</v>
      </c>
      <c r="K502" s="16">
        <f>'[1]资源-钻石'!U502</f>
        <v>3187554.1295589963</v>
      </c>
      <c r="L502" s="16">
        <f>'[1]资源-钻石'!V502</f>
        <v>5734535.542514896</v>
      </c>
      <c r="M502" s="16">
        <f>'[1]资源-钻石'!W502</f>
        <v>16327999.096766386</v>
      </c>
      <c r="N502" s="16">
        <f>'[1]资源-钻石'!X502</f>
        <v>39910226.506443016</v>
      </c>
    </row>
    <row r="503" spans="9:14">
      <c r="I503" s="4">
        <v>500</v>
      </c>
      <c r="J503" s="16">
        <f>'[1]资源-钻石'!T503</f>
        <v>2136911.4957351587</v>
      </c>
      <c r="K503" s="16">
        <f>'[1]资源-钻石'!U503</f>
        <v>3193122.6453086752</v>
      </c>
      <c r="L503" s="16">
        <f>'[1]资源-钻石'!V503</f>
        <v>5745112.9098395426</v>
      </c>
      <c r="M503" s="16">
        <f>'[1]资源-钻石'!W503</f>
        <v>16359654.200823497</v>
      </c>
      <c r="N503" s="16">
        <f>'[1]资源-钻石'!X503</f>
        <v>39988902.120905839</v>
      </c>
    </row>
  </sheetData>
  <mergeCells count="17">
    <mergeCell ref="BF5:BG5"/>
    <mergeCell ref="AL139:AM140"/>
    <mergeCell ref="AO140:AS140"/>
    <mergeCell ref="AL184:AM185"/>
    <mergeCell ref="AO185:AS185"/>
    <mergeCell ref="AL4:AM5"/>
    <mergeCell ref="AO5:AS5"/>
    <mergeCell ref="AL49:AM50"/>
    <mergeCell ref="AO50:AS50"/>
    <mergeCell ref="AL94:AM95"/>
    <mergeCell ref="AO95:AS95"/>
    <mergeCell ref="AX5:BB5"/>
    <mergeCell ref="B2:G2"/>
    <mergeCell ref="I2:N2"/>
    <mergeCell ref="Q2:U2"/>
    <mergeCell ref="V2:Z2"/>
    <mergeCell ref="AD2:AH2"/>
  </mergeCells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4"/>
  <sheetViews>
    <sheetView workbookViewId="0">
      <selection activeCell="E9" sqref="E9"/>
    </sheetView>
  </sheetViews>
  <sheetFormatPr defaultColWidth="9" defaultRowHeight="11.25"/>
  <cols>
    <col min="1" max="7" width="9" style="18"/>
    <col min="8" max="8" width="9.75" style="18" bestFit="1" customWidth="1"/>
    <col min="9" max="16384" width="9" style="18"/>
  </cols>
  <sheetData>
    <row r="1" spans="1:6">
      <c r="A1" s="19" t="s">
        <v>178</v>
      </c>
    </row>
    <row r="2" spans="1:6">
      <c r="A2" s="19" t="s">
        <v>171</v>
      </c>
    </row>
    <row r="3" spans="1:6">
      <c r="A3" s="19" t="s">
        <v>177</v>
      </c>
    </row>
    <row r="4" spans="1:6">
      <c r="A4" s="19" t="s">
        <v>342</v>
      </c>
    </row>
    <row r="5" spans="1:6">
      <c r="A5" s="19" t="s">
        <v>341</v>
      </c>
    </row>
    <row r="7" spans="1:6">
      <c r="B7" s="168" t="s">
        <v>174</v>
      </c>
      <c r="C7" s="168"/>
      <c r="D7" s="168"/>
      <c r="E7" s="168"/>
      <c r="F7" s="168"/>
    </row>
    <row r="8" spans="1:6">
      <c r="B8" s="18" t="s">
        <v>176</v>
      </c>
      <c r="C8" s="18">
        <v>100</v>
      </c>
      <c r="D8" s="18">
        <v>110</v>
      </c>
      <c r="E8" s="18">
        <v>120</v>
      </c>
      <c r="F8" s="18">
        <v>130</v>
      </c>
    </row>
    <row r="9" spans="1:6">
      <c r="B9" s="18" t="s">
        <v>172</v>
      </c>
      <c r="C9" s="18">
        <v>10</v>
      </c>
      <c r="D9" s="18">
        <v>15</v>
      </c>
      <c r="E9" s="18">
        <v>18</v>
      </c>
      <c r="F9" s="18">
        <v>20</v>
      </c>
    </row>
    <row r="10" spans="1:6">
      <c r="B10" s="18" t="s">
        <v>173</v>
      </c>
      <c r="C10" s="20">
        <v>0.1</v>
      </c>
      <c r="D10" s="20">
        <v>0.15</v>
      </c>
      <c r="E10" s="20">
        <v>0.18</v>
      </c>
      <c r="F10" s="20">
        <v>0.2</v>
      </c>
    </row>
    <row r="11" spans="1:6">
      <c r="B11" s="18" t="s">
        <v>175</v>
      </c>
      <c r="E11" s="18">
        <v>8000</v>
      </c>
      <c r="F11" s="18">
        <v>10000</v>
      </c>
    </row>
    <row r="15" spans="1:6">
      <c r="A15" s="19" t="s">
        <v>344</v>
      </c>
    </row>
    <row r="16" spans="1:6">
      <c r="A16" s="19" t="s">
        <v>343</v>
      </c>
    </row>
    <row r="17" spans="1:1">
      <c r="A17" s="19"/>
    </row>
    <row r="18" spans="1:1">
      <c r="A18" s="19"/>
    </row>
    <row r="19" spans="1:1">
      <c r="A19" s="19"/>
    </row>
    <row r="20" spans="1:1">
      <c r="A20" s="19"/>
    </row>
    <row r="21" spans="1:1">
      <c r="A21" s="19"/>
    </row>
    <row r="22" spans="1:1">
      <c r="A22" s="19"/>
    </row>
    <row r="23" spans="1:1">
      <c r="A23" s="19"/>
    </row>
    <row r="24" spans="1:1">
      <c r="A24" s="19"/>
    </row>
  </sheetData>
  <mergeCells count="1">
    <mergeCell ref="B7:F7"/>
  </mergeCells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2:AB144"/>
  <sheetViews>
    <sheetView topLeftCell="A100" workbookViewId="0">
      <selection activeCell="U126" sqref="U126"/>
    </sheetView>
  </sheetViews>
  <sheetFormatPr defaultColWidth="6.625" defaultRowHeight="11.25"/>
  <cols>
    <col min="1" max="8" width="6.625" style="16"/>
    <col min="9" max="9" width="6.625" style="16" customWidth="1"/>
    <col min="10" max="12" width="6.625" style="16"/>
    <col min="13" max="15" width="6.625" style="29"/>
    <col min="16" max="16" width="6.625" style="16"/>
    <col min="17" max="20" width="6.625" style="40"/>
    <col min="21" max="22" width="10.5" style="16" bestFit="1" customWidth="1"/>
    <col min="23" max="16384" width="6.625" style="16"/>
  </cols>
  <sheetData>
    <row r="2" spans="2:28">
      <c r="C2" s="48" t="s">
        <v>457</v>
      </c>
      <c r="D2" s="16">
        <v>70</v>
      </c>
      <c r="T2" s="14" t="s">
        <v>420</v>
      </c>
    </row>
    <row r="3" spans="2:28">
      <c r="T3" s="14" t="s">
        <v>421</v>
      </c>
    </row>
    <row r="4" spans="2:28">
      <c r="B4" s="170" t="s">
        <v>329</v>
      </c>
      <c r="C4" s="170"/>
      <c r="D4" s="170"/>
      <c r="E4" s="170"/>
      <c r="F4" s="170"/>
      <c r="K4" s="29"/>
      <c r="L4" s="29"/>
      <c r="M4" s="16"/>
      <c r="N4" s="16"/>
      <c r="P4" s="29"/>
      <c r="T4" s="16"/>
    </row>
    <row r="5" spans="2:28">
      <c r="B5" s="17" t="s">
        <v>210</v>
      </c>
      <c r="C5" s="17" t="s">
        <v>1</v>
      </c>
      <c r="D5" s="17" t="s">
        <v>2</v>
      </c>
      <c r="E5" s="17" t="s">
        <v>0</v>
      </c>
      <c r="F5" s="17" t="s">
        <v>167</v>
      </c>
      <c r="K5" s="29"/>
      <c r="L5" s="29"/>
      <c r="M5" s="16"/>
      <c r="N5" s="16"/>
      <c r="O5" s="16"/>
      <c r="T5" s="14" t="s">
        <v>422</v>
      </c>
    </row>
    <row r="6" spans="2:28">
      <c r="B6" s="72" t="s">
        <v>170</v>
      </c>
      <c r="C6" s="17">
        <v>4</v>
      </c>
      <c r="D6" s="17">
        <v>9</v>
      </c>
      <c r="E6" s="17">
        <v>8</v>
      </c>
      <c r="F6" s="17"/>
      <c r="K6" s="29"/>
      <c r="L6" s="29"/>
      <c r="M6" s="16"/>
      <c r="N6" s="16"/>
      <c r="T6" s="14" t="s">
        <v>424</v>
      </c>
    </row>
    <row r="7" spans="2:28">
      <c r="B7" s="72" t="s">
        <v>169</v>
      </c>
      <c r="C7" s="17"/>
      <c r="D7" s="17"/>
      <c r="E7" s="17"/>
      <c r="F7" s="17">
        <v>6</v>
      </c>
      <c r="K7" s="29"/>
      <c r="L7" s="29"/>
      <c r="M7" s="16"/>
      <c r="N7" s="16"/>
      <c r="O7" s="16"/>
      <c r="T7" s="14" t="s">
        <v>423</v>
      </c>
    </row>
    <row r="8" spans="2:28">
      <c r="B8" s="17" t="s">
        <v>328</v>
      </c>
      <c r="C8" s="17">
        <f>SUM(C6:C7)</f>
        <v>4</v>
      </c>
      <c r="D8" s="17">
        <f t="shared" ref="D8" si="0">SUM(D6:D7)</f>
        <v>9</v>
      </c>
      <c r="E8" s="17">
        <f>SUM(E6:E7)</f>
        <v>8</v>
      </c>
      <c r="F8" s="17">
        <f>SUM(F6:F7)</f>
        <v>6</v>
      </c>
      <c r="K8" s="29"/>
      <c r="L8" s="29"/>
      <c r="M8" s="16"/>
      <c r="N8" s="16"/>
      <c r="O8" s="16"/>
      <c r="T8" s="14" t="s">
        <v>446</v>
      </c>
    </row>
    <row r="9" spans="2:28">
      <c r="T9" s="14" t="s">
        <v>447</v>
      </c>
    </row>
    <row r="14" spans="2:28">
      <c r="J14" s="59"/>
      <c r="K14" s="59"/>
      <c r="L14" s="59"/>
      <c r="M14" s="60"/>
      <c r="N14" s="60"/>
      <c r="O14" s="60"/>
      <c r="P14" s="60"/>
      <c r="Q14" s="62"/>
      <c r="R14" s="62"/>
      <c r="S14" s="62"/>
      <c r="T14" s="62"/>
    </row>
    <row r="15" spans="2:28">
      <c r="B15" s="16">
        <v>1</v>
      </c>
      <c r="C15" s="171" t="s">
        <v>247</v>
      </c>
      <c r="D15" s="172"/>
      <c r="E15" s="171" t="s">
        <v>425</v>
      </c>
      <c r="F15" s="173"/>
      <c r="G15" s="173"/>
      <c r="H15" s="172"/>
      <c r="I15" s="170" t="s">
        <v>349</v>
      </c>
      <c r="J15" s="170"/>
      <c r="K15" s="170"/>
      <c r="L15" s="170"/>
      <c r="M15" s="170" t="s">
        <v>364</v>
      </c>
      <c r="N15" s="170"/>
      <c r="O15" s="170"/>
      <c r="P15" s="170"/>
      <c r="Q15" s="169" t="s">
        <v>365</v>
      </c>
      <c r="R15" s="169"/>
      <c r="S15" s="169"/>
      <c r="T15" s="169"/>
      <c r="Y15" s="16" t="s">
        <v>364</v>
      </c>
    </row>
    <row r="16" spans="2:28">
      <c r="B16" s="16">
        <v>2</v>
      </c>
      <c r="C16" s="17" t="s">
        <v>161</v>
      </c>
      <c r="D16" s="17" t="s">
        <v>158</v>
      </c>
      <c r="E16" s="17" t="s">
        <v>1</v>
      </c>
      <c r="F16" s="17" t="s">
        <v>2</v>
      </c>
      <c r="G16" s="17" t="s">
        <v>0</v>
      </c>
      <c r="H16" s="17" t="s">
        <v>205</v>
      </c>
      <c r="I16" s="17" t="s">
        <v>206</v>
      </c>
      <c r="J16" s="17" t="s">
        <v>207</v>
      </c>
      <c r="K16" s="17" t="s">
        <v>208</v>
      </c>
      <c r="L16" s="17" t="s">
        <v>205</v>
      </c>
      <c r="M16" s="30" t="s">
        <v>1</v>
      </c>
      <c r="N16" s="30" t="s">
        <v>2</v>
      </c>
      <c r="O16" s="30" t="s">
        <v>0</v>
      </c>
      <c r="P16" s="17" t="s">
        <v>205</v>
      </c>
      <c r="Q16" s="63" t="s">
        <v>1</v>
      </c>
      <c r="R16" s="63" t="s">
        <v>2</v>
      </c>
      <c r="S16" s="63" t="s">
        <v>0</v>
      </c>
      <c r="T16" s="63" t="s">
        <v>205</v>
      </c>
      <c r="U16" s="16" t="str">
        <f>宝石镶嵌!AI5</f>
        <v>宝石平均等级</v>
      </c>
      <c r="V16" s="16" t="s">
        <v>759</v>
      </c>
      <c r="Y16" s="16" t="s">
        <v>79</v>
      </c>
      <c r="Z16" s="16" t="s">
        <v>80</v>
      </c>
      <c r="AA16" s="16" t="s">
        <v>81</v>
      </c>
      <c r="AB16" s="16" t="s">
        <v>205</v>
      </c>
    </row>
    <row r="17" spans="2:28">
      <c r="B17" s="16">
        <v>3</v>
      </c>
      <c r="C17" s="17">
        <v>50</v>
      </c>
      <c r="D17" s="17">
        <f>求节点(节奏总纲!$O$4:$O$163,节奏总纲!P$4:P$163,C17)</f>
        <v>31</v>
      </c>
      <c r="E17" s="17">
        <f>求节点(其他调用!$AM$7:$AM$45,其他调用!AP$7:AP$45,$C17)</f>
        <v>0</v>
      </c>
      <c r="F17" s="17">
        <f>求节点(其他调用!$AM$7:$AM$45,其他调用!AQ$7:AQ$45,$C17)</f>
        <v>0</v>
      </c>
      <c r="G17" s="17">
        <f>求节点(其他调用!$AM$7:$AM$45,其他调用!AR$7:AR$45,$C17)</f>
        <v>5.88431237242321</v>
      </c>
      <c r="H17" s="17">
        <f>求节点(其他调用!$AM$7:$AM$45,其他调用!AS$7:AS$45,$C17)</f>
        <v>0.11568762757678953</v>
      </c>
      <c r="I17" s="17">
        <f>IF(C17&lt;$D$2-10,0,MIN(投放验证!AL17,6-SUM(J17:$L17)))</f>
        <v>0</v>
      </c>
      <c r="J17" s="17">
        <f>IF(D17&lt;$D$2-10,0,MIN(投放验证!AM17,6-SUM(K17:$L17)))</f>
        <v>0</v>
      </c>
      <c r="K17" s="61">
        <f>IF(C17&lt;$D$2-10,0,MIN(投放验证!AN17,6-SUM(L17:$L17),G17))</f>
        <v>0</v>
      </c>
      <c r="L17" s="74">
        <f>IF(C17&lt;$D$2-10,0,MIN(投放验证!AO17,H17))</f>
        <v>0</v>
      </c>
      <c r="M17" s="17">
        <f>投放验证!AP17</f>
        <v>0</v>
      </c>
      <c r="N17" s="17">
        <f>投放验证!AQ17</f>
        <v>0</v>
      </c>
      <c r="O17" s="17">
        <f>投放验证!AR17</f>
        <v>0</v>
      </c>
      <c r="P17" s="17">
        <f>投放验证!AS17</f>
        <v>0</v>
      </c>
      <c r="Q17" s="83">
        <f>IF(I17=0,0,求节点(宝物升星!$C$92:$C$97,宝物升星!D$92:D$97,M17))</f>
        <v>0</v>
      </c>
      <c r="R17" s="83">
        <f>IF(J17=0,0,求节点(宝物升星!$C$92:$C$97,宝物升星!E$92:E$97,N17))</f>
        <v>0</v>
      </c>
      <c r="S17" s="83">
        <f>IF(K17=0,0,求节点(宝物升星!$C$92:$C$97,宝物升星!F$92:F$97,O17))</f>
        <v>0</v>
      </c>
      <c r="T17" s="83">
        <f>IF(L17=0,0,求节点(宝物升星!$C$92:$C$97,宝物升星!G$92:G$97,P17))</f>
        <v>0</v>
      </c>
      <c r="U17" s="16">
        <f>宝石镶嵌!AI6</f>
        <v>6.373965493273837</v>
      </c>
      <c r="V17" s="16">
        <v>6.0826436621825577</v>
      </c>
      <c r="Y17" s="16">
        <v>0</v>
      </c>
      <c r="Z17" s="16">
        <v>0</v>
      </c>
      <c r="AA17" s="16">
        <v>0</v>
      </c>
      <c r="AB17" s="16">
        <v>0</v>
      </c>
    </row>
    <row r="18" spans="2:28">
      <c r="B18" s="16">
        <v>4</v>
      </c>
      <c r="C18" s="17">
        <v>60</v>
      </c>
      <c r="D18" s="17">
        <f>求节点(节奏总纲!$O$4:$O$163,节奏总纲!P$4:P$163,C18)</f>
        <v>63</v>
      </c>
      <c r="E18" s="17">
        <f>求节点(其他调用!$AM$7:$AM$45,其他调用!AP$7:AP$45,$C18)</f>
        <v>0</v>
      </c>
      <c r="F18" s="17">
        <f>求节点(其他调用!$AM$7:$AM$45,其他调用!AQ$7:AQ$45,$C18)</f>
        <v>0</v>
      </c>
      <c r="G18" s="17">
        <f>求节点(其他调用!$AM$7:$AM$45,其他调用!AR$7:AR$45,$C18)</f>
        <v>3.8788022814352239</v>
      </c>
      <c r="H18" s="17">
        <f>求节点(其他调用!$AM$7:$AM$45,其他调用!AS$7:AS$45,$C18)</f>
        <v>2.1211977185647761</v>
      </c>
      <c r="I18" s="17">
        <f>IF(C18&lt;$D$2-10,0,MIN(投放验证!AL18,6-SUM(J18:$L18)))</f>
        <v>0</v>
      </c>
      <c r="J18" s="17">
        <f>IF(D18&lt;$D$2-10,0,MIN(投放验证!AM18,6-SUM(K18:$L18)))</f>
        <v>0.33873433232608008</v>
      </c>
      <c r="K18" s="61">
        <f>IF(C18&lt;$D$2-10,0,MIN(投放验证!AN18,6-SUM(L18:$L18),G18))</f>
        <v>3.8788022814352239</v>
      </c>
      <c r="L18" s="74">
        <f>IF(C18&lt;$D$2-10,0,MIN(投放验证!AO18,H18))</f>
        <v>1.7824633862386956</v>
      </c>
      <c r="M18" s="17">
        <f>投放验证!AP18</f>
        <v>0</v>
      </c>
      <c r="N18" s="17">
        <f>投放验证!AQ18</f>
        <v>2.7597014206746113</v>
      </c>
      <c r="O18" s="17">
        <f>投放验证!AR18</f>
        <v>0</v>
      </c>
      <c r="P18" s="17">
        <f>投放验证!AS18</f>
        <v>0</v>
      </c>
      <c r="Q18" s="63">
        <f>IF(I18=0,0,求节点(宝物升星!$C$92:$C$97,宝物升星!D$92:D$97,M18))</f>
        <v>0</v>
      </c>
      <c r="R18" s="63">
        <f>IF(J18=0,0,求节点(宝物升星!$C$92:$C$97,宝物升星!E$92:E$97,N18))</f>
        <v>0.62661690344576848</v>
      </c>
      <c r="S18" s="63">
        <f>IF(K18=0,0,求节点(宝物升星!$C$92:$C$97,宝物升星!F$92:F$97,O18))</f>
        <v>0.16666666666666666</v>
      </c>
      <c r="T18" s="63">
        <f>IF(L18=0,0,求节点(宝物升星!$C$92:$C$97,宝物升星!G$92:G$97,P18))</f>
        <v>0.16666666666666666</v>
      </c>
      <c r="U18" s="16">
        <f>宝石镶嵌!AI7</f>
        <v>7.1797509392129841</v>
      </c>
      <c r="V18" s="16">
        <v>7.0826436621825577</v>
      </c>
      <c r="Y18" s="16">
        <v>0</v>
      </c>
      <c r="Z18" s="16">
        <v>2.323143184068071</v>
      </c>
      <c r="AA18" s="16">
        <v>0.8533708559510349</v>
      </c>
      <c r="AB18" s="16">
        <v>0</v>
      </c>
    </row>
    <row r="19" spans="2:28">
      <c r="B19" s="16">
        <v>5</v>
      </c>
      <c r="C19" s="17">
        <v>70</v>
      </c>
      <c r="D19" s="17">
        <f>求节点(节奏总纲!$O$4:$O$163,节奏总纲!P$4:P$163,C19)</f>
        <v>127</v>
      </c>
      <c r="E19" s="17">
        <f>求节点(其他调用!$AM$7:$AM$45,其他调用!AP$7:AP$45,$C19)</f>
        <v>0</v>
      </c>
      <c r="F19" s="17">
        <f>求节点(其他调用!$AM$7:$AM$45,其他调用!AQ$7:AQ$45,$C19)</f>
        <v>0</v>
      </c>
      <c r="G19" s="17">
        <f>求节点(其他调用!$AM$7:$AM$45,其他调用!AR$7:AR$45,$C19)</f>
        <v>1.7442029359982258</v>
      </c>
      <c r="H19" s="17">
        <f>求节点(其他调用!$AM$7:$AM$45,其他调用!AS$7:AS$45,$C19)</f>
        <v>4.2557970640017739</v>
      </c>
      <c r="I19" s="17">
        <f>IF(C19&lt;$D$2-10,0,MIN(投放验证!AL19,6-SUM(J19:$L19)))</f>
        <v>0</v>
      </c>
      <c r="J19" s="17">
        <f>IF(D19&lt;$D$2-10,0,MIN(投放验证!AM19,6-SUM(K19:$L19)))</f>
        <v>1.0170839818254924</v>
      </c>
      <c r="K19" s="61">
        <f>IF(C19&lt;$D$2-10,0,MIN(投放验证!AN19,6-SUM(L19:$L19),G19))</f>
        <v>1.7442029359982258</v>
      </c>
      <c r="L19" s="74">
        <f>IF(C19&lt;$D$2-10,0,MIN(投放验证!AO19,H19))</f>
        <v>3.2387130821762815</v>
      </c>
      <c r="M19" s="17">
        <f>投放验证!AP19</f>
        <v>0</v>
      </c>
      <c r="N19" s="17">
        <f>投放验证!AQ19</f>
        <v>3</v>
      </c>
      <c r="O19" s="17">
        <f>投放验证!AR19</f>
        <v>0.53251740581610574</v>
      </c>
      <c r="P19" s="17">
        <f>投放验证!AS19</f>
        <v>0</v>
      </c>
      <c r="Q19" s="63">
        <f>IF(I19=0,0,求节点(宝物升星!$C$92:$C$97,宝物升星!D$92:D$97,M19))</f>
        <v>0</v>
      </c>
      <c r="R19" s="63">
        <f>IF(J19=0,0,求节点(宝物升星!$C$92:$C$97,宝物升星!E$92:E$97,N19))</f>
        <v>0.66666666666666663</v>
      </c>
      <c r="S19" s="63">
        <f>IF(K19=0,0,求节点(宝物升星!$C$92:$C$97,宝物升星!F$92:F$97,O19))</f>
        <v>0.25541956763601759</v>
      </c>
      <c r="T19" s="63">
        <f>IF(L19=0,0,求节点(宝物升星!$C$92:$C$97,宝物升星!G$92:G$97,P19))</f>
        <v>0.16666666666666666</v>
      </c>
      <c r="U19" s="16">
        <f>宝石镶嵌!AI8</f>
        <v>7.9566091554563947</v>
      </c>
      <c r="V19" s="16">
        <v>7.8595018784259683</v>
      </c>
      <c r="Y19" s="16">
        <v>0</v>
      </c>
      <c r="Z19" s="16">
        <v>3</v>
      </c>
      <c r="AA19" s="16">
        <v>2.6470545635829339</v>
      </c>
      <c r="AB19" s="16">
        <v>0</v>
      </c>
    </row>
    <row r="20" spans="2:28">
      <c r="B20" s="16">
        <v>6</v>
      </c>
      <c r="C20" s="17">
        <v>75</v>
      </c>
      <c r="D20" s="17">
        <f>求节点(节奏总纲!$O$4:$O$163,节奏总纲!P$4:P$163,C20)</f>
        <v>180.01933598375612</v>
      </c>
      <c r="E20" s="17">
        <f>求节点(其他调用!$AM$7:$AM$45,其他调用!AP$7:AP$45,$C20)</f>
        <v>0</v>
      </c>
      <c r="F20" s="17">
        <f>求节点(其他调用!$AM$7:$AM$45,其他调用!AQ$7:AQ$45,$C20)</f>
        <v>0</v>
      </c>
      <c r="G20" s="17">
        <f>求节点(其他调用!$AM$7:$AM$45,其他调用!AR$7:AR$45,$C20)</f>
        <v>0.4997227796061352</v>
      </c>
      <c r="H20" s="17">
        <f>求节点(其他调用!$AM$7:$AM$45,其他调用!AS$7:AS$45,$C20)</f>
        <v>5.5002772203938646</v>
      </c>
      <c r="I20" s="17">
        <f>IF(C20&lt;$D$2-10,0,MIN(投放验证!AL20,6-SUM(J20:$L20)))</f>
        <v>0</v>
      </c>
      <c r="J20" s="17">
        <f>IF(D20&lt;$D$2-10,0,MIN(投放验证!AM20,6-SUM(K20:$L20)))</f>
        <v>1.2172771418705972</v>
      </c>
      <c r="K20" s="61">
        <f>IF(C20&lt;$D$2-10,0,MIN(投放验证!AN20,6-SUM(L20:$L20),G20))</f>
        <v>0.4997227796061352</v>
      </c>
      <c r="L20" s="74">
        <f>IF(C20&lt;$D$2-10,0,MIN(投放验证!AO20,H20))</f>
        <v>4.2830000785232674</v>
      </c>
      <c r="M20" s="17">
        <f>投放验证!AP20</f>
        <v>0</v>
      </c>
      <c r="N20" s="17">
        <f>投放验证!AQ20</f>
        <v>3</v>
      </c>
      <c r="O20" s="17">
        <f>投放验证!AR20</f>
        <v>1.083183037397494</v>
      </c>
      <c r="P20" s="17">
        <f>投放验证!AS20</f>
        <v>0</v>
      </c>
      <c r="Q20" s="63">
        <f>IF(I20=0,0,求节点(宝物升星!$C$92:$C$97,宝物升星!D$92:D$97,M20))</f>
        <v>0</v>
      </c>
      <c r="R20" s="63">
        <f>IF(J20=0,0,求节点(宝物升星!$C$92:$C$97,宝物升星!E$92:E$97,N20))</f>
        <v>0.66666666666666663</v>
      </c>
      <c r="S20" s="63">
        <f>IF(K20=0,0,求节点(宝物升星!$C$92:$C$97,宝物升星!F$92:F$97,O20))</f>
        <v>0.3471971728995823</v>
      </c>
      <c r="T20" s="63">
        <f>IF(L20=0,0,求节点(宝物升星!$C$92:$C$97,宝物升星!G$92:G$97,P20))</f>
        <v>0.16666666666666666</v>
      </c>
      <c r="U20" s="16">
        <f>宝石镶嵌!AI9</f>
        <v>8.2000598579581254</v>
      </c>
      <c r="V20" s="16">
        <v>8.1676907656146494</v>
      </c>
      <c r="Y20" s="16">
        <v>0</v>
      </c>
      <c r="Z20" s="16">
        <v>3</v>
      </c>
      <c r="AA20" s="16">
        <v>5</v>
      </c>
      <c r="AB20" s="16">
        <v>0</v>
      </c>
    </row>
    <row r="21" spans="2:28">
      <c r="B21" s="16">
        <v>7</v>
      </c>
      <c r="C21" s="17">
        <v>80</v>
      </c>
      <c r="D21" s="17">
        <f>求节点(节奏总纲!$O$4:$O$163,节奏总纲!P$4:P$163,C21)</f>
        <v>255</v>
      </c>
      <c r="E21" s="17">
        <f>求节点(其他调用!$AM$7:$AM$45,其他调用!AP$7:AP$45,$C21)</f>
        <v>0</v>
      </c>
      <c r="F21" s="17">
        <f>求节点(其他调用!$AM$7:$AM$45,其他调用!AQ$7:AQ$45,$C21)</f>
        <v>0</v>
      </c>
      <c r="G21" s="17">
        <f>求节点(其他调用!$AM$7:$AM$45,其他调用!AR$7:AR$45,$C21)</f>
        <v>0</v>
      </c>
      <c r="H21" s="17">
        <f>求节点(其他调用!$AM$7:$AM$45,其他调用!AS$7:AS$45,$C21)</f>
        <v>6</v>
      </c>
      <c r="I21" s="17">
        <f>IF(C21&lt;$D$2-10,0,MIN(投放验证!AL21,6-SUM(J21:$L21)))</f>
        <v>0</v>
      </c>
      <c r="J21" s="17">
        <f>IF(D21&lt;$D$2-10,0,MIN(投放验证!AM21,6-SUM(K21:$L21)))</f>
        <v>0.39191615890648013</v>
      </c>
      <c r="K21" s="61">
        <f>IF(C21&lt;$D$2-10,0,MIN(投放验证!AN21,6-SUM(L21:$L21),G21))</f>
        <v>0</v>
      </c>
      <c r="L21" s="74">
        <f>IF(C21&lt;$D$2-10,0,MIN(投放验证!AO21,H21))</f>
        <v>5.6080838410935199</v>
      </c>
      <c r="M21" s="17">
        <f>投放验证!AP21</f>
        <v>0</v>
      </c>
      <c r="N21" s="17">
        <f>投放验证!AQ21</f>
        <v>3</v>
      </c>
      <c r="O21" s="17">
        <f>投放验证!AR21</f>
        <v>1.8050314404100702</v>
      </c>
      <c r="P21" s="17">
        <f>投放验证!AS21</f>
        <v>0</v>
      </c>
      <c r="Q21" s="63">
        <f>IF(I21=0,0,求节点(宝物升星!$C$92:$C$97,宝物升星!D$92:D$97,M21))</f>
        <v>0</v>
      </c>
      <c r="R21" s="63">
        <f>IF(J21=0,0,求节点(宝物升星!$C$92:$C$97,宝物升星!E$92:E$97,N21))</f>
        <v>0.66666666666666663</v>
      </c>
      <c r="S21" s="63">
        <f>IF(K21=0,0,求节点(宝物升星!$C$92:$C$97,宝物升星!F$92:F$97,O21))</f>
        <v>0</v>
      </c>
      <c r="T21" s="63">
        <f>IF(L21=0,0,求节点(宝物升星!$C$92:$C$97,宝物升星!G$92:G$97,P21))</f>
        <v>0.16666666666666666</v>
      </c>
      <c r="U21" s="16">
        <f>宝石镶嵌!AI10</f>
        <v>8.5034418626477386</v>
      </c>
      <c r="V21" s="16">
        <v>8.4710727703042625</v>
      </c>
      <c r="Y21" s="16">
        <v>0</v>
      </c>
      <c r="Z21" s="16">
        <v>3</v>
      </c>
      <c r="AA21" s="16">
        <v>5</v>
      </c>
      <c r="AB21" s="16">
        <v>0.15558537886258272</v>
      </c>
    </row>
    <row r="22" spans="2:28">
      <c r="B22" s="16">
        <v>8</v>
      </c>
      <c r="C22" s="17">
        <v>85</v>
      </c>
      <c r="D22" s="17">
        <f>求节点(节奏总纲!$O$4:$O$163,节奏总纲!P$4:P$163,C22)</f>
        <v>361.0386719675123</v>
      </c>
      <c r="E22" s="17">
        <f>求节点(其他调用!$AM$7:$AM$45,其他调用!AP$7:AP$45,$C22)</f>
        <v>0</v>
      </c>
      <c r="F22" s="17">
        <f>求节点(其他调用!$AM$7:$AM$45,其他调用!AQ$7:AQ$45,$C22)</f>
        <v>0</v>
      </c>
      <c r="G22" s="17">
        <f>求节点(其他调用!$AM$7:$AM$45,其他调用!AR$7:AR$45,$C22)</f>
        <v>0</v>
      </c>
      <c r="H22" s="17">
        <f>求节点(其他调用!$AM$7:$AM$45,其他调用!AS$7:AS$45,$C22)</f>
        <v>6</v>
      </c>
      <c r="I22" s="17">
        <f>IF(C22&lt;$D$2-10,0,MIN(投放验证!AL22,6-SUM(J22:$L22)))</f>
        <v>0</v>
      </c>
      <c r="J22" s="17">
        <f>IF(D22&lt;$D$2-10,0,MIN(投放验证!AM22,6-SUM(K22:$L22)))</f>
        <v>0</v>
      </c>
      <c r="K22" s="61">
        <f>IF(C22&lt;$D$2-10,0,MIN(投放验证!AN22,6-SUM(L22:$L22),G22))</f>
        <v>0</v>
      </c>
      <c r="L22" s="74">
        <f>IF(C22&lt;$D$2-10,0,MIN(投放验证!AO22,H22))</f>
        <v>6</v>
      </c>
      <c r="M22" s="17">
        <f>投放验证!AP22</f>
        <v>0</v>
      </c>
      <c r="N22" s="17">
        <f>投放验证!AQ22</f>
        <v>3</v>
      </c>
      <c r="O22" s="17">
        <f>投放验证!AR22</f>
        <v>2.8252544446082144</v>
      </c>
      <c r="P22" s="17">
        <f>投放验证!AS22</f>
        <v>0.24672819053585648</v>
      </c>
      <c r="Q22" s="63">
        <f>IF(I22=0,0,求节点(宝物升星!$C$92:$C$97,宝物升星!D$92:D$97,M22))</f>
        <v>0</v>
      </c>
      <c r="R22" s="63">
        <f>IF(J22=0,0,求节点(宝物升星!$C$92:$C$97,宝物升星!E$92:E$97,N22))</f>
        <v>0</v>
      </c>
      <c r="S22" s="63">
        <f>IF(K22=0,0,求节点(宝物升星!$C$92:$C$97,宝物升星!F$92:F$97,O22))</f>
        <v>0</v>
      </c>
      <c r="T22" s="63">
        <f>IF(L22=0,0,求节点(宝物升星!$C$92:$C$97,宝物升星!G$92:G$97,P22))</f>
        <v>0.20778803175597607</v>
      </c>
      <c r="U22" s="16">
        <f>宝石镶嵌!AI11</f>
        <v>8.9324888082597269</v>
      </c>
      <c r="V22" s="16">
        <v>8.9001197159162508</v>
      </c>
      <c r="Y22" s="16">
        <v>0</v>
      </c>
      <c r="Z22" s="16">
        <v>3</v>
      </c>
      <c r="AA22" s="16">
        <v>5</v>
      </c>
      <c r="AB22" s="16">
        <v>0.64795932412371093</v>
      </c>
    </row>
    <row r="23" spans="2:28">
      <c r="B23" s="16">
        <v>9</v>
      </c>
      <c r="C23" s="17">
        <v>90</v>
      </c>
      <c r="D23" s="17">
        <f>求节点(节奏总纲!$O$4:$O$163,节奏总纲!P$4:P$163,C23)</f>
        <v>511</v>
      </c>
      <c r="E23" s="17">
        <f>求节点(其他调用!$AM$7:$AM$45,其他调用!AP$7:AP$45,$C23)</f>
        <v>0</v>
      </c>
      <c r="F23" s="17">
        <f>求节点(其他调用!$AM$7:$AM$45,其他调用!AQ$7:AQ$45,$C23)</f>
        <v>0</v>
      </c>
      <c r="G23" s="17">
        <f>求节点(其他调用!$AM$7:$AM$45,其他调用!AR$7:AR$45,$C23)</f>
        <v>0</v>
      </c>
      <c r="H23" s="17">
        <f>求节点(其他调用!$AM$7:$AM$45,其他调用!AS$7:AS$45,$C23)</f>
        <v>6</v>
      </c>
      <c r="I23" s="17">
        <f>IF(C23&lt;$D$2-10,0,MIN(投放验证!AL23,6-SUM(J23:$L23)))</f>
        <v>0</v>
      </c>
      <c r="J23" s="17">
        <f>IF(D23&lt;$D$2-10,0,MIN(投放验证!AM23,6-SUM(K23:$L23)))</f>
        <v>0</v>
      </c>
      <c r="K23" s="61">
        <f>IF(C23&lt;$D$2-10,0,MIN(投放验证!AN23,6-SUM(L23:$L23),G23))</f>
        <v>0</v>
      </c>
      <c r="L23" s="74">
        <f>IF(C23&lt;$D$2-10,0,MIN(投放验证!AO23,H23))</f>
        <v>6</v>
      </c>
      <c r="M23" s="17">
        <f>投放验证!AP23</f>
        <v>0</v>
      </c>
      <c r="N23" s="17">
        <f>投放验证!AQ23</f>
        <v>3</v>
      </c>
      <c r="O23" s="17">
        <f>投放验证!AR23</f>
        <v>4.178744295281728</v>
      </c>
      <c r="P23" s="17">
        <f>投放验证!AS23</f>
        <v>0.6483307979029902</v>
      </c>
      <c r="Q23" s="63">
        <f>IF(I23=0,0,求节点(宝物升星!$C$92:$C$97,宝物升星!D$92:D$97,M23))</f>
        <v>0</v>
      </c>
      <c r="R23" s="63">
        <f>IF(J23=0,0,求节点(宝物升星!$C$92:$C$97,宝物升星!E$92:E$97,N23))</f>
        <v>0</v>
      </c>
      <c r="S23" s="63">
        <f>IF(K23=0,0,求节点(宝物升星!$C$92:$C$97,宝物升星!F$92:F$97,O23))</f>
        <v>0</v>
      </c>
      <c r="T23" s="63">
        <f>IF(L23=0,0,求节点(宝物升星!$C$92:$C$97,宝物升星!G$92:G$97,P23))</f>
        <v>0.27472179965049837</v>
      </c>
      <c r="U23" s="16">
        <f>宝石镶嵌!AI12</f>
        <v>9.179750939212985</v>
      </c>
      <c r="V23" s="16">
        <v>9.1689612417651585</v>
      </c>
      <c r="Y23" s="16">
        <v>0</v>
      </c>
      <c r="Z23" s="16">
        <v>3</v>
      </c>
      <c r="AA23" s="16">
        <v>5</v>
      </c>
      <c r="AB23" s="16">
        <v>1.2077897028888676</v>
      </c>
    </row>
    <row r="24" spans="2:28">
      <c r="B24" s="16">
        <v>10</v>
      </c>
      <c r="C24" s="17">
        <v>95</v>
      </c>
      <c r="D24" s="17">
        <f>求节点(节奏总纲!$O$4:$O$163,节奏总纲!P$4:P$163,C24)</f>
        <v>723.0773439350246</v>
      </c>
      <c r="E24" s="17">
        <f>求节点(其他调用!$AM$7:$AM$45,其他调用!AP$7:AP$45,$C24)</f>
        <v>0</v>
      </c>
      <c r="F24" s="17">
        <f>求节点(其他调用!$AM$7:$AM$45,其他调用!AQ$7:AQ$45,$C24)</f>
        <v>0</v>
      </c>
      <c r="G24" s="17">
        <f>求节点(其他调用!$AM$7:$AM$45,其他调用!AR$7:AR$45,$C24)</f>
        <v>0</v>
      </c>
      <c r="H24" s="17">
        <f>求节点(其他调用!$AM$7:$AM$45,其他调用!AS$7:AS$45,$C24)</f>
        <v>6</v>
      </c>
      <c r="I24" s="17">
        <f>IF(C24&lt;$D$2-10,0,MIN(投放验证!AL24,6-SUM(J24:$L24)))</f>
        <v>0</v>
      </c>
      <c r="J24" s="17">
        <f>IF(D24&lt;$D$2-10,0,MIN(投放验证!AM24,6-SUM(K24:$L24)))</f>
        <v>0</v>
      </c>
      <c r="K24" s="61">
        <f>IF(C24&lt;$D$2-10,0,MIN(投放验证!AN24,6-SUM(L24:$L24),G24))</f>
        <v>0</v>
      </c>
      <c r="L24" s="74">
        <f>IF(C24&lt;$D$2-10,0,MIN(投放验证!AO24,H24))</f>
        <v>6</v>
      </c>
      <c r="M24" s="17">
        <f>投放验证!AP24</f>
        <v>0</v>
      </c>
      <c r="N24" s="17">
        <f>投放验证!AQ24</f>
        <v>3</v>
      </c>
      <c r="O24" s="17">
        <f>投放验证!AR24</f>
        <v>5</v>
      </c>
      <c r="P24" s="17">
        <f>投放验证!AS24</f>
        <v>1.2156528354524823</v>
      </c>
      <c r="Q24" s="63">
        <f>IF(I24=0,0,求节点(宝物升星!$C$92:$C$97,宝物升星!D$92:D$97,M24))</f>
        <v>0</v>
      </c>
      <c r="R24" s="63">
        <f>IF(J24=0,0,求节点(宝物升星!$C$92:$C$97,宝物升星!E$92:E$97,N24))</f>
        <v>0</v>
      </c>
      <c r="S24" s="63">
        <f>IF(K24=0,0,求节点(宝物升星!$C$92:$C$97,宝物升星!F$92:F$97,O24))</f>
        <v>0</v>
      </c>
      <c r="T24" s="63">
        <f>IF(L24=0,0,求节点(宝物升星!$C$92:$C$97,宝物升星!G$92:G$97,P24))</f>
        <v>0.36927547257541371</v>
      </c>
      <c r="U24" s="16">
        <f>宝石镶嵌!AI13</f>
        <v>9.4657822362876427</v>
      </c>
      <c r="V24" s="16">
        <v>9.4549925388398179</v>
      </c>
      <c r="Y24" s="16">
        <v>0</v>
      </c>
      <c r="Z24" s="16">
        <v>3</v>
      </c>
      <c r="AA24" s="16">
        <v>5</v>
      </c>
      <c r="AB24" s="16">
        <v>1.8144804040508986</v>
      </c>
    </row>
    <row r="25" spans="2:28">
      <c r="B25" s="16">
        <v>11</v>
      </c>
      <c r="C25" s="17">
        <v>100</v>
      </c>
      <c r="D25" s="17">
        <f>求节点(节奏总纲!$O$4:$O$163,节奏总纲!P$4:P$163,C25)</f>
        <v>1023</v>
      </c>
      <c r="E25" s="17">
        <f>求节点(其他调用!$AM$7:$AM$45,其他调用!AP$7:AP$45,$C25)</f>
        <v>0</v>
      </c>
      <c r="F25" s="17">
        <f>求节点(其他调用!$AM$7:$AM$45,其他调用!AQ$7:AQ$45,$C25)</f>
        <v>0</v>
      </c>
      <c r="G25" s="17">
        <f>求节点(其他调用!$AM$7:$AM$45,其他调用!AR$7:AR$45,$C25)</f>
        <v>0</v>
      </c>
      <c r="H25" s="17">
        <f>求节点(其他调用!$AM$7:$AM$45,其他调用!AS$7:AS$45,$C25)</f>
        <v>6</v>
      </c>
      <c r="I25" s="17">
        <f>IF(C25&lt;$D$2-10,0,MIN(投放验证!AL25,6-SUM(J25:$L25)))</f>
        <v>0</v>
      </c>
      <c r="J25" s="17">
        <f>IF(D25&lt;$D$2-10,0,MIN(投放验证!AM25,6-SUM(K25:$L25)))</f>
        <v>0</v>
      </c>
      <c r="K25" s="61">
        <f>IF(C25&lt;$D$2-10,0,MIN(投放验证!AN25,6-SUM(L25:$L25),G25))</f>
        <v>0</v>
      </c>
      <c r="L25" s="74">
        <f>IF(C25&lt;$D$2-10,0,MIN(投放验证!AO25,H25))</f>
        <v>6</v>
      </c>
      <c r="M25" s="17">
        <f>投放验证!AP25</f>
        <v>0</v>
      </c>
      <c r="N25" s="17">
        <f>投放验证!AQ25</f>
        <v>3</v>
      </c>
      <c r="O25" s="17">
        <f>投放验证!AR25</f>
        <v>5</v>
      </c>
      <c r="P25" s="17">
        <f>投放验证!AS25</f>
        <v>1.9574751714591101</v>
      </c>
      <c r="Q25" s="63">
        <f>IF(I25=0,0,求节点(宝物升星!$C$92:$C$97,宝物升星!D$92:D$97,M25))</f>
        <v>0</v>
      </c>
      <c r="R25" s="63">
        <f>IF(J25=0,0,求节点(宝物升星!$C$92:$C$97,宝物升星!E$92:E$97,N25))</f>
        <v>0</v>
      </c>
      <c r="S25" s="63">
        <f>IF(K25=0,0,求节点(宝物升星!$C$92:$C$97,宝物升星!F$92:F$97,O25))</f>
        <v>0</v>
      </c>
      <c r="T25" s="63">
        <f>IF(L25=0,0,求节点(宝物升星!$C$92:$C$97,宝物升星!G$92:G$97,P25))</f>
        <v>0.49291252857651835</v>
      </c>
      <c r="U25" s="16">
        <f>宝石镶嵌!AI14</f>
        <v>9.870291575873793</v>
      </c>
      <c r="V25" s="16">
        <v>9.8595018784259683</v>
      </c>
      <c r="Y25" s="16">
        <v>0</v>
      </c>
      <c r="Z25" s="16">
        <v>3</v>
      </c>
      <c r="AA25" s="16">
        <v>5</v>
      </c>
      <c r="AB25" s="16">
        <v>2.4874416086837647</v>
      </c>
    </row>
    <row r="26" spans="2:28">
      <c r="B26" s="16">
        <v>12</v>
      </c>
      <c r="C26" s="17">
        <v>105</v>
      </c>
      <c r="D26" s="17">
        <f>求节点(节奏总纲!$O$4:$O$163,节奏总纲!P$4:P$163,C26)</f>
        <v>1447.1546878700494</v>
      </c>
      <c r="E26" s="17">
        <f>求节点(其他调用!$AM$7:$AM$45,其他调用!AP$7:AP$45,$C26)</f>
        <v>0</v>
      </c>
      <c r="F26" s="17">
        <f>求节点(其他调用!$AM$7:$AM$45,其他调用!AQ$7:AQ$45,$C26)</f>
        <v>0</v>
      </c>
      <c r="G26" s="17">
        <f>求节点(其他调用!$AM$7:$AM$45,其他调用!AR$7:AR$45,$C26)</f>
        <v>0</v>
      </c>
      <c r="H26" s="17">
        <f>求节点(其他调用!$AM$7:$AM$45,其他调用!AS$7:AS$45,$C26)</f>
        <v>6</v>
      </c>
      <c r="I26" s="17">
        <f>IF(C26&lt;$D$2-10,0,MIN(投放验证!AL26,6-SUM(J26:$L26)))</f>
        <v>0</v>
      </c>
      <c r="J26" s="17">
        <f>IF(D26&lt;$D$2-10,0,MIN(投放验证!AM26,6-SUM(K26:$L26)))</f>
        <v>0</v>
      </c>
      <c r="K26" s="61">
        <f>IF(C26&lt;$D$2-10,0,MIN(投放验证!AN26,6-SUM(L26:$L26),G26))</f>
        <v>0</v>
      </c>
      <c r="L26" s="74">
        <f>IF(C26&lt;$D$2-10,0,MIN(投放验证!AO26,H26))</f>
        <v>6</v>
      </c>
      <c r="M26" s="17">
        <f>投放验证!AP26</f>
        <v>0</v>
      </c>
      <c r="N26" s="17">
        <f>投放验证!AQ26</f>
        <v>3</v>
      </c>
      <c r="O26" s="17">
        <f>投放验证!AR26</f>
        <v>5</v>
      </c>
      <c r="P26" s="17">
        <f>投放验证!AS26</f>
        <v>3.0055424254691507</v>
      </c>
      <c r="Q26" s="63">
        <f>IF(I26=0,0,求节点(宝物升星!$C$92:$C$97,宝物升星!D$92:D$97,M26))</f>
        <v>0</v>
      </c>
      <c r="R26" s="63">
        <f>IF(J26=0,0,求节点(宝物升星!$C$92:$C$97,宝物升星!E$92:E$97,N26))</f>
        <v>0</v>
      </c>
      <c r="S26" s="63">
        <f>IF(K26=0,0,求节点(宝物升星!$C$92:$C$97,宝物升星!F$92:F$97,O26))</f>
        <v>0</v>
      </c>
      <c r="T26" s="63">
        <f>IF(L26=0,0,求节点(宝物升星!$C$92:$C$97,宝物升星!G$92:G$97,P26))</f>
        <v>0.66759040424485838</v>
      </c>
      <c r="U26" s="16">
        <f>宝石镶嵌!AI15</f>
        <v>10.147451390007705</v>
      </c>
      <c r="V26" s="16">
        <v>10.143854824191763</v>
      </c>
      <c r="Y26" s="16">
        <v>0</v>
      </c>
      <c r="Z26" s="16">
        <v>3</v>
      </c>
      <c r="AA26" s="16">
        <v>5</v>
      </c>
      <c r="AB26" s="16">
        <v>3.2541234581103788</v>
      </c>
    </row>
    <row r="27" spans="2:28">
      <c r="B27" s="16">
        <v>13</v>
      </c>
      <c r="C27" s="17">
        <v>110</v>
      </c>
      <c r="D27" s="17">
        <f>求节点(节奏总纲!$O$4:$O$163,节奏总纲!P$4:P$163,C27)</f>
        <v>2047</v>
      </c>
      <c r="E27" s="17">
        <f>求节点(其他调用!$AM$7:$AM$45,其他调用!AP$7:AP$45,$C27)</f>
        <v>0</v>
      </c>
      <c r="F27" s="17">
        <f>求节点(其他调用!$AM$7:$AM$45,其他调用!AQ$7:AQ$45,$C27)</f>
        <v>0</v>
      </c>
      <c r="G27" s="17">
        <f>求节点(其他调用!$AM$7:$AM$45,其他调用!AR$7:AR$45,$C27)</f>
        <v>0</v>
      </c>
      <c r="H27" s="17">
        <f>求节点(其他调用!$AM$7:$AM$45,其他调用!AS$7:AS$45,$C27)</f>
        <v>6</v>
      </c>
      <c r="I27" s="17">
        <f>IF(C27&lt;$D$2-10,0,MIN(投放验证!AL27,6-SUM(J27:$L27)))</f>
        <v>0</v>
      </c>
      <c r="J27" s="17">
        <f>IF(D27&lt;$D$2-10,0,MIN(投放验证!AM27,6-SUM(K27:$L27)))</f>
        <v>0</v>
      </c>
      <c r="K27" s="61">
        <f>IF(C27&lt;$D$2-10,0,MIN(投放验证!AN27,6-SUM(L27:$L27),G27))</f>
        <v>0</v>
      </c>
      <c r="L27" s="74">
        <f>IF(C27&lt;$D$2-10,0,MIN(投放验证!AO27,H27))</f>
        <v>6</v>
      </c>
      <c r="M27" s="17">
        <f>投放验证!AP27</f>
        <v>0</v>
      </c>
      <c r="N27" s="17">
        <f>投放验证!AQ27</f>
        <v>3</v>
      </c>
      <c r="O27" s="17">
        <f>投放验证!AR27</f>
        <v>5</v>
      </c>
      <c r="P27" s="17">
        <f>投放验证!AS27</f>
        <v>4.4030039313946601</v>
      </c>
      <c r="Q27" s="63">
        <f>IF(I27=0,0,求节点(宝物升星!$C$92:$C$97,宝物升星!D$92:D$97,M27))</f>
        <v>0</v>
      </c>
      <c r="R27" s="63">
        <f>IF(J27=0,0,求节点(宝物升星!$C$92:$C$97,宝物升星!E$92:E$97,N27))</f>
        <v>0</v>
      </c>
      <c r="S27" s="63">
        <f>IF(K27=0,0,求节点(宝物升星!$C$92:$C$97,宝物升星!F$92:F$97,O27))</f>
        <v>0</v>
      </c>
      <c r="T27" s="63">
        <f>IF(L27=0,0,求节点(宝物升星!$C$92:$C$97,宝物升星!G$92:G$97,P27))</f>
        <v>0.90050065523244327</v>
      </c>
      <c r="U27" s="16">
        <f>宝石镶嵌!AI16</f>
        <v>10.417124283065137</v>
      </c>
      <c r="V27" s="16">
        <v>10.413527717249195</v>
      </c>
      <c r="Y27" s="16">
        <v>0</v>
      </c>
      <c r="Z27" s="16">
        <v>3</v>
      </c>
      <c r="AA27" s="16">
        <v>5</v>
      </c>
      <c r="AB27" s="16">
        <v>4.1533463144786618</v>
      </c>
    </row>
    <row r="28" spans="2:28">
      <c r="B28" s="16">
        <v>14</v>
      </c>
      <c r="C28" s="17">
        <v>115</v>
      </c>
      <c r="D28" s="17">
        <f>求节点(节奏总纲!$O$4:$O$163,节奏总纲!P$4:P$163,C28)</f>
        <v>2895.3093757400989</v>
      </c>
      <c r="E28" s="17">
        <f>求节点(其他调用!$AM$7:$AM$45,其他调用!AP$7:AP$45,$C28)</f>
        <v>0</v>
      </c>
      <c r="F28" s="17">
        <f>求节点(其他调用!$AM$7:$AM$45,其他调用!AQ$7:AQ$45,$C28)</f>
        <v>0</v>
      </c>
      <c r="G28" s="17">
        <f>求节点(其他调用!$AM$7:$AM$45,其他调用!AR$7:AR$45,$C28)</f>
        <v>0</v>
      </c>
      <c r="H28" s="17">
        <f>求节点(其他调用!$AM$7:$AM$45,其他调用!AS$7:AS$45,$C28)</f>
        <v>6</v>
      </c>
      <c r="I28" s="17">
        <f>IF(C28&lt;$D$2-10,0,MIN(投放验证!AL28,6-SUM(J28:$L28)))</f>
        <v>0</v>
      </c>
      <c r="J28" s="17">
        <f>IF(D28&lt;$D$2-10,0,MIN(投放验证!AM28,6-SUM(K28:$L28)))</f>
        <v>0</v>
      </c>
      <c r="K28" s="61">
        <f>IF(C28&lt;$D$2-10,0,MIN(投放验证!AN28,6-SUM(L28:$L28),G28))</f>
        <v>0</v>
      </c>
      <c r="L28" s="74">
        <f>IF(C28&lt;$D$2-10,0,MIN(投放验证!AO28,H28))</f>
        <v>6</v>
      </c>
      <c r="M28" s="17">
        <f>投放验证!AP28</f>
        <v>0</v>
      </c>
      <c r="N28" s="17">
        <f>投放验证!AQ28</f>
        <v>3</v>
      </c>
      <c r="O28" s="17">
        <f>投放验证!AR28</f>
        <v>5</v>
      </c>
      <c r="P28" s="17">
        <f>投放验证!AS28</f>
        <v>5</v>
      </c>
      <c r="Q28" s="63">
        <f>IF(I28=0,0,求节点(宝物升星!$C$92:$C$97,宝物升星!D$92:D$97,M28))</f>
        <v>0</v>
      </c>
      <c r="R28" s="63">
        <f>IF(J28=0,0,求节点(宝物升星!$C$92:$C$97,宝物升星!E$92:E$97,N28))</f>
        <v>0</v>
      </c>
      <c r="S28" s="63">
        <f>IF(K28=0,0,求节点(宝物升星!$C$92:$C$97,宝物升星!F$92:F$97,O28))</f>
        <v>0</v>
      </c>
      <c r="T28" s="63">
        <f>IF(L28=0,0,求节点(宝物升星!$C$92:$C$97,宝物升星!G$92:G$97,P28))</f>
        <v>1</v>
      </c>
      <c r="U28" s="16">
        <f>宝石镶嵌!AI17</f>
        <v>10.798499345831349</v>
      </c>
      <c r="V28" s="16">
        <v>10.794902780015407</v>
      </c>
      <c r="Y28" s="16">
        <v>0</v>
      </c>
      <c r="Z28" s="16">
        <v>3</v>
      </c>
      <c r="AA28" s="16">
        <v>5</v>
      </c>
      <c r="AB28" s="16">
        <v>5</v>
      </c>
    </row>
    <row r="29" spans="2:28">
      <c r="B29" s="16">
        <v>15</v>
      </c>
      <c r="C29" s="17">
        <v>120</v>
      </c>
      <c r="D29" s="17">
        <f>求节点(节奏总纲!$O$4:$O$163,节奏总纲!P$4:P$163,C29)</f>
        <v>4095</v>
      </c>
      <c r="E29" s="17">
        <f>求节点(其他调用!$AM$7:$AM$45,其他调用!AP$7:AP$45,$C29)</f>
        <v>0</v>
      </c>
      <c r="F29" s="17">
        <f>求节点(其他调用!$AM$7:$AM$45,其他调用!AQ$7:AQ$45,$C29)</f>
        <v>0</v>
      </c>
      <c r="G29" s="17">
        <f>求节点(其他调用!$AM$7:$AM$45,其他调用!AR$7:AR$45,$C29)</f>
        <v>0</v>
      </c>
      <c r="H29" s="17">
        <f>求节点(其他调用!$AM$7:$AM$45,其他调用!AS$7:AS$45,$C29)</f>
        <v>6</v>
      </c>
      <c r="I29" s="17">
        <f>IF(C29&lt;$D$2-10,0,MIN(投放验证!AL29,6-SUM(J29:$L29)))</f>
        <v>0</v>
      </c>
      <c r="J29" s="17">
        <f>IF(D29&lt;$D$2-10,0,MIN(投放验证!AM29,6-SUM(K29:$L29)))</f>
        <v>0</v>
      </c>
      <c r="K29" s="61">
        <f>IF(C29&lt;$D$2-10,0,MIN(投放验证!AN29,6-SUM(L29:$L29),G29))</f>
        <v>0</v>
      </c>
      <c r="L29" s="74">
        <f>IF(C29&lt;$D$2-10,0,MIN(投放验证!AO29,H29))</f>
        <v>6</v>
      </c>
      <c r="M29" s="17">
        <f>投放验证!AP29</f>
        <v>0</v>
      </c>
      <c r="N29" s="17">
        <f>投放验证!AQ29</f>
        <v>3</v>
      </c>
      <c r="O29" s="17">
        <f>投放验证!AR29</f>
        <v>5</v>
      </c>
      <c r="P29" s="17">
        <f>投放验证!AS29</f>
        <v>5</v>
      </c>
      <c r="Q29" s="63">
        <f>IF(I29=0,0,求节点(宝物升星!$C$92:$C$97,宝物升星!D$92:D$97,M29))</f>
        <v>0</v>
      </c>
      <c r="R29" s="63">
        <f>IF(J29=0,0,求节点(宝物升星!$C$92:$C$97,宝物升星!E$92:E$97,N29))</f>
        <v>0</v>
      </c>
      <c r="S29" s="63">
        <f>IF(K29=0,0,求节点(宝物升星!$C$92:$C$97,宝物升星!F$92:F$97,O29))</f>
        <v>0</v>
      </c>
      <c r="T29" s="63">
        <f>IF(L29=0,0,求节点(宝物升星!$C$92:$C$97,宝物升星!G$92:G$97,P29))</f>
        <v>1</v>
      </c>
      <c r="U29" s="16">
        <f>宝石镶嵌!AI18</f>
        <v>11.112615043982073</v>
      </c>
      <c r="V29" s="16">
        <v>11.111416188710091</v>
      </c>
      <c r="Y29" s="16">
        <v>0</v>
      </c>
      <c r="Z29" s="16">
        <v>3</v>
      </c>
      <c r="AA29" s="16">
        <v>5</v>
      </c>
      <c r="AB29" s="16">
        <v>5</v>
      </c>
    </row>
    <row r="30" spans="2:28">
      <c r="B30" s="16">
        <v>16</v>
      </c>
      <c r="C30" s="17">
        <v>125</v>
      </c>
      <c r="D30" s="17">
        <f>求节点(节奏总纲!$O$4:$O$163,节奏总纲!P$4:P$163,C30)</f>
        <v>5791.6187514801986</v>
      </c>
      <c r="E30" s="17">
        <f>求节点(其他调用!$AM$7:$AM$45,其他调用!AP$7:AP$45,$C30)</f>
        <v>0</v>
      </c>
      <c r="F30" s="17">
        <f>求节点(其他调用!$AM$7:$AM$45,其他调用!AQ$7:AQ$45,$C30)</f>
        <v>0</v>
      </c>
      <c r="G30" s="17">
        <f>求节点(其他调用!$AM$7:$AM$45,其他调用!AR$7:AR$45,$C30)</f>
        <v>0</v>
      </c>
      <c r="H30" s="17">
        <f>求节点(其他调用!$AM$7:$AM$45,其他调用!AS$7:AS$45,$C30)</f>
        <v>6</v>
      </c>
      <c r="I30" s="17">
        <f>IF(C30&lt;$D$2-10,0,MIN(投放验证!AL30,6-SUM(J30:$L30)))</f>
        <v>0</v>
      </c>
      <c r="J30" s="17">
        <f>IF(D30&lt;$D$2-10,0,MIN(投放验证!AM30,6-SUM(K30:$L30)))</f>
        <v>0</v>
      </c>
      <c r="K30" s="61">
        <f>IF(C30&lt;$D$2-10,0,MIN(投放验证!AN30,6-SUM(L30:$L30),G30))</f>
        <v>0</v>
      </c>
      <c r="L30" s="74">
        <f>IF(C30&lt;$D$2-10,0,MIN(投放验证!AO30,H30))</f>
        <v>6</v>
      </c>
      <c r="M30" s="17">
        <f>投放验证!AP30</f>
        <v>0</v>
      </c>
      <c r="N30" s="17">
        <f>投放验证!AQ30</f>
        <v>3</v>
      </c>
      <c r="O30" s="17">
        <f>投放验证!AR30</f>
        <v>5</v>
      </c>
      <c r="P30" s="17">
        <f>投放验证!AS30</f>
        <v>5</v>
      </c>
      <c r="Q30" s="63">
        <f>IF(I30=0,0,求节点(宝物升星!$C$92:$C$97,宝物升星!D$92:D$97,M30))</f>
        <v>0</v>
      </c>
      <c r="R30" s="63">
        <f>IF(J30=0,0,求节点(宝物升星!$C$92:$C$97,宝物升星!E$92:E$97,N30))</f>
        <v>0</v>
      </c>
      <c r="S30" s="63">
        <f>IF(K30=0,0,求节点(宝物升星!$C$92:$C$97,宝物升星!F$92:F$97,O30))</f>
        <v>0</v>
      </c>
      <c r="T30" s="63">
        <f>IF(L30=0,0,求节点(宝物升星!$C$92:$C$97,宝物升星!G$92:G$97,P30))</f>
        <v>1</v>
      </c>
      <c r="U30" s="16">
        <f>宝石镶嵌!AI19</f>
        <v>11.366865085826214</v>
      </c>
      <c r="V30" s="16">
        <v>11.365666230554233</v>
      </c>
      <c r="Y30" s="16">
        <v>0</v>
      </c>
      <c r="Z30" s="16">
        <v>3</v>
      </c>
      <c r="AA30" s="16">
        <v>5</v>
      </c>
      <c r="AB30" s="16">
        <v>5</v>
      </c>
    </row>
    <row r="31" spans="2:28">
      <c r="B31" s="16">
        <v>17</v>
      </c>
      <c r="C31" s="17">
        <v>130</v>
      </c>
      <c r="D31" s="17">
        <f>求节点(节奏总纲!$O$4:$O$163,节奏总纲!P$4:P$163,C31)</f>
        <v>8191</v>
      </c>
      <c r="E31" s="17">
        <f>求节点(其他调用!$AM$7:$AM$45,其他调用!AP$7:AP$45,$C31)</f>
        <v>0</v>
      </c>
      <c r="F31" s="17">
        <f>求节点(其他调用!$AM$7:$AM$45,其他调用!AQ$7:AQ$45,$C31)</f>
        <v>0</v>
      </c>
      <c r="G31" s="17">
        <f>求节点(其他调用!$AM$7:$AM$45,其他调用!AR$7:AR$45,$C31)</f>
        <v>0</v>
      </c>
      <c r="H31" s="17">
        <f>求节点(其他调用!$AM$7:$AM$45,其他调用!AS$7:AS$45,$C31)</f>
        <v>6</v>
      </c>
      <c r="I31" s="17">
        <f>IF(C31&lt;$D$2-10,0,MIN(投放验证!AL31,6-SUM(J31:$L31)))</f>
        <v>0</v>
      </c>
      <c r="J31" s="17">
        <f>IF(D31&lt;$D$2-10,0,MIN(投放验证!AM31,6-SUM(K31:$L31)))</f>
        <v>0</v>
      </c>
      <c r="K31" s="61">
        <f>IF(C31&lt;$D$2-10,0,MIN(投放验证!AN31,6-SUM(L31:$L31),G31))</f>
        <v>0</v>
      </c>
      <c r="L31" s="74">
        <f>IF(C31&lt;$D$2-10,0,MIN(投放验证!AO31,H31))</f>
        <v>6</v>
      </c>
      <c r="M31" s="17">
        <f>投放验证!AP31</f>
        <v>0</v>
      </c>
      <c r="N31" s="17">
        <f>投放验证!AQ31</f>
        <v>3</v>
      </c>
      <c r="O31" s="17">
        <f>投放验证!AR31</f>
        <v>5</v>
      </c>
      <c r="P31" s="17">
        <f>投放验证!AS31</f>
        <v>5</v>
      </c>
      <c r="Q31" s="63">
        <f>IF(I31=0,0,求节点(宝物升星!$C$92:$C$97,宝物升星!D$92:D$97,M31))</f>
        <v>0</v>
      </c>
      <c r="R31" s="63">
        <f>IF(J31=0,0,求节点(宝物升星!$C$92:$C$97,宝物升星!E$92:E$97,N31))</f>
        <v>0</v>
      </c>
      <c r="S31" s="63">
        <f>IF(K31=0,0,求节点(宝物升星!$C$92:$C$97,宝物升星!F$92:F$97,O31))</f>
        <v>0</v>
      </c>
      <c r="T31" s="63">
        <f>IF(L31=0,0,求节点(宝物升星!$C$92:$C$97,宝物升星!G$92:G$97,P31))</f>
        <v>1</v>
      </c>
      <c r="U31" s="16">
        <f>宝石镶嵌!AI20</f>
        <v>11.726428943236124</v>
      </c>
      <c r="V31" s="16">
        <v>11.725230087964144</v>
      </c>
      <c r="Y31" s="16">
        <v>0</v>
      </c>
      <c r="Z31" s="16">
        <v>3</v>
      </c>
      <c r="AA31" s="16">
        <v>5</v>
      </c>
      <c r="AB31" s="16">
        <v>5</v>
      </c>
    </row>
    <row r="32" spans="2:28">
      <c r="B32" s="16">
        <v>18</v>
      </c>
      <c r="C32" s="17">
        <v>135</v>
      </c>
      <c r="D32" s="17">
        <f>求节点(节奏总纲!$O$4:$O$163,节奏总纲!P$4:P$163,C32)</f>
        <v>11584.237502960397</v>
      </c>
      <c r="E32" s="17">
        <f>求节点(其他调用!$AM$7:$AM$45,其他调用!AP$7:AP$45,$C32)</f>
        <v>0</v>
      </c>
      <c r="F32" s="17">
        <f>求节点(其他调用!$AM$7:$AM$45,其他调用!AQ$7:AQ$45,$C32)</f>
        <v>0</v>
      </c>
      <c r="G32" s="17">
        <f>求节点(其他调用!$AM$7:$AM$45,其他调用!AR$7:AR$45,$C32)</f>
        <v>0</v>
      </c>
      <c r="H32" s="17">
        <f>求节点(其他调用!$AM$7:$AM$45,其他调用!AS$7:AS$45,$C32)</f>
        <v>6</v>
      </c>
      <c r="I32" s="17">
        <f>IF(C32&lt;$D$2-10,0,MIN(投放验证!AL32,6-SUM(J32:$L32)))</f>
        <v>0</v>
      </c>
      <c r="J32" s="17">
        <f>IF(D32&lt;$D$2-10,0,MIN(投放验证!AM32,6-SUM(K32:$L32)))</f>
        <v>0</v>
      </c>
      <c r="K32" s="61">
        <f>IF(C32&lt;$D$2-10,0,MIN(投放验证!AN32,6-SUM(L32:$L32),G32))</f>
        <v>0</v>
      </c>
      <c r="L32" s="74">
        <f>IF(C32&lt;$D$2-10,0,MIN(投放验证!AO32,H32))</f>
        <v>6</v>
      </c>
      <c r="M32" s="17">
        <f>投放验证!AP32</f>
        <v>0</v>
      </c>
      <c r="N32" s="17">
        <f>投放验证!AQ32</f>
        <v>3</v>
      </c>
      <c r="O32" s="17">
        <f>投放验证!AR32</f>
        <v>5</v>
      </c>
      <c r="P32" s="17">
        <f>投放验证!AS32</f>
        <v>5</v>
      </c>
      <c r="Q32" s="63">
        <f>IF(I32=0,0,求节点(宝物升星!$C$92:$C$97,宝物升星!D$92:D$97,M32))</f>
        <v>0</v>
      </c>
      <c r="R32" s="63">
        <f>IF(J32=0,0,求节点(宝物升星!$C$92:$C$97,宝物升星!E$92:E$97,N32))</f>
        <v>0</v>
      </c>
      <c r="S32" s="63">
        <f>IF(K32=0,0,求节点(宝物升星!$C$92:$C$97,宝物升星!F$92:F$97,O32))</f>
        <v>0</v>
      </c>
      <c r="T32" s="63">
        <f>IF(L32=0,0,求节点(宝物升星!$C$92:$C$97,宝物升星!G$92:G$97,P32))</f>
        <v>1</v>
      </c>
      <c r="U32" s="16">
        <f>宝石镶嵌!AI21</f>
        <v>12.078309675641469</v>
      </c>
      <c r="V32" s="16">
        <v>12.077910057217476</v>
      </c>
      <c r="Y32" s="16">
        <v>0</v>
      </c>
      <c r="Z32" s="16">
        <v>3</v>
      </c>
      <c r="AA32" s="16">
        <v>5</v>
      </c>
      <c r="AB32" s="16">
        <v>5</v>
      </c>
    </row>
    <row r="33" spans="2:28">
      <c r="B33" s="16">
        <v>19</v>
      </c>
      <c r="C33" s="17">
        <v>140</v>
      </c>
      <c r="D33" s="17">
        <f>求节点(节奏总纲!$O$4:$O$163,节奏总纲!P$4:P$163,C33)</f>
        <v>16383</v>
      </c>
      <c r="E33" s="17">
        <f>求节点(其他调用!$AM$7:$AM$45,其他调用!AP$7:AP$45,$C33)</f>
        <v>0</v>
      </c>
      <c r="F33" s="17">
        <f>求节点(其他调用!$AM$7:$AM$45,其他调用!AQ$7:AQ$45,$C33)</f>
        <v>0</v>
      </c>
      <c r="G33" s="17">
        <f>求节点(其他调用!$AM$7:$AM$45,其他调用!AR$7:AR$45,$C33)</f>
        <v>0</v>
      </c>
      <c r="H33" s="17">
        <f>求节点(其他调用!$AM$7:$AM$45,其他调用!AS$7:AS$45,$C33)</f>
        <v>6</v>
      </c>
      <c r="I33" s="17">
        <f>IF(C33&lt;$D$2-10,0,MIN(投放验证!AL33,6-SUM(J33:$L33)))</f>
        <v>0</v>
      </c>
      <c r="J33" s="17">
        <f>IF(D33&lt;$D$2-10,0,MIN(投放验证!AM33,6-SUM(K33:$L33)))</f>
        <v>0</v>
      </c>
      <c r="K33" s="61">
        <f>IF(C33&lt;$D$2-10,0,MIN(投放验证!AN33,6-SUM(L33:$L33),G33))</f>
        <v>0</v>
      </c>
      <c r="L33" s="74">
        <f>IF(C33&lt;$D$2-10,0,MIN(投放验证!AO33,H33))</f>
        <v>6</v>
      </c>
      <c r="M33" s="17">
        <f>投放验证!AP33</f>
        <v>0</v>
      </c>
      <c r="N33" s="17">
        <f>投放验证!AQ33</f>
        <v>3</v>
      </c>
      <c r="O33" s="17">
        <f>投放验证!AR33</f>
        <v>5</v>
      </c>
      <c r="P33" s="17">
        <f>投放验证!AS33</f>
        <v>5</v>
      </c>
      <c r="Q33" s="63">
        <f>IF(I33=0,0,求节点(宝物升星!$C$92:$C$97,宝物升星!D$92:D$97,M33))</f>
        <v>0</v>
      </c>
      <c r="R33" s="63">
        <f>IF(J33=0,0,求节点(宝物升星!$C$92:$C$97,宝物升星!E$92:E$97,N33))</f>
        <v>0</v>
      </c>
      <c r="S33" s="63">
        <f>IF(K33=0,0,求节点(宝物升星!$C$92:$C$97,宝物升星!F$92:F$97,O33))</f>
        <v>0</v>
      </c>
      <c r="T33" s="63">
        <f>IF(L33=0,0,求节点(宝物升星!$C$92:$C$97,宝物升星!G$92:G$97,P33))</f>
        <v>1</v>
      </c>
      <c r="U33" s="16">
        <f>宝石镶嵌!AI22</f>
        <v>12.318018913914743</v>
      </c>
      <c r="V33" s="16">
        <v>12.317619295490751</v>
      </c>
      <c r="Y33" s="16">
        <v>0</v>
      </c>
      <c r="Z33" s="16">
        <v>3</v>
      </c>
      <c r="AA33" s="16">
        <v>5</v>
      </c>
      <c r="AB33" s="16">
        <v>5</v>
      </c>
    </row>
    <row r="34" spans="2:28">
      <c r="B34" s="16">
        <v>20</v>
      </c>
      <c r="C34" s="17">
        <v>145</v>
      </c>
      <c r="D34" s="17">
        <f>求节点(节奏总纲!$O$4:$O$163,节奏总纲!P$4:P$163,C34)</f>
        <v>23169.475005920798</v>
      </c>
      <c r="E34" s="17">
        <f>求节点(其他调用!$AM$7:$AM$45,其他调用!AP$7:AP$45,$C34)</f>
        <v>0</v>
      </c>
      <c r="F34" s="17">
        <f>求节点(其他调用!$AM$7:$AM$45,其他调用!AQ$7:AQ$45,$C34)</f>
        <v>0</v>
      </c>
      <c r="G34" s="17">
        <f>求节点(其他调用!$AM$7:$AM$45,其他调用!AR$7:AR$45,$C34)</f>
        <v>0</v>
      </c>
      <c r="H34" s="17">
        <f>求节点(其他调用!$AM$7:$AM$45,其他调用!AS$7:AS$45,$C34)</f>
        <v>6</v>
      </c>
      <c r="I34" s="17">
        <f>IF(C34&lt;$D$2-10,0,MIN(投放验证!AL34,6-SUM(J34:$L34)))</f>
        <v>0</v>
      </c>
      <c r="J34" s="17">
        <f>IF(D34&lt;$D$2-10,0,MIN(投放验证!AM34,6-SUM(K34:$L34)))</f>
        <v>0</v>
      </c>
      <c r="K34" s="61">
        <f>IF(C34&lt;$D$2-10,0,MIN(投放验证!AN34,6-SUM(L34:$L34),G34))</f>
        <v>0</v>
      </c>
      <c r="L34" s="74">
        <f>IF(C34&lt;$D$2-10,0,MIN(投放验证!AO34,H34))</f>
        <v>6</v>
      </c>
      <c r="M34" s="17">
        <f>投放验证!AP34</f>
        <v>0</v>
      </c>
      <c r="N34" s="17">
        <f>投放验证!AQ34</f>
        <v>3</v>
      </c>
      <c r="O34" s="17">
        <f>投放验证!AR34</f>
        <v>5</v>
      </c>
      <c r="P34" s="17">
        <f>投放验证!AS34</f>
        <v>5</v>
      </c>
      <c r="Q34" s="63">
        <f>IF(I34=0,0,求节点(宝物升星!$C$92:$C$97,宝物升星!D$92:D$97,M34))</f>
        <v>0</v>
      </c>
      <c r="R34" s="63">
        <f>IF(J34=0,0,求节点(宝物升星!$C$92:$C$97,宝物升星!E$92:E$97,N34))</f>
        <v>0</v>
      </c>
      <c r="S34" s="63">
        <f>IF(K34=0,0,求节点(宝物升星!$C$92:$C$97,宝物升星!F$92:F$97,O34))</f>
        <v>0</v>
      </c>
      <c r="T34" s="63">
        <f>IF(L34=0,0,求节点(宝物升星!$C$92:$C$97,宝物升星!G$92:G$97,P34))</f>
        <v>1</v>
      </c>
      <c r="U34" s="16">
        <f>宝石镶嵌!AI23</f>
        <v>12.657018969706932</v>
      </c>
      <c r="V34" s="16">
        <v>12.656619351282938</v>
      </c>
      <c r="Y34" s="16">
        <v>0</v>
      </c>
      <c r="Z34" s="16">
        <v>3</v>
      </c>
      <c r="AA34" s="16">
        <v>5</v>
      </c>
      <c r="AB34" s="16">
        <v>5</v>
      </c>
    </row>
    <row r="35" spans="2:28">
      <c r="B35" s="16">
        <v>21</v>
      </c>
      <c r="C35" s="17">
        <v>150</v>
      </c>
      <c r="D35" s="17">
        <f>求节点(节奏总纲!$O$4:$O$163,节奏总纲!P$4:P$163,C35)</f>
        <v>32767</v>
      </c>
      <c r="E35" s="17">
        <f>求节点(其他调用!$AM$7:$AM$45,其他调用!AP$7:AP$45,$C35)</f>
        <v>0</v>
      </c>
      <c r="F35" s="17">
        <f>求节点(其他调用!$AM$7:$AM$45,其他调用!AQ$7:AQ$45,$C35)</f>
        <v>0</v>
      </c>
      <c r="G35" s="17">
        <f>求节点(其他调用!$AM$7:$AM$45,其他调用!AR$7:AR$45,$C35)</f>
        <v>0</v>
      </c>
      <c r="H35" s="17">
        <f>求节点(其他调用!$AM$7:$AM$45,其他调用!AS$7:AS$45,$C35)</f>
        <v>6</v>
      </c>
      <c r="I35" s="17">
        <f>IF(C35&lt;$D$2-10,0,MIN(投放验证!AL35,6-SUM(J35:$L35)))</f>
        <v>0</v>
      </c>
      <c r="J35" s="17">
        <f>IF(D35&lt;$D$2-10,0,MIN(投放验证!AM35,6-SUM(K35:$L35)))</f>
        <v>0</v>
      </c>
      <c r="K35" s="61">
        <f>IF(C35&lt;$D$2-10,0,MIN(投放验证!AN35,6-SUM(L35:$L35),G35))</f>
        <v>0</v>
      </c>
      <c r="L35" s="74">
        <f>IF(C35&lt;$D$2-10,0,MIN(投放验证!AO35,H35))</f>
        <v>6</v>
      </c>
      <c r="M35" s="17">
        <f>投放验证!AP35</f>
        <v>0</v>
      </c>
      <c r="N35" s="17">
        <f>投放验证!AQ35</f>
        <v>3</v>
      </c>
      <c r="O35" s="17">
        <f>投放验证!AR35</f>
        <v>5</v>
      </c>
      <c r="P35" s="17">
        <f>投放验证!AS35</f>
        <v>5</v>
      </c>
      <c r="Q35" s="63">
        <f>IF(I35=0,0,求节点(宝物升星!$C$92:$C$97,宝物升星!D$92:D$97,M35))</f>
        <v>0</v>
      </c>
      <c r="R35" s="63">
        <f>IF(J35=0,0,求节点(宝物升星!$C$92:$C$97,宝物升星!E$92:E$97,N35))</f>
        <v>0</v>
      </c>
      <c r="S35" s="63">
        <f>IF(K35=0,0,求节点(宝物升星!$C$92:$C$97,宝物升星!F$92:F$97,O35))</f>
        <v>0</v>
      </c>
      <c r="T35" s="63">
        <f>IF(L35=0,0,求节点(宝物升星!$C$92:$C$97,宝物升星!G$92:G$97,P35))</f>
        <v>1</v>
      </c>
      <c r="U35" s="16">
        <f>宝石镶嵌!AI24</f>
        <v>13.045479148751161</v>
      </c>
      <c r="V35" s="16">
        <v>13.045345942609829</v>
      </c>
      <c r="Y35" s="16">
        <v>0</v>
      </c>
      <c r="Z35" s="16">
        <v>3</v>
      </c>
      <c r="AA35" s="16">
        <v>5</v>
      </c>
      <c r="AB35" s="16">
        <v>5</v>
      </c>
    </row>
    <row r="36" spans="2:28">
      <c r="B36" s="16">
        <v>22</v>
      </c>
      <c r="C36" s="17">
        <v>155</v>
      </c>
      <c r="D36" s="17">
        <f>求节点(节奏总纲!$O$4:$O$163,节奏总纲!P$4:P$163,C36)</f>
        <v>46339.950011841604</v>
      </c>
      <c r="E36" s="17">
        <f>求节点(其他调用!$AM$7:$AM$45,其他调用!AP$7:AP$45,$C36)</f>
        <v>0</v>
      </c>
      <c r="F36" s="17">
        <f>求节点(其他调用!$AM$7:$AM$45,其他调用!AQ$7:AQ$45,$C36)</f>
        <v>0</v>
      </c>
      <c r="G36" s="17">
        <f>求节点(其他调用!$AM$7:$AM$45,其他调用!AR$7:AR$45,$C36)</f>
        <v>0</v>
      </c>
      <c r="H36" s="17">
        <f>求节点(其他调用!$AM$7:$AM$45,其他调用!AS$7:AS$45,$C36)</f>
        <v>6</v>
      </c>
      <c r="I36" s="17">
        <f>IF(C36&lt;$D$2-10,0,MIN(投放验证!AL36,6-SUM(J36:$L36)))</f>
        <v>0</v>
      </c>
      <c r="J36" s="17">
        <f>IF(D36&lt;$D$2-10,0,MIN(投放验证!AM36,6-SUM(K36:$L36)))</f>
        <v>0</v>
      </c>
      <c r="K36" s="61">
        <f>IF(C36&lt;$D$2-10,0,MIN(投放验证!AN36,6-SUM(L36:$L36),G36))</f>
        <v>0</v>
      </c>
      <c r="L36" s="74">
        <f>IF(C36&lt;$D$2-10,0,MIN(投放验证!AO36,H36))</f>
        <v>6</v>
      </c>
      <c r="M36" s="17">
        <f>投放验证!AP36</f>
        <v>0</v>
      </c>
      <c r="N36" s="17">
        <f>投放验证!AQ36</f>
        <v>3</v>
      </c>
      <c r="O36" s="17">
        <f>投放验证!AR36</f>
        <v>5</v>
      </c>
      <c r="P36" s="17">
        <f>投放验证!AS36</f>
        <v>5</v>
      </c>
      <c r="Q36" s="63">
        <f>IF(I36=0,0,求节点(宝物升星!$C$92:$C$97,宝物升星!D$92:D$97,M36))</f>
        <v>0</v>
      </c>
      <c r="R36" s="63">
        <f>IF(J36=0,0,求节点(宝物升星!$C$92:$C$97,宝物升星!E$92:E$97,N36))</f>
        <v>0</v>
      </c>
      <c r="S36" s="63">
        <f>IF(K36=0,0,求节点(宝物升星!$C$92:$C$97,宝物升星!F$92:F$97,O36))</f>
        <v>0</v>
      </c>
      <c r="T36" s="63">
        <f>IF(L36=0,0,求节点(宝物升星!$C$92:$C$97,宝物升星!G$92:G$97,P36))</f>
        <v>1</v>
      </c>
      <c r="U36" s="16">
        <f>宝石镶嵌!AI25</f>
        <v>13.271479185945953</v>
      </c>
      <c r="V36" s="16">
        <v>13.271345979804622</v>
      </c>
      <c r="Y36" s="16">
        <v>0</v>
      </c>
      <c r="Z36" s="16">
        <v>3</v>
      </c>
      <c r="AA36" s="16">
        <v>5</v>
      </c>
      <c r="AB36" s="16">
        <v>5</v>
      </c>
    </row>
    <row r="37" spans="2:28">
      <c r="B37" s="16">
        <v>23</v>
      </c>
      <c r="C37" s="17">
        <v>160</v>
      </c>
      <c r="D37" s="17">
        <f>求节点(节奏总纲!$O$4:$O$163,节奏总纲!P$4:P$163,C37)</f>
        <v>65535</v>
      </c>
      <c r="E37" s="17">
        <f>求节点(其他调用!$AM$7:$AM$45,其他调用!AP$7:AP$45,$C37)</f>
        <v>0</v>
      </c>
      <c r="F37" s="17">
        <f>求节点(其他调用!$AM$7:$AM$45,其他调用!AQ$7:AQ$45,$C37)</f>
        <v>0</v>
      </c>
      <c r="G37" s="17">
        <f>求节点(其他调用!$AM$7:$AM$45,其他调用!AR$7:AR$45,$C37)</f>
        <v>0</v>
      </c>
      <c r="H37" s="17">
        <f>求节点(其他调用!$AM$7:$AM$45,其他调用!AS$7:AS$45,$C37)</f>
        <v>6</v>
      </c>
      <c r="I37" s="17">
        <f>IF(C37&lt;$D$2-10,0,MIN(投放验证!AL37,6-SUM(J37:$L37)))</f>
        <v>0</v>
      </c>
      <c r="J37" s="17">
        <f>IF(D37&lt;$D$2-10,0,MIN(投放验证!AM37,6-SUM(K37:$L37)))</f>
        <v>0</v>
      </c>
      <c r="K37" s="61">
        <f>IF(C37&lt;$D$2-10,0,MIN(投放验证!AN37,6-SUM(L37:$L37),G37))</f>
        <v>0</v>
      </c>
      <c r="L37" s="74">
        <f>IF(C37&lt;$D$2-10,0,MIN(投放验证!AO37,H37))</f>
        <v>6</v>
      </c>
      <c r="M37" s="17">
        <f>投放验证!AP37</f>
        <v>0</v>
      </c>
      <c r="N37" s="17">
        <f>投放验证!AQ37</f>
        <v>3</v>
      </c>
      <c r="O37" s="17">
        <f>投放验证!AR37</f>
        <v>5</v>
      </c>
      <c r="P37" s="17">
        <f>投放验证!AS37</f>
        <v>5</v>
      </c>
      <c r="Q37" s="63">
        <f>IF(I37=0,0,求节点(宝物升星!$C$92:$C$97,宝物升星!D$92:D$97,M37))</f>
        <v>0</v>
      </c>
      <c r="R37" s="63">
        <f>IF(J37=0,0,求节点(宝物升星!$C$92:$C$97,宝物升星!E$92:E$97,N37))</f>
        <v>0</v>
      </c>
      <c r="S37" s="63">
        <f>IF(K37=0,0,求节点(宝物升星!$C$92:$C$97,宝物升星!F$92:F$97,O37))</f>
        <v>0</v>
      </c>
      <c r="T37" s="63">
        <f>IF(L37=0,0,求节点(宝物升星!$C$92:$C$97,宝物升星!G$92:G$97,P37))</f>
        <v>1</v>
      </c>
      <c r="U37" s="16">
        <f>宝石镶嵌!AI26</f>
        <v>13.591091503643652</v>
      </c>
      <c r="V37" s="16">
        <v>13.59095829750232</v>
      </c>
      <c r="Y37" s="16">
        <v>0</v>
      </c>
      <c r="Z37" s="16">
        <v>3</v>
      </c>
      <c r="AA37" s="16">
        <v>5</v>
      </c>
      <c r="AB37" s="16">
        <v>5</v>
      </c>
    </row>
    <row r="38" spans="2:28">
      <c r="B38" s="16">
        <v>24</v>
      </c>
    </row>
    <row r="39" spans="2:28">
      <c r="B39" s="16">
        <v>25</v>
      </c>
    </row>
    <row r="40" spans="2:28">
      <c r="B40" s="16">
        <v>26</v>
      </c>
    </row>
    <row r="41" spans="2:28">
      <c r="B41" s="16">
        <v>1</v>
      </c>
      <c r="C41" s="171" t="s">
        <v>248</v>
      </c>
      <c r="D41" s="172"/>
      <c r="E41" s="171" t="s">
        <v>425</v>
      </c>
      <c r="F41" s="173"/>
      <c r="G41" s="173"/>
      <c r="H41" s="172"/>
      <c r="I41" s="170" t="s">
        <v>349</v>
      </c>
      <c r="J41" s="170"/>
      <c r="K41" s="170"/>
      <c r="L41" s="170"/>
      <c r="M41" s="170" t="s">
        <v>364</v>
      </c>
      <c r="N41" s="170"/>
      <c r="O41" s="170"/>
      <c r="P41" s="170"/>
      <c r="Q41" s="169" t="s">
        <v>365</v>
      </c>
      <c r="R41" s="169"/>
      <c r="S41" s="169"/>
      <c r="T41" s="169"/>
      <c r="Y41" s="16" t="s">
        <v>364</v>
      </c>
    </row>
    <row r="42" spans="2:28">
      <c r="B42" s="16">
        <v>2</v>
      </c>
      <c r="C42" s="17" t="s">
        <v>161</v>
      </c>
      <c r="D42" s="17" t="s">
        <v>158</v>
      </c>
      <c r="E42" s="17" t="s">
        <v>1</v>
      </c>
      <c r="F42" s="17" t="s">
        <v>2</v>
      </c>
      <c r="G42" s="17" t="s">
        <v>0</v>
      </c>
      <c r="H42" s="17" t="s">
        <v>205</v>
      </c>
      <c r="I42" s="17" t="s">
        <v>1</v>
      </c>
      <c r="J42" s="17" t="s">
        <v>2</v>
      </c>
      <c r="K42" s="17" t="s">
        <v>0</v>
      </c>
      <c r="L42" s="17" t="s">
        <v>205</v>
      </c>
      <c r="M42" s="30" t="s">
        <v>1</v>
      </c>
      <c r="N42" s="30" t="s">
        <v>2</v>
      </c>
      <c r="O42" s="30" t="s">
        <v>0</v>
      </c>
      <c r="P42" s="17" t="s">
        <v>205</v>
      </c>
      <c r="Q42" s="63" t="s">
        <v>1</v>
      </c>
      <c r="R42" s="63" t="s">
        <v>2</v>
      </c>
      <c r="S42" s="63" t="s">
        <v>0</v>
      </c>
      <c r="T42" s="63" t="s">
        <v>205</v>
      </c>
      <c r="U42" s="16" t="str">
        <f>宝石镶嵌!AI31</f>
        <v>宝石等级</v>
      </c>
      <c r="V42" s="16" t="s">
        <v>760</v>
      </c>
      <c r="Y42" s="16" t="s">
        <v>79</v>
      </c>
      <c r="Z42" s="16" t="s">
        <v>80</v>
      </c>
      <c r="AA42" s="16" t="s">
        <v>81</v>
      </c>
      <c r="AB42" s="16" t="s">
        <v>205</v>
      </c>
    </row>
    <row r="43" spans="2:28">
      <c r="B43" s="16">
        <v>3</v>
      </c>
      <c r="C43" s="17">
        <v>50</v>
      </c>
      <c r="D43" s="17">
        <f>求节点(节奏总纲!$O$4:$O$163,节奏总纲!Q$4:Q$163,C43)</f>
        <v>27.0351</v>
      </c>
      <c r="E43" s="17">
        <f>求节点(其他调用!$AM$52:$AM$90,其他调用!AP$52:AP$90,$C43)</f>
        <v>0</v>
      </c>
      <c r="F43" s="17">
        <f>求节点(其他调用!$AM$52:$AM$90,其他调用!AQ$52:AQ$90,$C43)</f>
        <v>0</v>
      </c>
      <c r="G43" s="17">
        <f>求节点(其他调用!$AM$52:$AM$90,其他调用!AR$52:AR$90,$C43)</f>
        <v>5.7971029663293043</v>
      </c>
      <c r="H43" s="17">
        <f>求节点(其他调用!$AM$52:$AM$90,其他调用!AS$52:AS$90,$C43)</f>
        <v>0.2028970336706955</v>
      </c>
      <c r="I43" s="17">
        <f>IF(C43&lt;$D$2-10,0,MIN(投放验证!AL43,6-SUM(J43:$L43)))</f>
        <v>0</v>
      </c>
      <c r="J43" s="17">
        <f>IF(D43&lt;$D$2-10,0,MIN(投放验证!AM43,6-SUM(K43:$L43)))</f>
        <v>0</v>
      </c>
      <c r="K43" s="61">
        <f>IF(C43&lt;$D$2-10,0,MIN(投放验证!AN43,6-SUM(L43:$L43),G43))</f>
        <v>0</v>
      </c>
      <c r="L43" s="74">
        <f>IF(C43&lt;$D$2-10,0,MIN(投放验证!AO43,H43))</f>
        <v>0</v>
      </c>
      <c r="M43" s="17">
        <f>投放验证!AP43</f>
        <v>0</v>
      </c>
      <c r="N43" s="17">
        <f>投放验证!AQ43</f>
        <v>0</v>
      </c>
      <c r="O43" s="17">
        <f>投放验证!AR43</f>
        <v>0</v>
      </c>
      <c r="P43" s="17">
        <f>投放验证!AS43</f>
        <v>0</v>
      </c>
      <c r="Q43" s="83">
        <f>IF(I43=0,0,求节点(宝物升星!$C$92:$C$97,宝物升星!D$92:D$97,M43))</f>
        <v>0</v>
      </c>
      <c r="R43" s="83">
        <f>IF(J43=0,0,求节点(宝物升星!$C$92:$C$97,宝物升星!E$92:E$97,N43))</f>
        <v>0</v>
      </c>
      <c r="S43" s="83">
        <f>IF(K43=0,0,求节点(宝物升星!$C$92:$C$97,宝物升星!F$92:F$97,O43))</f>
        <v>0</v>
      </c>
      <c r="T43" s="83">
        <f>IF(L43=0,0,求节点(宝物升星!$C$92:$C$97,宝物升星!G$92:G$97,P43))</f>
        <v>0</v>
      </c>
      <c r="U43" s="16">
        <f>宝石镶嵌!AI32</f>
        <v>6.373965493273837</v>
      </c>
      <c r="V43" s="16">
        <v>6.0826436621825577</v>
      </c>
      <c r="Y43" s="16">
        <v>0</v>
      </c>
      <c r="Z43" s="16">
        <v>0</v>
      </c>
      <c r="AA43" s="16">
        <v>0</v>
      </c>
      <c r="AB43" s="16">
        <v>0</v>
      </c>
    </row>
    <row r="44" spans="2:28">
      <c r="B44" s="16">
        <v>4</v>
      </c>
      <c r="C44" s="17">
        <v>60</v>
      </c>
      <c r="D44" s="17">
        <f>求节点(节奏总纲!$O$4:$O$163,节奏总纲!Q$4:Q$163,C44)</f>
        <v>54.589500000000001</v>
      </c>
      <c r="E44" s="17">
        <f>求节点(其他调用!$AM$52:$AM$90,其他调用!AP$52:AP$90,$C44)</f>
        <v>0</v>
      </c>
      <c r="F44" s="17">
        <f>求节点(其他调用!$AM$52:$AM$90,其他调用!AQ$52:AQ$90,$C44)</f>
        <v>0</v>
      </c>
      <c r="G44" s="17">
        <f>求节点(其他调用!$AM$52:$AM$90,其他调用!AR$52:AR$90,$C44)</f>
        <v>3.8293644210023707</v>
      </c>
      <c r="H44" s="17">
        <f>求节点(其他调用!$AM$52:$AM$90,其他调用!AS$52:AS$90,$C44)</f>
        <v>2.1706355789976293</v>
      </c>
      <c r="I44" s="17">
        <f>IF(C44&lt;$D$2-10,0,MIN(投放验证!AL44,6-SUM(J44:$L44)))</f>
        <v>3.0869418581458419E-2</v>
      </c>
      <c r="J44" s="17">
        <f>IF(D44&lt;$D$2-10,0,MIN(投放验证!AM44,6-SUM(K44:$L44)))</f>
        <v>0</v>
      </c>
      <c r="K44" s="61">
        <f>IF(C44&lt;$D$2-10,0,MIN(投放验证!AN44,6-SUM(L44:$L44),G44))</f>
        <v>3.8293644210023707</v>
      </c>
      <c r="L44" s="74">
        <f>IF(C44&lt;$D$2-10,0,MIN(投放验证!AO44,H44))</f>
        <v>2.1397661604161704</v>
      </c>
      <c r="M44" s="17">
        <f>投放验证!AP44</f>
        <v>0</v>
      </c>
      <c r="N44" s="17">
        <f>投放验证!AQ44</f>
        <v>3</v>
      </c>
      <c r="O44" s="17">
        <f>投放验证!AR44</f>
        <v>0</v>
      </c>
      <c r="P44" s="17">
        <f>投放验证!AS44</f>
        <v>0</v>
      </c>
      <c r="Q44" s="63">
        <f>IF(I44=0,0,求节点(宝物升星!$C$92:$C$97,宝物升星!D$92:D$97,M44))</f>
        <v>0.16666666666666666</v>
      </c>
      <c r="R44" s="63">
        <f>IF(J44=0,0,求节点(宝物升星!$C$92:$C$97,宝物升星!E$92:E$97,N44))</f>
        <v>0</v>
      </c>
      <c r="S44" s="63">
        <f>IF(K44=0,0,求节点(宝物升星!$C$92:$C$97,宝物升星!F$92:F$97,O44))</f>
        <v>0.16666666666666666</v>
      </c>
      <c r="T44" s="63">
        <f>IF(L44=0,0,求节点(宝物升星!$C$92:$C$97,宝物升星!G$92:G$97,P44))</f>
        <v>0.16666666666666666</v>
      </c>
      <c r="U44" s="16">
        <f>宝石镶嵌!AI33</f>
        <v>7.1797509392129841</v>
      </c>
      <c r="V44" s="16">
        <v>7.0826436621825577</v>
      </c>
      <c r="Y44" s="16">
        <v>0</v>
      </c>
      <c r="Z44" s="16">
        <v>2.5821131755183884</v>
      </c>
      <c r="AA44" s="16">
        <v>1.2830626944671555</v>
      </c>
      <c r="AB44" s="16">
        <v>6.9261668911262397E-3</v>
      </c>
    </row>
    <row r="45" spans="2:28">
      <c r="B45" s="16">
        <v>5</v>
      </c>
      <c r="C45" s="17">
        <v>70</v>
      </c>
      <c r="D45" s="17">
        <f>求节点(节奏总纲!$O$4:$O$163,节奏总纲!Q$4:Q$163,C45)</f>
        <v>109.9693</v>
      </c>
      <c r="E45" s="17">
        <f>求节点(其他调用!$AM$52:$AM$90,其他调用!AP$52:AP$90,$C45)</f>
        <v>0</v>
      </c>
      <c r="F45" s="17">
        <f>求节点(其他调用!$AM$52:$AM$90,其他调用!AQ$52:AQ$90,$C45)</f>
        <v>0</v>
      </c>
      <c r="G45" s="17">
        <f>求节点(其他调用!$AM$52:$AM$90,其他调用!AR$52:AR$90,$C45)</f>
        <v>1.6615109066245601</v>
      </c>
      <c r="H45" s="17">
        <f>求节点(其他调用!$AM$52:$AM$90,其他调用!AS$52:AS$90,$C45)</f>
        <v>4.3384890933754399</v>
      </c>
      <c r="I45" s="17">
        <f>IF(C45&lt;$D$2-10,0,MIN(投放验证!AL45,6-SUM(J45:$L45)))</f>
        <v>0</v>
      </c>
      <c r="J45" s="17">
        <f>IF(D45&lt;$D$2-10,0,MIN(投放验证!AM45,6-SUM(K45:$L45)))</f>
        <v>0.29368517593175891</v>
      </c>
      <c r="K45" s="61">
        <f>IF(C45&lt;$D$2-10,0,MIN(投放验证!AN45,6-SUM(L45:$L45),G45))</f>
        <v>1.6615109066245601</v>
      </c>
      <c r="L45" s="74">
        <f>IF(C45&lt;$D$2-10,0,MIN(投放验证!AO45,H45))</f>
        <v>4.044803917443681</v>
      </c>
      <c r="M45" s="17">
        <f>投放验证!AP45</f>
        <v>0</v>
      </c>
      <c r="N45" s="17">
        <f>投放验证!AQ45</f>
        <v>3</v>
      </c>
      <c r="O45" s="17">
        <f>投放验证!AR45</f>
        <v>0.7927093690413809</v>
      </c>
      <c r="P45" s="17">
        <f>投放验证!AS45</f>
        <v>0</v>
      </c>
      <c r="Q45" s="63">
        <f>IF(I45=0,0,求节点(宝物升星!$C$92:$C$97,宝物升星!D$92:D$97,M45))</f>
        <v>0</v>
      </c>
      <c r="R45" s="63">
        <f>IF(J45=0,0,求节点(宝物升星!$C$92:$C$97,宝物升星!E$92:E$97,N45))</f>
        <v>0.66666666666666663</v>
      </c>
      <c r="S45" s="63">
        <f>IF(K45=0,0,求节点(宝物升星!$C$92:$C$97,宝物升星!F$92:F$97,O45))</f>
        <v>0.29878489484023013</v>
      </c>
      <c r="T45" s="63">
        <f>IF(L45=0,0,求节点(宝物升星!$C$92:$C$97,宝物升星!G$92:G$97,P45))</f>
        <v>0.16666666666666666</v>
      </c>
      <c r="U45" s="16">
        <f>宝石镶嵌!AI34</f>
        <v>7.9566091554563947</v>
      </c>
      <c r="V45" s="16">
        <v>7.8595018784259683</v>
      </c>
      <c r="Y45" s="16">
        <v>0</v>
      </c>
      <c r="Z45" s="16">
        <v>3</v>
      </c>
      <c r="AA45" s="16">
        <v>3.649336872224473</v>
      </c>
      <c r="AB45" s="16">
        <v>2.5933499921451775E-2</v>
      </c>
    </row>
    <row r="46" spans="2:28">
      <c r="B46" s="16">
        <v>6</v>
      </c>
      <c r="C46" s="17">
        <v>75</v>
      </c>
      <c r="D46" s="17">
        <f>求节点(节奏总纲!$O$4:$O$163,节奏总纲!Q$4:Q$163,C46)</f>
        <v>155.75272949314578</v>
      </c>
      <c r="E46" s="17">
        <f>求节点(其他调用!$AM$52:$AM$90,其他调用!AP$52:AP$90,$C46)</f>
        <v>0</v>
      </c>
      <c r="F46" s="17">
        <f>求节点(其他调用!$AM$52:$AM$90,其他调用!AQ$52:AQ$90,$C46)</f>
        <v>0</v>
      </c>
      <c r="G46" s="17">
        <f>求节点(其他调用!$AM$52:$AM$90,其他调用!AR$52:AR$90,$C46)</f>
        <v>0.45470422566467938</v>
      </c>
      <c r="H46" s="17">
        <f>求节点(其他调用!$AM$52:$AM$90,其他调用!AS$52:AS$90,$C46)</f>
        <v>5.5452957743353206</v>
      </c>
      <c r="I46" s="17">
        <f>IF(C46&lt;$D$2-10,0,MIN(投放验证!AL46,6-SUM(J46:$L46)))</f>
        <v>0</v>
      </c>
      <c r="J46" s="17">
        <f>IF(D46&lt;$D$2-10,0,MIN(投放验证!AM46,6-SUM(K46:$L46)))</f>
        <v>0.15889303795075893</v>
      </c>
      <c r="K46" s="61">
        <f>IF(C46&lt;$D$2-10,0,MIN(投放验证!AN46,6-SUM(L46:$L46),G46))</f>
        <v>0.45470422566467938</v>
      </c>
      <c r="L46" s="74">
        <f>IF(C46&lt;$D$2-10,0,MIN(投放验证!AO46,H46))</f>
        <v>5.3864027363845617</v>
      </c>
      <c r="M46" s="17">
        <f>投放验证!AP46</f>
        <v>0</v>
      </c>
      <c r="N46" s="17">
        <f>投放验证!AQ46</f>
        <v>3</v>
      </c>
      <c r="O46" s="17">
        <f>投放验证!AR46</f>
        <v>1.4331592146236485</v>
      </c>
      <c r="P46" s="17">
        <f>投放验证!AS46</f>
        <v>0</v>
      </c>
      <c r="Q46" s="63">
        <f>IF(I46=0,0,求节点(宝物升星!$C$92:$C$97,宝物升星!D$92:D$97,M46))</f>
        <v>0</v>
      </c>
      <c r="R46" s="63">
        <f>IF(J46=0,0,求节点(宝物升星!$C$92:$C$97,宝物升星!E$92:E$97,N46))</f>
        <v>0.66666666666666663</v>
      </c>
      <c r="S46" s="63">
        <f>IF(K46=0,0,求节点(宝物升星!$C$92:$C$97,宝物升星!F$92:F$97,O46))</f>
        <v>0.40552653577060804</v>
      </c>
      <c r="T46" s="63">
        <f>IF(L46=0,0,求节点(宝物升星!$C$92:$C$97,宝物升星!G$92:G$97,P46))</f>
        <v>0.16666666666666666</v>
      </c>
      <c r="U46" s="16">
        <f>宝石镶嵌!AI35</f>
        <v>8.2000598579581254</v>
      </c>
      <c r="V46" s="16">
        <v>8.1676907656146494</v>
      </c>
      <c r="Y46" s="16">
        <v>0</v>
      </c>
      <c r="Z46" s="16">
        <v>3</v>
      </c>
      <c r="AA46" s="16">
        <v>5</v>
      </c>
      <c r="AB46" s="16">
        <v>9.87967083882344E-2</v>
      </c>
    </row>
    <row r="47" spans="2:28">
      <c r="B47" s="16">
        <v>7</v>
      </c>
      <c r="C47" s="17">
        <v>80</v>
      </c>
      <c r="D47" s="17">
        <f>求节点(节奏总纲!$O$4:$O$163,节奏总纲!Q$4:Q$163,C47)</f>
        <v>221.08500000000001</v>
      </c>
      <c r="E47" s="17">
        <f>求节点(其他调用!$AM$52:$AM$90,其他调用!AP$52:AP$90,$C47)</f>
        <v>0</v>
      </c>
      <c r="F47" s="17">
        <f>求节点(其他调用!$AM$52:$AM$90,其他调用!AQ$52:AQ$90,$C47)</f>
        <v>0</v>
      </c>
      <c r="G47" s="17">
        <f>求节点(其他调用!$AM$52:$AM$90,其他调用!AR$52:AR$90,$C47)</f>
        <v>0</v>
      </c>
      <c r="H47" s="17">
        <f>求节点(其他调用!$AM$52:$AM$90,其他调用!AS$52:AS$90,$C47)</f>
        <v>6</v>
      </c>
      <c r="I47" s="17">
        <f>IF(C47&lt;$D$2-10,0,MIN(投放验证!AL47,6-SUM(J47:$L47)))</f>
        <v>0</v>
      </c>
      <c r="J47" s="17">
        <f>IF(D47&lt;$D$2-10,0,MIN(投放验证!AM47,6-SUM(K47:$L47)))</f>
        <v>0</v>
      </c>
      <c r="K47" s="61">
        <f>IF(C47&lt;$D$2-10,0,MIN(投放验证!AN47,6-SUM(L47:$L47),G47))</f>
        <v>0</v>
      </c>
      <c r="L47" s="74">
        <f>IF(C47&lt;$D$2-10,0,MIN(投放验证!AO47,H47))</f>
        <v>6</v>
      </c>
      <c r="M47" s="17">
        <f>投放验证!AP47</f>
        <v>0</v>
      </c>
      <c r="N47" s="17">
        <f>投放验证!AQ47</f>
        <v>3</v>
      </c>
      <c r="O47" s="17">
        <f>投放验证!AR47</f>
        <v>2.3127571571022534</v>
      </c>
      <c r="P47" s="17">
        <f>投放验证!AS47</f>
        <v>0.20155651426766785</v>
      </c>
      <c r="Q47" s="63">
        <f>IF(I47=0,0,求节点(宝物升星!$C$92:$C$97,宝物升星!D$92:D$97,M47))</f>
        <v>0</v>
      </c>
      <c r="R47" s="63">
        <f>IF(J47=0,0,求节点(宝物升星!$C$92:$C$97,宝物升星!E$92:E$97,N47))</f>
        <v>0</v>
      </c>
      <c r="S47" s="63">
        <f>IF(K47=0,0,求节点(宝物升星!$C$92:$C$97,宝物升星!F$92:F$97,O47))</f>
        <v>0</v>
      </c>
      <c r="T47" s="63">
        <f>IF(L47=0,0,求节点(宝物升星!$C$92:$C$97,宝物升星!G$92:G$97,P47))</f>
        <v>0.20025941904461131</v>
      </c>
      <c r="U47" s="16">
        <f>宝石镶嵌!AI36</f>
        <v>8.5034418626477386</v>
      </c>
      <c r="V47" s="16">
        <v>8.4710727703042625</v>
      </c>
      <c r="Y47" s="16">
        <v>0</v>
      </c>
      <c r="Z47" s="16">
        <v>3</v>
      </c>
      <c r="AA47" s="16">
        <v>5</v>
      </c>
      <c r="AB47" s="16">
        <v>0.43671575776085425</v>
      </c>
    </row>
    <row r="48" spans="2:28">
      <c r="B48" s="16">
        <v>8</v>
      </c>
      <c r="C48" s="17">
        <v>85</v>
      </c>
      <c r="D48" s="17">
        <f>求节点(节奏总纲!$O$4:$O$163,节奏总纲!Q$4:Q$163,C48)</f>
        <v>311.72078937675008</v>
      </c>
      <c r="E48" s="17">
        <f>求节点(其他调用!$AM$52:$AM$90,其他调用!AP$52:AP$90,$C48)</f>
        <v>0</v>
      </c>
      <c r="F48" s="17">
        <f>求节点(其他调用!$AM$52:$AM$90,其他调用!AQ$52:AQ$90,$C48)</f>
        <v>0</v>
      </c>
      <c r="G48" s="17">
        <f>求节点(其他调用!$AM$52:$AM$90,其他调用!AR$52:AR$90,$C48)</f>
        <v>0</v>
      </c>
      <c r="H48" s="17">
        <f>求节点(其他调用!$AM$52:$AM$90,其他调用!AS$52:AS$90,$C48)</f>
        <v>6</v>
      </c>
      <c r="I48" s="17">
        <f>IF(C48&lt;$D$2-10,0,MIN(投放验证!AL48,6-SUM(J48:$L48)))</f>
        <v>0</v>
      </c>
      <c r="J48" s="17">
        <f>IF(D48&lt;$D$2-10,0,MIN(投放验证!AM48,6-SUM(K48:$L48)))</f>
        <v>0</v>
      </c>
      <c r="K48" s="61">
        <f>IF(C48&lt;$D$2-10,0,MIN(投放验证!AN48,6-SUM(L48:$L48),G48))</f>
        <v>0</v>
      </c>
      <c r="L48" s="74">
        <f>IF(C48&lt;$D$2-10,0,MIN(投放验证!AO48,H48))</f>
        <v>6</v>
      </c>
      <c r="M48" s="17">
        <f>投放验证!AP48</f>
        <v>0</v>
      </c>
      <c r="N48" s="17">
        <f>投放验证!AQ48</f>
        <v>3</v>
      </c>
      <c r="O48" s="17">
        <f>投放验证!AR48</f>
        <v>3.5049328803873658</v>
      </c>
      <c r="P48" s="17">
        <f>投放验证!AS48</f>
        <v>0.61056467211427301</v>
      </c>
      <c r="Q48" s="63">
        <f>IF(I48=0,0,求节点(宝物升星!$C$92:$C$97,宝物升星!D$92:D$97,M48))</f>
        <v>0</v>
      </c>
      <c r="R48" s="63">
        <f>IF(J48=0,0,求节点(宝物升星!$C$92:$C$97,宝物升星!E$92:E$97,N48))</f>
        <v>0</v>
      </c>
      <c r="S48" s="63">
        <f>IF(K48=0,0,求节点(宝物升星!$C$92:$C$97,宝物升星!F$92:F$97,O48))</f>
        <v>0</v>
      </c>
      <c r="T48" s="63">
        <f>IF(L48=0,0,求节点(宝物升星!$C$92:$C$97,宝物升星!G$92:G$97,P48))</f>
        <v>0.26842744535237884</v>
      </c>
      <c r="U48" s="16">
        <f>宝石镶嵌!AI37</f>
        <v>8.9324888082597269</v>
      </c>
      <c r="V48" s="16">
        <v>8.9001197159162508</v>
      </c>
      <c r="Y48" s="16">
        <v>0</v>
      </c>
      <c r="Z48" s="16">
        <v>3</v>
      </c>
      <c r="AA48" s="16">
        <v>5</v>
      </c>
      <c r="AB48" s="16">
        <v>1.0461184579497558</v>
      </c>
    </row>
    <row r="49" spans="2:28">
      <c r="B49" s="16">
        <v>9</v>
      </c>
      <c r="C49" s="17">
        <v>90</v>
      </c>
      <c r="D49" s="17">
        <f>求节点(节奏总纲!$O$4:$O$163,节奏总纲!Q$4:Q$163,C49)</f>
        <v>438.13140000000004</v>
      </c>
      <c r="E49" s="17">
        <f>求节点(其他调用!$AM$52:$AM$90,其他调用!AP$52:AP$90,$C49)</f>
        <v>0</v>
      </c>
      <c r="F49" s="17">
        <f>求节点(其他调用!$AM$52:$AM$90,其他调用!AQ$52:AQ$90,$C49)</f>
        <v>0</v>
      </c>
      <c r="G49" s="17">
        <f>求节点(其他调用!$AM$52:$AM$90,其他调用!AR$52:AR$90,$C49)</f>
        <v>0</v>
      </c>
      <c r="H49" s="17">
        <f>求节点(其他调用!$AM$52:$AM$90,其他调用!AS$52:AS$90,$C49)</f>
        <v>6</v>
      </c>
      <c r="I49" s="17">
        <f>IF(C49&lt;$D$2-10,0,MIN(投放验证!AL49,6-SUM(J49:$L49)))</f>
        <v>0</v>
      </c>
      <c r="J49" s="17">
        <f>IF(D49&lt;$D$2-10,0,MIN(投放验证!AM49,6-SUM(K49:$L49)))</f>
        <v>0</v>
      </c>
      <c r="K49" s="61">
        <f>IF(C49&lt;$D$2-10,0,MIN(投放验证!AN49,6-SUM(L49:$L49),G49))</f>
        <v>0</v>
      </c>
      <c r="L49" s="74">
        <f>IF(C49&lt;$D$2-10,0,MIN(投放验证!AO49,H49))</f>
        <v>6</v>
      </c>
      <c r="M49" s="17">
        <f>投放验证!AP49</f>
        <v>0</v>
      </c>
      <c r="N49" s="17">
        <f>投放验证!AQ49</f>
        <v>3</v>
      </c>
      <c r="O49" s="17">
        <f>投放验证!AR49</f>
        <v>5</v>
      </c>
      <c r="P49" s="17">
        <f>投放验证!AS49</f>
        <v>1.1580351301500733</v>
      </c>
      <c r="Q49" s="63">
        <f>IF(I49=0,0,求节点(宝物升星!$C$92:$C$97,宝物升星!D$92:D$97,M49))</f>
        <v>0</v>
      </c>
      <c r="R49" s="63">
        <f>IF(J49=0,0,求节点(宝物升星!$C$92:$C$97,宝物升星!E$92:E$97,N49))</f>
        <v>0</v>
      </c>
      <c r="S49" s="63">
        <f>IF(K49=0,0,求节点(宝物升星!$C$92:$C$97,宝物升星!F$92:F$97,O49))</f>
        <v>0</v>
      </c>
      <c r="T49" s="63">
        <f>IF(L49=0,0,求节点(宝物升星!$C$92:$C$97,宝物升星!G$92:G$97,P49))</f>
        <v>0.35967252169167885</v>
      </c>
      <c r="U49" s="16">
        <f>宝石镶嵌!AI38</f>
        <v>9.179750939212985</v>
      </c>
      <c r="V49" s="16">
        <v>9.1689612417651585</v>
      </c>
      <c r="Y49" s="16">
        <v>0</v>
      </c>
      <c r="Z49" s="16">
        <v>3</v>
      </c>
      <c r="AA49" s="16">
        <v>5</v>
      </c>
      <c r="AB49" s="16">
        <v>1.8567011840643244</v>
      </c>
    </row>
    <row r="50" spans="2:28">
      <c r="B50" s="16">
        <v>10</v>
      </c>
      <c r="C50" s="17">
        <v>95</v>
      </c>
      <c r="D50" s="17">
        <f>求节点(节奏总纲!$O$4:$O$163,节奏总纲!Q$4:Q$163,C50)</f>
        <v>618.15882133005255</v>
      </c>
      <c r="E50" s="17">
        <f>求节点(其他调用!$AM$52:$AM$90,其他调用!AP$52:AP$90,$C50)</f>
        <v>0</v>
      </c>
      <c r="F50" s="17">
        <f>求节点(其他调用!$AM$52:$AM$90,其他调用!AQ$52:AQ$90,$C50)</f>
        <v>0</v>
      </c>
      <c r="G50" s="17">
        <f>求节点(其他调用!$AM$52:$AM$90,其他调用!AR$52:AR$90,$C50)</f>
        <v>0</v>
      </c>
      <c r="H50" s="17">
        <f>求节点(其他调用!$AM$52:$AM$90,其他调用!AS$52:AS$90,$C50)</f>
        <v>6</v>
      </c>
      <c r="I50" s="17">
        <f>IF(C50&lt;$D$2-10,0,MIN(投放验证!AL50,6-SUM(J50:$L50)))</f>
        <v>0</v>
      </c>
      <c r="J50" s="17">
        <f>IF(D50&lt;$D$2-10,0,MIN(投放验证!AM50,6-SUM(K50:$L50)))</f>
        <v>0</v>
      </c>
      <c r="K50" s="61">
        <f>IF(C50&lt;$D$2-10,0,MIN(投放验证!AN50,6-SUM(L50:$L50),G50))</f>
        <v>0</v>
      </c>
      <c r="L50" s="74">
        <f>IF(C50&lt;$D$2-10,0,MIN(投放验证!AO50,H50))</f>
        <v>6</v>
      </c>
      <c r="M50" s="17">
        <f>投放验证!AP50</f>
        <v>0</v>
      </c>
      <c r="N50" s="17">
        <f>投放验证!AQ50</f>
        <v>3</v>
      </c>
      <c r="O50" s="17">
        <f>投放验证!AR50</f>
        <v>5</v>
      </c>
      <c r="P50" s="17">
        <f>投放验证!AS50</f>
        <v>1.917493865794361</v>
      </c>
      <c r="Q50" s="63">
        <f>IF(I50=0,0,求节点(宝物升星!$C$92:$C$97,宝物升星!D$92:D$97,M50))</f>
        <v>0</v>
      </c>
      <c r="R50" s="63">
        <f>IF(J50=0,0,求节点(宝物升星!$C$92:$C$97,宝物升星!E$92:E$97,N50))</f>
        <v>0</v>
      </c>
      <c r="S50" s="63">
        <f>IF(K50=0,0,求节点(宝物升星!$C$92:$C$97,宝物升星!F$92:F$97,O50))</f>
        <v>0</v>
      </c>
      <c r="T50" s="63">
        <f>IF(L50=0,0,求节点(宝物升星!$C$92:$C$97,宝物升星!G$92:G$97,P50))</f>
        <v>0.4862489776323935</v>
      </c>
      <c r="U50" s="16">
        <f>宝石镶嵌!AI39</f>
        <v>9.4657822362876427</v>
      </c>
      <c r="V50" s="16">
        <v>9.4549925388398179</v>
      </c>
      <c r="Y50" s="16">
        <v>0</v>
      </c>
      <c r="Z50" s="16">
        <v>3</v>
      </c>
      <c r="AA50" s="16">
        <v>5</v>
      </c>
      <c r="AB50" s="16">
        <v>2.7377815798152487</v>
      </c>
    </row>
    <row r="51" spans="2:28">
      <c r="B51" s="16">
        <v>11</v>
      </c>
      <c r="C51" s="17">
        <v>100</v>
      </c>
      <c r="D51" s="17">
        <f>求节点(节奏总纲!$O$4:$O$163,节奏总纲!Q$4:Q$163,C51)</f>
        <v>875.38110000000006</v>
      </c>
      <c r="E51" s="17">
        <f>求节点(其他调用!$AM$52:$AM$90,其他调用!AP$52:AP$90,$C51)</f>
        <v>0</v>
      </c>
      <c r="F51" s="17">
        <f>求节点(其他调用!$AM$52:$AM$90,其他调用!AQ$52:AQ$90,$C51)</f>
        <v>0</v>
      </c>
      <c r="G51" s="17">
        <f>求节点(其他调用!$AM$52:$AM$90,其他调用!AR$52:AR$90,$C51)</f>
        <v>0</v>
      </c>
      <c r="H51" s="17">
        <f>求节点(其他调用!$AM$52:$AM$90,其他调用!AS$52:AS$90,$C51)</f>
        <v>6</v>
      </c>
      <c r="I51" s="17">
        <f>IF(C51&lt;$D$2-10,0,MIN(投放验证!AL51,6-SUM(J51:$L51)))</f>
        <v>0</v>
      </c>
      <c r="J51" s="17">
        <f>IF(D51&lt;$D$2-10,0,MIN(投放验证!AM51,6-SUM(K51:$L51)))</f>
        <v>0</v>
      </c>
      <c r="K51" s="61">
        <f>IF(C51&lt;$D$2-10,0,MIN(投放验证!AN51,6-SUM(L51:$L51),G51))</f>
        <v>0</v>
      </c>
      <c r="L51" s="74">
        <f>IF(C51&lt;$D$2-10,0,MIN(投放验证!AO51,H51))</f>
        <v>6</v>
      </c>
      <c r="M51" s="17">
        <f>投放验证!AP51</f>
        <v>0</v>
      </c>
      <c r="N51" s="17">
        <f>投放验证!AQ51</f>
        <v>3</v>
      </c>
      <c r="O51" s="17">
        <f>投放验证!AR51</f>
        <v>5</v>
      </c>
      <c r="P51" s="17">
        <f>投放验证!AS51</f>
        <v>2.9676239777031448</v>
      </c>
      <c r="Q51" s="63">
        <f>IF(I51=0,0,求节点(宝物升星!$C$92:$C$97,宝物升星!D$92:D$97,M51))</f>
        <v>0</v>
      </c>
      <c r="R51" s="63">
        <f>IF(J51=0,0,求节点(宝物升星!$C$92:$C$97,宝物升星!E$92:E$97,N51))</f>
        <v>0</v>
      </c>
      <c r="S51" s="63">
        <f>IF(K51=0,0,求节点(宝物升星!$C$92:$C$97,宝物升星!F$92:F$97,O51))</f>
        <v>0</v>
      </c>
      <c r="T51" s="63">
        <f>IF(L51=0,0,求节点(宝物升星!$C$92:$C$97,宝物升星!G$92:G$97,P51))</f>
        <v>0.66127066295052406</v>
      </c>
      <c r="U51" s="16">
        <f>宝石镶嵌!AI40</f>
        <v>9.870291575873793</v>
      </c>
      <c r="V51" s="16">
        <v>9.8595018784259683</v>
      </c>
      <c r="Y51" s="16">
        <v>0</v>
      </c>
      <c r="Z51" s="16">
        <v>3</v>
      </c>
      <c r="AA51" s="16">
        <v>5</v>
      </c>
      <c r="AB51" s="16">
        <v>3.7025984419428388</v>
      </c>
    </row>
    <row r="52" spans="2:28">
      <c r="B52" s="16">
        <v>12</v>
      </c>
      <c r="C52" s="17">
        <v>105</v>
      </c>
      <c r="D52" s="17">
        <f>求节点(节奏总纲!$O$4:$O$163,节奏总纲!Q$4:Q$163,C52)</f>
        <v>1234.8570951595132</v>
      </c>
      <c r="E52" s="17">
        <f>求节点(其他调用!$AM$52:$AM$90,其他调用!AP$52:AP$90,$C52)</f>
        <v>0</v>
      </c>
      <c r="F52" s="17">
        <f>求节点(其他调用!$AM$52:$AM$90,其他调用!AQ$52:AQ$90,$C52)</f>
        <v>0</v>
      </c>
      <c r="G52" s="17">
        <f>求节点(其他调用!$AM$52:$AM$90,其他调用!AR$52:AR$90,$C52)</f>
        <v>0</v>
      </c>
      <c r="H52" s="17">
        <f>求节点(其他调用!$AM$52:$AM$90,其他调用!AS$52:AS$90,$C52)</f>
        <v>6</v>
      </c>
      <c r="I52" s="17">
        <f>IF(C52&lt;$D$2-10,0,MIN(投放验证!AL52,6-SUM(J52:$L52)))</f>
        <v>0</v>
      </c>
      <c r="J52" s="17">
        <f>IF(D52&lt;$D$2-10,0,MIN(投放验证!AM52,6-SUM(K52:$L52)))</f>
        <v>0</v>
      </c>
      <c r="K52" s="61">
        <f>IF(C52&lt;$D$2-10,0,MIN(投放验证!AN52,6-SUM(L52:$L52),G52))</f>
        <v>0</v>
      </c>
      <c r="L52" s="74">
        <f>IF(C52&lt;$D$2-10,0,MIN(投放验证!AO52,H52))</f>
        <v>6</v>
      </c>
      <c r="M52" s="17">
        <f>投放验证!AP52</f>
        <v>0</v>
      </c>
      <c r="N52" s="17">
        <f>投放验证!AQ52</f>
        <v>3</v>
      </c>
      <c r="O52" s="17">
        <f>投放验证!AR52</f>
        <v>5</v>
      </c>
      <c r="P52" s="17">
        <f>投放验证!AS52</f>
        <v>4.403171212578183</v>
      </c>
      <c r="Q52" s="63">
        <f>IF(I52=0,0,求节点(宝物升星!$C$92:$C$97,宝物升星!D$92:D$97,M52))</f>
        <v>0</v>
      </c>
      <c r="R52" s="63">
        <f>IF(J52=0,0,求节点(宝物升星!$C$92:$C$97,宝物升星!E$92:E$97,N52))</f>
        <v>0</v>
      </c>
      <c r="S52" s="63">
        <f>IF(K52=0,0,求节点(宝物升星!$C$92:$C$97,宝物升星!F$92:F$97,O52))</f>
        <v>0</v>
      </c>
      <c r="T52" s="63">
        <f>IF(L52=0,0,求节点(宝物升星!$C$92:$C$97,宝物升星!G$92:G$97,P52))</f>
        <v>0.90052853542969713</v>
      </c>
      <c r="U52" s="16">
        <f>宝石镶嵌!AI41</f>
        <v>10.147451390007705</v>
      </c>
      <c r="V52" s="16">
        <v>10.143854824191763</v>
      </c>
      <c r="Y52" s="16">
        <v>0</v>
      </c>
      <c r="Z52" s="16">
        <v>3</v>
      </c>
      <c r="AA52" s="16">
        <v>5</v>
      </c>
      <c r="AB52" s="16">
        <v>4.7809887526233696</v>
      </c>
    </row>
    <row r="53" spans="2:28">
      <c r="B53" s="16">
        <v>13</v>
      </c>
      <c r="C53" s="17">
        <v>110</v>
      </c>
      <c r="D53" s="17">
        <f>求节点(节奏总纲!$O$4:$O$163,节奏总纲!Q$4:Q$163,C53)</f>
        <v>1741.3829000000001</v>
      </c>
      <c r="E53" s="17">
        <f>求节点(其他调用!$AM$52:$AM$90,其他调用!AP$52:AP$90,$C53)</f>
        <v>0</v>
      </c>
      <c r="F53" s="17">
        <f>求节点(其他调用!$AM$52:$AM$90,其他调用!AQ$52:AQ$90,$C53)</f>
        <v>0</v>
      </c>
      <c r="G53" s="17">
        <f>求节点(其他调用!$AM$52:$AM$90,其他调用!AR$52:AR$90,$C53)</f>
        <v>0</v>
      </c>
      <c r="H53" s="17">
        <f>求节点(其他调用!$AM$52:$AM$90,其他调用!AS$52:AS$90,$C53)</f>
        <v>6</v>
      </c>
      <c r="I53" s="17">
        <f>IF(C53&lt;$D$2-10,0,MIN(投放验证!AL53,6-SUM(J53:$L53)))</f>
        <v>0</v>
      </c>
      <c r="J53" s="17">
        <f>IF(D53&lt;$D$2-10,0,MIN(投放验证!AM53,6-SUM(K53:$L53)))</f>
        <v>0</v>
      </c>
      <c r="K53" s="61">
        <f>IF(C53&lt;$D$2-10,0,MIN(投放验证!AN53,6-SUM(L53:$L53),G53))</f>
        <v>0</v>
      </c>
      <c r="L53" s="74">
        <f>IF(C53&lt;$D$2-10,0,MIN(投放验证!AO53,H53))</f>
        <v>6</v>
      </c>
      <c r="M53" s="17">
        <f>投放验证!AP53</f>
        <v>0</v>
      </c>
      <c r="N53" s="17">
        <f>投放验证!AQ53</f>
        <v>3</v>
      </c>
      <c r="O53" s="17">
        <f>投放验证!AR53</f>
        <v>5</v>
      </c>
      <c r="P53" s="17">
        <f>投放验证!AS53</f>
        <v>5</v>
      </c>
      <c r="Q53" s="63">
        <f>IF(I53=0,0,求节点(宝物升星!$C$92:$C$97,宝物升星!D$92:D$97,M53))</f>
        <v>0</v>
      </c>
      <c r="R53" s="63">
        <f>IF(J53=0,0,求节点(宝物升星!$C$92:$C$97,宝物升星!E$92:E$97,N53))</f>
        <v>0</v>
      </c>
      <c r="S53" s="63">
        <f>IF(K53=0,0,求节点(宝物升星!$C$92:$C$97,宝物升星!F$92:F$97,O53))</f>
        <v>0</v>
      </c>
      <c r="T53" s="63">
        <f>IF(L53=0,0,求节点(宝物升星!$C$92:$C$97,宝物升星!G$92:G$97,P53))</f>
        <v>1</v>
      </c>
      <c r="U53" s="16">
        <f>宝石镶嵌!AI42</f>
        <v>10.417124283065137</v>
      </c>
      <c r="V53" s="16">
        <v>10.413527717249195</v>
      </c>
      <c r="Y53" s="16">
        <v>0</v>
      </c>
      <c r="Z53" s="16">
        <v>3</v>
      </c>
      <c r="AA53" s="16">
        <v>5</v>
      </c>
      <c r="AB53" s="16">
        <v>5</v>
      </c>
    </row>
    <row r="54" spans="2:28">
      <c r="B54" s="16">
        <v>14</v>
      </c>
      <c r="C54" s="17">
        <v>115</v>
      </c>
      <c r="D54" s="17">
        <f>求节点(节奏总纲!$O$4:$O$163,节奏总纲!Q$4:Q$163,C54)</f>
        <v>2463.0396859421021</v>
      </c>
      <c r="E54" s="17">
        <f>求节点(其他调用!$AM$52:$AM$90,其他调用!AP$52:AP$90,$C54)</f>
        <v>0</v>
      </c>
      <c r="F54" s="17">
        <f>求节点(其他调用!$AM$52:$AM$90,其他调用!AQ$52:AQ$90,$C54)</f>
        <v>0</v>
      </c>
      <c r="G54" s="17">
        <f>求节点(其他调用!$AM$52:$AM$90,其他调用!AR$52:AR$90,$C54)</f>
        <v>0</v>
      </c>
      <c r="H54" s="17">
        <f>求节点(其他调用!$AM$52:$AM$90,其他调用!AS$52:AS$90,$C54)</f>
        <v>6</v>
      </c>
      <c r="I54" s="17">
        <f>IF(C54&lt;$D$2-10,0,MIN(投放验证!AL54,6-SUM(J54:$L54)))</f>
        <v>0</v>
      </c>
      <c r="J54" s="17">
        <f>IF(D54&lt;$D$2-10,0,MIN(投放验证!AM54,6-SUM(K54:$L54)))</f>
        <v>0</v>
      </c>
      <c r="K54" s="61">
        <f>IF(C54&lt;$D$2-10,0,MIN(投放验证!AN54,6-SUM(L54:$L54),G54))</f>
        <v>0</v>
      </c>
      <c r="L54" s="74">
        <f>IF(C54&lt;$D$2-10,0,MIN(投放验证!AO54,H54))</f>
        <v>6</v>
      </c>
      <c r="M54" s="17">
        <f>投放验证!AP54</f>
        <v>0</v>
      </c>
      <c r="N54" s="17">
        <f>投放验证!AQ54</f>
        <v>3</v>
      </c>
      <c r="O54" s="17">
        <f>投放验证!AR54</f>
        <v>5</v>
      </c>
      <c r="P54" s="17">
        <f>投放验证!AS54</f>
        <v>5</v>
      </c>
      <c r="Q54" s="63">
        <f>IF(I54=0,0,求节点(宝物升星!$C$92:$C$97,宝物升星!D$92:D$97,M54))</f>
        <v>0</v>
      </c>
      <c r="R54" s="63">
        <f>IF(J54=0,0,求节点(宝物升星!$C$92:$C$97,宝物升星!E$92:E$97,N54))</f>
        <v>0</v>
      </c>
      <c r="S54" s="63">
        <f>IF(K54=0,0,求节点(宝物升星!$C$92:$C$97,宝物升星!F$92:F$97,O54))</f>
        <v>0</v>
      </c>
      <c r="T54" s="63">
        <f>IF(L54=0,0,求节点(宝物升星!$C$92:$C$97,宝物升星!G$92:G$97,P54))</f>
        <v>1</v>
      </c>
      <c r="U54" s="16">
        <f>宝石镶嵌!AI43</f>
        <v>10.798499345831349</v>
      </c>
      <c r="V54" s="16">
        <v>10.794902780015407</v>
      </c>
      <c r="Y54" s="16">
        <v>0</v>
      </c>
      <c r="Z54" s="16">
        <v>3</v>
      </c>
      <c r="AA54" s="16">
        <v>5</v>
      </c>
      <c r="AB54" s="16">
        <v>5</v>
      </c>
    </row>
    <row r="55" spans="2:28">
      <c r="B55" s="16">
        <v>15</v>
      </c>
      <c r="C55" s="17">
        <v>120</v>
      </c>
      <c r="D55" s="17">
        <f>求节点(节奏总纲!$O$4:$O$163,节奏总纲!Q$4:Q$163,C55)</f>
        <v>3486.0735</v>
      </c>
      <c r="E55" s="17">
        <f>求节点(其他调用!$AM$52:$AM$90,其他调用!AP$52:AP$90,$C55)</f>
        <v>0</v>
      </c>
      <c r="F55" s="17">
        <f>求节点(其他调用!$AM$52:$AM$90,其他调用!AQ$52:AQ$90,$C55)</f>
        <v>0</v>
      </c>
      <c r="G55" s="17">
        <f>求节点(其他调用!$AM$52:$AM$90,其他调用!AR$52:AR$90,$C55)</f>
        <v>0</v>
      </c>
      <c r="H55" s="17">
        <f>求节点(其他调用!$AM$52:$AM$90,其他调用!AS$52:AS$90,$C55)</f>
        <v>6</v>
      </c>
      <c r="I55" s="17">
        <f>IF(C55&lt;$D$2-10,0,MIN(投放验证!AL55,6-SUM(J55:$L55)))</f>
        <v>0</v>
      </c>
      <c r="J55" s="17">
        <f>IF(D55&lt;$D$2-10,0,MIN(投放验证!AM55,6-SUM(K55:$L55)))</f>
        <v>0</v>
      </c>
      <c r="K55" s="61">
        <f>IF(C55&lt;$D$2-10,0,MIN(投放验证!AN55,6-SUM(L55:$L55),G55))</f>
        <v>0</v>
      </c>
      <c r="L55" s="74">
        <f>IF(C55&lt;$D$2-10,0,MIN(投放验证!AO55,H55))</f>
        <v>6</v>
      </c>
      <c r="M55" s="17">
        <f>投放验证!AP55</f>
        <v>0</v>
      </c>
      <c r="N55" s="17">
        <f>投放验证!AQ55</f>
        <v>3</v>
      </c>
      <c r="O55" s="17">
        <f>投放验证!AR55</f>
        <v>5</v>
      </c>
      <c r="P55" s="17">
        <f>投放验证!AS55</f>
        <v>5</v>
      </c>
      <c r="Q55" s="63">
        <f>IF(I55=0,0,求节点(宝物升星!$C$92:$C$97,宝物升星!D$92:D$97,M55))</f>
        <v>0</v>
      </c>
      <c r="R55" s="63">
        <f>IF(J55=0,0,求节点(宝物升星!$C$92:$C$97,宝物升星!E$92:E$97,N55))</f>
        <v>0</v>
      </c>
      <c r="S55" s="63">
        <f>IF(K55=0,0,求节点(宝物升星!$C$92:$C$97,宝物升星!F$92:F$97,O55))</f>
        <v>0</v>
      </c>
      <c r="T55" s="63">
        <f>IF(L55=0,0,求节点(宝物升星!$C$92:$C$97,宝物升星!G$92:G$97,P55))</f>
        <v>1</v>
      </c>
      <c r="U55" s="16">
        <f>宝石镶嵌!AI44</f>
        <v>11.112615043982073</v>
      </c>
      <c r="V55" s="16">
        <v>11.111416188710091</v>
      </c>
      <c r="Y55" s="16">
        <v>0</v>
      </c>
      <c r="Z55" s="16">
        <v>3</v>
      </c>
      <c r="AA55" s="16">
        <v>5</v>
      </c>
      <c r="AB55" s="16">
        <v>5</v>
      </c>
    </row>
    <row r="56" spans="2:28">
      <c r="B56" s="16">
        <v>16</v>
      </c>
      <c r="C56" s="17">
        <v>125</v>
      </c>
      <c r="D56" s="17">
        <f>求节点(节奏总纲!$O$4:$O$163,节奏总纲!Q$4:Q$163,C56)</f>
        <v>4918.821805632133</v>
      </c>
      <c r="E56" s="17">
        <f>求节点(其他调用!$AM$52:$AM$90,其他调用!AP$52:AP$90,$C56)</f>
        <v>0</v>
      </c>
      <c r="F56" s="17">
        <f>求节点(其他调用!$AM$52:$AM$90,其他调用!AQ$52:AQ$90,$C56)</f>
        <v>0</v>
      </c>
      <c r="G56" s="17">
        <f>求节点(其他调用!$AM$52:$AM$90,其他调用!AR$52:AR$90,$C56)</f>
        <v>0</v>
      </c>
      <c r="H56" s="17">
        <f>求节点(其他调用!$AM$52:$AM$90,其他调用!AS$52:AS$90,$C56)</f>
        <v>6</v>
      </c>
      <c r="I56" s="17">
        <f>IF(C56&lt;$D$2-10,0,MIN(投放验证!AL56,6-SUM(J56:$L56)))</f>
        <v>0</v>
      </c>
      <c r="J56" s="17">
        <f>IF(D56&lt;$D$2-10,0,MIN(投放验证!AM56,6-SUM(K56:$L56)))</f>
        <v>0</v>
      </c>
      <c r="K56" s="61">
        <f>IF(C56&lt;$D$2-10,0,MIN(投放验证!AN56,6-SUM(L56:$L56),G56))</f>
        <v>0</v>
      </c>
      <c r="L56" s="74">
        <f>IF(C56&lt;$D$2-10,0,MIN(投放验证!AO56,H56))</f>
        <v>6</v>
      </c>
      <c r="M56" s="17">
        <f>投放验证!AP56</f>
        <v>0</v>
      </c>
      <c r="N56" s="17">
        <f>投放验证!AQ56</f>
        <v>3</v>
      </c>
      <c r="O56" s="17">
        <f>投放验证!AR56</f>
        <v>5</v>
      </c>
      <c r="P56" s="17">
        <f>投放验证!AS56</f>
        <v>5</v>
      </c>
      <c r="Q56" s="63">
        <f>IF(I56=0,0,求节点(宝物升星!$C$92:$C$97,宝物升星!D$92:D$97,M56))</f>
        <v>0</v>
      </c>
      <c r="R56" s="63">
        <f>IF(J56=0,0,求节点(宝物升星!$C$92:$C$97,宝物升星!E$92:E$97,N56))</f>
        <v>0</v>
      </c>
      <c r="S56" s="63">
        <f>IF(K56=0,0,求节点(宝物升星!$C$92:$C$97,宝物升星!F$92:F$97,O56))</f>
        <v>0</v>
      </c>
      <c r="T56" s="63">
        <f>IF(L56=0,0,求节点(宝物升星!$C$92:$C$97,宝物升星!G$92:G$97,P56))</f>
        <v>1</v>
      </c>
      <c r="U56" s="16">
        <f>宝石镶嵌!AI45</f>
        <v>11.366865085826214</v>
      </c>
      <c r="V56" s="16">
        <v>11.365666230554233</v>
      </c>
      <c r="Y56" s="16">
        <v>0</v>
      </c>
      <c r="Z56" s="16">
        <v>3</v>
      </c>
      <c r="AA56" s="16">
        <v>5</v>
      </c>
      <c r="AB56" s="16">
        <v>5</v>
      </c>
    </row>
    <row r="57" spans="2:28">
      <c r="B57" s="16">
        <v>17</v>
      </c>
      <c r="C57" s="17">
        <v>130</v>
      </c>
      <c r="D57" s="17">
        <f>求节点(节奏总纲!$O$4:$O$163,节奏总纲!Q$4:Q$163,C57)</f>
        <v>6941.8725000000004</v>
      </c>
      <c r="E57" s="17">
        <f>求节点(其他调用!$AM$52:$AM$90,其他调用!AP$52:AP$90,$C57)</f>
        <v>0</v>
      </c>
      <c r="F57" s="17">
        <f>求节点(其他调用!$AM$52:$AM$90,其他调用!AQ$52:AQ$90,$C57)</f>
        <v>0</v>
      </c>
      <c r="G57" s="17">
        <f>求节点(其他调用!$AM$52:$AM$90,其他调用!AR$52:AR$90,$C57)</f>
        <v>0</v>
      </c>
      <c r="H57" s="17">
        <f>求节点(其他调用!$AM$52:$AM$90,其他调用!AS$52:AS$90,$C57)</f>
        <v>6</v>
      </c>
      <c r="I57" s="17">
        <f>IF(C57&lt;$D$2-10,0,MIN(投放验证!AL57,6-SUM(J57:$L57)))</f>
        <v>0</v>
      </c>
      <c r="J57" s="17">
        <f>IF(D57&lt;$D$2-10,0,MIN(投放验证!AM57,6-SUM(K57:$L57)))</f>
        <v>0</v>
      </c>
      <c r="K57" s="61">
        <f>IF(C57&lt;$D$2-10,0,MIN(投放验证!AN57,6-SUM(L57:$L57),G57))</f>
        <v>0</v>
      </c>
      <c r="L57" s="74">
        <f>IF(C57&lt;$D$2-10,0,MIN(投放验证!AO57,H57))</f>
        <v>6</v>
      </c>
      <c r="M57" s="17">
        <f>投放验证!AP57</f>
        <v>0</v>
      </c>
      <c r="N57" s="17">
        <f>投放验证!AQ57</f>
        <v>3</v>
      </c>
      <c r="O57" s="17">
        <f>投放验证!AR57</f>
        <v>5</v>
      </c>
      <c r="P57" s="17">
        <f>投放验证!AS57</f>
        <v>5</v>
      </c>
      <c r="Q57" s="63">
        <f>IF(I57=0,0,求节点(宝物升星!$C$92:$C$97,宝物升星!D$92:D$97,M57))</f>
        <v>0</v>
      </c>
      <c r="R57" s="63">
        <f>IF(J57=0,0,求节点(宝物升星!$C$92:$C$97,宝物升星!E$92:E$97,N57))</f>
        <v>0</v>
      </c>
      <c r="S57" s="63">
        <f>IF(K57=0,0,求节点(宝物升星!$C$92:$C$97,宝物升星!F$92:F$97,O57))</f>
        <v>0</v>
      </c>
      <c r="T57" s="63">
        <f>IF(L57=0,0,求节点(宝物升星!$C$92:$C$97,宝物升星!G$92:G$97,P57))</f>
        <v>1</v>
      </c>
      <c r="U57" s="16">
        <f>宝石镶嵌!AI46</f>
        <v>11.726428943236124</v>
      </c>
      <c r="V57" s="16">
        <v>11.725230087964144</v>
      </c>
      <c r="Y57" s="16">
        <v>0</v>
      </c>
      <c r="Z57" s="16">
        <v>3</v>
      </c>
      <c r="AA57" s="16">
        <v>5</v>
      </c>
      <c r="AB57" s="16">
        <v>5</v>
      </c>
    </row>
    <row r="58" spans="2:28">
      <c r="B58" s="16">
        <v>18</v>
      </c>
      <c r="C58" s="17">
        <v>135</v>
      </c>
      <c r="D58" s="17">
        <f>求节点(节奏总纲!$O$4:$O$163,节奏总纲!Q$4:Q$163,C58)</f>
        <v>9796.789656253608</v>
      </c>
      <c r="E58" s="17">
        <f>求节点(其他调用!$AM$52:$AM$90,其他调用!AP$52:AP$90,$C58)</f>
        <v>0</v>
      </c>
      <c r="F58" s="17">
        <f>求节点(其他调用!$AM$52:$AM$90,其他调用!AQ$52:AQ$90,$C58)</f>
        <v>0</v>
      </c>
      <c r="G58" s="17">
        <f>求节点(其他调用!$AM$52:$AM$90,其他调用!AR$52:AR$90,$C58)</f>
        <v>0</v>
      </c>
      <c r="H58" s="17">
        <f>求节点(其他调用!$AM$52:$AM$90,其他调用!AS$52:AS$90,$C58)</f>
        <v>6</v>
      </c>
      <c r="I58" s="17">
        <f>IF(C58&lt;$D$2-10,0,MIN(投放验证!AL58,6-SUM(J58:$L58)))</f>
        <v>0</v>
      </c>
      <c r="J58" s="17">
        <f>IF(D58&lt;$D$2-10,0,MIN(投放验证!AM58,6-SUM(K58:$L58)))</f>
        <v>0</v>
      </c>
      <c r="K58" s="61">
        <f>IF(C58&lt;$D$2-10,0,MIN(投放验证!AN58,6-SUM(L58:$L58),G58))</f>
        <v>0</v>
      </c>
      <c r="L58" s="74">
        <f>IF(C58&lt;$D$2-10,0,MIN(投放验证!AO58,H58))</f>
        <v>6</v>
      </c>
      <c r="M58" s="17">
        <f>投放验证!AP58</f>
        <v>0</v>
      </c>
      <c r="N58" s="17">
        <f>投放验证!AQ58</f>
        <v>3</v>
      </c>
      <c r="O58" s="17">
        <f>投放验证!AR58</f>
        <v>5</v>
      </c>
      <c r="P58" s="17">
        <f>投放验证!AS58</f>
        <v>5</v>
      </c>
      <c r="Q58" s="63">
        <f>IF(I58=0,0,求节点(宝物升星!$C$92:$C$97,宝物升星!D$92:D$97,M58))</f>
        <v>0</v>
      </c>
      <c r="R58" s="63">
        <f>IF(J58=0,0,求节点(宝物升星!$C$92:$C$97,宝物升星!E$92:E$97,N58))</f>
        <v>0</v>
      </c>
      <c r="S58" s="63">
        <f>IF(K58=0,0,求节点(宝物升星!$C$92:$C$97,宝物升星!F$92:F$97,O58))</f>
        <v>0</v>
      </c>
      <c r="T58" s="63">
        <f>IF(L58=0,0,求节点(宝物升星!$C$92:$C$97,宝物升星!G$92:G$97,P58))</f>
        <v>1</v>
      </c>
      <c r="U58" s="16">
        <f>宝石镶嵌!AI47</f>
        <v>12.078309675641469</v>
      </c>
      <c r="V58" s="16">
        <v>12.077910057217476</v>
      </c>
      <c r="Y58" s="16">
        <v>0</v>
      </c>
      <c r="Z58" s="16">
        <v>3</v>
      </c>
      <c r="AA58" s="16">
        <v>5</v>
      </c>
      <c r="AB58" s="16">
        <v>5</v>
      </c>
    </row>
    <row r="59" spans="2:28">
      <c r="B59" s="16">
        <v>19</v>
      </c>
      <c r="C59" s="17">
        <v>140</v>
      </c>
      <c r="D59" s="17">
        <f>求节点(节奏总纲!$O$4:$O$163,节奏总纲!Q$4:Q$163,C59)</f>
        <v>13881.315900000001</v>
      </c>
      <c r="E59" s="17">
        <f>求节点(其他调用!$AM$52:$AM$90,其他调用!AP$52:AP$90,$C59)</f>
        <v>0</v>
      </c>
      <c r="F59" s="17">
        <f>求节点(其他调用!$AM$52:$AM$90,其他调用!AQ$52:AQ$90,$C59)</f>
        <v>0</v>
      </c>
      <c r="G59" s="17">
        <f>求节点(其他调用!$AM$52:$AM$90,其他调用!AR$52:AR$90,$C59)</f>
        <v>0</v>
      </c>
      <c r="H59" s="17">
        <f>求节点(其他调用!$AM$52:$AM$90,其他调用!AS$52:AS$90,$C59)</f>
        <v>6</v>
      </c>
      <c r="I59" s="17">
        <f>IF(C59&lt;$D$2-10,0,MIN(投放验证!AL59,6-SUM(J59:$L59)))</f>
        <v>0</v>
      </c>
      <c r="J59" s="17">
        <f>IF(D59&lt;$D$2-10,0,MIN(投放验证!AM59,6-SUM(K59:$L59)))</f>
        <v>0</v>
      </c>
      <c r="K59" s="61">
        <f>IF(C59&lt;$D$2-10,0,MIN(投放验证!AN59,6-SUM(L59:$L59),G59))</f>
        <v>0</v>
      </c>
      <c r="L59" s="74">
        <f>IF(C59&lt;$D$2-10,0,MIN(投放验证!AO59,H59))</f>
        <v>6</v>
      </c>
      <c r="M59" s="17">
        <f>投放验证!AP59</f>
        <v>0</v>
      </c>
      <c r="N59" s="17">
        <f>投放验证!AQ59</f>
        <v>3</v>
      </c>
      <c r="O59" s="17">
        <f>投放验证!AR59</f>
        <v>5</v>
      </c>
      <c r="P59" s="17">
        <f>投放验证!AS59</f>
        <v>5</v>
      </c>
      <c r="Q59" s="63">
        <f>IF(I59=0,0,求节点(宝物升星!$C$92:$C$97,宝物升星!D$92:D$97,M59))</f>
        <v>0</v>
      </c>
      <c r="R59" s="63">
        <f>IF(J59=0,0,求节点(宝物升星!$C$92:$C$97,宝物升星!E$92:E$97,N59))</f>
        <v>0</v>
      </c>
      <c r="S59" s="63">
        <f>IF(K59=0,0,求节点(宝物升星!$C$92:$C$97,宝物升星!F$92:F$97,O59))</f>
        <v>0</v>
      </c>
      <c r="T59" s="63">
        <f>IF(L59=0,0,求节点(宝物升星!$C$92:$C$97,宝物升星!G$92:G$97,P59))</f>
        <v>1</v>
      </c>
      <c r="U59" s="16">
        <f>宝石镶嵌!AI48</f>
        <v>12.318018913914743</v>
      </c>
      <c r="V59" s="16">
        <v>12.317619295490751</v>
      </c>
      <c r="Y59" s="16">
        <v>0</v>
      </c>
      <c r="Z59" s="16">
        <v>3</v>
      </c>
      <c r="AA59" s="16">
        <v>5</v>
      </c>
      <c r="AB59" s="16">
        <v>5</v>
      </c>
    </row>
    <row r="60" spans="2:28">
      <c r="B60" s="16">
        <v>20</v>
      </c>
      <c r="C60" s="17">
        <v>145</v>
      </c>
      <c r="D60" s="17">
        <f>求节点(节奏总纲!$O$4:$O$163,节奏总纲!Q$4:Q$163,C60)</f>
        <v>19631.496172516694</v>
      </c>
      <c r="E60" s="17">
        <f>求节点(其他调用!$AM$52:$AM$90,其他调用!AP$52:AP$90,$C60)</f>
        <v>0</v>
      </c>
      <c r="F60" s="17">
        <f>求节点(其他调用!$AM$52:$AM$90,其他调用!AQ$52:AQ$90,$C60)</f>
        <v>0</v>
      </c>
      <c r="G60" s="17">
        <f>求节点(其他调用!$AM$52:$AM$90,其他调用!AR$52:AR$90,$C60)</f>
        <v>0</v>
      </c>
      <c r="H60" s="17">
        <f>求节点(其他调用!$AM$52:$AM$90,其他调用!AS$52:AS$90,$C60)</f>
        <v>6</v>
      </c>
      <c r="I60" s="17">
        <f>IF(C60&lt;$D$2-10,0,MIN(投放验证!AL60,6-SUM(J60:$L60)))</f>
        <v>0</v>
      </c>
      <c r="J60" s="17">
        <f>IF(D60&lt;$D$2-10,0,MIN(投放验证!AM60,6-SUM(K60:$L60)))</f>
        <v>0</v>
      </c>
      <c r="K60" s="61">
        <f>IF(C60&lt;$D$2-10,0,MIN(投放验证!AN60,6-SUM(L60:$L60),G60))</f>
        <v>0</v>
      </c>
      <c r="L60" s="74">
        <f>IF(C60&lt;$D$2-10,0,MIN(投放验证!AO60,H60))</f>
        <v>6</v>
      </c>
      <c r="M60" s="17">
        <f>投放验证!AP60</f>
        <v>0</v>
      </c>
      <c r="N60" s="17">
        <f>投放验证!AQ60</f>
        <v>3</v>
      </c>
      <c r="O60" s="17">
        <f>投放验证!AR60</f>
        <v>5</v>
      </c>
      <c r="P60" s="17">
        <f>投放验证!AS60</f>
        <v>5</v>
      </c>
      <c r="Q60" s="63">
        <f>IF(I60=0,0,求节点(宝物升星!$C$92:$C$97,宝物升星!D$92:D$97,M60))</f>
        <v>0</v>
      </c>
      <c r="R60" s="63">
        <f>IF(J60=0,0,求节点(宝物升星!$C$92:$C$97,宝物升星!E$92:E$97,N60))</f>
        <v>0</v>
      </c>
      <c r="S60" s="63">
        <f>IF(K60=0,0,求节点(宝物升星!$C$92:$C$97,宝物升星!F$92:F$97,O60))</f>
        <v>0</v>
      </c>
      <c r="T60" s="63">
        <f>IF(L60=0,0,求节点(宝物升星!$C$92:$C$97,宝物升星!G$92:G$97,P60))</f>
        <v>1</v>
      </c>
      <c r="U60" s="16">
        <f>宝石镶嵌!AI49</f>
        <v>12.657018969706932</v>
      </c>
      <c r="V60" s="16">
        <v>12.656619351282938</v>
      </c>
      <c r="Y60" s="16">
        <v>0</v>
      </c>
      <c r="Z60" s="16">
        <v>3</v>
      </c>
      <c r="AA60" s="16">
        <v>5</v>
      </c>
      <c r="AB60" s="16">
        <v>5</v>
      </c>
    </row>
    <row r="61" spans="2:28">
      <c r="B61" s="16">
        <v>21</v>
      </c>
      <c r="C61" s="17">
        <v>150</v>
      </c>
      <c r="D61" s="17">
        <f>求节点(节奏总纲!$O$4:$O$163,节奏总纲!Q$4:Q$163,C61)</f>
        <v>27671.731500000002</v>
      </c>
      <c r="E61" s="17">
        <f>求节点(其他调用!$AM$52:$AM$90,其他调用!AP$52:AP$90,$C61)</f>
        <v>0</v>
      </c>
      <c r="F61" s="17">
        <f>求节点(其他调用!$AM$52:$AM$90,其他调用!AQ$52:AQ$90,$C61)</f>
        <v>0</v>
      </c>
      <c r="G61" s="17">
        <f>求节点(其他调用!$AM$52:$AM$90,其他调用!AR$52:AR$90,$C61)</f>
        <v>0</v>
      </c>
      <c r="H61" s="17">
        <f>求节点(其他调用!$AM$52:$AM$90,其他调用!AS$52:AS$90,$C61)</f>
        <v>6</v>
      </c>
      <c r="I61" s="17">
        <f>IF(C61&lt;$D$2-10,0,MIN(投放验证!AL61,6-SUM(J61:$L61)))</f>
        <v>0</v>
      </c>
      <c r="J61" s="17">
        <f>IF(D61&lt;$D$2-10,0,MIN(投放验证!AM61,6-SUM(K61:$L61)))</f>
        <v>0</v>
      </c>
      <c r="K61" s="61">
        <f>IF(C61&lt;$D$2-10,0,MIN(投放验证!AN61,6-SUM(L61:$L61),G61))</f>
        <v>0</v>
      </c>
      <c r="L61" s="74">
        <f>IF(C61&lt;$D$2-10,0,MIN(投放验证!AO61,H61))</f>
        <v>6</v>
      </c>
      <c r="M61" s="17">
        <f>投放验证!AP61</f>
        <v>0</v>
      </c>
      <c r="N61" s="17">
        <f>投放验证!AQ61</f>
        <v>3</v>
      </c>
      <c r="O61" s="17">
        <f>投放验证!AR61</f>
        <v>5</v>
      </c>
      <c r="P61" s="17">
        <f>投放验证!AS61</f>
        <v>5</v>
      </c>
      <c r="Q61" s="63">
        <f>IF(I61=0,0,求节点(宝物升星!$C$92:$C$97,宝物升星!D$92:D$97,M61))</f>
        <v>0</v>
      </c>
      <c r="R61" s="63">
        <f>IF(J61=0,0,求节点(宝物升星!$C$92:$C$97,宝物升星!E$92:E$97,N61))</f>
        <v>0</v>
      </c>
      <c r="S61" s="63">
        <f>IF(K61=0,0,求节点(宝物升星!$C$92:$C$97,宝物升星!F$92:F$97,O61))</f>
        <v>0</v>
      </c>
      <c r="T61" s="63">
        <f>IF(L61=0,0,求节点(宝物升星!$C$92:$C$97,宝物升星!G$92:G$97,P61))</f>
        <v>1</v>
      </c>
      <c r="U61" s="16">
        <f>宝石镶嵌!AI50</f>
        <v>13.045479148751161</v>
      </c>
      <c r="V61" s="16">
        <v>13.045345942609829</v>
      </c>
      <c r="Y61" s="16">
        <v>0</v>
      </c>
      <c r="Z61" s="16">
        <v>3</v>
      </c>
      <c r="AA61" s="16">
        <v>5</v>
      </c>
      <c r="AB61" s="16">
        <v>5</v>
      </c>
    </row>
    <row r="62" spans="2:28">
      <c r="B62" s="16">
        <v>22</v>
      </c>
      <c r="C62" s="17">
        <v>155</v>
      </c>
      <c r="D62" s="17">
        <f>求节点(节奏总纲!$O$4:$O$163,节奏总纲!Q$4:Q$163,C62)</f>
        <v>44078.560451263736</v>
      </c>
      <c r="E62" s="17">
        <f>求节点(其他调用!$AM$52:$AM$90,其他调用!AP$52:AP$90,$C62)</f>
        <v>0</v>
      </c>
      <c r="F62" s="17">
        <f>求节点(其他调用!$AM$52:$AM$90,其他调用!AQ$52:AQ$90,$C62)</f>
        <v>0</v>
      </c>
      <c r="G62" s="17">
        <f>求节点(其他调用!$AM$52:$AM$90,其他调用!AR$52:AR$90,$C62)</f>
        <v>0</v>
      </c>
      <c r="H62" s="17">
        <f>求节点(其他调用!$AM$52:$AM$90,其他调用!AS$52:AS$90,$C62)</f>
        <v>6</v>
      </c>
      <c r="I62" s="17">
        <f>IF(C62&lt;$D$2-10,0,MIN(投放验证!AL62,6-SUM(J62:$L62)))</f>
        <v>0</v>
      </c>
      <c r="J62" s="17">
        <f>IF(D62&lt;$D$2-10,0,MIN(投放验证!AM62,6-SUM(K62:$L62)))</f>
        <v>0</v>
      </c>
      <c r="K62" s="61">
        <f>IF(C62&lt;$D$2-10,0,MIN(投放验证!AN62,6-SUM(L62:$L62),G62))</f>
        <v>0</v>
      </c>
      <c r="L62" s="74">
        <f>IF(C62&lt;$D$2-10,0,MIN(投放验证!AO62,H62))</f>
        <v>6</v>
      </c>
      <c r="M62" s="17">
        <f>投放验证!AP62</f>
        <v>0</v>
      </c>
      <c r="N62" s="17">
        <f>投放验证!AQ62</f>
        <v>3</v>
      </c>
      <c r="O62" s="17">
        <f>投放验证!AR62</f>
        <v>5</v>
      </c>
      <c r="P62" s="17">
        <f>投放验证!AS62</f>
        <v>5</v>
      </c>
      <c r="Q62" s="63">
        <f>IF(I62=0,0,求节点(宝物升星!$C$92:$C$97,宝物升星!D$92:D$97,M62))</f>
        <v>0</v>
      </c>
      <c r="R62" s="63">
        <f>IF(J62=0,0,求节点(宝物升星!$C$92:$C$97,宝物升星!E$92:E$97,N62))</f>
        <v>0</v>
      </c>
      <c r="S62" s="63">
        <f>IF(K62=0,0,求节点(宝物升星!$C$92:$C$97,宝物升星!F$92:F$97,O62))</f>
        <v>0</v>
      </c>
      <c r="T62" s="63">
        <f>IF(L62=0,0,求节点(宝物升星!$C$92:$C$97,宝物升星!G$92:G$97,P62))</f>
        <v>1</v>
      </c>
      <c r="U62" s="16">
        <f>宝石镶嵌!AI51</f>
        <v>13.271479185945953</v>
      </c>
      <c r="V62" s="16">
        <v>13.271345979804622</v>
      </c>
      <c r="Y62" s="16">
        <v>0</v>
      </c>
      <c r="Z62" s="16">
        <v>3</v>
      </c>
      <c r="AA62" s="16">
        <v>5</v>
      </c>
      <c r="AB62" s="16">
        <v>5</v>
      </c>
    </row>
    <row r="63" spans="2:28">
      <c r="B63" s="16">
        <v>23</v>
      </c>
      <c r="C63" s="17">
        <v>160</v>
      </c>
      <c r="D63" s="17">
        <f>求节点(节奏总纲!$O$4:$O$163,节奏总纲!Q$4:Q$163,C63)</f>
        <v>65535</v>
      </c>
      <c r="E63" s="17">
        <f>求节点(其他调用!$AM$52:$AM$90,其他调用!AP$52:AP$90,$C63)</f>
        <v>0</v>
      </c>
      <c r="F63" s="17">
        <f>求节点(其他调用!$AM$52:$AM$90,其他调用!AQ$52:AQ$90,$C63)</f>
        <v>0</v>
      </c>
      <c r="G63" s="17">
        <f>求节点(其他调用!$AM$52:$AM$90,其他调用!AR$52:AR$90,$C63)</f>
        <v>0</v>
      </c>
      <c r="H63" s="17">
        <f>求节点(其他调用!$AM$52:$AM$90,其他调用!AS$52:AS$90,$C63)</f>
        <v>6</v>
      </c>
      <c r="I63" s="17">
        <f>IF(C63&lt;$D$2-10,0,MIN(投放验证!AL63,6-SUM(J63:$L63)))</f>
        <v>0</v>
      </c>
      <c r="J63" s="17">
        <f>IF(D63&lt;$D$2-10,0,MIN(投放验证!AM63,6-SUM(K63:$L63)))</f>
        <v>0</v>
      </c>
      <c r="K63" s="61">
        <f>IF(C63&lt;$D$2-10,0,MIN(投放验证!AN63,6-SUM(L63:$L63),G63))</f>
        <v>0</v>
      </c>
      <c r="L63" s="74">
        <f>IF(C63&lt;$D$2-10,0,MIN(投放验证!AO63,H63))</f>
        <v>6</v>
      </c>
      <c r="M63" s="17">
        <f>投放验证!AP63</f>
        <v>0</v>
      </c>
      <c r="N63" s="17">
        <f>投放验证!AQ63</f>
        <v>3</v>
      </c>
      <c r="O63" s="17">
        <f>投放验证!AR63</f>
        <v>5</v>
      </c>
      <c r="P63" s="17">
        <f>投放验证!AS63</f>
        <v>5</v>
      </c>
      <c r="Q63" s="63">
        <f>IF(I63=0,0,求节点(宝物升星!$C$92:$C$97,宝物升星!D$92:D$97,M63))</f>
        <v>0</v>
      </c>
      <c r="R63" s="63">
        <f>IF(J63=0,0,求节点(宝物升星!$C$92:$C$97,宝物升星!E$92:E$97,N63))</f>
        <v>0</v>
      </c>
      <c r="S63" s="63">
        <f>IF(K63=0,0,求节点(宝物升星!$C$92:$C$97,宝物升星!F$92:F$97,O63))</f>
        <v>0</v>
      </c>
      <c r="T63" s="63">
        <f>IF(L63=0,0,求节点(宝物升星!$C$92:$C$97,宝物升星!G$92:G$97,P63))</f>
        <v>1</v>
      </c>
      <c r="U63" s="16">
        <f>宝石镶嵌!AI52</f>
        <v>13.591091503643652</v>
      </c>
      <c r="V63" s="16">
        <v>13.59095829750232</v>
      </c>
      <c r="Y63" s="16">
        <v>0</v>
      </c>
      <c r="Z63" s="16">
        <v>3</v>
      </c>
      <c r="AA63" s="16">
        <v>5</v>
      </c>
      <c r="AB63" s="16">
        <v>5</v>
      </c>
    </row>
    <row r="64" spans="2:28">
      <c r="B64" s="16">
        <v>24</v>
      </c>
    </row>
    <row r="65" spans="2:28">
      <c r="B65" s="16">
        <v>25</v>
      </c>
    </row>
    <row r="66" spans="2:28">
      <c r="B66" s="16">
        <v>26</v>
      </c>
    </row>
    <row r="67" spans="2:28">
      <c r="B67" s="16">
        <v>1</v>
      </c>
      <c r="C67" s="171" t="s">
        <v>249</v>
      </c>
      <c r="D67" s="172"/>
      <c r="E67" s="171" t="s">
        <v>425</v>
      </c>
      <c r="F67" s="173"/>
      <c r="G67" s="173"/>
      <c r="H67" s="172"/>
      <c r="I67" s="170" t="s">
        <v>349</v>
      </c>
      <c r="J67" s="170"/>
      <c r="K67" s="170"/>
      <c r="L67" s="170"/>
      <c r="M67" s="170" t="s">
        <v>364</v>
      </c>
      <c r="N67" s="170"/>
      <c r="O67" s="170"/>
      <c r="P67" s="170"/>
      <c r="Q67" s="169" t="s">
        <v>365</v>
      </c>
      <c r="R67" s="169"/>
      <c r="S67" s="169"/>
      <c r="T67" s="169"/>
      <c r="Y67" s="16" t="s">
        <v>364</v>
      </c>
    </row>
    <row r="68" spans="2:28">
      <c r="B68" s="16">
        <v>2</v>
      </c>
      <c r="C68" s="17" t="s">
        <v>161</v>
      </c>
      <c r="D68" s="17" t="s">
        <v>158</v>
      </c>
      <c r="E68" s="17" t="s">
        <v>1</v>
      </c>
      <c r="F68" s="17" t="s">
        <v>2</v>
      </c>
      <c r="G68" s="17" t="s">
        <v>0</v>
      </c>
      <c r="H68" s="17" t="s">
        <v>205</v>
      </c>
      <c r="I68" s="17" t="s">
        <v>1</v>
      </c>
      <c r="J68" s="17" t="s">
        <v>2</v>
      </c>
      <c r="K68" s="17" t="s">
        <v>0</v>
      </c>
      <c r="L68" s="17" t="s">
        <v>205</v>
      </c>
      <c r="M68" s="30" t="s">
        <v>1</v>
      </c>
      <c r="N68" s="30" t="s">
        <v>2</v>
      </c>
      <c r="O68" s="30" t="s">
        <v>0</v>
      </c>
      <c r="P68" s="17" t="s">
        <v>205</v>
      </c>
      <c r="Q68" s="63" t="s">
        <v>1</v>
      </c>
      <c r="R68" s="63" t="s">
        <v>2</v>
      </c>
      <c r="S68" s="63" t="s">
        <v>0</v>
      </c>
      <c r="T68" s="63" t="s">
        <v>205</v>
      </c>
      <c r="U68" s="16" t="str">
        <f>宝石镶嵌!AI57</f>
        <v>宝石等级</v>
      </c>
      <c r="V68" s="16" t="s">
        <v>760</v>
      </c>
      <c r="Y68" s="16" t="s">
        <v>79</v>
      </c>
      <c r="Z68" s="16" t="s">
        <v>80</v>
      </c>
      <c r="AA68" s="16" t="s">
        <v>81</v>
      </c>
      <c r="AB68" s="16" t="s">
        <v>205</v>
      </c>
    </row>
    <row r="69" spans="2:28">
      <c r="B69" s="16">
        <v>3</v>
      </c>
      <c r="C69" s="17">
        <v>50</v>
      </c>
      <c r="D69" s="17">
        <f>求节点(节奏总纲!$O$4:$O$163,节奏总纲!R$4:R$163,C69)</f>
        <v>22.205300000000001</v>
      </c>
      <c r="E69" s="17">
        <f>求节点(其他调用!$AM$97:$AM$135,其他调用!AP$97:AP$135,$C69)</f>
        <v>0</v>
      </c>
      <c r="F69" s="17">
        <f>求节点(其他调用!$AM$97:$AM$135,其他调用!AQ$97:AQ$135,$C69)</f>
        <v>0</v>
      </c>
      <c r="G69" s="17">
        <f>求节点(其他调用!$AM$97:$AM$135,其他调用!AR$97:AR$135,$C69)</f>
        <v>5.7984157502765905</v>
      </c>
      <c r="H69" s="17">
        <f>求节点(其他调用!$AM$97:$AM$135,其他调用!AS$97:AS$135,$C69)</f>
        <v>0.20158424972340971</v>
      </c>
      <c r="I69" s="17">
        <f>IF(C69&lt;$D$2-10,0,MIN(投放验证!AL69,6-SUM(J69:$L69)))</f>
        <v>0</v>
      </c>
      <c r="J69" s="17">
        <f>IF(D69&lt;$D$2-10,0,MIN(投放验证!AM69,6-SUM(K69:$L69)))</f>
        <v>0</v>
      </c>
      <c r="K69" s="61">
        <f>IF(C69&lt;$D$2-10,0,MIN(投放验证!AN69,6-SUM(L69:$L69),G69))</f>
        <v>0</v>
      </c>
      <c r="L69" s="74">
        <f>IF(C69&lt;$D$2-10,0,MIN(投放验证!AO69,H69))</f>
        <v>0</v>
      </c>
      <c r="M69" s="17">
        <f>投放验证!AP69</f>
        <v>0</v>
      </c>
      <c r="N69" s="17">
        <f>投放验证!AQ69</f>
        <v>0</v>
      </c>
      <c r="O69" s="17">
        <f>投放验证!AR69</f>
        <v>0</v>
      </c>
      <c r="P69" s="17">
        <f>投放验证!AS69</f>
        <v>0</v>
      </c>
      <c r="Q69" s="83">
        <f>IF(I69=0,0,求节点(宝物升星!$C$92:$C$97,宝物升星!D$92:D$97,M69))</f>
        <v>0</v>
      </c>
      <c r="R69" s="83">
        <f>IF(J69=0,0,求节点(宝物升星!$C$92:$C$97,宝物升星!E$92:E$97,N69))</f>
        <v>0</v>
      </c>
      <c r="S69" s="83">
        <f>IF(K69=0,0,求节点(宝物升星!$C$92:$C$97,宝物升星!F$92:F$97,O69))</f>
        <v>0</v>
      </c>
      <c r="T69" s="83">
        <f>IF(L69=0,0,求节点(宝物升星!$C$92:$C$97,宝物升星!G$92:G$97,P69))</f>
        <v>0</v>
      </c>
      <c r="U69" s="16">
        <f>宝石镶嵌!AI58</f>
        <v>6.373965493273837</v>
      </c>
      <c r="V69" s="16">
        <v>6.0826436621825577</v>
      </c>
      <c r="Y69" s="16">
        <v>0</v>
      </c>
      <c r="Z69" s="16">
        <v>0</v>
      </c>
      <c r="AA69" s="16">
        <v>0</v>
      </c>
      <c r="AB69" s="16">
        <v>0</v>
      </c>
    </row>
    <row r="70" spans="2:28">
      <c r="B70" s="16">
        <v>4</v>
      </c>
      <c r="C70" s="17">
        <v>60</v>
      </c>
      <c r="D70" s="17">
        <f>求节点(节奏总纲!$O$4:$O$163,节奏总纲!R$4:R$163,C70)</f>
        <v>44.717399999999998</v>
      </c>
      <c r="E70" s="17">
        <f>求节点(其他调用!$AM$97:$AM$135,其他调用!AP$97:AP$135,$C70)</f>
        <v>0</v>
      </c>
      <c r="F70" s="17">
        <f>求节点(其他调用!$AM$97:$AM$135,其他调用!AQ$97:AQ$135,$C70)</f>
        <v>0</v>
      </c>
      <c r="G70" s="17">
        <f>求节点(其他调用!$AM$97:$AM$135,其他调用!AR$97:AR$135,$C70)</f>
        <v>3.8413028458554987</v>
      </c>
      <c r="H70" s="17">
        <f>求节点(其他调用!$AM$97:$AM$135,其他调用!AS$97:AS$135,$C70)</f>
        <v>2.1586971541445013</v>
      </c>
      <c r="I70" s="17">
        <f>IF(C70&lt;$D$2-10,0,MIN(投放验证!AL70,6-SUM(J70:$L70)))</f>
        <v>0</v>
      </c>
      <c r="J70" s="17">
        <f>IF(D70&lt;$D$2-10,0,MIN(投放验证!AM70,6-SUM(K70:$L70)))</f>
        <v>0</v>
      </c>
      <c r="K70" s="61">
        <f>IF(C70&lt;$D$2-10,0,MIN(投放验证!AN70,6-SUM(L70:$L70),G70))</f>
        <v>3.8413028458554987</v>
      </c>
      <c r="L70" s="74">
        <f>IF(C70&lt;$D$2-10,0,MIN(投放验证!AO70,H70))</f>
        <v>2.1586971541445013</v>
      </c>
      <c r="M70" s="17">
        <f>投放验证!AP70</f>
        <v>0</v>
      </c>
      <c r="N70" s="17">
        <f>投放验证!AQ70</f>
        <v>3</v>
      </c>
      <c r="O70" s="17">
        <f>投放验证!AR70</f>
        <v>0.17074597950163017</v>
      </c>
      <c r="P70" s="17">
        <f>投放验证!AS70</f>
        <v>0.3361068610914304</v>
      </c>
      <c r="Q70" s="63">
        <f>IF(I70=0,0,求节点(宝物升星!$C$92:$C$97,宝物升星!D$92:D$97,M70))</f>
        <v>0</v>
      </c>
      <c r="R70" s="63">
        <f>IF(J70=0,0,求节点(宝物升星!$C$92:$C$97,宝物升星!E$92:E$97,N70))</f>
        <v>0</v>
      </c>
      <c r="S70" s="63">
        <f>IF(K70=0,0,求节点(宝物升星!$C$92:$C$97,宝物升星!F$92:F$97,O70))</f>
        <v>0.19512432991693834</v>
      </c>
      <c r="T70" s="63">
        <f>IF(L70=0,0,求节点(宝物升星!$C$92:$C$97,宝物升星!G$92:G$97,P70))</f>
        <v>0.22268447684857173</v>
      </c>
      <c r="U70" s="16">
        <f>宝石镶嵌!AI59</f>
        <v>7.1797509392129841</v>
      </c>
      <c r="V70" s="16">
        <v>7.0826436621825577</v>
      </c>
      <c r="Y70" s="16">
        <v>0</v>
      </c>
      <c r="Z70" s="16">
        <v>3</v>
      </c>
      <c r="AA70" s="16">
        <v>2.1104162552609735</v>
      </c>
      <c r="AB70" s="16">
        <v>0.38371086353984585</v>
      </c>
    </row>
    <row r="71" spans="2:28">
      <c r="B71" s="16">
        <v>5</v>
      </c>
      <c r="C71" s="17">
        <v>70</v>
      </c>
      <c r="D71" s="17">
        <f>求节点(节奏总纲!$O$4:$O$163,节奏总纲!R$4:R$163,C71)</f>
        <v>90.106499999999997</v>
      </c>
      <c r="E71" s="17">
        <f>求节点(其他调用!$AM$97:$AM$135,其他调用!AP$97:AP$135,$C71)</f>
        <v>0</v>
      </c>
      <c r="F71" s="17">
        <f>求节点(其他调用!$AM$97:$AM$135,其他调用!AQ$97:AQ$135,$C71)</f>
        <v>0</v>
      </c>
      <c r="G71" s="17">
        <f>求节点(其他调用!$AM$97:$AM$135,其他调用!AR$97:AR$135,$C71)</f>
        <v>1.6941933854729778</v>
      </c>
      <c r="H71" s="17">
        <f>求节点(其他调用!$AM$97:$AM$135,其他调用!AS$97:AS$135,$C71)</f>
        <v>4.3058066145270217</v>
      </c>
      <c r="I71" s="17">
        <f>IF(C71&lt;$D$2-10,0,MIN(投放验证!AL71,6-SUM(J71:$L71)))</f>
        <v>0</v>
      </c>
      <c r="J71" s="17">
        <f>IF(D71&lt;$D$2-10,0,MIN(投放验证!AM71,6-SUM(K71:$L71)))</f>
        <v>0</v>
      </c>
      <c r="K71" s="61">
        <f>IF(C71&lt;$D$2-10,0,MIN(投放验证!AN71,6-SUM(L71:$L71),G71))</f>
        <v>1.6941933854729778</v>
      </c>
      <c r="L71" s="74">
        <f>IF(C71&lt;$D$2-10,0,MIN(投放验证!AO71,H71))</f>
        <v>4.3058066145270217</v>
      </c>
      <c r="M71" s="17">
        <f>投放验证!AP71</f>
        <v>0</v>
      </c>
      <c r="N71" s="17">
        <f>投放验证!AQ71</f>
        <v>3</v>
      </c>
      <c r="O71" s="17">
        <f>投放验证!AR71</f>
        <v>1.3488769363288999</v>
      </c>
      <c r="P71" s="17">
        <f>投放验证!AS71</f>
        <v>0.3361068610914304</v>
      </c>
      <c r="Q71" s="63">
        <f>IF(I71=0,0,求节点(宝物升星!$C$92:$C$97,宝物升星!D$92:D$97,M71))</f>
        <v>0</v>
      </c>
      <c r="R71" s="63">
        <f>IF(J71=0,0,求节点(宝物升星!$C$92:$C$97,宝物升星!E$92:E$97,N71))</f>
        <v>0</v>
      </c>
      <c r="S71" s="63">
        <f>IF(K71=0,0,求节点(宝物升星!$C$92:$C$97,宝物升星!F$92:F$97,O71))</f>
        <v>0.39147948938814997</v>
      </c>
      <c r="T71" s="63">
        <f>IF(L71=0,0,求节点(宝物升星!$C$92:$C$97,宝物升星!G$92:G$97,P71))</f>
        <v>0.22268447684857173</v>
      </c>
      <c r="U71" s="16">
        <f>宝石镶嵌!AI60</f>
        <v>7.9566091554563947</v>
      </c>
      <c r="V71" s="16">
        <v>7.8595018784259683</v>
      </c>
      <c r="Y71" s="16">
        <v>0</v>
      </c>
      <c r="Z71" s="16">
        <v>3</v>
      </c>
      <c r="AA71" s="16">
        <v>5</v>
      </c>
      <c r="AB71" s="16">
        <v>0.43332738186971853</v>
      </c>
    </row>
    <row r="72" spans="2:28">
      <c r="B72" s="16">
        <v>6</v>
      </c>
      <c r="C72" s="17">
        <v>75</v>
      </c>
      <c r="D72" s="17">
        <f>求节点(节奏总纲!$O$4:$O$163,节奏总纲!R$4:R$163,C72)</f>
        <v>127.38168214210583</v>
      </c>
      <c r="E72" s="17">
        <f>求节点(其他调用!$AM$97:$AM$135,其他调用!AP$97:AP$135,$C72)</f>
        <v>0</v>
      </c>
      <c r="F72" s="17">
        <f>求节点(其他调用!$AM$97:$AM$135,其他调用!AQ$97:AQ$135,$C72)</f>
        <v>0</v>
      </c>
      <c r="G72" s="17">
        <f>求节点(其他调用!$AM$97:$AM$135,其他调用!AR$97:AR$135,$C72)</f>
        <v>0.47213826570530132</v>
      </c>
      <c r="H72" s="17">
        <f>求节点(其他调用!$AM$97:$AM$135,其他调用!AS$97:AS$135,$C72)</f>
        <v>5.5278617342946985</v>
      </c>
      <c r="I72" s="17">
        <f>IF(C72&lt;$D$2-10,0,MIN(投放验证!AL72,6-SUM(J72:$L72)))</f>
        <v>0</v>
      </c>
      <c r="J72" s="17">
        <f>IF(D72&lt;$D$2-10,0,MIN(投放验证!AM72,6-SUM(K72:$L72)))</f>
        <v>0</v>
      </c>
      <c r="K72" s="61">
        <f>IF(C72&lt;$D$2-10,0,MIN(投放验证!AN72,6-SUM(L72:$L72),G72))</f>
        <v>0.47213826570530132</v>
      </c>
      <c r="L72" s="74">
        <f>IF(C72&lt;$D$2-10,0,MIN(投放验证!AO72,H72))</f>
        <v>5.5278617342946985</v>
      </c>
      <c r="M72" s="17">
        <f>投放验证!AP72</f>
        <v>0</v>
      </c>
      <c r="N72" s="17">
        <f>投放验证!AQ72</f>
        <v>3</v>
      </c>
      <c r="O72" s="17">
        <f>投放验证!AR72</f>
        <v>2.1941359293145841</v>
      </c>
      <c r="P72" s="17">
        <f>投放验证!AS72</f>
        <v>0.37822592542481059</v>
      </c>
      <c r="Q72" s="63">
        <f>IF(I72=0,0,求节点(宝物升星!$C$92:$C$97,宝物升星!D$92:D$97,M72))</f>
        <v>0</v>
      </c>
      <c r="R72" s="63">
        <f>IF(J72=0,0,求节点(宝物升星!$C$92:$C$97,宝物升星!E$92:E$97,N72))</f>
        <v>0</v>
      </c>
      <c r="S72" s="63">
        <f>IF(K72=0,0,求节点(宝物升星!$C$92:$C$97,宝物升星!F$92:F$97,O72))</f>
        <v>0.53235598821909735</v>
      </c>
      <c r="T72" s="63">
        <f>IF(L72=0,0,求节点(宝物升星!$C$92:$C$97,宝物升星!G$92:G$97,P72))</f>
        <v>0.22970432090413509</v>
      </c>
      <c r="U72" s="16">
        <f>宝石镶嵌!AI61</f>
        <v>8.2000598579581254</v>
      </c>
      <c r="V72" s="16">
        <v>8.1676907656146494</v>
      </c>
      <c r="Y72" s="16">
        <v>0</v>
      </c>
      <c r="Z72" s="16">
        <v>3</v>
      </c>
      <c r="AA72" s="16">
        <v>5</v>
      </c>
      <c r="AB72" s="16">
        <v>0.53127483705038636</v>
      </c>
    </row>
    <row r="73" spans="2:28">
      <c r="B73" s="16">
        <v>7</v>
      </c>
      <c r="C73" s="17">
        <v>80</v>
      </c>
      <c r="D73" s="17">
        <f>求节点(节奏总纲!$O$4:$O$163,节奏总纲!R$4:R$163,C73)</f>
        <v>180.33600000000001</v>
      </c>
      <c r="E73" s="17">
        <f>求节点(其他调用!$AM$97:$AM$135,其他调用!AP$97:AP$135,$C73)</f>
        <v>0</v>
      </c>
      <c r="F73" s="17">
        <f>求节点(其他调用!$AM$97:$AM$135,其他调用!AQ$97:AQ$135,$C73)</f>
        <v>0</v>
      </c>
      <c r="G73" s="17">
        <f>求节点(其他调用!$AM$97:$AM$135,其他调用!AR$97:AR$135,$C73)</f>
        <v>0</v>
      </c>
      <c r="H73" s="17">
        <f>求节点(其他调用!$AM$97:$AM$135,其他调用!AS$97:AS$135,$C73)</f>
        <v>6</v>
      </c>
      <c r="I73" s="17">
        <f>IF(C73&lt;$D$2-10,0,MIN(投放验证!AL73,6-SUM(J73:$L73)))</f>
        <v>0</v>
      </c>
      <c r="J73" s="17">
        <f>IF(D73&lt;$D$2-10,0,MIN(投放验证!AM73,6-SUM(K73:$L73)))</f>
        <v>0</v>
      </c>
      <c r="K73" s="61">
        <f>IF(C73&lt;$D$2-10,0,MIN(投放验证!AN73,6-SUM(L73:$L73),G73))</f>
        <v>0</v>
      </c>
      <c r="L73" s="74">
        <f>IF(C73&lt;$D$2-10,0,MIN(投放验证!AO73,H73))</f>
        <v>6</v>
      </c>
      <c r="M73" s="17">
        <f>投放验证!AP73</f>
        <v>0</v>
      </c>
      <c r="N73" s="17">
        <f>投放验证!AQ73</f>
        <v>3</v>
      </c>
      <c r="O73" s="17">
        <f>投放验证!AR73</f>
        <v>3.3946292405000111</v>
      </c>
      <c r="P73" s="17">
        <f>投放验证!AS73</f>
        <v>0.73272055133333791</v>
      </c>
      <c r="Q73" s="63">
        <f>IF(I73=0,0,求节点(宝物升星!$C$92:$C$97,宝物升星!D$92:D$97,M73))</f>
        <v>0</v>
      </c>
      <c r="R73" s="63">
        <f>IF(J73=0,0,求节点(宝物升星!$C$92:$C$97,宝物升星!E$92:E$97,N73))</f>
        <v>0</v>
      </c>
      <c r="S73" s="63">
        <f>IF(K73=0,0,求节点(宝物升星!$C$92:$C$97,宝物升星!F$92:F$97,O73))</f>
        <v>0</v>
      </c>
      <c r="T73" s="63">
        <f>IF(L73=0,0,求节点(宝物升星!$C$92:$C$97,宝物升星!G$92:G$97,P73))</f>
        <v>0.2887867585555563</v>
      </c>
      <c r="U73" s="16">
        <f>宝石镶嵌!AI62</f>
        <v>8.5034418626477386</v>
      </c>
      <c r="V73" s="16">
        <v>8.4710727703042625</v>
      </c>
      <c r="Y73" s="16">
        <v>0</v>
      </c>
      <c r="Z73" s="16">
        <v>3</v>
      </c>
      <c r="AA73" s="16">
        <v>5</v>
      </c>
      <c r="AB73" s="16">
        <v>0.95398374105510442</v>
      </c>
    </row>
    <row r="74" spans="2:28">
      <c r="B74" s="16">
        <v>8</v>
      </c>
      <c r="C74" s="17">
        <v>85</v>
      </c>
      <c r="D74" s="17">
        <f>求节点(节奏总纲!$O$4:$O$163,节奏总纲!R$4:R$163,C74)</f>
        <v>253.91849799475142</v>
      </c>
      <c r="E74" s="17">
        <f>求节点(其他调用!$AM$97:$AM$135,其他调用!AP$97:AP$135,$C74)</f>
        <v>0</v>
      </c>
      <c r="F74" s="17">
        <f>求节点(其他调用!$AM$97:$AM$135,其他调用!AQ$97:AQ$135,$C74)</f>
        <v>0</v>
      </c>
      <c r="G74" s="17">
        <f>求节点(其他调用!$AM$97:$AM$135,其他调用!AR$97:AR$135,$C74)</f>
        <v>0</v>
      </c>
      <c r="H74" s="17">
        <f>求节点(其他调用!$AM$97:$AM$135,其他调用!AS$97:AS$135,$C74)</f>
        <v>6</v>
      </c>
      <c r="I74" s="17">
        <f>IF(C74&lt;$D$2-10,0,MIN(投放验证!AL74,6-SUM(J74:$L74)))</f>
        <v>0</v>
      </c>
      <c r="J74" s="17">
        <f>IF(D74&lt;$D$2-10,0,MIN(投放验证!AM74,6-SUM(K74:$L74)))</f>
        <v>0</v>
      </c>
      <c r="K74" s="61">
        <f>IF(C74&lt;$D$2-10,0,MIN(投放验证!AN74,6-SUM(L74:$L74),G74))</f>
        <v>0</v>
      </c>
      <c r="L74" s="74">
        <f>IF(C74&lt;$D$2-10,0,MIN(投放验证!AO74,H74))</f>
        <v>6</v>
      </c>
      <c r="M74" s="17">
        <f>投放验证!AP74</f>
        <v>0</v>
      </c>
      <c r="N74" s="17">
        <f>投放验证!AQ74</f>
        <v>3</v>
      </c>
      <c r="O74" s="17">
        <f>投放验证!AR74</f>
        <v>4.9955975330250242</v>
      </c>
      <c r="P74" s="17">
        <f>投放验证!AS74</f>
        <v>1.3461520173514527</v>
      </c>
      <c r="Q74" s="63">
        <f>IF(I74=0,0,求节点(宝物升星!$C$92:$C$97,宝物升星!D$92:D$97,M74))</f>
        <v>0</v>
      </c>
      <c r="R74" s="63">
        <f>IF(J74=0,0,求节点(宝物升星!$C$92:$C$97,宝物升星!E$92:E$97,N74))</f>
        <v>0</v>
      </c>
      <c r="S74" s="63">
        <f>IF(K74=0,0,求节点(宝物升星!$C$92:$C$97,宝物升星!F$92:F$97,O74))</f>
        <v>0</v>
      </c>
      <c r="T74" s="63">
        <f>IF(L74=0,0,求节点(宝物升星!$C$92:$C$97,宝物升星!G$92:G$97,P74))</f>
        <v>0.3910253362252421</v>
      </c>
      <c r="U74" s="16">
        <f>宝石镶嵌!AI63</f>
        <v>8.9324888082597269</v>
      </c>
      <c r="V74" s="16">
        <v>8.9001197159162508</v>
      </c>
      <c r="Y74" s="16">
        <v>0</v>
      </c>
      <c r="Z74" s="16">
        <v>3</v>
      </c>
      <c r="AA74" s="16">
        <v>5</v>
      </c>
      <c r="AB74" s="16">
        <v>1.7687642201359921</v>
      </c>
    </row>
    <row r="75" spans="2:28">
      <c r="B75" s="16">
        <v>9</v>
      </c>
      <c r="C75" s="17">
        <v>90</v>
      </c>
      <c r="D75" s="17">
        <f>求节点(节奏总纲!$O$4:$O$163,节奏总纲!R$4:R$163,C75)</f>
        <v>354.12299999999999</v>
      </c>
      <c r="E75" s="17">
        <f>求节点(其他调用!$AM$97:$AM$135,其他调用!AP$97:AP$135,$C75)</f>
        <v>0</v>
      </c>
      <c r="F75" s="17">
        <f>求节点(其他调用!$AM$97:$AM$135,其他调用!AQ$97:AQ$135,$C75)</f>
        <v>0</v>
      </c>
      <c r="G75" s="17">
        <f>求节点(其他调用!$AM$97:$AM$135,其他调用!AR$97:AR$135,$C75)</f>
        <v>0</v>
      </c>
      <c r="H75" s="17">
        <f>求节点(其他调用!$AM$97:$AM$135,其他调用!AS$97:AS$135,$C75)</f>
        <v>6</v>
      </c>
      <c r="I75" s="17">
        <f>IF(C75&lt;$D$2-10,0,MIN(投放验证!AL75,6-SUM(J75:$L75)))</f>
        <v>0</v>
      </c>
      <c r="J75" s="17">
        <f>IF(D75&lt;$D$2-10,0,MIN(投放验证!AM75,6-SUM(K75:$L75)))</f>
        <v>0</v>
      </c>
      <c r="K75" s="61">
        <f>IF(C75&lt;$D$2-10,0,MIN(投放验证!AN75,6-SUM(L75:$L75),G75))</f>
        <v>0</v>
      </c>
      <c r="L75" s="74">
        <f>IF(C75&lt;$D$2-10,0,MIN(投放验证!AO75,H75))</f>
        <v>6</v>
      </c>
      <c r="M75" s="17">
        <f>投放验证!AP75</f>
        <v>0</v>
      </c>
      <c r="N75" s="17">
        <f>投放验证!AQ75</f>
        <v>3</v>
      </c>
      <c r="O75" s="17">
        <f>投放验证!AR75</f>
        <v>5</v>
      </c>
      <c r="P75" s="17">
        <f>投放验证!AS75</f>
        <v>2.1815217892648682</v>
      </c>
      <c r="Q75" s="63">
        <f>IF(I75=0,0,求节点(宝物升星!$C$92:$C$97,宝物升星!D$92:D$97,M75))</f>
        <v>0</v>
      </c>
      <c r="R75" s="63">
        <f>IF(J75=0,0,求节点(宝物升星!$C$92:$C$97,宝物升星!E$92:E$97,N75))</f>
        <v>0</v>
      </c>
      <c r="S75" s="63">
        <f>IF(K75=0,0,求节点(宝物升星!$C$92:$C$97,宝物升星!F$92:F$97,O75))</f>
        <v>0</v>
      </c>
      <c r="T75" s="63">
        <f>IF(L75=0,0,求节点(宝物升星!$C$92:$C$97,宝物升星!G$92:G$97,P75))</f>
        <v>0.53025363154414473</v>
      </c>
      <c r="U75" s="16">
        <f>宝石镶嵌!AI64</f>
        <v>9.179750939212985</v>
      </c>
      <c r="V75" s="16">
        <v>9.1689612417651585</v>
      </c>
      <c r="Y75" s="16">
        <v>0</v>
      </c>
      <c r="Z75" s="16">
        <v>3</v>
      </c>
      <c r="AA75" s="16">
        <v>5</v>
      </c>
      <c r="AB75" s="16">
        <v>2.8743698653579561</v>
      </c>
    </row>
    <row r="76" spans="2:28">
      <c r="B76" s="16">
        <v>10</v>
      </c>
      <c r="C76" s="17">
        <v>95</v>
      </c>
      <c r="D76" s="17">
        <f>求节点(节奏总纲!$O$4:$O$163,节奏总纲!R$4:R$163,C76)</f>
        <v>495.95875020503337</v>
      </c>
      <c r="E76" s="17">
        <f>求节点(其他调用!$AM$97:$AM$135,其他调用!AP$97:AP$135,$C76)</f>
        <v>0</v>
      </c>
      <c r="F76" s="17">
        <f>求节点(其他调用!$AM$97:$AM$135,其他调用!AQ$97:AQ$135,$C76)</f>
        <v>0</v>
      </c>
      <c r="G76" s="17">
        <f>求节点(其他调用!$AM$97:$AM$135,其他调用!AR$97:AR$135,$C76)</f>
        <v>0</v>
      </c>
      <c r="H76" s="17">
        <f>求节点(其他调用!$AM$97:$AM$135,其他调用!AS$97:AS$135,$C76)</f>
        <v>6</v>
      </c>
      <c r="I76" s="17">
        <f>IF(C76&lt;$D$2-10,0,MIN(投放验证!AL76,6-SUM(J76:$L76)))</f>
        <v>0</v>
      </c>
      <c r="J76" s="17">
        <f>IF(D76&lt;$D$2-10,0,MIN(投放验证!AM76,6-SUM(K76:$L76)))</f>
        <v>0</v>
      </c>
      <c r="K76" s="61">
        <f>IF(C76&lt;$D$2-10,0,MIN(投放验证!AN76,6-SUM(L76:$L76),G76))</f>
        <v>0</v>
      </c>
      <c r="L76" s="74">
        <f>IF(C76&lt;$D$2-10,0,MIN(投放验证!AO76,H76))</f>
        <v>6</v>
      </c>
      <c r="M76" s="17">
        <f>投放验证!AP76</f>
        <v>0</v>
      </c>
      <c r="N76" s="17">
        <f>投放验证!AQ76</f>
        <v>3</v>
      </c>
      <c r="O76" s="17">
        <f>投放验证!AR76</f>
        <v>5</v>
      </c>
      <c r="P76" s="17">
        <f>投放验证!AS76</f>
        <v>3.3199750956875214</v>
      </c>
      <c r="Q76" s="63">
        <f>IF(I76=0,0,求节点(宝物升星!$C$92:$C$97,宝物升星!D$92:D$97,M76))</f>
        <v>0</v>
      </c>
      <c r="R76" s="63">
        <f>IF(J76=0,0,求节点(宝物升星!$C$92:$C$97,宝物升星!E$92:E$97,N76))</f>
        <v>0</v>
      </c>
      <c r="S76" s="63">
        <f>IF(K76=0,0,求节点(宝物升星!$C$92:$C$97,宝物升星!F$92:F$97,O76))</f>
        <v>0</v>
      </c>
      <c r="T76" s="63">
        <f>IF(L76=0,0,求节点(宝物升星!$C$92:$C$97,宝物升星!G$92:G$97,P76))</f>
        <v>0.71999584928125349</v>
      </c>
      <c r="U76" s="16">
        <f>宝石镶嵌!AI65</f>
        <v>9.4657822362876427</v>
      </c>
      <c r="V76" s="16">
        <v>9.4549925388398179</v>
      </c>
      <c r="Y76" s="16">
        <v>0</v>
      </c>
      <c r="Z76" s="16">
        <v>3</v>
      </c>
      <c r="AA76" s="16">
        <v>5</v>
      </c>
      <c r="AB76" s="16">
        <v>4.1007707050591815</v>
      </c>
    </row>
    <row r="77" spans="2:28">
      <c r="B77" s="16">
        <v>11</v>
      </c>
      <c r="C77" s="17">
        <v>100</v>
      </c>
      <c r="D77" s="17">
        <f>求节点(节奏总纲!$O$4:$O$163,节奏总纲!R$4:R$163,C77)</f>
        <v>706.6884</v>
      </c>
      <c r="E77" s="17">
        <f>求节点(其他调用!$AM$97:$AM$135,其他调用!AP$97:AP$135,$C77)</f>
        <v>0</v>
      </c>
      <c r="F77" s="17">
        <f>求节点(其他调用!$AM$97:$AM$135,其他调用!AQ$97:AQ$135,$C77)</f>
        <v>0</v>
      </c>
      <c r="G77" s="17">
        <f>求节点(其他调用!$AM$97:$AM$135,其他调用!AR$97:AR$135,$C77)</f>
        <v>0</v>
      </c>
      <c r="H77" s="17">
        <f>求节点(其他调用!$AM$97:$AM$135,其他调用!AS$97:AS$135,$C77)</f>
        <v>6</v>
      </c>
      <c r="I77" s="17">
        <f>IF(C77&lt;$D$2-10,0,MIN(投放验证!AL77,6-SUM(J77:$L77)))</f>
        <v>0</v>
      </c>
      <c r="J77" s="17">
        <f>IF(D77&lt;$D$2-10,0,MIN(投放验证!AM77,6-SUM(K77:$L77)))</f>
        <v>0</v>
      </c>
      <c r="K77" s="61">
        <f>IF(C77&lt;$D$2-10,0,MIN(投放验证!AN77,6-SUM(L77:$L77),G77))</f>
        <v>0</v>
      </c>
      <c r="L77" s="74">
        <f>IF(C77&lt;$D$2-10,0,MIN(投放验证!AO77,H77))</f>
        <v>6</v>
      </c>
      <c r="M77" s="17">
        <f>投放验证!AP77</f>
        <v>0</v>
      </c>
      <c r="N77" s="17">
        <f>投放验证!AQ77</f>
        <v>3</v>
      </c>
      <c r="O77" s="17">
        <f>投放验证!AR77</f>
        <v>5</v>
      </c>
      <c r="P77" s="17">
        <f>投放验证!AS77</f>
        <v>5</v>
      </c>
      <c r="Q77" s="63">
        <f>IF(I77=0,0,求节点(宝物升星!$C$92:$C$97,宝物升星!D$92:D$97,M77))</f>
        <v>0</v>
      </c>
      <c r="R77" s="63">
        <f>IF(J77=0,0,求节点(宝物升星!$C$92:$C$97,宝物升星!E$92:E$97,N77))</f>
        <v>0</v>
      </c>
      <c r="S77" s="63">
        <f>IF(K77=0,0,求节点(宝物升星!$C$92:$C$97,宝物升星!F$92:F$97,O77))</f>
        <v>0</v>
      </c>
      <c r="T77" s="63">
        <f>IF(L77=0,0,求节点(宝物升星!$C$92:$C$97,宝物升星!G$92:G$97,P77))</f>
        <v>1</v>
      </c>
      <c r="U77" s="16">
        <f>宝石镶嵌!AI66</f>
        <v>9.870291575873793</v>
      </c>
      <c r="V77" s="16">
        <v>9.8595018784259683</v>
      </c>
      <c r="Y77" s="16">
        <v>0</v>
      </c>
      <c r="Z77" s="16">
        <v>3</v>
      </c>
      <c r="AA77" s="16">
        <v>5</v>
      </c>
      <c r="AB77" s="16">
        <v>5</v>
      </c>
    </row>
    <row r="78" spans="2:28">
      <c r="B78" s="16">
        <v>12</v>
      </c>
      <c r="C78" s="17">
        <v>105</v>
      </c>
      <c r="D78" s="17">
        <f>求节点(节奏总纲!$O$4:$O$163,节奏总纲!R$4:R$163,C78)</f>
        <v>993.18226228521496</v>
      </c>
      <c r="E78" s="17">
        <f>求节点(其他调用!$AM$97:$AM$135,其他调用!AP$97:AP$135,$C78)</f>
        <v>0</v>
      </c>
      <c r="F78" s="17">
        <f>求节点(其他调用!$AM$97:$AM$135,其他调用!AQ$97:AQ$135,$C78)</f>
        <v>0</v>
      </c>
      <c r="G78" s="17">
        <f>求节点(其他调用!$AM$97:$AM$135,其他调用!AR$97:AR$135,$C78)</f>
        <v>0</v>
      </c>
      <c r="H78" s="17">
        <f>求节点(其他调用!$AM$97:$AM$135,其他调用!AS$97:AS$135,$C78)</f>
        <v>6</v>
      </c>
      <c r="I78" s="17">
        <f>IF(C78&lt;$D$2-10,0,MIN(投放验证!AL78,6-SUM(J78:$L78)))</f>
        <v>0</v>
      </c>
      <c r="J78" s="17">
        <f>IF(D78&lt;$D$2-10,0,MIN(投放验证!AM78,6-SUM(K78:$L78)))</f>
        <v>0</v>
      </c>
      <c r="K78" s="61">
        <f>IF(C78&lt;$D$2-10,0,MIN(投放验证!AN78,6-SUM(L78:$L78),G78))</f>
        <v>0</v>
      </c>
      <c r="L78" s="74">
        <f>IF(C78&lt;$D$2-10,0,MIN(投放验证!AO78,H78))</f>
        <v>6</v>
      </c>
      <c r="M78" s="17">
        <f>投放验证!AP78</f>
        <v>0</v>
      </c>
      <c r="N78" s="17">
        <f>投放验证!AQ78</f>
        <v>3</v>
      </c>
      <c r="O78" s="17">
        <f>投放验证!AR78</f>
        <v>5</v>
      </c>
      <c r="P78" s="17">
        <f>投放验证!AS78</f>
        <v>5</v>
      </c>
      <c r="Q78" s="63">
        <f>IF(I78=0,0,求节点(宝物升星!$C$92:$C$97,宝物升星!D$92:D$97,M78))</f>
        <v>0</v>
      </c>
      <c r="R78" s="63">
        <f>IF(J78=0,0,求节点(宝物升星!$C$92:$C$97,宝物升星!E$92:E$97,N78))</f>
        <v>0</v>
      </c>
      <c r="S78" s="63">
        <f>IF(K78=0,0,求节点(宝物升星!$C$92:$C$97,宝物升星!F$92:F$97,O78))</f>
        <v>0</v>
      </c>
      <c r="T78" s="63">
        <f>IF(L78=0,0,求节点(宝物升星!$C$92:$C$97,宝物升星!G$92:G$97,P78))</f>
        <v>1</v>
      </c>
      <c r="U78" s="16">
        <f>宝石镶嵌!AI67</f>
        <v>10.147451390007705</v>
      </c>
      <c r="V78" s="16">
        <v>10.143854824191763</v>
      </c>
      <c r="Y78" s="16">
        <v>0</v>
      </c>
      <c r="Z78" s="16">
        <v>3</v>
      </c>
      <c r="AA78" s="16">
        <v>5</v>
      </c>
      <c r="AB78" s="16">
        <v>5</v>
      </c>
    </row>
    <row r="79" spans="2:28">
      <c r="B79" s="16">
        <v>13</v>
      </c>
      <c r="C79" s="17">
        <v>110</v>
      </c>
      <c r="D79" s="17">
        <f>求节点(节奏总纲!$O$4:$O$163,节奏总纲!R$4:R$163,C79)</f>
        <v>1397.2821999999999</v>
      </c>
      <c r="E79" s="17">
        <f>求节点(其他调用!$AM$97:$AM$135,其他调用!AP$97:AP$135,$C79)</f>
        <v>0</v>
      </c>
      <c r="F79" s="17">
        <f>求节点(其他调用!$AM$97:$AM$135,其他调用!AQ$97:AQ$135,$C79)</f>
        <v>0</v>
      </c>
      <c r="G79" s="17">
        <f>求节点(其他调用!$AM$97:$AM$135,其他调用!AR$97:AR$135,$C79)</f>
        <v>0</v>
      </c>
      <c r="H79" s="17">
        <f>求节点(其他调用!$AM$97:$AM$135,其他调用!AS$97:AS$135,$C79)</f>
        <v>6</v>
      </c>
      <c r="I79" s="17">
        <f>IF(C79&lt;$D$2-10,0,MIN(投放验证!AL79,6-SUM(J79:$L79)))</f>
        <v>0</v>
      </c>
      <c r="J79" s="17">
        <f>IF(D79&lt;$D$2-10,0,MIN(投放验证!AM79,6-SUM(K79:$L79)))</f>
        <v>0</v>
      </c>
      <c r="K79" s="61">
        <f>IF(C79&lt;$D$2-10,0,MIN(投放验证!AN79,6-SUM(L79:$L79),G79))</f>
        <v>0</v>
      </c>
      <c r="L79" s="74">
        <f>IF(C79&lt;$D$2-10,0,MIN(投放验证!AO79,H79))</f>
        <v>6</v>
      </c>
      <c r="M79" s="17">
        <f>投放验证!AP79</f>
        <v>0</v>
      </c>
      <c r="N79" s="17">
        <f>投放验证!AQ79</f>
        <v>3</v>
      </c>
      <c r="O79" s="17">
        <f>投放验证!AR79</f>
        <v>5</v>
      </c>
      <c r="P79" s="17">
        <f>投放验证!AS79</f>
        <v>5</v>
      </c>
      <c r="Q79" s="63">
        <f>IF(I79=0,0,求节点(宝物升星!$C$92:$C$97,宝物升星!D$92:D$97,M79))</f>
        <v>0</v>
      </c>
      <c r="R79" s="63">
        <f>IF(J79=0,0,求节点(宝物升星!$C$92:$C$97,宝物升星!E$92:E$97,N79))</f>
        <v>0</v>
      </c>
      <c r="S79" s="63">
        <f>IF(K79=0,0,求节点(宝物升星!$C$92:$C$97,宝物升星!F$92:F$97,O79))</f>
        <v>0</v>
      </c>
      <c r="T79" s="63">
        <f>IF(L79=0,0,求节点(宝物升星!$C$92:$C$97,宝物升星!G$92:G$97,P79))</f>
        <v>1</v>
      </c>
      <c r="U79" s="16">
        <f>宝石镶嵌!AI68</f>
        <v>10.417124283065137</v>
      </c>
      <c r="V79" s="16">
        <v>10.413527717249195</v>
      </c>
      <c r="Y79" s="16">
        <v>0</v>
      </c>
      <c r="Z79" s="16">
        <v>3</v>
      </c>
      <c r="AA79" s="16">
        <v>5</v>
      </c>
      <c r="AB79" s="16">
        <v>5</v>
      </c>
    </row>
    <row r="80" spans="2:28">
      <c r="B80" s="16">
        <v>14</v>
      </c>
      <c r="C80" s="17">
        <v>115</v>
      </c>
      <c r="D80" s="17">
        <f>求节点(节奏总纲!$O$4:$O$163,节奏总纲!R$4:R$163,C80)</f>
        <v>1969.9684992535633</v>
      </c>
      <c r="E80" s="17">
        <f>求节点(其他调用!$AM$97:$AM$135,其他调用!AP$97:AP$135,$C80)</f>
        <v>0</v>
      </c>
      <c r="F80" s="17">
        <f>求节点(其他调用!$AM$97:$AM$135,其他调用!AQ$97:AQ$135,$C80)</f>
        <v>0</v>
      </c>
      <c r="G80" s="17">
        <f>求节点(其他调用!$AM$97:$AM$135,其他调用!AR$97:AR$135,$C80)</f>
        <v>0</v>
      </c>
      <c r="H80" s="17">
        <f>求节点(其他调用!$AM$97:$AM$135,其他调用!AS$97:AS$135,$C80)</f>
        <v>6</v>
      </c>
      <c r="I80" s="17">
        <f>IF(C80&lt;$D$2-10,0,MIN(投放验证!AL80,6-SUM(J80:$L80)))</f>
        <v>0</v>
      </c>
      <c r="J80" s="17">
        <f>IF(D80&lt;$D$2-10,0,MIN(投放验证!AM80,6-SUM(K80:$L80)))</f>
        <v>0</v>
      </c>
      <c r="K80" s="61">
        <f>IF(C80&lt;$D$2-10,0,MIN(投放验证!AN80,6-SUM(L80:$L80),G80))</f>
        <v>0</v>
      </c>
      <c r="L80" s="74">
        <f>IF(C80&lt;$D$2-10,0,MIN(投放验证!AO80,H80))</f>
        <v>6</v>
      </c>
      <c r="M80" s="17">
        <f>投放验证!AP80</f>
        <v>0</v>
      </c>
      <c r="N80" s="17">
        <f>投放验证!AQ80</f>
        <v>3</v>
      </c>
      <c r="O80" s="17">
        <f>投放验证!AR80</f>
        <v>5</v>
      </c>
      <c r="P80" s="17">
        <f>投放验证!AS80</f>
        <v>5</v>
      </c>
      <c r="Q80" s="63">
        <f>IF(I80=0,0,求节点(宝物升星!$C$92:$C$97,宝物升星!D$92:D$97,M80))</f>
        <v>0</v>
      </c>
      <c r="R80" s="63">
        <f>IF(J80=0,0,求节点(宝物升星!$C$92:$C$97,宝物升星!E$92:E$97,N80))</f>
        <v>0</v>
      </c>
      <c r="S80" s="63">
        <f>IF(K80=0,0,求节点(宝物升星!$C$92:$C$97,宝物升星!F$92:F$97,O80))</f>
        <v>0</v>
      </c>
      <c r="T80" s="63">
        <f>IF(L80=0,0,求节点(宝物升星!$C$92:$C$97,宝物升星!G$92:G$97,P80))</f>
        <v>1</v>
      </c>
      <c r="U80" s="16">
        <f>宝石镶嵌!AI69</f>
        <v>10.798499345831349</v>
      </c>
      <c r="V80" s="16">
        <v>10.794902780015407</v>
      </c>
      <c r="Y80" s="16">
        <v>0</v>
      </c>
      <c r="Z80" s="16">
        <v>3</v>
      </c>
      <c r="AA80" s="16">
        <v>5</v>
      </c>
      <c r="AB80" s="16">
        <v>5</v>
      </c>
    </row>
    <row r="81" spans="2:28">
      <c r="B81" s="16">
        <v>15</v>
      </c>
      <c r="C81" s="17">
        <v>120</v>
      </c>
      <c r="D81" s="17">
        <f>求节点(节奏总纲!$O$4:$O$163,节奏总纲!R$4:R$163,C81)</f>
        <v>2791.971</v>
      </c>
      <c r="E81" s="17">
        <f>求节点(其他调用!$AM$97:$AM$135,其他调用!AP$97:AP$135,$C81)</f>
        <v>0</v>
      </c>
      <c r="F81" s="17">
        <f>求节点(其他调用!$AM$97:$AM$135,其他调用!AQ$97:AQ$135,$C81)</f>
        <v>0</v>
      </c>
      <c r="G81" s="17">
        <f>求节点(其他调用!$AM$97:$AM$135,其他调用!AR$97:AR$135,$C81)</f>
        <v>0</v>
      </c>
      <c r="H81" s="17">
        <f>求节点(其他调用!$AM$97:$AM$135,其他调用!AS$97:AS$135,$C81)</f>
        <v>6</v>
      </c>
      <c r="I81" s="17">
        <f>IF(C81&lt;$D$2-10,0,MIN(投放验证!AL81,6-SUM(J81:$L81)))</f>
        <v>0</v>
      </c>
      <c r="J81" s="17">
        <f>IF(D81&lt;$D$2-10,0,MIN(投放验证!AM81,6-SUM(K81:$L81)))</f>
        <v>0</v>
      </c>
      <c r="K81" s="61">
        <f>IF(C81&lt;$D$2-10,0,MIN(投放验证!AN81,6-SUM(L81:$L81),G81))</f>
        <v>0</v>
      </c>
      <c r="L81" s="74">
        <f>IF(C81&lt;$D$2-10,0,MIN(投放验证!AO81,H81))</f>
        <v>6</v>
      </c>
      <c r="M81" s="17">
        <f>投放验证!AP81</f>
        <v>0</v>
      </c>
      <c r="N81" s="17">
        <f>投放验证!AQ81</f>
        <v>3</v>
      </c>
      <c r="O81" s="17">
        <f>投放验证!AR81</f>
        <v>5</v>
      </c>
      <c r="P81" s="17">
        <f>投放验证!AS81</f>
        <v>5</v>
      </c>
      <c r="Q81" s="63">
        <f>IF(I81=0,0,求节点(宝物升星!$C$92:$C$97,宝物升星!D$92:D$97,M81))</f>
        <v>0</v>
      </c>
      <c r="R81" s="63">
        <f>IF(J81=0,0,求节点(宝物升星!$C$92:$C$97,宝物升星!E$92:E$97,N81))</f>
        <v>0</v>
      </c>
      <c r="S81" s="63">
        <f>IF(K81=0,0,求节点(宝物升星!$C$92:$C$97,宝物升星!F$92:F$97,O81))</f>
        <v>0</v>
      </c>
      <c r="T81" s="63">
        <f>IF(L81=0,0,求节点(宝物升星!$C$92:$C$97,宝物升星!G$92:G$97,P81))</f>
        <v>1</v>
      </c>
      <c r="U81" s="16">
        <f>宝石镶嵌!AI70</f>
        <v>11.112615043982073</v>
      </c>
      <c r="V81" s="16">
        <v>11.111416188710091</v>
      </c>
      <c r="Y81" s="16">
        <v>0</v>
      </c>
      <c r="Z81" s="16">
        <v>3</v>
      </c>
      <c r="AA81" s="16">
        <v>5</v>
      </c>
      <c r="AB81" s="16">
        <v>5</v>
      </c>
    </row>
    <row r="82" spans="2:28">
      <c r="B82" s="16">
        <v>16</v>
      </c>
      <c r="C82" s="17">
        <v>125</v>
      </c>
      <c r="D82" s="17">
        <f>求节点(节奏总纲!$O$4:$O$163,节奏总纲!R$4:R$163,C82)</f>
        <v>3940.0382366319791</v>
      </c>
      <c r="E82" s="17">
        <f>求节点(其他调用!$AM$97:$AM$135,其他调用!AP$97:AP$135,$C82)</f>
        <v>0</v>
      </c>
      <c r="F82" s="17">
        <f>求节点(其他调用!$AM$97:$AM$135,其他调用!AQ$97:AQ$135,$C82)</f>
        <v>0</v>
      </c>
      <c r="G82" s="17">
        <f>求节点(其他调用!$AM$97:$AM$135,其他调用!AR$97:AR$135,$C82)</f>
        <v>0</v>
      </c>
      <c r="H82" s="17">
        <f>求节点(其他调用!$AM$97:$AM$135,其他调用!AS$97:AS$135,$C82)</f>
        <v>6</v>
      </c>
      <c r="I82" s="17">
        <f>IF(C82&lt;$D$2-10,0,MIN(投放验证!AL82,6-SUM(J82:$L82)))</f>
        <v>0</v>
      </c>
      <c r="J82" s="17">
        <f>IF(D82&lt;$D$2-10,0,MIN(投放验证!AM82,6-SUM(K82:$L82)))</f>
        <v>0</v>
      </c>
      <c r="K82" s="61">
        <f>IF(C82&lt;$D$2-10,0,MIN(投放验证!AN82,6-SUM(L82:$L82),G82))</f>
        <v>0</v>
      </c>
      <c r="L82" s="74">
        <f>IF(C82&lt;$D$2-10,0,MIN(投放验证!AO82,H82))</f>
        <v>6</v>
      </c>
      <c r="M82" s="17">
        <f>投放验证!AP82</f>
        <v>0</v>
      </c>
      <c r="N82" s="17">
        <f>投放验证!AQ82</f>
        <v>3</v>
      </c>
      <c r="O82" s="17">
        <f>投放验证!AR82</f>
        <v>5</v>
      </c>
      <c r="P82" s="17">
        <f>投放验证!AS82</f>
        <v>5</v>
      </c>
      <c r="Q82" s="63">
        <f>IF(I82=0,0,求节点(宝物升星!$C$92:$C$97,宝物升星!D$92:D$97,M82))</f>
        <v>0</v>
      </c>
      <c r="R82" s="63">
        <f>IF(J82=0,0,求节点(宝物升星!$C$92:$C$97,宝物升星!E$92:E$97,N82))</f>
        <v>0</v>
      </c>
      <c r="S82" s="63">
        <f>IF(K82=0,0,求节点(宝物升星!$C$92:$C$97,宝物升星!F$92:F$97,O82))</f>
        <v>0</v>
      </c>
      <c r="T82" s="63">
        <f>IF(L82=0,0,求节点(宝物升星!$C$92:$C$97,宝物升星!G$92:G$97,P82))</f>
        <v>1</v>
      </c>
      <c r="U82" s="16">
        <f>宝石镶嵌!AI71</f>
        <v>11.366865085826214</v>
      </c>
      <c r="V82" s="16">
        <v>11.365666230554233</v>
      </c>
      <c r="Y82" s="16">
        <v>0</v>
      </c>
      <c r="Z82" s="16">
        <v>3</v>
      </c>
      <c r="AA82" s="16">
        <v>5</v>
      </c>
      <c r="AB82" s="16">
        <v>5</v>
      </c>
    </row>
    <row r="83" spans="2:28">
      <c r="B83" s="16">
        <v>17</v>
      </c>
      <c r="C83" s="17">
        <v>130</v>
      </c>
      <c r="D83" s="17">
        <f>求节点(节奏总纲!$O$4:$O$163,节奏总纲!R$4:R$163,C83)</f>
        <v>5542.0306</v>
      </c>
      <c r="E83" s="17">
        <f>求节点(其他调用!$AM$97:$AM$135,其他调用!AP$97:AP$135,$C83)</f>
        <v>0</v>
      </c>
      <c r="F83" s="17">
        <f>求节点(其他调用!$AM$97:$AM$135,其他调用!AQ$97:AQ$135,$C83)</f>
        <v>0</v>
      </c>
      <c r="G83" s="17">
        <f>求节点(其他调用!$AM$97:$AM$135,其他调用!AR$97:AR$135,$C83)</f>
        <v>0</v>
      </c>
      <c r="H83" s="17">
        <f>求节点(其他调用!$AM$97:$AM$135,其他调用!AS$97:AS$135,$C83)</f>
        <v>6</v>
      </c>
      <c r="I83" s="17">
        <f>IF(C83&lt;$D$2-10,0,MIN(投放验证!AL83,6-SUM(J83:$L83)))</f>
        <v>0</v>
      </c>
      <c r="J83" s="17">
        <f>IF(D83&lt;$D$2-10,0,MIN(投放验证!AM83,6-SUM(K83:$L83)))</f>
        <v>0</v>
      </c>
      <c r="K83" s="61">
        <f>IF(C83&lt;$D$2-10,0,MIN(投放验证!AN83,6-SUM(L83:$L83),G83))</f>
        <v>0</v>
      </c>
      <c r="L83" s="74">
        <f>IF(C83&lt;$D$2-10,0,MIN(投放验证!AO83,H83))</f>
        <v>6</v>
      </c>
      <c r="M83" s="17">
        <f>投放验证!AP83</f>
        <v>0</v>
      </c>
      <c r="N83" s="17">
        <f>投放验证!AQ83</f>
        <v>3</v>
      </c>
      <c r="O83" s="17">
        <f>投放验证!AR83</f>
        <v>5</v>
      </c>
      <c r="P83" s="17">
        <f>投放验证!AS83</f>
        <v>5</v>
      </c>
      <c r="Q83" s="63">
        <f>IF(I83=0,0,求节点(宝物升星!$C$92:$C$97,宝物升星!D$92:D$97,M83))</f>
        <v>0</v>
      </c>
      <c r="R83" s="63">
        <f>IF(J83=0,0,求节点(宝物升星!$C$92:$C$97,宝物升星!E$92:E$97,N83))</f>
        <v>0</v>
      </c>
      <c r="S83" s="63">
        <f>IF(K83=0,0,求节点(宝物升星!$C$92:$C$97,宝物升星!F$92:F$97,O83))</f>
        <v>0</v>
      </c>
      <c r="T83" s="63">
        <f>IF(L83=0,0,求节点(宝物升星!$C$92:$C$97,宝物升星!G$92:G$97,P83))</f>
        <v>1</v>
      </c>
      <c r="U83" s="16">
        <f>宝石镶嵌!AI72</f>
        <v>11.726428943236124</v>
      </c>
      <c r="V83" s="16">
        <v>11.725230087964144</v>
      </c>
      <c r="Y83" s="16">
        <v>0</v>
      </c>
      <c r="Z83" s="16">
        <v>3</v>
      </c>
      <c r="AA83" s="16">
        <v>5</v>
      </c>
      <c r="AB83" s="16">
        <v>5</v>
      </c>
    </row>
    <row r="84" spans="2:28">
      <c r="B84" s="16">
        <v>18</v>
      </c>
      <c r="C84" s="17">
        <v>135</v>
      </c>
      <c r="D84" s="17">
        <f>求节点(节奏总纲!$O$4:$O$163,节奏总纲!R$4:R$163,C84)</f>
        <v>7796.1918394923478</v>
      </c>
      <c r="E84" s="17">
        <f>求节点(其他调用!$AM$97:$AM$135,其他调用!AP$97:AP$135,$C84)</f>
        <v>0</v>
      </c>
      <c r="F84" s="17">
        <f>求节点(其他调用!$AM$97:$AM$135,其他调用!AQ$97:AQ$135,$C84)</f>
        <v>0</v>
      </c>
      <c r="G84" s="17">
        <f>求节点(其他调用!$AM$97:$AM$135,其他调用!AR$97:AR$135,$C84)</f>
        <v>0</v>
      </c>
      <c r="H84" s="17">
        <f>求节点(其他调用!$AM$97:$AM$135,其他调用!AS$97:AS$135,$C84)</f>
        <v>6</v>
      </c>
      <c r="I84" s="17">
        <f>IF(C84&lt;$D$2-10,0,MIN(投放验证!AL84,6-SUM(J84:$L84)))</f>
        <v>0</v>
      </c>
      <c r="J84" s="17">
        <f>IF(D84&lt;$D$2-10,0,MIN(投放验证!AM84,6-SUM(K84:$L84)))</f>
        <v>0</v>
      </c>
      <c r="K84" s="61">
        <f>IF(C84&lt;$D$2-10,0,MIN(投放验证!AN84,6-SUM(L84:$L84),G84))</f>
        <v>0</v>
      </c>
      <c r="L84" s="74">
        <f>IF(C84&lt;$D$2-10,0,MIN(投放验证!AO84,H84))</f>
        <v>6</v>
      </c>
      <c r="M84" s="17">
        <f>投放验证!AP84</f>
        <v>0</v>
      </c>
      <c r="N84" s="17">
        <f>投放验证!AQ84</f>
        <v>3</v>
      </c>
      <c r="O84" s="17">
        <f>投放验证!AR84</f>
        <v>5</v>
      </c>
      <c r="P84" s="17">
        <f>投放验证!AS84</f>
        <v>5</v>
      </c>
      <c r="Q84" s="63">
        <f>IF(I84=0,0,求节点(宝物升星!$C$92:$C$97,宝物升星!D$92:D$97,M84))</f>
        <v>0</v>
      </c>
      <c r="R84" s="63">
        <f>IF(J84=0,0,求节点(宝物升星!$C$92:$C$97,宝物升星!E$92:E$97,N84))</f>
        <v>0</v>
      </c>
      <c r="S84" s="63">
        <f>IF(K84=0,0,求节点(宝物升星!$C$92:$C$97,宝物升星!F$92:F$97,O84))</f>
        <v>0</v>
      </c>
      <c r="T84" s="63">
        <f>IF(L84=0,0,求节点(宝物升星!$C$92:$C$97,宝物升星!G$92:G$97,P84))</f>
        <v>1</v>
      </c>
      <c r="U84" s="16">
        <f>宝石镶嵌!AI73</f>
        <v>12.078309675641469</v>
      </c>
      <c r="V84" s="16">
        <v>12.077910057217476</v>
      </c>
      <c r="Y84" s="16">
        <v>0</v>
      </c>
      <c r="Z84" s="16">
        <v>3</v>
      </c>
      <c r="AA84" s="16">
        <v>5</v>
      </c>
      <c r="AB84" s="16">
        <v>5</v>
      </c>
    </row>
    <row r="85" spans="2:28">
      <c r="B85" s="16">
        <v>19</v>
      </c>
      <c r="C85" s="17">
        <v>140</v>
      </c>
      <c r="D85" s="17">
        <f>求节点(节奏总纲!$O$4:$O$163,节奏总纲!R$4:R$163,C85)</f>
        <v>11037.2271</v>
      </c>
      <c r="E85" s="17">
        <f>求节点(其他调用!$AM$97:$AM$135,其他调用!AP$97:AP$135,$C85)</f>
        <v>0</v>
      </c>
      <c r="F85" s="17">
        <f>求节点(其他调用!$AM$97:$AM$135,其他调用!AQ$97:AQ$135,$C85)</f>
        <v>0</v>
      </c>
      <c r="G85" s="17">
        <f>求节点(其他调用!$AM$97:$AM$135,其他调用!AR$97:AR$135,$C85)</f>
        <v>0</v>
      </c>
      <c r="H85" s="17">
        <f>求节点(其他调用!$AM$97:$AM$135,其他调用!AS$97:AS$135,$C85)</f>
        <v>6</v>
      </c>
      <c r="I85" s="17">
        <f>IF(C85&lt;$D$2-10,0,MIN(投放验证!AL85,6-SUM(J85:$L85)))</f>
        <v>0</v>
      </c>
      <c r="J85" s="17">
        <f>IF(D85&lt;$D$2-10,0,MIN(投放验证!AM85,6-SUM(K85:$L85)))</f>
        <v>0</v>
      </c>
      <c r="K85" s="61">
        <f>IF(C85&lt;$D$2-10,0,MIN(投放验证!AN85,6-SUM(L85:$L85),G85))</f>
        <v>0</v>
      </c>
      <c r="L85" s="74">
        <f>IF(C85&lt;$D$2-10,0,MIN(投放验证!AO85,H85))</f>
        <v>6</v>
      </c>
      <c r="M85" s="17">
        <f>投放验证!AP85</f>
        <v>0</v>
      </c>
      <c r="N85" s="17">
        <f>投放验证!AQ85</f>
        <v>3</v>
      </c>
      <c r="O85" s="17">
        <f>投放验证!AR85</f>
        <v>5</v>
      </c>
      <c r="P85" s="17">
        <f>投放验证!AS85</f>
        <v>5</v>
      </c>
      <c r="Q85" s="63">
        <f>IF(I85=0,0,求节点(宝物升星!$C$92:$C$97,宝物升星!D$92:D$97,M85))</f>
        <v>0</v>
      </c>
      <c r="R85" s="63">
        <f>IF(J85=0,0,求节点(宝物升星!$C$92:$C$97,宝物升星!E$92:E$97,N85))</f>
        <v>0</v>
      </c>
      <c r="S85" s="63">
        <f>IF(K85=0,0,求节点(宝物升星!$C$92:$C$97,宝物升星!F$92:F$97,O85))</f>
        <v>0</v>
      </c>
      <c r="T85" s="63">
        <f>IF(L85=0,0,求节点(宝物升星!$C$92:$C$97,宝物升星!G$92:G$97,P85))</f>
        <v>1</v>
      </c>
      <c r="U85" s="16">
        <f>宝石镶嵌!AI74</f>
        <v>12.318018913914743</v>
      </c>
      <c r="V85" s="16">
        <v>12.317619295490751</v>
      </c>
      <c r="Y85" s="16">
        <v>0</v>
      </c>
      <c r="Z85" s="16">
        <v>3</v>
      </c>
      <c r="AA85" s="16">
        <v>5</v>
      </c>
      <c r="AB85" s="16">
        <v>5</v>
      </c>
    </row>
    <row r="86" spans="2:28">
      <c r="B86" s="16">
        <v>20</v>
      </c>
      <c r="C86" s="17">
        <v>145</v>
      </c>
      <c r="D86" s="17">
        <f>求节点(节奏总纲!$O$4:$O$163,节奏总纲!R$4:R$163,C86)</f>
        <v>15650.9803664995</v>
      </c>
      <c r="E86" s="17">
        <f>求节点(其他调用!$AM$97:$AM$135,其他调用!AP$97:AP$135,$C86)</f>
        <v>0</v>
      </c>
      <c r="F86" s="17">
        <f>求节点(其他调用!$AM$97:$AM$135,其他调用!AQ$97:AQ$135,$C86)</f>
        <v>0</v>
      </c>
      <c r="G86" s="17">
        <f>求节点(其他调用!$AM$97:$AM$135,其他调用!AR$97:AR$135,$C86)</f>
        <v>0</v>
      </c>
      <c r="H86" s="17">
        <f>求节点(其他调用!$AM$97:$AM$135,其他调用!AS$97:AS$135,$C86)</f>
        <v>6</v>
      </c>
      <c r="I86" s="17">
        <f>IF(C86&lt;$D$2-10,0,MIN(投放验证!AL86,6-SUM(J86:$L86)))</f>
        <v>0</v>
      </c>
      <c r="J86" s="17">
        <f>IF(D86&lt;$D$2-10,0,MIN(投放验证!AM86,6-SUM(K86:$L86)))</f>
        <v>0</v>
      </c>
      <c r="K86" s="61">
        <f>IF(C86&lt;$D$2-10,0,MIN(投放验证!AN86,6-SUM(L86:$L86),G86))</f>
        <v>0</v>
      </c>
      <c r="L86" s="74">
        <f>IF(C86&lt;$D$2-10,0,MIN(投放验证!AO86,H86))</f>
        <v>6</v>
      </c>
      <c r="M86" s="17">
        <f>投放验证!AP86</f>
        <v>0</v>
      </c>
      <c r="N86" s="17">
        <f>投放验证!AQ86</f>
        <v>3</v>
      </c>
      <c r="O86" s="17">
        <f>投放验证!AR86</f>
        <v>5</v>
      </c>
      <c r="P86" s="17">
        <f>投放验证!AS86</f>
        <v>5</v>
      </c>
      <c r="Q86" s="63">
        <f>IF(I86=0,0,求节点(宝物升星!$C$92:$C$97,宝物升星!D$92:D$97,M86))</f>
        <v>0</v>
      </c>
      <c r="R86" s="63">
        <f>IF(J86=0,0,求节点(宝物升星!$C$92:$C$97,宝物升星!E$92:E$97,N86))</f>
        <v>0</v>
      </c>
      <c r="S86" s="63">
        <f>IF(K86=0,0,求节点(宝物升星!$C$92:$C$97,宝物升星!F$92:F$97,O86))</f>
        <v>0</v>
      </c>
      <c r="T86" s="63">
        <f>IF(L86=0,0,求节点(宝物升星!$C$92:$C$97,宝物升星!G$92:G$97,P86))</f>
        <v>1</v>
      </c>
      <c r="U86" s="16">
        <f>宝石镶嵌!AI75</f>
        <v>12.657018969706932</v>
      </c>
      <c r="V86" s="16">
        <v>12.656619351282938</v>
      </c>
      <c r="Y86" s="16">
        <v>0</v>
      </c>
      <c r="Z86" s="16">
        <v>3</v>
      </c>
      <c r="AA86" s="16">
        <v>5</v>
      </c>
      <c r="AB86" s="16">
        <v>5</v>
      </c>
    </row>
    <row r="87" spans="2:28">
      <c r="B87" s="16">
        <v>21</v>
      </c>
      <c r="C87" s="17">
        <v>150</v>
      </c>
      <c r="D87" s="17">
        <f>求节点(节奏总纲!$O$4:$O$163,节奏总纲!R$4:R$163,C87)</f>
        <v>21996.487099999998</v>
      </c>
      <c r="E87" s="17">
        <f>求节点(其他调用!$AM$97:$AM$135,其他调用!AP$97:AP$135,$C87)</f>
        <v>0</v>
      </c>
      <c r="F87" s="17">
        <f>求节点(其他调用!$AM$97:$AM$135,其他调用!AQ$97:AQ$135,$C87)</f>
        <v>0</v>
      </c>
      <c r="G87" s="17">
        <f>求节点(其他调用!$AM$97:$AM$135,其他调用!AR$97:AR$135,$C87)</f>
        <v>0</v>
      </c>
      <c r="H87" s="17">
        <f>求节点(其他调用!$AM$97:$AM$135,其他调用!AS$97:AS$135,$C87)</f>
        <v>6</v>
      </c>
      <c r="I87" s="17">
        <f>IF(C87&lt;$D$2-10,0,MIN(投放验证!AL87,6-SUM(J87:$L87)))</f>
        <v>0</v>
      </c>
      <c r="J87" s="17">
        <f>IF(D87&lt;$D$2-10,0,MIN(投放验证!AM87,6-SUM(K87:$L87)))</f>
        <v>0</v>
      </c>
      <c r="K87" s="61">
        <f>IF(C87&lt;$D$2-10,0,MIN(投放验证!AN87,6-SUM(L87:$L87),G87))</f>
        <v>0</v>
      </c>
      <c r="L87" s="74">
        <f>IF(C87&lt;$D$2-10,0,MIN(投放验证!AO87,H87))</f>
        <v>6</v>
      </c>
      <c r="M87" s="17">
        <f>投放验证!AP87</f>
        <v>0</v>
      </c>
      <c r="N87" s="17">
        <f>投放验证!AQ87</f>
        <v>3</v>
      </c>
      <c r="O87" s="17">
        <f>投放验证!AR87</f>
        <v>5</v>
      </c>
      <c r="P87" s="17">
        <f>投放验证!AS87</f>
        <v>5</v>
      </c>
      <c r="Q87" s="63">
        <f>IF(I87=0,0,求节点(宝物升星!$C$92:$C$97,宝物升星!D$92:D$97,M87))</f>
        <v>0</v>
      </c>
      <c r="R87" s="63">
        <f>IF(J87=0,0,求节点(宝物升星!$C$92:$C$97,宝物升星!E$92:E$97,N87))</f>
        <v>0</v>
      </c>
      <c r="S87" s="63">
        <f>IF(K87=0,0,求节点(宝物升星!$C$92:$C$97,宝物升星!F$92:F$97,O87))</f>
        <v>0</v>
      </c>
      <c r="T87" s="63">
        <f>IF(L87=0,0,求节点(宝物升星!$C$92:$C$97,宝物升星!G$92:G$97,P87))</f>
        <v>1</v>
      </c>
      <c r="U87" s="16">
        <f>宝石镶嵌!AI76</f>
        <v>13.045479148751161</v>
      </c>
      <c r="V87" s="16">
        <v>13.045345942609829</v>
      </c>
      <c r="Y87" s="16">
        <v>0</v>
      </c>
      <c r="Z87" s="16">
        <v>3</v>
      </c>
      <c r="AA87" s="16">
        <v>5</v>
      </c>
      <c r="AB87" s="16">
        <v>5</v>
      </c>
    </row>
    <row r="88" spans="2:28">
      <c r="B88" s="16">
        <v>22</v>
      </c>
      <c r="C88" s="17">
        <v>155</v>
      </c>
      <c r="D88" s="17">
        <f>求节点(节奏总纲!$O$4:$O$163,节奏总纲!R$4:R$163,C88)</f>
        <v>44402.940101346627</v>
      </c>
      <c r="E88" s="17">
        <f>求节点(其他调用!$AM$97:$AM$135,其他调用!AP$97:AP$135,$C88)</f>
        <v>0</v>
      </c>
      <c r="F88" s="17">
        <f>求节点(其他调用!$AM$97:$AM$135,其他调用!AQ$97:AQ$135,$C88)</f>
        <v>0</v>
      </c>
      <c r="G88" s="17">
        <f>求节点(其他调用!$AM$97:$AM$135,其他调用!AR$97:AR$135,$C88)</f>
        <v>0</v>
      </c>
      <c r="H88" s="17">
        <f>求节点(其他调用!$AM$97:$AM$135,其他调用!AS$97:AS$135,$C88)</f>
        <v>6</v>
      </c>
      <c r="I88" s="17">
        <f>IF(C88&lt;$D$2-10,0,MIN(投放验证!AL88,6-SUM(J88:$L88)))</f>
        <v>0</v>
      </c>
      <c r="J88" s="17">
        <f>IF(D88&lt;$D$2-10,0,MIN(投放验证!AM88,6-SUM(K88:$L88)))</f>
        <v>0</v>
      </c>
      <c r="K88" s="61">
        <f>IF(C88&lt;$D$2-10,0,MIN(投放验证!AN88,6-SUM(L88:$L88),G88))</f>
        <v>0</v>
      </c>
      <c r="L88" s="74">
        <f>IF(C88&lt;$D$2-10,0,MIN(投放验证!AO88,H88))</f>
        <v>6</v>
      </c>
      <c r="M88" s="17">
        <f>投放验证!AP88</f>
        <v>0</v>
      </c>
      <c r="N88" s="17">
        <f>投放验证!AQ88</f>
        <v>3</v>
      </c>
      <c r="O88" s="17">
        <f>投放验证!AR88</f>
        <v>5</v>
      </c>
      <c r="P88" s="17">
        <f>投放验证!AS88</f>
        <v>5</v>
      </c>
      <c r="Q88" s="63">
        <f>IF(I88=0,0,求节点(宝物升星!$C$92:$C$97,宝物升星!D$92:D$97,M88))</f>
        <v>0</v>
      </c>
      <c r="R88" s="63">
        <f>IF(J88=0,0,求节点(宝物升星!$C$92:$C$97,宝物升星!E$92:E$97,N88))</f>
        <v>0</v>
      </c>
      <c r="S88" s="63">
        <f>IF(K88=0,0,求节点(宝物升星!$C$92:$C$97,宝物升星!F$92:F$97,O88))</f>
        <v>0</v>
      </c>
      <c r="T88" s="63">
        <f>IF(L88=0,0,求节点(宝物升星!$C$92:$C$97,宝物升星!G$92:G$97,P88))</f>
        <v>1</v>
      </c>
      <c r="U88" s="16">
        <f>宝石镶嵌!AI77</f>
        <v>13.271479185945953</v>
      </c>
      <c r="V88" s="16">
        <v>13.271345979804622</v>
      </c>
      <c r="Y88" s="16">
        <v>0</v>
      </c>
      <c r="Z88" s="16">
        <v>3</v>
      </c>
      <c r="AA88" s="16">
        <v>5</v>
      </c>
      <c r="AB88" s="16">
        <v>5</v>
      </c>
    </row>
    <row r="89" spans="2:28">
      <c r="B89" s="16">
        <v>23</v>
      </c>
      <c r="C89" s="17">
        <v>160</v>
      </c>
      <c r="D89" s="17">
        <f>求节点(节奏总纲!$O$4:$O$163,节奏总纲!R$4:R$163,C89)</f>
        <v>66190.350000000006</v>
      </c>
      <c r="E89" s="17">
        <f>求节点(其他调用!$AM$97:$AM$135,其他调用!AP$97:AP$135,$C89)</f>
        <v>0</v>
      </c>
      <c r="F89" s="17">
        <f>求节点(其他调用!$AM$97:$AM$135,其他调用!AQ$97:AQ$135,$C89)</f>
        <v>0</v>
      </c>
      <c r="G89" s="17">
        <f>求节点(其他调用!$AM$97:$AM$135,其他调用!AR$97:AR$135,$C89)</f>
        <v>0</v>
      </c>
      <c r="H89" s="17">
        <f>求节点(其他调用!$AM$97:$AM$135,其他调用!AS$97:AS$135,$C89)</f>
        <v>6</v>
      </c>
      <c r="I89" s="17">
        <f>IF(C89&lt;$D$2-10,0,MIN(投放验证!AL89,6-SUM(J89:$L89)))</f>
        <v>0</v>
      </c>
      <c r="J89" s="17">
        <f>IF(D89&lt;$D$2-10,0,MIN(投放验证!AM89,6-SUM(K89:$L89)))</f>
        <v>0</v>
      </c>
      <c r="K89" s="61">
        <f>IF(C89&lt;$D$2-10,0,MIN(投放验证!AN89,6-SUM(L89:$L89),G89))</f>
        <v>0</v>
      </c>
      <c r="L89" s="74">
        <f>IF(C89&lt;$D$2-10,0,MIN(投放验证!AO89,H89))</f>
        <v>6</v>
      </c>
      <c r="M89" s="17">
        <f>投放验证!AP89</f>
        <v>0</v>
      </c>
      <c r="N89" s="17">
        <f>投放验证!AQ89</f>
        <v>3</v>
      </c>
      <c r="O89" s="17">
        <f>投放验证!AR89</f>
        <v>5</v>
      </c>
      <c r="P89" s="17">
        <f>投放验证!AS89</f>
        <v>5</v>
      </c>
      <c r="Q89" s="63">
        <f>IF(I89=0,0,求节点(宝物升星!$C$92:$C$97,宝物升星!D$92:D$97,M89))</f>
        <v>0</v>
      </c>
      <c r="R89" s="63">
        <f>IF(J89=0,0,求节点(宝物升星!$C$92:$C$97,宝物升星!E$92:E$97,N89))</f>
        <v>0</v>
      </c>
      <c r="S89" s="63">
        <f>IF(K89=0,0,求节点(宝物升星!$C$92:$C$97,宝物升星!F$92:F$97,O89))</f>
        <v>0</v>
      </c>
      <c r="T89" s="63">
        <f>IF(L89=0,0,求节点(宝物升星!$C$92:$C$97,宝物升星!G$92:G$97,P89))</f>
        <v>1</v>
      </c>
      <c r="U89" s="16">
        <f>宝石镶嵌!AI78</f>
        <v>13.591091503643652</v>
      </c>
      <c r="V89" s="16">
        <v>13.59095829750232</v>
      </c>
      <c r="Y89" s="16">
        <v>0</v>
      </c>
      <c r="Z89" s="16">
        <v>3</v>
      </c>
      <c r="AA89" s="16">
        <v>5</v>
      </c>
      <c r="AB89" s="16">
        <v>5</v>
      </c>
    </row>
    <row r="90" spans="2:28">
      <c r="B90" s="16">
        <v>24</v>
      </c>
    </row>
    <row r="91" spans="2:28">
      <c r="B91" s="16">
        <v>25</v>
      </c>
    </row>
    <row r="92" spans="2:28">
      <c r="B92" s="16">
        <v>26</v>
      </c>
    </row>
    <row r="93" spans="2:28">
      <c r="B93" s="16">
        <v>1</v>
      </c>
      <c r="C93" s="171" t="s">
        <v>250</v>
      </c>
      <c r="D93" s="172"/>
      <c r="E93" s="171" t="s">
        <v>425</v>
      </c>
      <c r="F93" s="173"/>
      <c r="G93" s="173"/>
      <c r="H93" s="172"/>
      <c r="I93" s="170" t="s">
        <v>349</v>
      </c>
      <c r="J93" s="170"/>
      <c r="K93" s="170"/>
      <c r="L93" s="170"/>
      <c r="M93" s="170" t="s">
        <v>364</v>
      </c>
      <c r="N93" s="170"/>
      <c r="O93" s="170"/>
      <c r="P93" s="170"/>
      <c r="Q93" s="169" t="s">
        <v>365</v>
      </c>
      <c r="R93" s="169"/>
      <c r="S93" s="169"/>
      <c r="T93" s="169"/>
      <c r="Y93" s="16" t="s">
        <v>364</v>
      </c>
    </row>
    <row r="94" spans="2:28">
      <c r="B94" s="16">
        <v>2</v>
      </c>
      <c r="C94" s="17" t="s">
        <v>161</v>
      </c>
      <c r="D94" s="17" t="s">
        <v>158</v>
      </c>
      <c r="E94" s="17" t="s">
        <v>1</v>
      </c>
      <c r="F94" s="17" t="s">
        <v>2</v>
      </c>
      <c r="G94" s="17" t="s">
        <v>0</v>
      </c>
      <c r="H94" s="17" t="s">
        <v>205</v>
      </c>
      <c r="I94" s="17" t="s">
        <v>1</v>
      </c>
      <c r="J94" s="17" t="s">
        <v>2</v>
      </c>
      <c r="K94" s="17" t="s">
        <v>0</v>
      </c>
      <c r="L94" s="17" t="s">
        <v>205</v>
      </c>
      <c r="M94" s="30" t="s">
        <v>1</v>
      </c>
      <c r="N94" s="30" t="s">
        <v>2</v>
      </c>
      <c r="O94" s="30" t="s">
        <v>0</v>
      </c>
      <c r="P94" s="17" t="s">
        <v>205</v>
      </c>
      <c r="Q94" s="63" t="s">
        <v>1</v>
      </c>
      <c r="R94" s="63" t="s">
        <v>2</v>
      </c>
      <c r="S94" s="63" t="s">
        <v>0</v>
      </c>
      <c r="T94" s="63" t="s">
        <v>205</v>
      </c>
      <c r="U94" s="16" t="str">
        <f>宝石镶嵌!AI83</f>
        <v>宝石等级</v>
      </c>
      <c r="V94" s="16" t="s">
        <v>760</v>
      </c>
      <c r="Y94" s="16" t="s">
        <v>79</v>
      </c>
      <c r="Z94" s="16" t="s">
        <v>80</v>
      </c>
      <c r="AA94" s="16" t="s">
        <v>81</v>
      </c>
      <c r="AB94" s="16" t="s">
        <v>205</v>
      </c>
    </row>
    <row r="95" spans="2:28">
      <c r="B95" s="16">
        <v>3</v>
      </c>
      <c r="C95" s="17">
        <v>50</v>
      </c>
      <c r="D95" s="17">
        <f>求节点(节奏总纲!$O$4:$O$163,节奏总纲!S$4:S$163,C95)</f>
        <v>16.386599999999998</v>
      </c>
      <c r="E95" s="17">
        <f>求节点(其他调用!$AM$142:$AM$180,其他调用!AP$142:AP$180,$C95)</f>
        <v>0</v>
      </c>
      <c r="F95" s="17">
        <f>求节点(其他调用!$AM$142:$AM$180,其他调用!AQ$142:AQ$180,$C95)</f>
        <v>0</v>
      </c>
      <c r="G95" s="17">
        <f>求节点(其他调用!$AM$142:$AM$180,其他调用!AR$142:AR$180,$C95)</f>
        <v>5.6858826437339172</v>
      </c>
      <c r="H95" s="17">
        <f>求节点(其他调用!$AM$142:$AM$180,其他调用!AS$142:AS$180,$C95)</f>
        <v>0.31411735626608261</v>
      </c>
      <c r="I95" s="17">
        <f>IF(C95&lt;$D$2-10,0,MIN(投放验证!AL95,6-SUM(J95:$L95)))</f>
        <v>0</v>
      </c>
      <c r="J95" s="17">
        <f>IF(D95&lt;$D$2-10,0,MIN(投放验证!AM95,6-SUM(K95:$L95)))</f>
        <v>0</v>
      </c>
      <c r="K95" s="61">
        <f>IF(C95&lt;$D$2-10,0,MIN(投放验证!AN95,6-SUM(L95:$L95),G95))</f>
        <v>0</v>
      </c>
      <c r="L95" s="74">
        <f>IF(C95&lt;$D$2-10,0,MIN(投放验证!AO95,H95))</f>
        <v>0</v>
      </c>
      <c r="M95" s="17">
        <f>投放验证!AP95</f>
        <v>0</v>
      </c>
      <c r="N95" s="17">
        <f>投放验证!AQ95</f>
        <v>0</v>
      </c>
      <c r="O95" s="17">
        <f>投放验证!AR95</f>
        <v>0</v>
      </c>
      <c r="P95" s="17">
        <f>投放验证!AS95</f>
        <v>0</v>
      </c>
      <c r="Q95" s="83">
        <f>IF(I95=0,0,求节点(宝物升星!$C$92:$C$97,宝物升星!D$92:D$97,M95))</f>
        <v>0</v>
      </c>
      <c r="R95" s="83">
        <f>IF(J95=0,0,求节点(宝物升星!$C$92:$C$97,宝物升星!E$92:E$97,N95))</f>
        <v>0</v>
      </c>
      <c r="S95" s="83">
        <f>IF(K95=0,0,求节点(宝物升星!$C$92:$C$97,宝物升星!F$92:F$97,O95))</f>
        <v>0</v>
      </c>
      <c r="T95" s="83">
        <f>IF(L95=0,0,求节点(宝物升星!$C$92:$C$97,宝物升星!G$92:G$97,P95))</f>
        <v>0</v>
      </c>
      <c r="U95" s="16">
        <f>宝石镶嵌!AI84</f>
        <v>6.373965493273837</v>
      </c>
      <c r="V95" s="16">
        <v>6.0826436621825577</v>
      </c>
      <c r="Y95" s="16">
        <v>0</v>
      </c>
      <c r="Z95" s="16">
        <v>0</v>
      </c>
      <c r="AA95" s="16">
        <v>0</v>
      </c>
      <c r="AB95" s="16">
        <v>0</v>
      </c>
    </row>
    <row r="96" spans="2:28">
      <c r="B96" s="16">
        <v>4</v>
      </c>
      <c r="C96" s="17">
        <v>60</v>
      </c>
      <c r="D96" s="17">
        <f>求节点(节奏总纲!$O$4:$O$163,节奏总纲!S$4:S$163,C96)</f>
        <v>32.810400000000001</v>
      </c>
      <c r="E96" s="17">
        <f>求节点(其他调用!$AM$142:$AM$180,其他调用!AP$142:AP$180,$C96)</f>
        <v>0</v>
      </c>
      <c r="F96" s="17">
        <f>求节点(其他调用!$AM$142:$AM$180,其他调用!AQ$142:AQ$180,$C96)</f>
        <v>0</v>
      </c>
      <c r="G96" s="17">
        <f>求节点(其他调用!$AM$142:$AM$180,其他调用!AR$142:AR$180,$C96)</f>
        <v>3.772086310474251</v>
      </c>
      <c r="H96" s="17">
        <f>求节点(其他调用!$AM$142:$AM$180,其他调用!AS$142:AS$180,$C96)</f>
        <v>2.227913689525749</v>
      </c>
      <c r="I96" s="17">
        <f>IF(C96&lt;$D$2-10,0,MIN(投放验证!AL96,6-SUM(J96:$L96)))</f>
        <v>0</v>
      </c>
      <c r="J96" s="17">
        <f>IF(D96&lt;$D$2-10,0,MIN(投放验证!AM96,6-SUM(K96:$L96)))</f>
        <v>0</v>
      </c>
      <c r="K96" s="61">
        <f>IF(C96&lt;$D$2-10,0,MIN(投放验证!AN96,6-SUM(L96:$L96),G96))</f>
        <v>3.772086310474251</v>
      </c>
      <c r="L96" s="74">
        <f>IF(C96&lt;$D$2-10,0,MIN(投放验证!AO96,H96))</f>
        <v>2.227913689525749</v>
      </c>
      <c r="M96" s="17">
        <f>投放验证!AP96</f>
        <v>0</v>
      </c>
      <c r="N96" s="17">
        <f>投放验证!AQ96</f>
        <v>3</v>
      </c>
      <c r="O96" s="17">
        <f>投放验证!AR96</f>
        <v>1.1252516037348101</v>
      </c>
      <c r="P96" s="17">
        <f>投放验证!AS96</f>
        <v>1.4654700205772984</v>
      </c>
      <c r="Q96" s="63">
        <f>IF(I96=0,0,求节点(宝物升星!$C$92:$C$97,宝物升星!D$92:D$97,M96))</f>
        <v>0</v>
      </c>
      <c r="R96" s="63">
        <f>IF(J96=0,0,求节点(宝物升星!$C$92:$C$97,宝物升星!E$92:E$97,N96))</f>
        <v>0</v>
      </c>
      <c r="S96" s="63">
        <f>IF(K96=0,0,求节点(宝物升星!$C$92:$C$97,宝物升星!F$92:F$97,O96))</f>
        <v>0.35420860062246834</v>
      </c>
      <c r="T96" s="63">
        <f>IF(L96=0,0,求节点(宝物升星!$C$92:$C$97,宝物升星!G$92:G$97,P96))</f>
        <v>0.41091167009621637</v>
      </c>
      <c r="U96" s="16">
        <f>宝石镶嵌!AI85</f>
        <v>7.1797509392129841</v>
      </c>
      <c r="V96" s="16">
        <v>7.0826436621825577</v>
      </c>
      <c r="Y96" s="16">
        <v>0</v>
      </c>
      <c r="Z96" s="16">
        <v>3</v>
      </c>
      <c r="AA96" s="16">
        <v>5</v>
      </c>
      <c r="AB96" s="16">
        <v>1.540071093367481</v>
      </c>
    </row>
    <row r="97" spans="2:28">
      <c r="B97" s="16">
        <v>5</v>
      </c>
      <c r="C97" s="17">
        <v>70</v>
      </c>
      <c r="D97" s="17">
        <f>求节点(节奏总纲!$O$4:$O$163,节奏总纲!S$4:S$163,C97)</f>
        <v>65.925700000000006</v>
      </c>
      <c r="E97" s="17">
        <f>求节点(其他调用!$AM$142:$AM$180,其他调用!AP$142:AP$180,$C97)</f>
        <v>0</v>
      </c>
      <c r="F97" s="17">
        <f>求节点(其他调用!$AM$142:$AM$180,其他调用!AQ$142:AQ$180,$C97)</f>
        <v>0</v>
      </c>
      <c r="G97" s="17">
        <f>求节点(其他调用!$AM$142:$AM$180,其他调用!AR$142:AR$180,$C97)</f>
        <v>1.5782913967791621</v>
      </c>
      <c r="H97" s="17">
        <f>求节点(其他调用!$AM$142:$AM$180,其他调用!AS$142:AS$180,$C97)</f>
        <v>4.4217086032208375</v>
      </c>
      <c r="I97" s="17">
        <f>IF(C97&lt;$D$2-10,0,MIN(投放验证!AL97,6-SUM(J97:$L97)))</f>
        <v>0</v>
      </c>
      <c r="J97" s="17">
        <f>IF(D97&lt;$D$2-10,0,MIN(投放验证!AM97,6-SUM(K97:$L97)))</f>
        <v>0</v>
      </c>
      <c r="K97" s="61">
        <f>IF(C97&lt;$D$2-10,0,MIN(投放验证!AN97,6-SUM(L97:$L97),G97))</f>
        <v>1.5782913967791621</v>
      </c>
      <c r="L97" s="74">
        <f>IF(C97&lt;$D$2-10,0,MIN(投放验证!AO97,H97))</f>
        <v>4.4217086032208375</v>
      </c>
      <c r="M97" s="17">
        <f>投放验证!AP97</f>
        <v>0</v>
      </c>
      <c r="N97" s="17">
        <f>投放验证!AQ97</f>
        <v>3</v>
      </c>
      <c r="O97" s="17">
        <f>投放验证!AR97</f>
        <v>3.1911616470052833</v>
      </c>
      <c r="P97" s="17">
        <f>投放验证!AS97</f>
        <v>1.4654700205772984</v>
      </c>
      <c r="Q97" s="63">
        <f>IF(I97=0,0,求节点(宝物升星!$C$92:$C$97,宝物升星!D$92:D$97,M97))</f>
        <v>0</v>
      </c>
      <c r="R97" s="63">
        <f>IF(J97=0,0,求节点(宝物升星!$C$92:$C$97,宝物升星!E$92:E$97,N97))</f>
        <v>0</v>
      </c>
      <c r="S97" s="63">
        <f>IF(K97=0,0,求节点(宝物升星!$C$92:$C$97,宝物升星!F$92:F$97,O97))</f>
        <v>0.69852694116754721</v>
      </c>
      <c r="T97" s="63">
        <f>IF(L97=0,0,求节点(宝物升星!$C$92:$C$97,宝物升星!G$92:G$97,P97))</f>
        <v>0.41091167009621637</v>
      </c>
      <c r="U97" s="16">
        <f>宝石镶嵌!AI86</f>
        <v>7.9566091554563947</v>
      </c>
      <c r="V97" s="16">
        <v>7.8595018784259683</v>
      </c>
      <c r="Y97" s="16">
        <v>0</v>
      </c>
      <c r="Z97" s="16">
        <v>3</v>
      </c>
      <c r="AA97" s="16">
        <v>5</v>
      </c>
      <c r="AB97" s="16">
        <v>1.5458300099432036</v>
      </c>
    </row>
    <row r="98" spans="2:28">
      <c r="B98" s="16">
        <v>6</v>
      </c>
      <c r="C98" s="17">
        <v>75</v>
      </c>
      <c r="D98" s="17">
        <f>求节点(节奏总纲!$O$4:$O$163,节奏总纲!S$4:S$163,C98)</f>
        <v>93.214012172388934</v>
      </c>
      <c r="E98" s="17">
        <f>求节点(其他调用!$AM$142:$AM$180,其他调用!AP$142:AP$180,$C98)</f>
        <v>0</v>
      </c>
      <c r="F98" s="17">
        <f>求节点(其他调用!$AM$142:$AM$180,其他调用!AQ$142:AQ$180,$C98)</f>
        <v>0</v>
      </c>
      <c r="G98" s="17">
        <f>求节点(其他调用!$AM$142:$AM$180,其他调用!AR$142:AR$180,$C98)</f>
        <v>0.4107926775518787</v>
      </c>
      <c r="H98" s="17">
        <f>求节点(其他调用!$AM$142:$AM$180,其他调用!AS$142:AS$180,$C98)</f>
        <v>5.5892073224481216</v>
      </c>
      <c r="I98" s="17">
        <f>IF(C98&lt;$D$2-10,0,MIN(投放验证!AL98,6-SUM(J98:$L98)))</f>
        <v>0</v>
      </c>
      <c r="J98" s="17">
        <f>IF(D98&lt;$D$2-10,0,MIN(投放验证!AM98,6-SUM(K98:$L98)))</f>
        <v>0</v>
      </c>
      <c r="K98" s="61">
        <f>IF(C98&lt;$D$2-10,0,MIN(投放验证!AN98,6-SUM(L98:$L98),G98))</f>
        <v>0.41079267755187843</v>
      </c>
      <c r="L98" s="74">
        <f>IF(C98&lt;$D$2-10,0,MIN(投放验证!AO98,H98))</f>
        <v>5.5892073224481216</v>
      </c>
      <c r="M98" s="17">
        <f>投放验证!AP98</f>
        <v>0</v>
      </c>
      <c r="N98" s="17">
        <f>投放验证!AQ98</f>
        <v>3</v>
      </c>
      <c r="O98" s="17">
        <f>投放验证!AR98</f>
        <v>4.8819292708226376</v>
      </c>
      <c r="P98" s="17">
        <f>投放验证!AS98</f>
        <v>1.6886518530918333</v>
      </c>
      <c r="Q98" s="63">
        <f>IF(I98=0,0,求节点(宝物升星!$C$92:$C$97,宝物升星!D$92:D$97,M98))</f>
        <v>0</v>
      </c>
      <c r="R98" s="63">
        <f>IF(J98=0,0,求节点(宝物升星!$C$92:$C$97,宝物升星!E$92:E$97,N98))</f>
        <v>0</v>
      </c>
      <c r="S98" s="63">
        <f>IF(K98=0,0,求节点(宝物升星!$C$92:$C$97,宝物升星!F$92:F$97,O98))</f>
        <v>0.98032154513710623</v>
      </c>
      <c r="T98" s="63">
        <f>IF(L98=0,0,求节点(宝物升星!$C$92:$C$97,宝物升星!G$92:G$97,P98))</f>
        <v>0.44810864218197222</v>
      </c>
      <c r="U98" s="16">
        <f>宝石镶嵌!AI87</f>
        <v>8.2000598579581254</v>
      </c>
      <c r="V98" s="16">
        <v>8.1676907656146494</v>
      </c>
      <c r="Y98" s="16">
        <v>0</v>
      </c>
      <c r="Z98" s="16">
        <v>3</v>
      </c>
      <c r="AA98" s="16">
        <v>5</v>
      </c>
      <c r="AB98" s="16">
        <v>1.8338788178076846</v>
      </c>
    </row>
    <row r="99" spans="2:28">
      <c r="B99" s="16">
        <v>7</v>
      </c>
      <c r="C99" s="17">
        <v>80</v>
      </c>
      <c r="D99" s="17">
        <f>求节点(节奏总纲!$O$4:$O$163,节奏总纲!S$4:S$163,C99)</f>
        <v>131.58000000000001</v>
      </c>
      <c r="E99" s="17">
        <f>求节点(其他调用!$AM$142:$AM$180,其他调用!AP$142:AP$180,$C99)</f>
        <v>0</v>
      </c>
      <c r="F99" s="17">
        <f>求节点(其他调用!$AM$142:$AM$180,其他调用!AQ$142:AQ$180,$C99)</f>
        <v>0</v>
      </c>
      <c r="G99" s="17">
        <f>求节点(其他调用!$AM$142:$AM$180,其他调用!AR$142:AR$180,$C99)</f>
        <v>0</v>
      </c>
      <c r="H99" s="17">
        <f>求节点(其他调用!$AM$142:$AM$180,其他调用!AS$142:AS$180,$C99)</f>
        <v>6</v>
      </c>
      <c r="I99" s="17">
        <f>IF(C99&lt;$D$2-10,0,MIN(投放验证!AL99,6-SUM(J99:$L99)))</f>
        <v>0</v>
      </c>
      <c r="J99" s="17">
        <f>IF(D99&lt;$D$2-10,0,MIN(投放验证!AM99,6-SUM(K99:$L99)))</f>
        <v>0</v>
      </c>
      <c r="K99" s="61">
        <f>IF(C99&lt;$D$2-10,0,MIN(投放验证!AN99,6-SUM(L99:$L99),G99))</f>
        <v>0</v>
      </c>
      <c r="L99" s="74">
        <f>IF(C99&lt;$D$2-10,0,MIN(投放验证!AO99,H99))</f>
        <v>6</v>
      </c>
      <c r="M99" s="17">
        <f>投放验证!AP99</f>
        <v>0</v>
      </c>
      <c r="N99" s="17">
        <f>投放验证!AQ99</f>
        <v>3</v>
      </c>
      <c r="O99" s="17">
        <f>投放验证!AR99</f>
        <v>5</v>
      </c>
      <c r="P99" s="17">
        <f>投放验证!AS99</f>
        <v>2.4555166872012335</v>
      </c>
      <c r="Q99" s="63">
        <f>IF(I99=0,0,求节点(宝物升星!$C$92:$C$97,宝物升星!D$92:D$97,M99))</f>
        <v>0</v>
      </c>
      <c r="R99" s="63">
        <f>IF(J99=0,0,求节点(宝物升星!$C$92:$C$97,宝物升星!E$92:E$97,N99))</f>
        <v>0</v>
      </c>
      <c r="S99" s="63">
        <f>IF(K99=0,0,求节点(宝物升星!$C$92:$C$97,宝物升星!F$92:F$97,O99))</f>
        <v>0</v>
      </c>
      <c r="T99" s="63">
        <f>IF(L99=0,0,求节点(宝物升星!$C$92:$C$97,宝物升星!G$92:G$97,P99))</f>
        <v>0.57591944786687221</v>
      </c>
      <c r="U99" s="16">
        <f>宝石镶嵌!AI88</f>
        <v>8.5034418626477386</v>
      </c>
      <c r="V99" s="16">
        <v>8.4710727703042625</v>
      </c>
      <c r="Y99" s="16">
        <v>0</v>
      </c>
      <c r="Z99" s="16">
        <v>3</v>
      </c>
      <c r="AA99" s="16">
        <v>5</v>
      </c>
      <c r="AB99" s="16">
        <v>2.6598067101156091</v>
      </c>
    </row>
    <row r="100" spans="2:28">
      <c r="B100" s="16">
        <v>8</v>
      </c>
      <c r="C100" s="17">
        <v>85</v>
      </c>
      <c r="D100" s="17">
        <f>求节点(节奏总纲!$O$4:$O$163,节奏总纲!S$4:S$163,C100)</f>
        <v>185.57387739130132</v>
      </c>
      <c r="E100" s="17">
        <f>求节点(其他调用!$AM$142:$AM$180,其他调用!AP$142:AP$180,$C100)</f>
        <v>0</v>
      </c>
      <c r="F100" s="17">
        <f>求节点(其他调用!$AM$142:$AM$180,其他调用!AQ$142:AQ$180,$C100)</f>
        <v>0</v>
      </c>
      <c r="G100" s="17">
        <f>求节点(其他调用!$AM$142:$AM$180,其他调用!AR$142:AR$180,$C100)</f>
        <v>0</v>
      </c>
      <c r="H100" s="17">
        <f>求节点(其他调用!$AM$142:$AM$180,其他调用!AS$142:AS$180,$C100)</f>
        <v>6</v>
      </c>
      <c r="I100" s="17">
        <f>IF(C100&lt;$D$2-10,0,MIN(投放验证!AL100,6-SUM(J100:$L100)))</f>
        <v>0</v>
      </c>
      <c r="J100" s="17">
        <f>IF(D100&lt;$D$2-10,0,MIN(投放验证!AM100,6-SUM(K100:$L100)))</f>
        <v>0</v>
      </c>
      <c r="K100" s="61">
        <f>IF(C100&lt;$D$2-10,0,MIN(投放验证!AN100,6-SUM(L100:$L100),G100))</f>
        <v>0</v>
      </c>
      <c r="L100" s="74">
        <f>IF(C100&lt;$D$2-10,0,MIN(投放验证!AO100,H100))</f>
        <v>6</v>
      </c>
      <c r="M100" s="17">
        <f>投放验证!AP100</f>
        <v>0</v>
      </c>
      <c r="N100" s="17">
        <f>投放验证!AQ100</f>
        <v>3</v>
      </c>
      <c r="O100" s="17">
        <f>投放验证!AR100</f>
        <v>5</v>
      </c>
      <c r="P100" s="17">
        <f>投放验证!AS100</f>
        <v>3.7913127273517064</v>
      </c>
      <c r="Q100" s="63">
        <f>IF(I100=0,0,求节点(宝物升星!$C$92:$C$97,宝物升星!D$92:D$97,M100))</f>
        <v>0</v>
      </c>
      <c r="R100" s="63">
        <f>IF(J100=0,0,求节点(宝物升星!$C$92:$C$97,宝物升星!E$92:E$97,N100))</f>
        <v>0</v>
      </c>
      <c r="S100" s="63">
        <f>IF(K100=0,0,求节点(宝物升星!$C$92:$C$97,宝物升星!F$92:F$97,O100))</f>
        <v>0</v>
      </c>
      <c r="T100" s="63">
        <f>IF(L100=0,0,求节点(宝物升星!$C$92:$C$97,宝物升星!G$92:G$97,P100))</f>
        <v>0.79855212122528441</v>
      </c>
      <c r="U100" s="16">
        <f>宝石镶嵌!AI89</f>
        <v>8.9324888082597269</v>
      </c>
      <c r="V100" s="16">
        <v>8.9001197159162508</v>
      </c>
      <c r="Y100" s="16">
        <v>0</v>
      </c>
      <c r="Z100" s="16">
        <v>3</v>
      </c>
      <c r="AA100" s="16">
        <v>5</v>
      </c>
      <c r="AB100" s="16">
        <v>4.1002502314066911</v>
      </c>
    </row>
    <row r="101" spans="2:28">
      <c r="B101" s="16">
        <v>9</v>
      </c>
      <c r="C101" s="17">
        <v>90</v>
      </c>
      <c r="D101" s="17">
        <f>求节点(节奏总纲!$O$4:$O$163,节奏总纲!S$4:S$163,C101)</f>
        <v>254.88680000000002</v>
      </c>
      <c r="E101" s="17">
        <f>求节点(其他调用!$AM$142:$AM$180,其他调用!AP$142:AP$180,$C101)</f>
        <v>0</v>
      </c>
      <c r="F101" s="17">
        <f>求节点(其他调用!$AM$142:$AM$180,其他调用!AQ$142:AQ$180,$C101)</f>
        <v>0</v>
      </c>
      <c r="G101" s="17">
        <f>求节点(其他调用!$AM$142:$AM$180,其他调用!AR$142:AR$180,$C101)</f>
        <v>0</v>
      </c>
      <c r="H101" s="17">
        <f>求节点(其他调用!$AM$142:$AM$180,其他调用!AS$142:AS$180,$C101)</f>
        <v>6</v>
      </c>
      <c r="I101" s="17">
        <f>IF(C101&lt;$D$2-10,0,MIN(投放验证!AL101,6-SUM(J101:$L101)))</f>
        <v>0</v>
      </c>
      <c r="J101" s="17">
        <f>IF(D101&lt;$D$2-10,0,MIN(投放验证!AM101,6-SUM(K101:$L101)))</f>
        <v>0</v>
      </c>
      <c r="K101" s="61">
        <f>IF(C101&lt;$D$2-10,0,MIN(投放验证!AN101,6-SUM(L101:$L101),G101))</f>
        <v>0</v>
      </c>
      <c r="L101" s="74">
        <f>IF(C101&lt;$D$2-10,0,MIN(投放验证!AO101,H101))</f>
        <v>6</v>
      </c>
      <c r="M101" s="17">
        <f>投放验证!AP101</f>
        <v>0</v>
      </c>
      <c r="N101" s="17">
        <f>投放验证!AQ101</f>
        <v>3</v>
      </c>
      <c r="O101" s="17">
        <f>投放验证!AR101</f>
        <v>5</v>
      </c>
      <c r="P101" s="17">
        <f>投放验证!AS101</f>
        <v>5</v>
      </c>
      <c r="Q101" s="63">
        <f>IF(I101=0,0,求节点(宝物升星!$C$92:$C$97,宝物升星!D$92:D$97,M101))</f>
        <v>0</v>
      </c>
      <c r="R101" s="63">
        <f>IF(J101=0,0,求节点(宝物升星!$C$92:$C$97,宝物升星!E$92:E$97,N101))</f>
        <v>0</v>
      </c>
      <c r="S101" s="63">
        <f>IF(K101=0,0,求节点(宝物升星!$C$92:$C$97,宝物升星!F$92:F$97,O101))</f>
        <v>0</v>
      </c>
      <c r="T101" s="63">
        <f>IF(L101=0,0,求节点(宝物升星!$C$92:$C$97,宝物升星!G$92:G$97,P101))</f>
        <v>1</v>
      </c>
      <c r="U101" s="16">
        <f>宝石镶嵌!AI90</f>
        <v>9.179750939212985</v>
      </c>
      <c r="V101" s="16">
        <v>9.1689612417651585</v>
      </c>
      <c r="Y101" s="16">
        <v>0</v>
      </c>
      <c r="Z101" s="16">
        <v>3</v>
      </c>
      <c r="AA101" s="16">
        <v>5</v>
      </c>
      <c r="AB101" s="16">
        <v>5</v>
      </c>
    </row>
    <row r="102" spans="2:28">
      <c r="B102" s="16">
        <v>10</v>
      </c>
      <c r="C102" s="17">
        <v>95</v>
      </c>
      <c r="D102" s="17">
        <f>求节点(节奏总纲!$O$4:$O$163,节奏总纲!S$4:S$163,C102)</f>
        <v>355.39251454406457</v>
      </c>
      <c r="E102" s="17">
        <f>求节点(其他调用!$AM$142:$AM$180,其他调用!AP$142:AP$180,$C102)</f>
        <v>0</v>
      </c>
      <c r="F102" s="17">
        <f>求节点(其他调用!$AM$142:$AM$180,其他调用!AQ$142:AQ$180,$C102)</f>
        <v>0</v>
      </c>
      <c r="G102" s="17">
        <f>求节点(其他调用!$AM$142:$AM$180,其他调用!AR$142:AR$180,$C102)</f>
        <v>0</v>
      </c>
      <c r="H102" s="17">
        <f>求节点(其他调用!$AM$142:$AM$180,其他调用!AS$142:AS$180,$C102)</f>
        <v>6</v>
      </c>
      <c r="I102" s="17">
        <f>IF(C102&lt;$D$2-10,0,MIN(投放验证!AL102,6-SUM(J102:$L102)))</f>
        <v>0</v>
      </c>
      <c r="J102" s="17">
        <f>IF(D102&lt;$D$2-10,0,MIN(投放验证!AM102,6-SUM(K102:$L102)))</f>
        <v>0</v>
      </c>
      <c r="K102" s="61">
        <f>IF(C102&lt;$D$2-10,0,MIN(投放验证!AN102,6-SUM(L102:$L102),G102))</f>
        <v>0</v>
      </c>
      <c r="L102" s="74">
        <f>IF(C102&lt;$D$2-10,0,MIN(投放验证!AO102,H102))</f>
        <v>6</v>
      </c>
      <c r="M102" s="17">
        <f>投放验证!AP102</f>
        <v>0</v>
      </c>
      <c r="N102" s="17">
        <f>投放验证!AQ102</f>
        <v>3</v>
      </c>
      <c r="O102" s="17">
        <f>投放验证!AR102</f>
        <v>5</v>
      </c>
      <c r="P102" s="17">
        <f>投放验证!AS102</f>
        <v>5</v>
      </c>
      <c r="Q102" s="63">
        <f>IF(I102=0,0,求节点(宝物升星!$C$92:$C$97,宝物升星!D$92:D$97,M102))</f>
        <v>0</v>
      </c>
      <c r="R102" s="63">
        <f>IF(J102=0,0,求节点(宝物升星!$C$92:$C$97,宝物升星!E$92:E$97,N102))</f>
        <v>0</v>
      </c>
      <c r="S102" s="63">
        <f>IF(K102=0,0,求节点(宝物升星!$C$92:$C$97,宝物升星!F$92:F$97,O102))</f>
        <v>0</v>
      </c>
      <c r="T102" s="63">
        <f>IF(L102=0,0,求节点(宝物升星!$C$92:$C$97,宝物升星!G$92:G$97,P102))</f>
        <v>1</v>
      </c>
      <c r="U102" s="16">
        <f>宝石镶嵌!AI91</f>
        <v>9.4657822362876427</v>
      </c>
      <c r="V102" s="16">
        <v>9.4549925388398179</v>
      </c>
      <c r="Y102" s="16">
        <v>0</v>
      </c>
      <c r="Z102" s="16">
        <v>3</v>
      </c>
      <c r="AA102" s="16">
        <v>5</v>
      </c>
      <c r="AB102" s="16">
        <v>5</v>
      </c>
    </row>
    <row r="103" spans="2:28">
      <c r="B103" s="16">
        <v>11</v>
      </c>
      <c r="C103" s="17">
        <v>100</v>
      </c>
      <c r="D103" s="17">
        <f>求节点(节奏总纲!$O$4:$O$163,节奏总纲!S$4:S$163,C103)</f>
        <v>508.22640000000001</v>
      </c>
      <c r="E103" s="17">
        <f>求节点(其他调用!$AM$142:$AM$180,其他调用!AP$142:AP$180,$C103)</f>
        <v>0</v>
      </c>
      <c r="F103" s="17">
        <f>求节点(其他调用!$AM$142:$AM$180,其他调用!AQ$142:AQ$180,$C103)</f>
        <v>0</v>
      </c>
      <c r="G103" s="17">
        <f>求节点(其他调用!$AM$142:$AM$180,其他调用!AR$142:AR$180,$C103)</f>
        <v>0</v>
      </c>
      <c r="H103" s="17">
        <f>求节点(其他调用!$AM$142:$AM$180,其他调用!AS$142:AS$180,$C103)</f>
        <v>6</v>
      </c>
      <c r="I103" s="17">
        <f>IF(C103&lt;$D$2-10,0,MIN(投放验证!AL103,6-SUM(J103:$L103)))</f>
        <v>0</v>
      </c>
      <c r="J103" s="17">
        <f>IF(D103&lt;$D$2-10,0,MIN(投放验证!AM103,6-SUM(K103:$L103)))</f>
        <v>0</v>
      </c>
      <c r="K103" s="61">
        <f>IF(C103&lt;$D$2-10,0,MIN(投放验证!AN103,6-SUM(L103:$L103),G103))</f>
        <v>0</v>
      </c>
      <c r="L103" s="74">
        <f>IF(C103&lt;$D$2-10,0,MIN(投放验证!AO103,H103))</f>
        <v>6</v>
      </c>
      <c r="M103" s="17">
        <f>投放验证!AP103</f>
        <v>0</v>
      </c>
      <c r="N103" s="17">
        <f>投放验证!AQ103</f>
        <v>3</v>
      </c>
      <c r="O103" s="17">
        <f>投放验证!AR103</f>
        <v>5</v>
      </c>
      <c r="P103" s="17">
        <f>投放验证!AS103</f>
        <v>5</v>
      </c>
      <c r="Q103" s="63">
        <f>IF(I103=0,0,求节点(宝物升星!$C$92:$C$97,宝物升星!D$92:D$97,M103))</f>
        <v>0</v>
      </c>
      <c r="R103" s="63">
        <f>IF(J103=0,0,求节点(宝物升星!$C$92:$C$97,宝物升星!E$92:E$97,N103))</f>
        <v>0</v>
      </c>
      <c r="S103" s="63">
        <f>IF(K103=0,0,求节点(宝物升星!$C$92:$C$97,宝物升星!F$92:F$97,O103))</f>
        <v>0</v>
      </c>
      <c r="T103" s="63">
        <f>IF(L103=0,0,求节点(宝物升星!$C$92:$C$97,宝物升星!G$92:G$97,P103))</f>
        <v>1</v>
      </c>
      <c r="U103" s="16">
        <f>宝石镶嵌!AI92</f>
        <v>9.870291575873793</v>
      </c>
      <c r="V103" s="16">
        <v>9.8595018784259683</v>
      </c>
      <c r="Y103" s="16">
        <v>0</v>
      </c>
      <c r="Z103" s="16">
        <v>3</v>
      </c>
      <c r="AA103" s="16">
        <v>5</v>
      </c>
      <c r="AB103" s="16">
        <v>5</v>
      </c>
    </row>
    <row r="104" spans="2:28">
      <c r="B104" s="16">
        <v>12</v>
      </c>
      <c r="C104" s="17">
        <v>105</v>
      </c>
      <c r="D104" s="17">
        <f>求节点(节奏总纲!$O$4:$O$163,节奏总纲!S$4:S$163,C104)</f>
        <v>713.59197658872131</v>
      </c>
      <c r="E104" s="17">
        <f>求节点(其他调用!$AM$142:$AM$180,其他调用!AP$142:AP$180,$C104)</f>
        <v>0</v>
      </c>
      <c r="F104" s="17">
        <f>求节点(其他调用!$AM$142:$AM$180,其他调用!AQ$142:AQ$180,$C104)</f>
        <v>0</v>
      </c>
      <c r="G104" s="17">
        <f>求节点(其他调用!$AM$142:$AM$180,其他调用!AR$142:AR$180,$C104)</f>
        <v>0</v>
      </c>
      <c r="H104" s="17">
        <f>求节点(其他调用!$AM$142:$AM$180,其他调用!AS$142:AS$180,$C104)</f>
        <v>6</v>
      </c>
      <c r="I104" s="17">
        <f>IF(C104&lt;$D$2-10,0,MIN(投放验证!AL104,6-SUM(J104:$L104)))</f>
        <v>0</v>
      </c>
      <c r="J104" s="17">
        <f>IF(D104&lt;$D$2-10,0,MIN(投放验证!AM104,6-SUM(K104:$L104)))</f>
        <v>0</v>
      </c>
      <c r="K104" s="61">
        <f>IF(C104&lt;$D$2-10,0,MIN(投放验证!AN104,6-SUM(L104:$L104),G104))</f>
        <v>0</v>
      </c>
      <c r="L104" s="74">
        <f>IF(C104&lt;$D$2-10,0,MIN(投放验证!AO104,H104))</f>
        <v>6</v>
      </c>
      <c r="M104" s="17">
        <f>投放验证!AP104</f>
        <v>0</v>
      </c>
      <c r="N104" s="17">
        <f>投放验证!AQ104</f>
        <v>3</v>
      </c>
      <c r="O104" s="17">
        <f>投放验证!AR104</f>
        <v>5</v>
      </c>
      <c r="P104" s="17">
        <f>投放验证!AS104</f>
        <v>5</v>
      </c>
      <c r="Q104" s="63">
        <f>IF(I104=0,0,求节点(宝物升星!$C$92:$C$97,宝物升星!D$92:D$97,M104))</f>
        <v>0</v>
      </c>
      <c r="R104" s="63">
        <f>IF(J104=0,0,求节点(宝物升星!$C$92:$C$97,宝物升星!E$92:E$97,N104))</f>
        <v>0</v>
      </c>
      <c r="S104" s="63">
        <f>IF(K104=0,0,求节点(宝物升星!$C$92:$C$97,宝物升星!F$92:F$97,O104))</f>
        <v>0</v>
      </c>
      <c r="T104" s="63">
        <f>IF(L104=0,0,求节点(宝物升星!$C$92:$C$97,宝物升星!G$92:G$97,P104))</f>
        <v>1</v>
      </c>
      <c r="U104" s="16">
        <f>宝石镶嵌!AI93</f>
        <v>10.147451390007705</v>
      </c>
      <c r="V104" s="16">
        <v>10.143854824191763</v>
      </c>
      <c r="Y104" s="16">
        <v>0</v>
      </c>
      <c r="Z104" s="16">
        <v>3</v>
      </c>
      <c r="AA104" s="16">
        <v>5</v>
      </c>
      <c r="AB104" s="16">
        <v>5</v>
      </c>
    </row>
    <row r="105" spans="2:28">
      <c r="B105" s="16">
        <v>13</v>
      </c>
      <c r="C105" s="17">
        <v>110</v>
      </c>
      <c r="D105" s="17">
        <f>求节点(节奏总纲!$O$4:$O$163,节奏总纲!S$4:S$163,C105)</f>
        <v>1001.3924000000001</v>
      </c>
      <c r="E105" s="17">
        <f>求节点(其他调用!$AM$142:$AM$180,其他调用!AP$142:AP$180,$C105)</f>
        <v>0</v>
      </c>
      <c r="F105" s="17">
        <f>求节点(其他调用!$AM$142:$AM$180,其他调用!AQ$142:AQ$180,$C105)</f>
        <v>0</v>
      </c>
      <c r="G105" s="17">
        <f>求节点(其他调用!$AM$142:$AM$180,其他调用!AR$142:AR$180,$C105)</f>
        <v>0</v>
      </c>
      <c r="H105" s="17">
        <f>求节点(其他调用!$AM$142:$AM$180,其他调用!AS$142:AS$180,$C105)</f>
        <v>6</v>
      </c>
      <c r="I105" s="17">
        <f>IF(C105&lt;$D$2-10,0,MIN(投放验证!AL105,6-SUM(J105:$L105)))</f>
        <v>0</v>
      </c>
      <c r="J105" s="17">
        <f>IF(D105&lt;$D$2-10,0,MIN(投放验证!AM105,6-SUM(K105:$L105)))</f>
        <v>0</v>
      </c>
      <c r="K105" s="61">
        <f>IF(C105&lt;$D$2-10,0,MIN(投放验证!AN105,6-SUM(L105:$L105),G105))</f>
        <v>0</v>
      </c>
      <c r="L105" s="74">
        <f>IF(C105&lt;$D$2-10,0,MIN(投放验证!AO105,H105))</f>
        <v>6</v>
      </c>
      <c r="M105" s="17">
        <f>投放验证!AP105</f>
        <v>0</v>
      </c>
      <c r="N105" s="17">
        <f>投放验证!AQ105</f>
        <v>3</v>
      </c>
      <c r="O105" s="17">
        <f>投放验证!AR105</f>
        <v>5</v>
      </c>
      <c r="P105" s="17">
        <f>投放验证!AS105</f>
        <v>5</v>
      </c>
      <c r="Q105" s="63">
        <f>IF(I105=0,0,求节点(宝物升星!$C$92:$C$97,宝物升星!D$92:D$97,M105))</f>
        <v>0</v>
      </c>
      <c r="R105" s="63">
        <f>IF(J105=0,0,求节点(宝物升星!$C$92:$C$97,宝物升星!E$92:E$97,N105))</f>
        <v>0</v>
      </c>
      <c r="S105" s="63">
        <f>IF(K105=0,0,求节点(宝物升星!$C$92:$C$97,宝物升星!F$92:F$97,O105))</f>
        <v>0</v>
      </c>
      <c r="T105" s="63">
        <f>IF(L105=0,0,求节点(宝物升星!$C$92:$C$97,宝物升星!G$92:G$97,P105))</f>
        <v>1</v>
      </c>
      <c r="U105" s="16">
        <f>宝石镶嵌!AI94</f>
        <v>10.417124283065137</v>
      </c>
      <c r="V105" s="16">
        <v>10.413527717249195</v>
      </c>
      <c r="Y105" s="16">
        <v>0</v>
      </c>
      <c r="Z105" s="16">
        <v>3</v>
      </c>
      <c r="AA105" s="16">
        <v>5</v>
      </c>
      <c r="AB105" s="16">
        <v>5</v>
      </c>
    </row>
    <row r="106" spans="2:28">
      <c r="B106" s="16">
        <v>14</v>
      </c>
      <c r="C106" s="17">
        <v>115</v>
      </c>
      <c r="D106" s="17">
        <f>求节点(节奏总纲!$O$4:$O$163,节奏总纲!S$4:S$163,C106)</f>
        <v>1407.1203566096881</v>
      </c>
      <c r="E106" s="17">
        <f>求节点(其他调用!$AM$142:$AM$180,其他调用!AP$142:AP$180,$C106)</f>
        <v>0</v>
      </c>
      <c r="F106" s="17">
        <f>求节点(其他调用!$AM$142:$AM$180,其他调用!AQ$142:AQ$180,$C106)</f>
        <v>0</v>
      </c>
      <c r="G106" s="17">
        <f>求节点(其他调用!$AM$142:$AM$180,其他调用!AR$142:AR$180,$C106)</f>
        <v>0</v>
      </c>
      <c r="H106" s="17">
        <f>求节点(其他调用!$AM$142:$AM$180,其他调用!AS$142:AS$180,$C106)</f>
        <v>6</v>
      </c>
      <c r="I106" s="17">
        <f>IF(C106&lt;$D$2-10,0,MIN(投放验证!AL106,6-SUM(J106:$L106)))</f>
        <v>0</v>
      </c>
      <c r="J106" s="17">
        <f>IF(D106&lt;$D$2-10,0,MIN(投放验证!AM106,6-SUM(K106:$L106)))</f>
        <v>0</v>
      </c>
      <c r="K106" s="61">
        <f>IF(C106&lt;$D$2-10,0,MIN(投放验证!AN106,6-SUM(L106:$L106),G106))</f>
        <v>0</v>
      </c>
      <c r="L106" s="74">
        <f>IF(C106&lt;$D$2-10,0,MIN(投放验证!AO106,H106))</f>
        <v>6</v>
      </c>
      <c r="M106" s="17">
        <f>投放验证!AP106</f>
        <v>0</v>
      </c>
      <c r="N106" s="17">
        <f>投放验证!AQ106</f>
        <v>3</v>
      </c>
      <c r="O106" s="17">
        <f>投放验证!AR106</f>
        <v>5</v>
      </c>
      <c r="P106" s="17">
        <f>投放验证!AS106</f>
        <v>5</v>
      </c>
      <c r="Q106" s="63">
        <f>IF(I106=0,0,求节点(宝物升星!$C$92:$C$97,宝物升星!D$92:D$97,M106))</f>
        <v>0</v>
      </c>
      <c r="R106" s="63">
        <f>IF(J106=0,0,求节点(宝物升星!$C$92:$C$97,宝物升星!E$92:E$97,N106))</f>
        <v>0</v>
      </c>
      <c r="S106" s="63">
        <f>IF(K106=0,0,求节点(宝物升星!$C$92:$C$97,宝物升星!F$92:F$97,O106))</f>
        <v>0</v>
      </c>
      <c r="T106" s="63">
        <f>IF(L106=0,0,求节点(宝物升星!$C$92:$C$97,宝物升星!G$92:G$97,P106))</f>
        <v>1</v>
      </c>
      <c r="U106" s="16">
        <f>宝石镶嵌!AI95</f>
        <v>10.798499345831349</v>
      </c>
      <c r="V106" s="16">
        <v>10.794902780015407</v>
      </c>
      <c r="Y106" s="16">
        <v>0</v>
      </c>
      <c r="Z106" s="16">
        <v>3</v>
      </c>
      <c r="AA106" s="16">
        <v>5</v>
      </c>
      <c r="AB106" s="16">
        <v>5</v>
      </c>
    </row>
    <row r="107" spans="2:28">
      <c r="B107" s="16">
        <v>15</v>
      </c>
      <c r="C107" s="17">
        <v>120</v>
      </c>
      <c r="D107" s="17">
        <f>求节点(节奏总纲!$O$4:$O$163,节奏总纲!S$4:S$163,C107)</f>
        <v>1988.5319999999999</v>
      </c>
      <c r="E107" s="17">
        <f>求节点(其他调用!$AM$142:$AM$180,其他调用!AP$142:AP$180,$C107)</f>
        <v>0</v>
      </c>
      <c r="F107" s="17">
        <f>求节点(其他调用!$AM$142:$AM$180,其他调用!AQ$142:AQ$180,$C107)</f>
        <v>0</v>
      </c>
      <c r="G107" s="17">
        <f>求节点(其他调用!$AM$142:$AM$180,其他调用!AR$142:AR$180,$C107)</f>
        <v>0</v>
      </c>
      <c r="H107" s="17">
        <f>求节点(其他调用!$AM$142:$AM$180,其他调用!AS$142:AS$180,$C107)</f>
        <v>6</v>
      </c>
      <c r="I107" s="17">
        <f>IF(C107&lt;$D$2-10,0,MIN(投放验证!AL107,6-SUM(J107:$L107)))</f>
        <v>0</v>
      </c>
      <c r="J107" s="17">
        <f>IF(D107&lt;$D$2-10,0,MIN(投放验证!AM107,6-SUM(K107:$L107)))</f>
        <v>0</v>
      </c>
      <c r="K107" s="61">
        <f>IF(C107&lt;$D$2-10,0,MIN(投放验证!AN107,6-SUM(L107:$L107),G107))</f>
        <v>0</v>
      </c>
      <c r="L107" s="74">
        <f>IF(C107&lt;$D$2-10,0,MIN(投放验证!AO107,H107))</f>
        <v>6</v>
      </c>
      <c r="M107" s="17">
        <f>投放验证!AP107</f>
        <v>0</v>
      </c>
      <c r="N107" s="17">
        <f>投放验证!AQ107</f>
        <v>3</v>
      </c>
      <c r="O107" s="17">
        <f>投放验证!AR107</f>
        <v>5</v>
      </c>
      <c r="P107" s="17">
        <f>投放验证!AS107</f>
        <v>5</v>
      </c>
      <c r="Q107" s="63">
        <f>IF(I107=0,0,求节点(宝物升星!$C$92:$C$97,宝物升星!D$92:D$97,M107))</f>
        <v>0</v>
      </c>
      <c r="R107" s="63">
        <f>IF(J107=0,0,求节点(宝物升星!$C$92:$C$97,宝物升星!E$92:E$97,N107))</f>
        <v>0</v>
      </c>
      <c r="S107" s="63">
        <f>IF(K107=0,0,求节点(宝物升星!$C$92:$C$97,宝物升星!F$92:F$97,O107))</f>
        <v>0</v>
      </c>
      <c r="T107" s="63">
        <f>IF(L107=0,0,求节点(宝物升星!$C$92:$C$97,宝物升星!G$92:G$97,P107))</f>
        <v>1</v>
      </c>
      <c r="U107" s="16">
        <f>宝石镶嵌!AI96</f>
        <v>11.112615043982073</v>
      </c>
      <c r="V107" s="16">
        <v>11.111416188710091</v>
      </c>
      <c r="Y107" s="16">
        <v>0</v>
      </c>
      <c r="Z107" s="16">
        <v>3</v>
      </c>
      <c r="AA107" s="16">
        <v>5</v>
      </c>
      <c r="AB107" s="16">
        <v>5</v>
      </c>
    </row>
    <row r="108" spans="2:28">
      <c r="B108" s="16">
        <v>16</v>
      </c>
      <c r="C108" s="17">
        <v>125</v>
      </c>
      <c r="D108" s="17">
        <f>求节点(节奏总纲!$O$4:$O$163,节奏总纲!S$4:S$163,C108)</f>
        <v>2816.4641988448207</v>
      </c>
      <c r="E108" s="17">
        <f>求节点(其他调用!$AM$142:$AM$180,其他调用!AP$142:AP$180,$C108)</f>
        <v>0</v>
      </c>
      <c r="F108" s="17">
        <f>求节点(其他调用!$AM$142:$AM$180,其他调用!AQ$142:AQ$180,$C108)</f>
        <v>0</v>
      </c>
      <c r="G108" s="17">
        <f>求节点(其他调用!$AM$142:$AM$180,其他调用!AR$142:AR$180,$C108)</f>
        <v>0</v>
      </c>
      <c r="H108" s="17">
        <f>求节点(其他调用!$AM$142:$AM$180,其他调用!AS$142:AS$180,$C108)</f>
        <v>6</v>
      </c>
      <c r="I108" s="17">
        <f>IF(C108&lt;$D$2-10,0,MIN(投放验证!AL108,6-SUM(J108:$L108)))</f>
        <v>0</v>
      </c>
      <c r="J108" s="17">
        <f>IF(D108&lt;$D$2-10,0,MIN(投放验证!AM108,6-SUM(K108:$L108)))</f>
        <v>0</v>
      </c>
      <c r="K108" s="61">
        <f>IF(C108&lt;$D$2-10,0,MIN(投放验证!AN108,6-SUM(L108:$L108),G108))</f>
        <v>0</v>
      </c>
      <c r="L108" s="74">
        <f>IF(C108&lt;$D$2-10,0,MIN(投放验证!AO108,H108))</f>
        <v>6</v>
      </c>
      <c r="M108" s="17">
        <f>投放验证!AP108</f>
        <v>0</v>
      </c>
      <c r="N108" s="17">
        <f>投放验证!AQ108</f>
        <v>3</v>
      </c>
      <c r="O108" s="17">
        <f>投放验证!AR108</f>
        <v>5</v>
      </c>
      <c r="P108" s="17">
        <f>投放验证!AS108</f>
        <v>5</v>
      </c>
      <c r="Q108" s="63">
        <f>IF(I108=0,0,求节点(宝物升星!$C$92:$C$97,宝物升星!D$92:D$97,M108))</f>
        <v>0</v>
      </c>
      <c r="R108" s="63">
        <f>IF(J108=0,0,求节点(宝物升星!$C$92:$C$97,宝物升星!E$92:E$97,N108))</f>
        <v>0</v>
      </c>
      <c r="S108" s="63">
        <f>IF(K108=0,0,求节点(宝物升星!$C$92:$C$97,宝物升星!F$92:F$97,O108))</f>
        <v>0</v>
      </c>
      <c r="T108" s="63">
        <f>IF(L108=0,0,求节点(宝物升星!$C$92:$C$97,宝物升星!G$92:G$97,P108))</f>
        <v>1</v>
      </c>
      <c r="U108" s="16">
        <f>宝石镶嵌!AI97</f>
        <v>11.366865085826214</v>
      </c>
      <c r="V108" s="16">
        <v>11.365666230554233</v>
      </c>
      <c r="Y108" s="16">
        <v>0</v>
      </c>
      <c r="Z108" s="16">
        <v>3</v>
      </c>
      <c r="AA108" s="16">
        <v>5</v>
      </c>
      <c r="AB108" s="16">
        <v>5</v>
      </c>
    </row>
    <row r="109" spans="2:28">
      <c r="B109" s="16">
        <v>17</v>
      </c>
      <c r="C109" s="17">
        <v>130</v>
      </c>
      <c r="D109" s="17">
        <f>求节点(节奏总纲!$O$4:$O$163,节奏总纲!S$4:S$163,C109)</f>
        <v>3951.3384000000001</v>
      </c>
      <c r="E109" s="17">
        <f>求节点(其他调用!$AM$142:$AM$180,其他调用!AP$142:AP$180,$C109)</f>
        <v>0</v>
      </c>
      <c r="F109" s="17">
        <f>求节点(其他调用!$AM$142:$AM$180,其他调用!AQ$142:AQ$180,$C109)</f>
        <v>0</v>
      </c>
      <c r="G109" s="17">
        <f>求节点(其他调用!$AM$142:$AM$180,其他调用!AR$142:AR$180,$C109)</f>
        <v>0</v>
      </c>
      <c r="H109" s="17">
        <f>求节点(其他调用!$AM$142:$AM$180,其他调用!AS$142:AS$180,$C109)</f>
        <v>6</v>
      </c>
      <c r="I109" s="17">
        <f>IF(C109&lt;$D$2-10,0,MIN(投放验证!AL109,6-SUM(J109:$L109)))</f>
        <v>0</v>
      </c>
      <c r="J109" s="17">
        <f>IF(D109&lt;$D$2-10,0,MIN(投放验证!AM109,6-SUM(K109:$L109)))</f>
        <v>0</v>
      </c>
      <c r="K109" s="61">
        <f>IF(C109&lt;$D$2-10,0,MIN(投放验证!AN109,6-SUM(L109:$L109),G109))</f>
        <v>0</v>
      </c>
      <c r="L109" s="74">
        <f>IF(C109&lt;$D$2-10,0,MIN(投放验证!AO109,H109))</f>
        <v>6</v>
      </c>
      <c r="M109" s="17">
        <f>投放验证!AP109</f>
        <v>0</v>
      </c>
      <c r="N109" s="17">
        <f>投放验证!AQ109</f>
        <v>3</v>
      </c>
      <c r="O109" s="17">
        <f>投放验证!AR109</f>
        <v>5</v>
      </c>
      <c r="P109" s="17">
        <f>投放验证!AS109</f>
        <v>5</v>
      </c>
      <c r="Q109" s="63">
        <f>IF(I109=0,0,求节点(宝物升星!$C$92:$C$97,宝物升星!D$92:D$97,M109))</f>
        <v>0</v>
      </c>
      <c r="R109" s="63">
        <f>IF(J109=0,0,求节点(宝物升星!$C$92:$C$97,宝物升星!E$92:E$97,N109))</f>
        <v>0</v>
      </c>
      <c r="S109" s="63">
        <f>IF(K109=0,0,求节点(宝物升星!$C$92:$C$97,宝物升星!F$92:F$97,O109))</f>
        <v>0</v>
      </c>
      <c r="T109" s="63">
        <f>IF(L109=0,0,求节点(宝物升星!$C$92:$C$97,宝物升星!G$92:G$97,P109))</f>
        <v>1</v>
      </c>
      <c r="U109" s="16">
        <f>宝石镶嵌!AI98</f>
        <v>11.726428943236124</v>
      </c>
      <c r="V109" s="16">
        <v>11.725230087964144</v>
      </c>
      <c r="Y109" s="16">
        <v>0</v>
      </c>
      <c r="Z109" s="16">
        <v>3</v>
      </c>
      <c r="AA109" s="16">
        <v>5</v>
      </c>
      <c r="AB109" s="16">
        <v>5</v>
      </c>
    </row>
    <row r="110" spans="2:28">
      <c r="B110" s="16">
        <v>18</v>
      </c>
      <c r="C110" s="17">
        <v>135</v>
      </c>
      <c r="D110" s="17">
        <f>求节点(节奏总纲!$O$4:$O$163,节奏总纲!S$4:S$163,C110)</f>
        <v>5548.8497639180305</v>
      </c>
      <c r="E110" s="17">
        <f>求节点(其他调用!$AM$142:$AM$180,其他调用!AP$142:AP$180,$C110)</f>
        <v>0</v>
      </c>
      <c r="F110" s="17">
        <f>求节点(其他调用!$AM$142:$AM$180,其他调用!AQ$142:AQ$180,$C110)</f>
        <v>0</v>
      </c>
      <c r="G110" s="17">
        <f>求节点(其他调用!$AM$142:$AM$180,其他调用!AR$142:AR$180,$C110)</f>
        <v>0</v>
      </c>
      <c r="H110" s="17">
        <f>求节点(其他调用!$AM$142:$AM$180,其他调用!AS$142:AS$180,$C110)</f>
        <v>6</v>
      </c>
      <c r="I110" s="17">
        <f>IF(C110&lt;$D$2-10,0,MIN(投放验证!AL110,6-SUM(J110:$L110)))</f>
        <v>0</v>
      </c>
      <c r="J110" s="17">
        <f>IF(D110&lt;$D$2-10,0,MIN(投放验证!AM110,6-SUM(K110:$L110)))</f>
        <v>0</v>
      </c>
      <c r="K110" s="61">
        <f>IF(C110&lt;$D$2-10,0,MIN(投放验证!AN110,6-SUM(L110:$L110),G110))</f>
        <v>0</v>
      </c>
      <c r="L110" s="74">
        <f>IF(C110&lt;$D$2-10,0,MIN(投放验证!AO110,H110))</f>
        <v>6</v>
      </c>
      <c r="M110" s="17">
        <f>投放验证!AP110</f>
        <v>0</v>
      </c>
      <c r="N110" s="17">
        <f>投放验证!AQ110</f>
        <v>3</v>
      </c>
      <c r="O110" s="17">
        <f>投放验证!AR110</f>
        <v>5</v>
      </c>
      <c r="P110" s="17">
        <f>投放验证!AS110</f>
        <v>5</v>
      </c>
      <c r="Q110" s="63">
        <f>IF(I110=0,0,求节点(宝物升星!$C$92:$C$97,宝物升星!D$92:D$97,M110))</f>
        <v>0</v>
      </c>
      <c r="R110" s="63">
        <f>IF(J110=0,0,求节点(宝物升星!$C$92:$C$97,宝物升星!E$92:E$97,N110))</f>
        <v>0</v>
      </c>
      <c r="S110" s="63">
        <f>IF(K110=0,0,求节点(宝物升星!$C$92:$C$97,宝物升星!F$92:F$97,O110))</f>
        <v>0</v>
      </c>
      <c r="T110" s="63">
        <f>IF(L110=0,0,求节点(宝物升星!$C$92:$C$97,宝物升星!G$92:G$97,P110))</f>
        <v>1</v>
      </c>
      <c r="U110" s="16">
        <f>宝石镶嵌!AI99</f>
        <v>12.078309675641469</v>
      </c>
      <c r="V110" s="16">
        <v>12.077910057217476</v>
      </c>
      <c r="Y110" s="16">
        <v>0</v>
      </c>
      <c r="Z110" s="16">
        <v>3</v>
      </c>
      <c r="AA110" s="16">
        <v>5</v>
      </c>
      <c r="AB110" s="16">
        <v>5</v>
      </c>
    </row>
    <row r="111" spans="2:28">
      <c r="B111" s="16">
        <v>19</v>
      </c>
      <c r="C111" s="17">
        <v>140</v>
      </c>
      <c r="D111" s="17">
        <f>求节点(节奏总纲!$O$4:$O$163,节奏总纲!S$4:S$163,C111)</f>
        <v>7827.7974000000004</v>
      </c>
      <c r="E111" s="17">
        <f>求节点(其他调用!$AM$142:$AM$180,其他调用!AP$142:AP$180,$C111)</f>
        <v>0</v>
      </c>
      <c r="F111" s="17">
        <f>求节点(其他调用!$AM$142:$AM$180,其他调用!AQ$142:AQ$180,$C111)</f>
        <v>0</v>
      </c>
      <c r="G111" s="17">
        <f>求节点(其他调用!$AM$142:$AM$180,其他调用!AR$142:AR$180,$C111)</f>
        <v>0</v>
      </c>
      <c r="H111" s="17">
        <f>求节点(其他调用!$AM$142:$AM$180,其他调用!AS$142:AS$180,$C111)</f>
        <v>6</v>
      </c>
      <c r="I111" s="17">
        <f>IF(C111&lt;$D$2-10,0,MIN(投放验证!AL111,6-SUM(J111:$L111)))</f>
        <v>0</v>
      </c>
      <c r="J111" s="17">
        <f>IF(D111&lt;$D$2-10,0,MIN(投放验证!AM111,6-SUM(K111:$L111)))</f>
        <v>0</v>
      </c>
      <c r="K111" s="61">
        <f>IF(C111&lt;$D$2-10,0,MIN(投放验证!AN111,6-SUM(L111:$L111),G111))</f>
        <v>0</v>
      </c>
      <c r="L111" s="74">
        <f>IF(C111&lt;$D$2-10,0,MIN(投放验证!AO111,H111))</f>
        <v>6</v>
      </c>
      <c r="M111" s="17">
        <f>投放验证!AP111</f>
        <v>0</v>
      </c>
      <c r="N111" s="17">
        <f>投放验证!AQ111</f>
        <v>3</v>
      </c>
      <c r="O111" s="17">
        <f>投放验证!AR111</f>
        <v>5</v>
      </c>
      <c r="P111" s="17">
        <f>投放验证!AS111</f>
        <v>5</v>
      </c>
      <c r="Q111" s="63">
        <f>IF(I111=0,0,求节点(宝物升星!$C$92:$C$97,宝物升星!D$92:D$97,M111))</f>
        <v>0</v>
      </c>
      <c r="R111" s="63">
        <f>IF(J111=0,0,求节点(宝物升星!$C$92:$C$97,宝物升星!E$92:E$97,N111))</f>
        <v>0</v>
      </c>
      <c r="S111" s="63">
        <f>IF(K111=0,0,求节点(宝物升星!$C$92:$C$97,宝物升星!F$92:F$97,O111))</f>
        <v>0</v>
      </c>
      <c r="T111" s="63">
        <f>IF(L111=0,0,求节点(宝物升星!$C$92:$C$97,宝物升星!G$92:G$97,P111))</f>
        <v>1</v>
      </c>
      <c r="U111" s="16">
        <f>宝石镶嵌!AI100</f>
        <v>12.318018913914743</v>
      </c>
      <c r="V111" s="16">
        <v>12.317619295490751</v>
      </c>
      <c r="Y111" s="16">
        <v>0</v>
      </c>
      <c r="Z111" s="16">
        <v>3</v>
      </c>
      <c r="AA111" s="16">
        <v>5</v>
      </c>
      <c r="AB111" s="16">
        <v>5</v>
      </c>
    </row>
    <row r="112" spans="2:28">
      <c r="B112" s="16">
        <v>20</v>
      </c>
      <c r="C112" s="17">
        <v>145</v>
      </c>
      <c r="D112" s="17">
        <f>求节点(节奏总纲!$O$4:$O$163,节奏总纲!S$4:S$163,C112)</f>
        <v>11105.129370337838</v>
      </c>
      <c r="E112" s="17">
        <f>求节点(其他调用!$AM$142:$AM$180,其他调用!AP$142:AP$180,$C112)</f>
        <v>0</v>
      </c>
      <c r="F112" s="17">
        <f>求节点(其他调用!$AM$142:$AM$180,其他调用!AQ$142:AQ$180,$C112)</f>
        <v>0</v>
      </c>
      <c r="G112" s="17">
        <f>求节点(其他调用!$AM$142:$AM$180,其他调用!AR$142:AR$180,$C112)</f>
        <v>0</v>
      </c>
      <c r="H112" s="17">
        <f>求节点(其他调用!$AM$142:$AM$180,其他调用!AS$142:AS$180,$C112)</f>
        <v>6</v>
      </c>
      <c r="I112" s="17">
        <f>IF(C112&lt;$D$2-10,0,MIN(投放验证!AL112,6-SUM(J112:$L112)))</f>
        <v>0</v>
      </c>
      <c r="J112" s="17">
        <f>IF(D112&lt;$D$2-10,0,MIN(投放验证!AM112,6-SUM(K112:$L112)))</f>
        <v>0</v>
      </c>
      <c r="K112" s="61">
        <f>IF(C112&lt;$D$2-10,0,MIN(投放验证!AN112,6-SUM(L112:$L112),G112))</f>
        <v>0</v>
      </c>
      <c r="L112" s="74">
        <f>IF(C112&lt;$D$2-10,0,MIN(投放验证!AO112,H112))</f>
        <v>6</v>
      </c>
      <c r="M112" s="17">
        <f>投放验证!AP112</f>
        <v>0</v>
      </c>
      <c r="N112" s="17">
        <f>投放验证!AQ112</f>
        <v>3</v>
      </c>
      <c r="O112" s="17">
        <f>投放验证!AR112</f>
        <v>5</v>
      </c>
      <c r="P112" s="17">
        <f>投放验证!AS112</f>
        <v>5</v>
      </c>
      <c r="Q112" s="63">
        <f>IF(I112=0,0,求节点(宝物升星!$C$92:$C$97,宝物升星!D$92:D$97,M112))</f>
        <v>0</v>
      </c>
      <c r="R112" s="63">
        <f>IF(J112=0,0,求节点(宝物升星!$C$92:$C$97,宝物升星!E$92:E$97,N112))</f>
        <v>0</v>
      </c>
      <c r="S112" s="63">
        <f>IF(K112=0,0,求节点(宝物升星!$C$92:$C$97,宝物升星!F$92:F$97,O112))</f>
        <v>0</v>
      </c>
      <c r="T112" s="63">
        <f>IF(L112=0,0,求节点(宝物升星!$C$92:$C$97,宝物升星!G$92:G$97,P112))</f>
        <v>1</v>
      </c>
      <c r="U112" s="16">
        <f>宝石镶嵌!AI101</f>
        <v>12.657018969706932</v>
      </c>
      <c r="V112" s="16">
        <v>12.656619351282938</v>
      </c>
      <c r="Y112" s="16">
        <v>0</v>
      </c>
      <c r="Z112" s="16">
        <v>3</v>
      </c>
      <c r="AA112" s="16">
        <v>5</v>
      </c>
      <c r="AB112" s="16">
        <v>5</v>
      </c>
    </row>
    <row r="113" spans="2:28">
      <c r="B113" s="16">
        <v>21</v>
      </c>
      <c r="C113" s="17">
        <v>150</v>
      </c>
      <c r="D113" s="17">
        <f>求节点(节奏总纲!$O$4:$O$163,节奏总纲!S$4:S$163,C113)</f>
        <v>15603.645400000001</v>
      </c>
      <c r="E113" s="17">
        <f>求节点(其他调用!$AM$142:$AM$180,其他调用!AP$142:AP$180,$C113)</f>
        <v>0</v>
      </c>
      <c r="F113" s="17">
        <f>求节点(其他调用!$AM$142:$AM$180,其他调用!AQ$142:AQ$180,$C113)</f>
        <v>0</v>
      </c>
      <c r="G113" s="17">
        <f>求节点(其他调用!$AM$142:$AM$180,其他调用!AR$142:AR$180,$C113)</f>
        <v>0</v>
      </c>
      <c r="H113" s="17">
        <f>求节点(其他调用!$AM$142:$AM$180,其他调用!AS$142:AS$180,$C113)</f>
        <v>6</v>
      </c>
      <c r="I113" s="17">
        <f>IF(C113&lt;$D$2-10,0,MIN(投放验证!AL113,6-SUM(J113:$L113)))</f>
        <v>0</v>
      </c>
      <c r="J113" s="17">
        <f>IF(D113&lt;$D$2-10,0,MIN(投放验证!AM113,6-SUM(K113:$L113)))</f>
        <v>0</v>
      </c>
      <c r="K113" s="61">
        <f>IF(C113&lt;$D$2-10,0,MIN(投放验证!AN113,6-SUM(L113:$L113),G113))</f>
        <v>0</v>
      </c>
      <c r="L113" s="74">
        <f>IF(C113&lt;$D$2-10,0,MIN(投放验证!AO113,H113))</f>
        <v>6</v>
      </c>
      <c r="M113" s="17">
        <f>投放验证!AP113</f>
        <v>0</v>
      </c>
      <c r="N113" s="17">
        <f>投放验证!AQ113</f>
        <v>3</v>
      </c>
      <c r="O113" s="17">
        <f>投放验证!AR113</f>
        <v>5</v>
      </c>
      <c r="P113" s="17">
        <f>投放验证!AS113</f>
        <v>5</v>
      </c>
      <c r="Q113" s="63">
        <f>IF(I113=0,0,求节点(宝物升星!$C$92:$C$97,宝物升星!D$92:D$97,M113))</f>
        <v>0</v>
      </c>
      <c r="R113" s="63">
        <f>IF(J113=0,0,求节点(宝物升星!$C$92:$C$97,宝物升星!E$92:E$97,N113))</f>
        <v>0</v>
      </c>
      <c r="S113" s="63">
        <f>IF(K113=0,0,求节点(宝物升星!$C$92:$C$97,宝物升星!F$92:F$97,O113))</f>
        <v>0</v>
      </c>
      <c r="T113" s="63">
        <f>IF(L113=0,0,求节点(宝物升星!$C$92:$C$97,宝物升星!G$92:G$97,P113))</f>
        <v>1</v>
      </c>
      <c r="U113" s="16">
        <f>宝石镶嵌!AI102</f>
        <v>13.045479148751161</v>
      </c>
      <c r="V113" s="16">
        <v>13.045345942609829</v>
      </c>
      <c r="Y113" s="16">
        <v>0</v>
      </c>
      <c r="Z113" s="16">
        <v>3</v>
      </c>
      <c r="AA113" s="16">
        <v>5</v>
      </c>
      <c r="AB113" s="16">
        <v>5</v>
      </c>
    </row>
    <row r="114" spans="2:28">
      <c r="B114" s="16">
        <v>22</v>
      </c>
      <c r="C114" s="17">
        <v>155</v>
      </c>
      <c r="D114" s="17">
        <f>求节点(节奏总纲!$O$4:$O$163,节奏总纲!S$4:S$163,C114)</f>
        <v>44402.940101346627</v>
      </c>
      <c r="E114" s="17">
        <f>求节点(其他调用!$AM$142:$AM$180,其他调用!AP$142:AP$180,$C114)</f>
        <v>0</v>
      </c>
      <c r="F114" s="17">
        <f>求节点(其他调用!$AM$142:$AM$180,其他调用!AQ$142:AQ$180,$C114)</f>
        <v>0</v>
      </c>
      <c r="G114" s="17">
        <f>求节点(其他调用!$AM$142:$AM$180,其他调用!AR$142:AR$180,$C114)</f>
        <v>0</v>
      </c>
      <c r="H114" s="17">
        <f>求节点(其他调用!$AM$142:$AM$180,其他调用!AS$142:AS$180,$C114)</f>
        <v>6</v>
      </c>
      <c r="I114" s="17">
        <f>IF(C114&lt;$D$2-10,0,MIN(投放验证!AL114,6-SUM(J114:$L114)))</f>
        <v>0</v>
      </c>
      <c r="J114" s="17">
        <f>IF(D114&lt;$D$2-10,0,MIN(投放验证!AM114,6-SUM(K114:$L114)))</f>
        <v>0</v>
      </c>
      <c r="K114" s="61">
        <f>IF(C114&lt;$D$2-10,0,MIN(投放验证!AN114,6-SUM(L114:$L114),G114))</f>
        <v>0</v>
      </c>
      <c r="L114" s="74">
        <f>IF(C114&lt;$D$2-10,0,MIN(投放验证!AO114,H114))</f>
        <v>6</v>
      </c>
      <c r="M114" s="17">
        <f>投放验证!AP114</f>
        <v>0</v>
      </c>
      <c r="N114" s="17">
        <f>投放验证!AQ114</f>
        <v>3</v>
      </c>
      <c r="O114" s="17">
        <f>投放验证!AR114</f>
        <v>5</v>
      </c>
      <c r="P114" s="17">
        <f>投放验证!AS114</f>
        <v>5</v>
      </c>
      <c r="Q114" s="63">
        <f>IF(I114=0,0,求节点(宝物升星!$C$92:$C$97,宝物升星!D$92:D$97,M114))</f>
        <v>0</v>
      </c>
      <c r="R114" s="63">
        <f>IF(J114=0,0,求节点(宝物升星!$C$92:$C$97,宝物升星!E$92:E$97,N114))</f>
        <v>0</v>
      </c>
      <c r="S114" s="63">
        <f>IF(K114=0,0,求节点(宝物升星!$C$92:$C$97,宝物升星!F$92:F$97,O114))</f>
        <v>0</v>
      </c>
      <c r="T114" s="63">
        <f>IF(L114=0,0,求节点(宝物升星!$C$92:$C$97,宝物升星!G$92:G$97,P114))</f>
        <v>1</v>
      </c>
      <c r="U114" s="16">
        <f>宝石镶嵌!AI103</f>
        <v>13.271479185945953</v>
      </c>
      <c r="V114" s="16">
        <v>13.271345979804622</v>
      </c>
      <c r="Y114" s="16">
        <v>0</v>
      </c>
      <c r="Z114" s="16">
        <v>3</v>
      </c>
      <c r="AA114" s="16">
        <v>5</v>
      </c>
      <c r="AB114" s="16">
        <v>5</v>
      </c>
    </row>
    <row r="115" spans="2:28">
      <c r="B115" s="16">
        <v>23</v>
      </c>
      <c r="C115" s="17">
        <v>160</v>
      </c>
      <c r="D115" s="17">
        <f>求节点(节奏总纲!$O$4:$O$163,节奏总纲!S$4:S$163,C115)</f>
        <v>66190.350000000006</v>
      </c>
      <c r="E115" s="17">
        <f>求节点(其他调用!$AM$142:$AM$180,其他调用!AP$142:AP$180,$C115)</f>
        <v>0</v>
      </c>
      <c r="F115" s="17">
        <f>求节点(其他调用!$AM$142:$AM$180,其他调用!AQ$142:AQ$180,$C115)</f>
        <v>0</v>
      </c>
      <c r="G115" s="17">
        <f>求节点(其他调用!$AM$142:$AM$180,其他调用!AR$142:AR$180,$C115)</f>
        <v>0</v>
      </c>
      <c r="H115" s="17">
        <f>求节点(其他调用!$AM$142:$AM$180,其他调用!AS$142:AS$180,$C115)</f>
        <v>6</v>
      </c>
      <c r="I115" s="17">
        <f>IF(C115&lt;$D$2-10,0,MIN(投放验证!AL115,6-SUM(J115:$L115)))</f>
        <v>0</v>
      </c>
      <c r="J115" s="17">
        <f>IF(D115&lt;$D$2-10,0,MIN(投放验证!AM115,6-SUM(K115:$L115)))</f>
        <v>0</v>
      </c>
      <c r="K115" s="61">
        <f>IF(C115&lt;$D$2-10,0,MIN(投放验证!AN115,6-SUM(L115:$L115),G115))</f>
        <v>0</v>
      </c>
      <c r="L115" s="74">
        <f>IF(C115&lt;$D$2-10,0,MIN(投放验证!AO115,H115))</f>
        <v>6</v>
      </c>
      <c r="M115" s="17">
        <f>投放验证!AP115</f>
        <v>0</v>
      </c>
      <c r="N115" s="17">
        <f>投放验证!AQ115</f>
        <v>3</v>
      </c>
      <c r="O115" s="17">
        <f>投放验证!AR115</f>
        <v>5</v>
      </c>
      <c r="P115" s="17">
        <f>投放验证!AS115</f>
        <v>5</v>
      </c>
      <c r="Q115" s="63">
        <f>IF(I115=0,0,求节点(宝物升星!$C$92:$C$97,宝物升星!D$92:D$97,M115))</f>
        <v>0</v>
      </c>
      <c r="R115" s="63">
        <f>IF(J115=0,0,求节点(宝物升星!$C$92:$C$97,宝物升星!E$92:E$97,N115))</f>
        <v>0</v>
      </c>
      <c r="S115" s="63">
        <f>IF(K115=0,0,求节点(宝物升星!$C$92:$C$97,宝物升星!F$92:F$97,O115))</f>
        <v>0</v>
      </c>
      <c r="T115" s="63">
        <f>IF(L115=0,0,求节点(宝物升星!$C$92:$C$97,宝物升星!G$92:G$97,P115))</f>
        <v>1</v>
      </c>
      <c r="U115" s="16">
        <f>宝石镶嵌!AI104</f>
        <v>13.591091503643652</v>
      </c>
      <c r="V115" s="16">
        <v>13.59095829750232</v>
      </c>
      <c r="Y115" s="16">
        <v>0</v>
      </c>
      <c r="Z115" s="16">
        <v>3</v>
      </c>
      <c r="AA115" s="16">
        <v>5</v>
      </c>
      <c r="AB115" s="16">
        <v>5</v>
      </c>
    </row>
    <row r="116" spans="2:28">
      <c r="B116" s="16">
        <v>24</v>
      </c>
    </row>
    <row r="117" spans="2:28">
      <c r="B117" s="16">
        <v>25</v>
      </c>
    </row>
    <row r="118" spans="2:28">
      <c r="B118" s="16">
        <v>26</v>
      </c>
    </row>
    <row r="119" spans="2:28">
      <c r="B119" s="16">
        <v>1</v>
      </c>
      <c r="C119" s="171" t="s">
        <v>251</v>
      </c>
      <c r="D119" s="172"/>
      <c r="E119" s="171" t="s">
        <v>425</v>
      </c>
      <c r="F119" s="173"/>
      <c r="G119" s="173"/>
      <c r="H119" s="172"/>
      <c r="I119" s="170" t="s">
        <v>349</v>
      </c>
      <c r="J119" s="170"/>
      <c r="K119" s="170"/>
      <c r="L119" s="170"/>
      <c r="M119" s="170" t="s">
        <v>364</v>
      </c>
      <c r="N119" s="170"/>
      <c r="O119" s="170"/>
      <c r="P119" s="170"/>
      <c r="Q119" s="169" t="s">
        <v>365</v>
      </c>
      <c r="R119" s="169"/>
      <c r="S119" s="169"/>
      <c r="T119" s="169"/>
      <c r="Y119" s="16" t="s">
        <v>364</v>
      </c>
    </row>
    <row r="120" spans="2:28">
      <c r="B120" s="16">
        <v>2</v>
      </c>
      <c r="C120" s="17" t="s">
        <v>161</v>
      </c>
      <c r="D120" s="17" t="s">
        <v>158</v>
      </c>
      <c r="E120" s="17" t="s">
        <v>1</v>
      </c>
      <c r="F120" s="17" t="s">
        <v>2</v>
      </c>
      <c r="G120" s="17" t="s">
        <v>0</v>
      </c>
      <c r="H120" s="17" t="s">
        <v>205</v>
      </c>
      <c r="I120" s="17" t="s">
        <v>1</v>
      </c>
      <c r="J120" s="17" t="s">
        <v>2</v>
      </c>
      <c r="K120" s="17" t="s">
        <v>0</v>
      </c>
      <c r="L120" s="17" t="s">
        <v>205</v>
      </c>
      <c r="M120" s="30" t="s">
        <v>1</v>
      </c>
      <c r="N120" s="30" t="s">
        <v>2</v>
      </c>
      <c r="O120" s="30" t="s">
        <v>0</v>
      </c>
      <c r="P120" s="17" t="s">
        <v>205</v>
      </c>
      <c r="Q120" s="63" t="s">
        <v>1</v>
      </c>
      <c r="R120" s="63" t="s">
        <v>2</v>
      </c>
      <c r="S120" s="63" t="s">
        <v>0</v>
      </c>
      <c r="T120" s="63" t="s">
        <v>205</v>
      </c>
      <c r="U120" s="16" t="str">
        <f>宝石镶嵌!AI109</f>
        <v>宝石等级</v>
      </c>
      <c r="V120" s="16" t="s">
        <v>760</v>
      </c>
      <c r="Y120" s="16" t="s">
        <v>79</v>
      </c>
      <c r="Z120" s="16" t="s">
        <v>80</v>
      </c>
      <c r="AA120" s="16" t="s">
        <v>81</v>
      </c>
      <c r="AB120" s="16" t="s">
        <v>205</v>
      </c>
    </row>
    <row r="121" spans="2:28">
      <c r="B121" s="16">
        <v>3</v>
      </c>
      <c r="C121" s="17">
        <v>50</v>
      </c>
      <c r="D121" s="17">
        <f>求节点(节奏总纲!$O$4:$O$163,节奏总纲!T$4:T$163,C121)</f>
        <v>9.1883999999999997</v>
      </c>
      <c r="E121" s="17">
        <f>求节点(其他调用!$AM$187:$AM$225,其他调用!AP$187:AP$225,$C121)</f>
        <v>0</v>
      </c>
      <c r="F121" s="17">
        <f>求节点(其他调用!$AM$187:$AM$225,其他调用!AQ$187:AQ$225,$C121)</f>
        <v>0</v>
      </c>
      <c r="G121" s="17">
        <f>求节点(其他调用!$AM$187:$AM$225,其他调用!AR$187:AR$225,$C121)</f>
        <v>5.6294245506690483</v>
      </c>
      <c r="H121" s="17">
        <f>求节点(其他调用!$AM$187:$AM$225,其他调用!AS$187:AS$225,$C121)</f>
        <v>0.3705754493309521</v>
      </c>
      <c r="I121" s="17">
        <f>IF(C121&lt;$D$2-10,0,MIN(投放验证!AL121,6-SUM(J121:$L121)))</f>
        <v>0</v>
      </c>
      <c r="J121" s="17">
        <f>IF(D121&lt;$D$2-10,0,MIN(投放验证!AM121,6-SUM(K121:$L121)))</f>
        <v>0</v>
      </c>
      <c r="K121" s="61">
        <f>IF(C121&lt;$D$2-10,0,MIN(投放验证!AN121,6-SUM(L121:$L121),G121))</f>
        <v>0</v>
      </c>
      <c r="L121" s="74">
        <f>IF(C121&lt;$D$2-10,0,MIN(投放验证!AO121,H121))</f>
        <v>0</v>
      </c>
      <c r="M121" s="17">
        <f>投放验证!AP121</f>
        <v>0</v>
      </c>
      <c r="N121" s="17">
        <f>投放验证!AQ121</f>
        <v>0</v>
      </c>
      <c r="O121" s="17">
        <f>投放验证!AR121</f>
        <v>0</v>
      </c>
      <c r="P121" s="17">
        <f>投放验证!AS121</f>
        <v>0</v>
      </c>
      <c r="Q121" s="83">
        <f>IF(I121=0,0,求节点(宝物升星!$C$92:$C$97,宝物升星!D$92:D$97,M121))</f>
        <v>0</v>
      </c>
      <c r="R121" s="83">
        <f>IF(J121=0,0,求节点(宝物升星!$C$92:$C$97,宝物升星!E$92:E$97,N121))</f>
        <v>0</v>
      </c>
      <c r="S121" s="83">
        <f>IF(K121=0,0,求节点(宝物升星!$C$92:$C$97,宝物升星!F$92:F$97,O121))</f>
        <v>0</v>
      </c>
      <c r="T121" s="83">
        <f>IF(L121=0,0,求节点(宝物升星!$C$92:$C$97,宝物升星!G$92:G$97,P121))</f>
        <v>0</v>
      </c>
      <c r="U121" s="16">
        <f>宝石镶嵌!AI110</f>
        <v>6.373965493273837</v>
      </c>
      <c r="V121" s="16">
        <v>6.0826436621825577</v>
      </c>
      <c r="Y121" s="16">
        <v>0</v>
      </c>
      <c r="Z121" s="16">
        <v>0</v>
      </c>
      <c r="AA121" s="16">
        <v>0</v>
      </c>
      <c r="AB121" s="16">
        <v>0</v>
      </c>
    </row>
    <row r="122" spans="2:28">
      <c r="B122" s="16">
        <v>4</v>
      </c>
      <c r="C122" s="17">
        <v>60</v>
      </c>
      <c r="D122" s="17">
        <f>求节点(节奏总纲!$O$4:$O$163,节奏总纲!T$4:T$163,C122)</f>
        <v>18.276300000000003</v>
      </c>
      <c r="E122" s="17">
        <f>求节点(其他调用!$AM$187:$AM$225,其他调用!AP$187:AP$225,$C122)</f>
        <v>0</v>
      </c>
      <c r="F122" s="17">
        <f>求节点(其他调用!$AM$187:$AM$225,其他调用!AQ$187:AQ$225,$C122)</f>
        <v>0</v>
      </c>
      <c r="G122" s="17">
        <f>求节点(其他调用!$AM$187:$AM$225,其他调用!AR$187:AR$225,$C122)</f>
        <v>3.7469232883857595</v>
      </c>
      <c r="H122" s="17">
        <f>求节点(其他调用!$AM$187:$AM$225,其他调用!AS$187:AS$225,$C122)</f>
        <v>2.2530767116142405</v>
      </c>
      <c r="I122" s="17">
        <f>IF(C122&lt;$D$2-10,0,MIN(投放验证!AL122,6-SUM(J122:$L122)))</f>
        <v>0</v>
      </c>
      <c r="J122" s="17">
        <f>IF(D122&lt;$D$2-10,0,MIN(投放验证!AM122,6-SUM(K122:$L122)))</f>
        <v>0</v>
      </c>
      <c r="K122" s="61">
        <f>IF(C122&lt;$D$2-10,0,MIN(投放验证!AN122,6-SUM(L122:$L122),G122))</f>
        <v>3.7469232883857595</v>
      </c>
      <c r="L122" s="74">
        <f>IF(C122&lt;$D$2-10,0,MIN(投放验证!AO122,H122))</f>
        <v>2.2530767116142405</v>
      </c>
      <c r="M122" s="17">
        <f>投放验证!AP122</f>
        <v>0</v>
      </c>
      <c r="N122" s="17">
        <f>投放验证!AQ122</f>
        <v>3</v>
      </c>
      <c r="O122" s="17">
        <f>投放验证!AR122</f>
        <v>1.9303061343665813</v>
      </c>
      <c r="P122" s="17">
        <f>投放验证!AS122</f>
        <v>2.4246234279861913</v>
      </c>
      <c r="Q122" s="63">
        <f>IF(I122=0,0,求节点(宝物升星!$C$92:$C$97,宝物升星!D$92:D$97,M122))</f>
        <v>0</v>
      </c>
      <c r="R122" s="63">
        <f>IF(J122=0,0,求节点(宝物升星!$C$92:$C$97,宝物升星!E$92:E$97,N122))</f>
        <v>0</v>
      </c>
      <c r="S122" s="63">
        <f>IF(K122=0,0,求节点(宝物升星!$C$92:$C$97,宝物升星!F$92:F$97,O122))</f>
        <v>0.48838435572776351</v>
      </c>
      <c r="T122" s="63">
        <f>IF(L122=0,0,求节点(宝物升星!$C$92:$C$97,宝物升星!G$92:G$97,P122))</f>
        <v>0.57077057133103182</v>
      </c>
      <c r="U122" s="16">
        <f>宝石镶嵌!AI111</f>
        <v>7.1797509392129841</v>
      </c>
      <c r="V122" s="16">
        <v>7.0826436621825577</v>
      </c>
      <c r="Y122" s="16">
        <v>0</v>
      </c>
      <c r="Z122" s="16">
        <v>3</v>
      </c>
      <c r="AA122" s="16">
        <v>5</v>
      </c>
      <c r="AB122" s="16">
        <v>2.48470487489665</v>
      </c>
    </row>
    <row r="123" spans="2:28">
      <c r="B123" s="16">
        <v>5</v>
      </c>
      <c r="C123" s="17">
        <v>70</v>
      </c>
      <c r="D123" s="17">
        <f>求节点(节奏总纲!$O$4:$O$163,节奏总纲!T$4:T$163,C123)</f>
        <v>36.4998</v>
      </c>
      <c r="E123" s="17">
        <f>求节点(其他调用!$AM$187:$AM$225,其他调用!AP$187:AP$225,$C123)</f>
        <v>0</v>
      </c>
      <c r="F123" s="17">
        <f>求节点(其他调用!$AM$187:$AM$225,其他调用!AQ$187:AQ$225,$C123)</f>
        <v>0</v>
      </c>
      <c r="G123" s="17">
        <f>求节点(其他调用!$AM$187:$AM$225,其他调用!AR$187:AR$225,$C123)</f>
        <v>1.5438472416061884</v>
      </c>
      <c r="H123" s="17">
        <f>求节点(其他调用!$AM$187:$AM$225,其他调用!AS$187:AS$225,$C123)</f>
        <v>4.4561527583938112</v>
      </c>
      <c r="I123" s="17">
        <f>IF(C123&lt;$D$2-10,0,MIN(投放验证!AL123,6-SUM(J123:$L123)))</f>
        <v>0</v>
      </c>
      <c r="J123" s="17">
        <f>IF(D123&lt;$D$2-10,0,MIN(投放验证!AM123,6-SUM(K123:$L123)))</f>
        <v>0</v>
      </c>
      <c r="K123" s="61">
        <f>IF(C123&lt;$D$2-10,0,MIN(投放验证!AN123,6-SUM(L123:$L123),G123))</f>
        <v>1.5438472416061884</v>
      </c>
      <c r="L123" s="74">
        <f>IF(C123&lt;$D$2-10,0,MIN(投放验证!AO123,H123))</f>
        <v>4.4561527583938112</v>
      </c>
      <c r="M123" s="17">
        <f>投放验证!AP123</f>
        <v>0</v>
      </c>
      <c r="N123" s="17">
        <f>投放验证!AQ123</f>
        <v>3</v>
      </c>
      <c r="O123" s="17">
        <f>投放验证!AR123</f>
        <v>4.4389008460744188</v>
      </c>
      <c r="P123" s="17">
        <f>投放验证!AS123</f>
        <v>2.4246234279861913</v>
      </c>
      <c r="Q123" s="63">
        <f>IF(I123=0,0,求节点(宝物升星!$C$92:$C$97,宝物升星!D$92:D$97,M123))</f>
        <v>0</v>
      </c>
      <c r="R123" s="63">
        <f>IF(J123=0,0,求节点(宝物升星!$C$92:$C$97,宝物升星!E$92:E$97,N123))</f>
        <v>0</v>
      </c>
      <c r="S123" s="63">
        <f>IF(K123=0,0,求节点(宝物升星!$C$92:$C$97,宝物升星!F$92:F$97,O123))</f>
        <v>0.9064834743457364</v>
      </c>
      <c r="T123" s="63">
        <f>IF(L123=0,0,求节点(宝物升星!$C$92:$C$97,宝物升星!G$92:G$97,P123))</f>
        <v>0.57077057133103182</v>
      </c>
      <c r="U123" s="16">
        <f>宝石镶嵌!AI112</f>
        <v>7.9566091554563947</v>
      </c>
      <c r="V123" s="16">
        <v>7.8595018784259683</v>
      </c>
      <c r="Y123" s="16">
        <v>0</v>
      </c>
      <c r="Z123" s="16">
        <v>3</v>
      </c>
      <c r="AA123" s="16">
        <v>5</v>
      </c>
      <c r="AB123" s="16">
        <v>2.48470487489665</v>
      </c>
    </row>
    <row r="124" spans="2:28">
      <c r="B124" s="16">
        <v>6</v>
      </c>
      <c r="C124" s="17">
        <v>75</v>
      </c>
      <c r="D124" s="17">
        <f>求节点(节奏总纲!$O$4:$O$163,节奏总纲!T$4:T$163,C124)</f>
        <v>51.755559095329879</v>
      </c>
      <c r="E124" s="17">
        <f>求节点(其他调用!$AM$187:$AM$225,其他调用!AP$187:AP$225,$C124)</f>
        <v>0</v>
      </c>
      <c r="F124" s="17">
        <f>求节点(其他调用!$AM$187:$AM$225,其他调用!AQ$187:AQ$225,$C124)</f>
        <v>0</v>
      </c>
      <c r="G124" s="17">
        <f>求节点(其他调用!$AM$187:$AM$225,其他调用!AR$187:AR$225,$C124)</f>
        <v>0.3901598628947866</v>
      </c>
      <c r="H124" s="17">
        <f>求节点(其他调用!$AM$187:$AM$225,其他调用!AS$187:AS$225,$C124)</f>
        <v>5.6098401371052136</v>
      </c>
      <c r="I124" s="17">
        <f>IF(C124&lt;$D$2-10,0,MIN(投放验证!AL124,6-SUM(J124:$L124)))</f>
        <v>0</v>
      </c>
      <c r="J124" s="17">
        <f>IF(D124&lt;$D$2-10,0,MIN(投放验证!AM124,6-SUM(K124:$L124)))</f>
        <v>0</v>
      </c>
      <c r="K124" s="61">
        <f>IF(C124&lt;$D$2-10,0,MIN(投放验证!AN124,6-SUM(L124:$L124),G124))</f>
        <v>0.39015986289478644</v>
      </c>
      <c r="L124" s="74">
        <f>IF(C124&lt;$D$2-10,0,MIN(投放验证!AO124,H124))</f>
        <v>5.6098401371052136</v>
      </c>
      <c r="M124" s="17">
        <f>投放验证!AP124</f>
        <v>0</v>
      </c>
      <c r="N124" s="17">
        <f>投放验证!AQ124</f>
        <v>3</v>
      </c>
      <c r="O124" s="17">
        <f>投放验证!AR124</f>
        <v>5</v>
      </c>
      <c r="P124" s="17">
        <f>投放验证!AS124</f>
        <v>2.5577382042117049</v>
      </c>
      <c r="Q124" s="63">
        <f>IF(I124=0,0,求节点(宝物升星!$C$92:$C$97,宝物升星!D$92:D$97,M124))</f>
        <v>0</v>
      </c>
      <c r="R124" s="63">
        <f>IF(J124=0,0,求节点(宝物升星!$C$92:$C$97,宝物升星!E$92:E$97,N124))</f>
        <v>0</v>
      </c>
      <c r="S124" s="63">
        <f>IF(K124=0,0,求节点(宝物升星!$C$92:$C$97,宝物升星!F$92:F$97,O124))</f>
        <v>1</v>
      </c>
      <c r="T124" s="63">
        <f>IF(L124=0,0,求节点(宝物升星!$C$92:$C$97,宝物升星!G$92:G$97,P124))</f>
        <v>0.59295636736861745</v>
      </c>
      <c r="U124" s="16">
        <f>宝石镶嵌!AI113</f>
        <v>8.2000598579581254</v>
      </c>
      <c r="V124" s="16">
        <v>8.1676907656146494</v>
      </c>
      <c r="Y124" s="16">
        <v>0</v>
      </c>
      <c r="Z124" s="16">
        <v>3</v>
      </c>
      <c r="AA124" s="16">
        <v>5</v>
      </c>
      <c r="AB124" s="16">
        <v>2.6532140561595243</v>
      </c>
    </row>
    <row r="125" spans="2:28">
      <c r="B125" s="16">
        <v>7</v>
      </c>
      <c r="C125" s="17">
        <v>80</v>
      </c>
      <c r="D125" s="17">
        <f>求节点(节奏总纲!$O$4:$O$163,节奏总纲!T$4:T$163,C125)</f>
        <v>72.777000000000001</v>
      </c>
      <c r="E125" s="17">
        <f>求节点(其他调用!$AM$187:$AM$225,其他调用!AP$187:AP$225,$C125)</f>
        <v>0</v>
      </c>
      <c r="F125" s="17">
        <f>求节点(其他调用!$AM$187:$AM$225,其他调用!AQ$187:AQ$225,$C125)</f>
        <v>0</v>
      </c>
      <c r="G125" s="17">
        <f>求节点(其他调用!$AM$187:$AM$225,其他调用!AR$187:AR$225,$C125)</f>
        <v>0</v>
      </c>
      <c r="H125" s="17">
        <f>求节点(其他调用!$AM$187:$AM$225,其他调用!AS$187:AS$225,$C125)</f>
        <v>6</v>
      </c>
      <c r="I125" s="17">
        <f>IF(C125&lt;$D$2-10,0,MIN(投放验证!AL125,6-SUM(J125:$L125)))</f>
        <v>0</v>
      </c>
      <c r="J125" s="17">
        <f>IF(D125&lt;$D$2-10,0,MIN(投放验证!AM125,6-SUM(K125:$L125)))</f>
        <v>0</v>
      </c>
      <c r="K125" s="61">
        <f>IF(C125&lt;$D$2-10,0,MIN(投放验证!AN125,6-SUM(L125:$L125),G125))</f>
        <v>0</v>
      </c>
      <c r="L125" s="74">
        <f>IF(C125&lt;$D$2-10,0,MIN(投放验证!AO125,H125))</f>
        <v>6</v>
      </c>
      <c r="M125" s="17">
        <f>投放验证!AP125</f>
        <v>0</v>
      </c>
      <c r="N125" s="17">
        <f>投放验证!AQ125</f>
        <v>3</v>
      </c>
      <c r="O125" s="17">
        <f>投放验证!AR125</f>
        <v>5</v>
      </c>
      <c r="P125" s="17">
        <f>投放验证!AS125</f>
        <v>3.6351081797546971</v>
      </c>
      <c r="Q125" s="63">
        <f>IF(I125=0,0,求节点(宝物升星!$C$92:$C$97,宝物升星!D$92:D$97,M125))</f>
        <v>0</v>
      </c>
      <c r="R125" s="63">
        <f>IF(J125=0,0,求节点(宝物升星!$C$92:$C$97,宝物升星!E$92:E$97,N125))</f>
        <v>0</v>
      </c>
      <c r="S125" s="63">
        <f>IF(K125=0,0,求节点(宝物升星!$C$92:$C$97,宝物升星!F$92:F$97,O125))</f>
        <v>0</v>
      </c>
      <c r="T125" s="63">
        <f>IF(L125=0,0,求节点(宝物升星!$C$92:$C$97,宝物升星!G$92:G$97,P125))</f>
        <v>0.77251802995911611</v>
      </c>
      <c r="U125" s="16">
        <f>宝石镶嵌!AI114</f>
        <v>8.5034418626477386</v>
      </c>
      <c r="V125" s="16">
        <v>8.4710727703042625</v>
      </c>
      <c r="Y125" s="16">
        <v>0</v>
      </c>
      <c r="Z125" s="16">
        <v>3</v>
      </c>
      <c r="AA125" s="16">
        <v>5</v>
      </c>
      <c r="AB125" s="16">
        <v>3.7662451274523585</v>
      </c>
    </row>
    <row r="126" spans="2:28">
      <c r="B126" s="16">
        <v>8</v>
      </c>
      <c r="C126" s="17">
        <v>85</v>
      </c>
      <c r="D126" s="17">
        <f>求节点(节奏总纲!$O$4:$O$163,节奏总纲!T$4:T$163,C126)</f>
        <v>102.53498283877349</v>
      </c>
      <c r="E126" s="17">
        <f>求节点(其他调用!$AM$187:$AM$225,其他调用!AP$187:AP$225,$C126)</f>
        <v>0</v>
      </c>
      <c r="F126" s="17">
        <f>求节点(其他调用!$AM$187:$AM$225,其他调用!AQ$187:AQ$225,$C126)</f>
        <v>0</v>
      </c>
      <c r="G126" s="17">
        <f>求节点(其他调用!$AM$187:$AM$225,其他调用!AR$187:AR$225,$C126)</f>
        <v>0</v>
      </c>
      <c r="H126" s="17">
        <f>求节点(其他调用!$AM$187:$AM$225,其他调用!AS$187:AS$225,$C126)</f>
        <v>6</v>
      </c>
      <c r="I126" s="17">
        <f>IF(C126&lt;$D$2-10,0,MIN(投放验证!AL126,6-SUM(J126:$L126)))</f>
        <v>0</v>
      </c>
      <c r="J126" s="17">
        <f>IF(D126&lt;$D$2-10,0,MIN(投放验证!AM126,6-SUM(K126:$L126)))</f>
        <v>0</v>
      </c>
      <c r="K126" s="61">
        <f>IF(C126&lt;$D$2-10,0,MIN(投放验证!AN126,6-SUM(L126:$L126),G126))</f>
        <v>0</v>
      </c>
      <c r="L126" s="74">
        <f>IF(C126&lt;$D$2-10,0,MIN(投放验证!AO126,H126))</f>
        <v>6</v>
      </c>
      <c r="M126" s="17">
        <f>投放验证!AP126</f>
        <v>0</v>
      </c>
      <c r="N126" s="17">
        <f>投放验证!AQ126</f>
        <v>3</v>
      </c>
      <c r="O126" s="17">
        <f>投放验证!AR126</f>
        <v>5</v>
      </c>
      <c r="P126" s="17">
        <f>投放验证!AS126</f>
        <v>5</v>
      </c>
      <c r="Q126" s="63">
        <f>IF(I126=0,0,求节点(宝物升星!$C$92:$C$97,宝物升星!D$92:D$97,M126))</f>
        <v>0</v>
      </c>
      <c r="R126" s="63">
        <f>IF(J126=0,0,求节点(宝物升星!$C$92:$C$97,宝物升星!E$92:E$97,N126))</f>
        <v>0</v>
      </c>
      <c r="S126" s="63">
        <f>IF(K126=0,0,求节点(宝物升星!$C$92:$C$97,宝物升星!F$92:F$97,O126))</f>
        <v>0</v>
      </c>
      <c r="T126" s="63">
        <f>IF(L126=0,0,求节点(宝物升星!$C$92:$C$97,宝物升星!G$92:G$97,P126))</f>
        <v>1</v>
      </c>
      <c r="U126" s="16">
        <f>宝石镶嵌!AI115</f>
        <v>8.9324888082597269</v>
      </c>
      <c r="V126" s="16">
        <v>8.9001197159162508</v>
      </c>
      <c r="Y126" s="16">
        <v>0</v>
      </c>
      <c r="Z126" s="16">
        <v>3</v>
      </c>
      <c r="AA126" s="16">
        <v>5</v>
      </c>
      <c r="AB126" s="16">
        <v>5</v>
      </c>
    </row>
    <row r="127" spans="2:28">
      <c r="B127" s="16">
        <v>9</v>
      </c>
      <c r="C127" s="17">
        <v>90</v>
      </c>
      <c r="D127" s="17">
        <f>求节点(节奏总纲!$O$4:$O$163,节奏总纲!T$4:T$163,C127)</f>
        <v>138.48100000000002</v>
      </c>
      <c r="E127" s="17">
        <f>求节点(其他调用!$AM$187:$AM$225,其他调用!AP$187:AP$225,$C127)</f>
        <v>0</v>
      </c>
      <c r="F127" s="17">
        <f>求节点(其他调用!$AM$187:$AM$225,其他调用!AQ$187:AQ$225,$C127)</f>
        <v>0</v>
      </c>
      <c r="G127" s="17">
        <f>求节点(其他调用!$AM$187:$AM$225,其他调用!AR$187:AR$225,$C127)</f>
        <v>0</v>
      </c>
      <c r="H127" s="17">
        <f>求节点(其他调用!$AM$187:$AM$225,其他调用!AS$187:AS$225,$C127)</f>
        <v>6</v>
      </c>
      <c r="I127" s="17">
        <f>IF(C127&lt;$D$2-10,0,MIN(投放验证!AL127,6-SUM(J127:$L127)))</f>
        <v>0</v>
      </c>
      <c r="J127" s="17">
        <f>IF(D127&lt;$D$2-10,0,MIN(投放验证!AM127,6-SUM(K127:$L127)))</f>
        <v>0</v>
      </c>
      <c r="K127" s="61">
        <f>IF(C127&lt;$D$2-10,0,MIN(投放验证!AN127,6-SUM(L127:$L127),G127))</f>
        <v>0</v>
      </c>
      <c r="L127" s="74">
        <f>IF(C127&lt;$D$2-10,0,MIN(投放验证!AO127,H127))</f>
        <v>6</v>
      </c>
      <c r="M127" s="17">
        <f>投放验证!AP127</f>
        <v>0</v>
      </c>
      <c r="N127" s="17">
        <f>投放验证!AQ127</f>
        <v>3</v>
      </c>
      <c r="O127" s="17">
        <f>投放验证!AR127</f>
        <v>5</v>
      </c>
      <c r="P127" s="17">
        <f>投放验证!AS127</f>
        <v>5</v>
      </c>
      <c r="Q127" s="63">
        <f>IF(I127=0,0,求节点(宝物升星!$C$92:$C$97,宝物升星!D$92:D$97,M127))</f>
        <v>0</v>
      </c>
      <c r="R127" s="63">
        <f>IF(J127=0,0,求节点(宝物升星!$C$92:$C$97,宝物升星!E$92:E$97,N127))</f>
        <v>0</v>
      </c>
      <c r="S127" s="63">
        <f>IF(K127=0,0,求节点(宝物升星!$C$92:$C$97,宝物升星!F$92:F$97,O127))</f>
        <v>0</v>
      </c>
      <c r="T127" s="63">
        <f>IF(L127=0,0,求节点(宝物升星!$C$92:$C$97,宝物升星!G$92:G$97,P127))</f>
        <v>1</v>
      </c>
      <c r="U127" s="16">
        <f>宝石镶嵌!AI116</f>
        <v>9.179750939212985</v>
      </c>
      <c r="V127" s="16">
        <v>9.1689612417651585</v>
      </c>
      <c r="Y127" s="16">
        <v>0</v>
      </c>
      <c r="Z127" s="16">
        <v>3</v>
      </c>
      <c r="AA127" s="16">
        <v>5</v>
      </c>
      <c r="AB127" s="16">
        <v>5</v>
      </c>
    </row>
    <row r="128" spans="2:28">
      <c r="B128" s="16">
        <v>10</v>
      </c>
      <c r="C128" s="17">
        <v>95</v>
      </c>
      <c r="D128" s="17">
        <f>求节点(节奏总纲!$O$4:$O$163,节奏总纲!T$4:T$163,C128)</f>
        <v>192.84472762747106</v>
      </c>
      <c r="E128" s="17">
        <f>求节点(其他调用!$AM$187:$AM$225,其他调用!AP$187:AP$225,$C128)</f>
        <v>0</v>
      </c>
      <c r="F128" s="17">
        <f>求节点(其他调用!$AM$187:$AM$225,其他调用!AQ$187:AQ$225,$C128)</f>
        <v>0</v>
      </c>
      <c r="G128" s="17">
        <f>求节点(其他调用!$AM$187:$AM$225,其他调用!AR$187:AR$225,$C128)</f>
        <v>0</v>
      </c>
      <c r="H128" s="17">
        <f>求节点(其他调用!$AM$187:$AM$225,其他调用!AS$187:AS$225,$C128)</f>
        <v>6</v>
      </c>
      <c r="I128" s="17">
        <f>IF(C128&lt;$D$2-10,0,MIN(投放验证!AL128,6-SUM(J128:$L128)))</f>
        <v>0</v>
      </c>
      <c r="J128" s="17">
        <f>IF(D128&lt;$D$2-10,0,MIN(投放验证!AM128,6-SUM(K128:$L128)))</f>
        <v>0</v>
      </c>
      <c r="K128" s="61">
        <f>IF(C128&lt;$D$2-10,0,MIN(投放验证!AN128,6-SUM(L128:$L128),G128))</f>
        <v>0</v>
      </c>
      <c r="L128" s="74">
        <f>IF(C128&lt;$D$2-10,0,MIN(投放验证!AO128,H128))</f>
        <v>6</v>
      </c>
      <c r="M128" s="17">
        <f>投放验证!AP128</f>
        <v>0</v>
      </c>
      <c r="N128" s="17">
        <f>投放验证!AQ128</f>
        <v>3</v>
      </c>
      <c r="O128" s="17">
        <f>投放验证!AR128</f>
        <v>5</v>
      </c>
      <c r="P128" s="17">
        <f>投放验证!AS128</f>
        <v>5</v>
      </c>
      <c r="Q128" s="63">
        <f>IF(I128=0,0,求节点(宝物升星!$C$92:$C$97,宝物升星!D$92:D$97,M128))</f>
        <v>0</v>
      </c>
      <c r="R128" s="63">
        <f>IF(J128=0,0,求节点(宝物升星!$C$92:$C$97,宝物升星!E$92:E$97,N128))</f>
        <v>0</v>
      </c>
      <c r="S128" s="63">
        <f>IF(K128=0,0,求节点(宝物升星!$C$92:$C$97,宝物升星!F$92:F$97,O128))</f>
        <v>0</v>
      </c>
      <c r="T128" s="63">
        <f>IF(L128=0,0,求节点(宝物升星!$C$92:$C$97,宝物升星!G$92:G$97,P128))</f>
        <v>1</v>
      </c>
      <c r="U128" s="16">
        <f>宝石镶嵌!AI117</f>
        <v>9.4657822362876427</v>
      </c>
      <c r="V128" s="16">
        <v>9.4549925388398179</v>
      </c>
      <c r="Y128" s="16">
        <v>0</v>
      </c>
      <c r="Z128" s="16">
        <v>3</v>
      </c>
      <c r="AA128" s="16">
        <v>5</v>
      </c>
      <c r="AB128" s="16">
        <v>5</v>
      </c>
    </row>
    <row r="129" spans="2:28">
      <c r="B129" s="16">
        <v>11</v>
      </c>
      <c r="C129" s="17">
        <v>100</v>
      </c>
      <c r="D129" s="17">
        <f>求节点(节奏总纲!$O$4:$O$163,节奏总纲!T$4:T$163,C129)</f>
        <v>274.77780000000001</v>
      </c>
      <c r="E129" s="17">
        <f>求节点(其他调用!$AM$187:$AM$225,其他调用!AP$187:AP$225,$C129)</f>
        <v>0</v>
      </c>
      <c r="F129" s="17">
        <f>求节点(其他调用!$AM$187:$AM$225,其他调用!AQ$187:AQ$225,$C129)</f>
        <v>0</v>
      </c>
      <c r="G129" s="17">
        <f>求节点(其他调用!$AM$187:$AM$225,其他调用!AR$187:AR$225,$C129)</f>
        <v>0</v>
      </c>
      <c r="H129" s="17">
        <f>求节点(其他调用!$AM$187:$AM$225,其他调用!AS$187:AS$225,$C129)</f>
        <v>6</v>
      </c>
      <c r="I129" s="17">
        <f>IF(C129&lt;$D$2-10,0,MIN(投放验证!AL129,6-SUM(J129:$L129)))</f>
        <v>0</v>
      </c>
      <c r="J129" s="17">
        <f>IF(D129&lt;$D$2-10,0,MIN(投放验证!AM129,6-SUM(K129:$L129)))</f>
        <v>0</v>
      </c>
      <c r="K129" s="61">
        <f>IF(C129&lt;$D$2-10,0,MIN(投放验证!AN129,6-SUM(L129:$L129),G129))</f>
        <v>0</v>
      </c>
      <c r="L129" s="74">
        <f>IF(C129&lt;$D$2-10,0,MIN(投放验证!AO129,H129))</f>
        <v>6</v>
      </c>
      <c r="M129" s="17">
        <f>投放验证!AP129</f>
        <v>0</v>
      </c>
      <c r="N129" s="17">
        <f>投放验证!AQ129</f>
        <v>3</v>
      </c>
      <c r="O129" s="17">
        <f>投放验证!AR129</f>
        <v>5</v>
      </c>
      <c r="P129" s="17">
        <f>投放验证!AS129</f>
        <v>5</v>
      </c>
      <c r="Q129" s="63">
        <f>IF(I129=0,0,求节点(宝物升星!$C$92:$C$97,宝物升星!D$92:D$97,M129))</f>
        <v>0</v>
      </c>
      <c r="R129" s="63">
        <f>IF(J129=0,0,求节点(宝物升星!$C$92:$C$97,宝物升星!E$92:E$97,N129))</f>
        <v>0</v>
      </c>
      <c r="S129" s="63">
        <f>IF(K129=0,0,求节点(宝物升星!$C$92:$C$97,宝物升星!F$92:F$97,O129))</f>
        <v>0</v>
      </c>
      <c r="T129" s="63">
        <f>IF(L129=0,0,求节点(宝物升星!$C$92:$C$97,宝物升星!G$92:G$97,P129))</f>
        <v>1</v>
      </c>
      <c r="U129" s="16">
        <f>宝石镶嵌!AI118</f>
        <v>9.870291575873793</v>
      </c>
      <c r="V129" s="16">
        <v>9.8595018784259683</v>
      </c>
      <c r="Y129" s="16">
        <v>0</v>
      </c>
      <c r="Z129" s="16">
        <v>3</v>
      </c>
      <c r="AA129" s="16">
        <v>5</v>
      </c>
      <c r="AB129" s="16">
        <v>5</v>
      </c>
    </row>
    <row r="130" spans="2:28">
      <c r="B130" s="16">
        <v>12</v>
      </c>
      <c r="C130" s="17">
        <v>105</v>
      </c>
      <c r="D130" s="17">
        <f>求节点(节奏总纲!$O$4:$O$163,节奏总纲!T$4:T$163,C130)</f>
        <v>386.39030166130323</v>
      </c>
      <c r="E130" s="17">
        <f>求节点(其他调用!$AM$187:$AM$225,其他调用!AP$187:AP$225,$C130)</f>
        <v>0</v>
      </c>
      <c r="F130" s="17">
        <f>求节点(其他调用!$AM$187:$AM$225,其他调用!AQ$187:AQ$225,$C130)</f>
        <v>0</v>
      </c>
      <c r="G130" s="17">
        <f>求节点(其他调用!$AM$187:$AM$225,其他调用!AR$187:AR$225,$C130)</f>
        <v>0</v>
      </c>
      <c r="H130" s="17">
        <f>求节点(其他调用!$AM$187:$AM$225,其他调用!AS$187:AS$225,$C130)</f>
        <v>6</v>
      </c>
      <c r="I130" s="17">
        <f>IF(C130&lt;$D$2-10,0,MIN(投放验证!AL130,6-SUM(J130:$L130)))</f>
        <v>0</v>
      </c>
      <c r="J130" s="17">
        <f>IF(D130&lt;$D$2-10,0,MIN(投放验证!AM130,6-SUM(K130:$L130)))</f>
        <v>0</v>
      </c>
      <c r="K130" s="61">
        <f>IF(C130&lt;$D$2-10,0,MIN(投放验证!AN130,6-SUM(L130:$L130),G130))</f>
        <v>0</v>
      </c>
      <c r="L130" s="74">
        <f>IF(C130&lt;$D$2-10,0,MIN(投放验证!AO130,H130))</f>
        <v>6</v>
      </c>
      <c r="M130" s="17">
        <f>投放验证!AP130</f>
        <v>0</v>
      </c>
      <c r="N130" s="17">
        <f>投放验证!AQ130</f>
        <v>3</v>
      </c>
      <c r="O130" s="17">
        <f>投放验证!AR130</f>
        <v>5</v>
      </c>
      <c r="P130" s="17">
        <f>投放验证!AS130</f>
        <v>5</v>
      </c>
      <c r="Q130" s="63">
        <f>IF(I130=0,0,求节点(宝物升星!$C$92:$C$97,宝物升星!D$92:D$97,M130))</f>
        <v>0</v>
      </c>
      <c r="R130" s="63">
        <f>IF(J130=0,0,求节点(宝物升星!$C$92:$C$97,宝物升星!E$92:E$97,N130))</f>
        <v>0</v>
      </c>
      <c r="S130" s="63">
        <f>IF(K130=0,0,求节点(宝物升星!$C$92:$C$97,宝物升星!F$92:F$97,O130))</f>
        <v>0</v>
      </c>
      <c r="T130" s="63">
        <f>IF(L130=0,0,求节点(宝物升星!$C$92:$C$97,宝物升星!G$92:G$97,P130))</f>
        <v>1</v>
      </c>
      <c r="U130" s="16">
        <f>宝石镶嵌!AI119</f>
        <v>10.147451390007705</v>
      </c>
      <c r="V130" s="16">
        <v>10.143854824191763</v>
      </c>
      <c r="Y130" s="16">
        <v>0</v>
      </c>
      <c r="Z130" s="16">
        <v>3</v>
      </c>
      <c r="AA130" s="16">
        <v>5</v>
      </c>
      <c r="AB130" s="16">
        <v>5</v>
      </c>
    </row>
    <row r="131" spans="2:28">
      <c r="B131" s="16">
        <v>13</v>
      </c>
      <c r="C131" s="17">
        <v>110</v>
      </c>
      <c r="D131" s="17">
        <f>求节点(节奏总纲!$O$4:$O$163,节奏总纲!T$4:T$163,C131)</f>
        <v>542.04559999999992</v>
      </c>
      <c r="E131" s="17">
        <f>求节点(其他调用!$AM$187:$AM$225,其他调用!AP$187:AP$225,$C131)</f>
        <v>0</v>
      </c>
      <c r="F131" s="17">
        <f>求节点(其他调用!$AM$187:$AM$225,其他调用!AQ$187:AQ$225,$C131)</f>
        <v>0</v>
      </c>
      <c r="G131" s="17">
        <f>求节点(其他调用!$AM$187:$AM$225,其他调用!AR$187:AR$225,$C131)</f>
        <v>0</v>
      </c>
      <c r="H131" s="17">
        <f>求节点(其他调用!$AM$187:$AM$225,其他调用!AS$187:AS$225,$C131)</f>
        <v>6</v>
      </c>
      <c r="I131" s="17">
        <f>IF(C131&lt;$D$2-10,0,MIN(投放验证!AL131,6-SUM(J131:$L131)))</f>
        <v>0</v>
      </c>
      <c r="J131" s="17">
        <f>IF(D131&lt;$D$2-10,0,MIN(投放验证!AM131,6-SUM(K131:$L131)))</f>
        <v>0</v>
      </c>
      <c r="K131" s="61">
        <f>IF(C131&lt;$D$2-10,0,MIN(投放验证!AN131,6-SUM(L131:$L131),G131))</f>
        <v>0</v>
      </c>
      <c r="L131" s="74">
        <f>IF(C131&lt;$D$2-10,0,MIN(投放验证!AO131,H131))</f>
        <v>6</v>
      </c>
      <c r="M131" s="17">
        <f>投放验证!AP131</f>
        <v>0</v>
      </c>
      <c r="N131" s="17">
        <f>投放验证!AQ131</f>
        <v>3</v>
      </c>
      <c r="O131" s="17">
        <f>投放验证!AR131</f>
        <v>5</v>
      </c>
      <c r="P131" s="17">
        <f>投放验证!AS131</f>
        <v>5</v>
      </c>
      <c r="Q131" s="63">
        <f>IF(I131=0,0,求节点(宝物升星!$C$92:$C$97,宝物升星!D$92:D$97,M131))</f>
        <v>0</v>
      </c>
      <c r="R131" s="63">
        <f>IF(J131=0,0,求节点(宝物升星!$C$92:$C$97,宝物升星!E$92:E$97,N131))</f>
        <v>0</v>
      </c>
      <c r="S131" s="63">
        <f>IF(K131=0,0,求节点(宝物升星!$C$92:$C$97,宝物升星!F$92:F$97,O131))</f>
        <v>0</v>
      </c>
      <c r="T131" s="63">
        <f>IF(L131=0,0,求节点(宝物升星!$C$92:$C$97,宝物升星!G$92:G$97,P131))</f>
        <v>1</v>
      </c>
      <c r="U131" s="16">
        <f>宝石镶嵌!AI120</f>
        <v>10.417124283065137</v>
      </c>
      <c r="V131" s="16">
        <v>10.413527717249195</v>
      </c>
      <c r="Y131" s="16">
        <v>0</v>
      </c>
      <c r="Z131" s="16">
        <v>3</v>
      </c>
      <c r="AA131" s="16">
        <v>5</v>
      </c>
      <c r="AB131" s="16">
        <v>5</v>
      </c>
    </row>
    <row r="132" spans="2:28">
      <c r="B132" s="16">
        <v>14</v>
      </c>
      <c r="C132" s="17">
        <v>115</v>
      </c>
      <c r="D132" s="17">
        <f>求节点(节奏总纲!$O$4:$O$163,节奏总纲!T$4:T$163,C132)</f>
        <v>758.86058738147995</v>
      </c>
      <c r="E132" s="17">
        <f>求节点(其他调用!$AM$187:$AM$225,其他调用!AP$187:AP$225,$C132)</f>
        <v>0</v>
      </c>
      <c r="F132" s="17">
        <f>求节点(其他调用!$AM$187:$AM$225,其他调用!AQ$187:AQ$225,$C132)</f>
        <v>0</v>
      </c>
      <c r="G132" s="17">
        <f>求节点(其他调用!$AM$187:$AM$225,其他调用!AR$187:AR$225,$C132)</f>
        <v>0</v>
      </c>
      <c r="H132" s="17">
        <f>求节点(其他调用!$AM$187:$AM$225,其他调用!AS$187:AS$225,$C132)</f>
        <v>6</v>
      </c>
      <c r="I132" s="17">
        <f>IF(C132&lt;$D$2-10,0,MIN(投放验证!AL132,6-SUM(J132:$L132)))</f>
        <v>0</v>
      </c>
      <c r="J132" s="17">
        <f>IF(D132&lt;$D$2-10,0,MIN(投放验证!AM132,6-SUM(K132:$L132)))</f>
        <v>0</v>
      </c>
      <c r="K132" s="61">
        <f>IF(C132&lt;$D$2-10,0,MIN(投放验证!AN132,6-SUM(L132:$L132),G132))</f>
        <v>0</v>
      </c>
      <c r="L132" s="74">
        <f>IF(C132&lt;$D$2-10,0,MIN(投放验证!AO132,H132))</f>
        <v>6</v>
      </c>
      <c r="M132" s="17">
        <f>投放验证!AP132</f>
        <v>0</v>
      </c>
      <c r="N132" s="17">
        <f>投放验证!AQ132</f>
        <v>3</v>
      </c>
      <c r="O132" s="17">
        <f>投放验证!AR132</f>
        <v>5</v>
      </c>
      <c r="P132" s="17">
        <f>投放验证!AS132</f>
        <v>5</v>
      </c>
      <c r="Q132" s="63">
        <f>IF(I132=0,0,求节点(宝物升星!$C$92:$C$97,宝物升星!D$92:D$97,M132))</f>
        <v>0</v>
      </c>
      <c r="R132" s="63">
        <f>IF(J132=0,0,求节点(宝物升星!$C$92:$C$97,宝物升星!E$92:E$97,N132))</f>
        <v>0</v>
      </c>
      <c r="S132" s="63">
        <f>IF(K132=0,0,求节点(宝物升星!$C$92:$C$97,宝物升星!F$92:F$97,O132))</f>
        <v>0</v>
      </c>
      <c r="T132" s="63">
        <f>IF(L132=0,0,求节点(宝物升星!$C$92:$C$97,宝物升星!G$92:G$97,P132))</f>
        <v>1</v>
      </c>
      <c r="U132" s="16">
        <f>宝石镶嵌!AI121</f>
        <v>10.798499345831349</v>
      </c>
      <c r="V132" s="16">
        <v>10.794902780015407</v>
      </c>
      <c r="Y132" s="16">
        <v>0</v>
      </c>
      <c r="Z132" s="16">
        <v>3</v>
      </c>
      <c r="AA132" s="16">
        <v>5</v>
      </c>
      <c r="AB132" s="16">
        <v>5</v>
      </c>
    </row>
    <row r="133" spans="2:28">
      <c r="B133" s="16">
        <v>15</v>
      </c>
      <c r="C133" s="17">
        <v>120</v>
      </c>
      <c r="D133" s="17">
        <f>求节点(节奏总纲!$O$4:$O$163,节奏总纲!T$4:T$163,C133)</f>
        <v>1067.9759999999999</v>
      </c>
      <c r="E133" s="17">
        <f>求节点(其他调用!$AM$187:$AM$225,其他调用!AP$187:AP$225,$C133)</f>
        <v>0</v>
      </c>
      <c r="F133" s="17">
        <f>求节点(其他调用!$AM$187:$AM$225,其他调用!AQ$187:AQ$225,$C133)</f>
        <v>0</v>
      </c>
      <c r="G133" s="17">
        <f>求节点(其他调用!$AM$187:$AM$225,其他调用!AR$187:AR$225,$C133)</f>
        <v>0</v>
      </c>
      <c r="H133" s="17">
        <f>求节点(其他调用!$AM$187:$AM$225,其他调用!AS$187:AS$225,$C133)</f>
        <v>6</v>
      </c>
      <c r="I133" s="17">
        <f>IF(C133&lt;$D$2-10,0,MIN(投放验证!AL133,6-SUM(J133:$L133)))</f>
        <v>0</v>
      </c>
      <c r="J133" s="17">
        <f>IF(D133&lt;$D$2-10,0,MIN(投放验证!AM133,6-SUM(K133:$L133)))</f>
        <v>0</v>
      </c>
      <c r="K133" s="61">
        <f>IF(C133&lt;$D$2-10,0,MIN(投放验证!AN133,6-SUM(L133:$L133),G133))</f>
        <v>0</v>
      </c>
      <c r="L133" s="74">
        <f>IF(C133&lt;$D$2-10,0,MIN(投放验证!AO133,H133))</f>
        <v>6</v>
      </c>
      <c r="M133" s="17">
        <f>投放验证!AP133</f>
        <v>0</v>
      </c>
      <c r="N133" s="17">
        <f>投放验证!AQ133</f>
        <v>3</v>
      </c>
      <c r="O133" s="17">
        <f>投放验证!AR133</f>
        <v>5</v>
      </c>
      <c r="P133" s="17">
        <f>投放验证!AS133</f>
        <v>5</v>
      </c>
      <c r="Q133" s="63">
        <f>IF(I133=0,0,求节点(宝物升星!$C$92:$C$97,宝物升星!D$92:D$97,M133))</f>
        <v>0</v>
      </c>
      <c r="R133" s="63">
        <f>IF(J133=0,0,求节点(宝物升星!$C$92:$C$97,宝物升星!E$92:E$97,N133))</f>
        <v>0</v>
      </c>
      <c r="S133" s="63">
        <f>IF(K133=0,0,求节点(宝物升星!$C$92:$C$97,宝物升星!F$92:F$97,O133))</f>
        <v>0</v>
      </c>
      <c r="T133" s="63">
        <f>IF(L133=0,0,求节点(宝物升星!$C$92:$C$97,宝物升星!G$92:G$97,P133))</f>
        <v>1</v>
      </c>
      <c r="U133" s="16">
        <f>宝石镶嵌!AI122</f>
        <v>11.112615043982073</v>
      </c>
      <c r="V133" s="16">
        <v>11.111416188710091</v>
      </c>
      <c r="Y133" s="16">
        <v>0</v>
      </c>
      <c r="Z133" s="16">
        <v>3</v>
      </c>
      <c r="AA133" s="16">
        <v>5</v>
      </c>
      <c r="AB133" s="16">
        <v>5</v>
      </c>
    </row>
    <row r="134" spans="2:28">
      <c r="B134" s="16">
        <v>16</v>
      </c>
      <c r="C134" s="17">
        <v>125</v>
      </c>
      <c r="D134" s="17">
        <f>求节点(节奏总纲!$O$4:$O$163,节奏总纲!T$4:T$163,C134)</f>
        <v>1509.8750085108877</v>
      </c>
      <c r="E134" s="17">
        <f>求节点(其他调用!$AM$187:$AM$225,其他调用!AP$187:AP$225,$C134)</f>
        <v>0</v>
      </c>
      <c r="F134" s="17">
        <f>求节点(其他调用!$AM$187:$AM$225,其他调用!AQ$187:AQ$225,$C134)</f>
        <v>0</v>
      </c>
      <c r="G134" s="17">
        <f>求节点(其他调用!$AM$187:$AM$225,其他调用!AR$187:AR$225,$C134)</f>
        <v>0</v>
      </c>
      <c r="H134" s="17">
        <f>求节点(其他调用!$AM$187:$AM$225,其他调用!AS$187:AS$225,$C134)</f>
        <v>6</v>
      </c>
      <c r="I134" s="17">
        <f>IF(C134&lt;$D$2-10,0,MIN(投放验证!AL134,6-SUM(J134:$L134)))</f>
        <v>0</v>
      </c>
      <c r="J134" s="17">
        <f>IF(D134&lt;$D$2-10,0,MIN(投放验证!AM134,6-SUM(K134:$L134)))</f>
        <v>0</v>
      </c>
      <c r="K134" s="61">
        <f>IF(C134&lt;$D$2-10,0,MIN(投放验证!AN134,6-SUM(L134:$L134),G134))</f>
        <v>0</v>
      </c>
      <c r="L134" s="74">
        <f>IF(C134&lt;$D$2-10,0,MIN(投放验证!AO134,H134))</f>
        <v>6</v>
      </c>
      <c r="M134" s="17">
        <f>投放验证!AP134</f>
        <v>0</v>
      </c>
      <c r="N134" s="17">
        <f>投放验证!AQ134</f>
        <v>3</v>
      </c>
      <c r="O134" s="17">
        <f>投放验证!AR134</f>
        <v>5</v>
      </c>
      <c r="P134" s="17">
        <f>投放验证!AS134</f>
        <v>5</v>
      </c>
      <c r="Q134" s="63">
        <f>IF(I134=0,0,求节点(宝物升星!$C$92:$C$97,宝物升星!D$92:D$97,M134))</f>
        <v>0</v>
      </c>
      <c r="R134" s="63">
        <f>IF(J134=0,0,求节点(宝物升星!$C$92:$C$97,宝物升星!E$92:E$97,N134))</f>
        <v>0</v>
      </c>
      <c r="S134" s="63">
        <f>IF(K134=0,0,求节点(宝物升星!$C$92:$C$97,宝物升星!F$92:F$97,O134))</f>
        <v>0</v>
      </c>
      <c r="T134" s="63">
        <f>IF(L134=0,0,求节点(宝物升星!$C$92:$C$97,宝物升星!G$92:G$97,P134))</f>
        <v>1</v>
      </c>
      <c r="U134" s="16">
        <f>宝石镶嵌!AI123</f>
        <v>11.366865085826214</v>
      </c>
      <c r="V134" s="16">
        <v>11.365666230554233</v>
      </c>
      <c r="Y134" s="16">
        <v>0</v>
      </c>
      <c r="Z134" s="16">
        <v>3</v>
      </c>
      <c r="AA134" s="16">
        <v>5</v>
      </c>
      <c r="AB134" s="16">
        <v>5</v>
      </c>
    </row>
    <row r="135" spans="2:28">
      <c r="B135" s="16">
        <v>17</v>
      </c>
      <c r="C135" s="17">
        <v>130</v>
      </c>
      <c r="D135" s="17">
        <f>求节点(节奏总纲!$O$4:$O$163,节奏总纲!T$4:T$163,C135)</f>
        <v>2124.7454000000002</v>
      </c>
      <c r="E135" s="17">
        <f>求节点(其他调用!$AM$187:$AM$225,其他调用!AP$187:AP$225,$C135)</f>
        <v>0</v>
      </c>
      <c r="F135" s="17">
        <f>求节点(其他调用!$AM$187:$AM$225,其他调用!AQ$187:AQ$225,$C135)</f>
        <v>0</v>
      </c>
      <c r="G135" s="17">
        <f>求节点(其他调用!$AM$187:$AM$225,其他调用!AR$187:AR$225,$C135)</f>
        <v>0</v>
      </c>
      <c r="H135" s="17">
        <f>求节点(其他调用!$AM$187:$AM$225,其他调用!AS$187:AS$225,$C135)</f>
        <v>6</v>
      </c>
      <c r="I135" s="17">
        <f>IF(C135&lt;$D$2-10,0,MIN(投放验证!AL135,6-SUM(J135:$L135)))</f>
        <v>0</v>
      </c>
      <c r="J135" s="17">
        <f>IF(D135&lt;$D$2-10,0,MIN(投放验证!AM135,6-SUM(K135:$L135)))</f>
        <v>0</v>
      </c>
      <c r="K135" s="61">
        <f>IF(C135&lt;$D$2-10,0,MIN(投放验证!AN135,6-SUM(L135:$L135),G135))</f>
        <v>0</v>
      </c>
      <c r="L135" s="74">
        <f>IF(C135&lt;$D$2-10,0,MIN(投放验证!AO135,H135))</f>
        <v>6</v>
      </c>
      <c r="M135" s="17">
        <f>投放验证!AP135</f>
        <v>0</v>
      </c>
      <c r="N135" s="17">
        <f>投放验证!AQ135</f>
        <v>3</v>
      </c>
      <c r="O135" s="17">
        <f>投放验证!AR135</f>
        <v>5</v>
      </c>
      <c r="P135" s="17">
        <f>投放验证!AS135</f>
        <v>5</v>
      </c>
      <c r="Q135" s="63">
        <f>IF(I135=0,0,求节点(宝物升星!$C$92:$C$97,宝物升星!D$92:D$97,M135))</f>
        <v>0</v>
      </c>
      <c r="R135" s="63">
        <f>IF(J135=0,0,求节点(宝物升星!$C$92:$C$97,宝物升星!E$92:E$97,N135))</f>
        <v>0</v>
      </c>
      <c r="S135" s="63">
        <f>IF(K135=0,0,求节点(宝物升星!$C$92:$C$97,宝物升星!F$92:F$97,O135))</f>
        <v>0</v>
      </c>
      <c r="T135" s="63">
        <f>IF(L135=0,0,求节点(宝物升星!$C$92:$C$97,宝物升星!G$92:G$97,P135))</f>
        <v>1</v>
      </c>
      <c r="U135" s="16">
        <f>宝石镶嵌!AI124</f>
        <v>11.726428943236124</v>
      </c>
      <c r="V135" s="16">
        <v>11.725230087964144</v>
      </c>
      <c r="Y135" s="16">
        <v>0</v>
      </c>
      <c r="Z135" s="16">
        <v>3</v>
      </c>
      <c r="AA135" s="16">
        <v>5</v>
      </c>
      <c r="AB135" s="16">
        <v>5</v>
      </c>
    </row>
    <row r="136" spans="2:28">
      <c r="B136" s="16">
        <v>18</v>
      </c>
      <c r="C136" s="17">
        <v>135</v>
      </c>
      <c r="D136" s="17">
        <f>求节点(节奏总纲!$O$4:$O$163,节奏总纲!T$4:T$163,C136)</f>
        <v>2979.465885761414</v>
      </c>
      <c r="E136" s="17">
        <f>求节点(其他调用!$AM$187:$AM$225,其他调用!AP$187:AP$225,$C136)</f>
        <v>0</v>
      </c>
      <c r="F136" s="17">
        <f>求节点(其他调用!$AM$187:$AM$225,其他调用!AQ$187:AQ$225,$C136)</f>
        <v>0</v>
      </c>
      <c r="G136" s="17">
        <f>求节点(其他调用!$AM$187:$AM$225,其他调用!AR$187:AR$225,$C136)</f>
        <v>0</v>
      </c>
      <c r="H136" s="17">
        <f>求节点(其他调用!$AM$187:$AM$225,其他调用!AS$187:AS$225,$C136)</f>
        <v>6</v>
      </c>
      <c r="I136" s="17">
        <f>IF(C136&lt;$D$2-10,0,MIN(投放验证!AL136,6-SUM(J136:$L136)))</f>
        <v>0</v>
      </c>
      <c r="J136" s="17">
        <f>IF(D136&lt;$D$2-10,0,MIN(投放验证!AM136,6-SUM(K136:$L136)))</f>
        <v>0</v>
      </c>
      <c r="K136" s="61">
        <f>IF(C136&lt;$D$2-10,0,MIN(投放验证!AN136,6-SUM(L136:$L136),G136))</f>
        <v>0</v>
      </c>
      <c r="L136" s="74">
        <f>IF(C136&lt;$D$2-10,0,MIN(投放验证!AO136,H136))</f>
        <v>6</v>
      </c>
      <c r="M136" s="17">
        <f>投放验证!AP136</f>
        <v>0</v>
      </c>
      <c r="N136" s="17">
        <f>投放验证!AQ136</f>
        <v>3</v>
      </c>
      <c r="O136" s="17">
        <f>投放验证!AR136</f>
        <v>5</v>
      </c>
      <c r="P136" s="17">
        <f>投放验证!AS136</f>
        <v>5</v>
      </c>
      <c r="Q136" s="63">
        <f>IF(I136=0,0,求节点(宝物升星!$C$92:$C$97,宝物升星!D$92:D$97,M136))</f>
        <v>0</v>
      </c>
      <c r="R136" s="63">
        <f>IF(J136=0,0,求节点(宝物升星!$C$92:$C$97,宝物升星!E$92:E$97,N136))</f>
        <v>0</v>
      </c>
      <c r="S136" s="63">
        <f>IF(K136=0,0,求节点(宝物升星!$C$92:$C$97,宝物升星!F$92:F$97,O136))</f>
        <v>0</v>
      </c>
      <c r="T136" s="63">
        <f>IF(L136=0,0,求节点(宝物升星!$C$92:$C$97,宝物升星!G$92:G$97,P136))</f>
        <v>1</v>
      </c>
      <c r="U136" s="16">
        <f>宝石镶嵌!AI125</f>
        <v>12.078309675641469</v>
      </c>
      <c r="V136" s="16">
        <v>12.077910057217476</v>
      </c>
      <c r="Y136" s="16">
        <v>0</v>
      </c>
      <c r="Z136" s="16">
        <v>3</v>
      </c>
      <c r="AA136" s="16">
        <v>5</v>
      </c>
      <c r="AB136" s="16">
        <v>5</v>
      </c>
    </row>
    <row r="137" spans="2:28">
      <c r="B137" s="16">
        <v>19</v>
      </c>
      <c r="C137" s="17">
        <v>140</v>
      </c>
      <c r="D137" s="17">
        <f>求节点(节奏总纲!$O$4:$O$163,节奏总纲!T$4:T$163,C137)</f>
        <v>4192.4097000000002</v>
      </c>
      <c r="E137" s="17">
        <f>求节点(其他调用!$AM$187:$AM$225,其他调用!AP$187:AP$225,$C137)</f>
        <v>0</v>
      </c>
      <c r="F137" s="17">
        <f>求节点(其他调用!$AM$187:$AM$225,其他调用!AQ$187:AQ$225,$C137)</f>
        <v>0</v>
      </c>
      <c r="G137" s="17">
        <f>求节点(其他调用!$AM$187:$AM$225,其他调用!AR$187:AR$225,$C137)</f>
        <v>0</v>
      </c>
      <c r="H137" s="17">
        <f>求节点(其他调用!$AM$187:$AM$225,其他调用!AS$187:AS$225,$C137)</f>
        <v>6</v>
      </c>
      <c r="I137" s="17">
        <f>IF(C137&lt;$D$2-10,0,MIN(投放验证!AL137,6-SUM(J137:$L137)))</f>
        <v>0</v>
      </c>
      <c r="J137" s="17">
        <f>IF(D137&lt;$D$2-10,0,MIN(投放验证!AM137,6-SUM(K137:$L137)))</f>
        <v>0</v>
      </c>
      <c r="K137" s="61">
        <f>IF(C137&lt;$D$2-10,0,MIN(投放验证!AN137,6-SUM(L137:$L137),G137))</f>
        <v>0</v>
      </c>
      <c r="L137" s="74">
        <f>IF(C137&lt;$D$2-10,0,MIN(投放验证!AO137,H137))</f>
        <v>6</v>
      </c>
      <c r="M137" s="17">
        <f>投放验证!AP137</f>
        <v>0</v>
      </c>
      <c r="N137" s="17">
        <f>投放验证!AQ137</f>
        <v>3</v>
      </c>
      <c r="O137" s="17">
        <f>投放验证!AR137</f>
        <v>5</v>
      </c>
      <c r="P137" s="17">
        <f>投放验证!AS137</f>
        <v>5</v>
      </c>
      <c r="Q137" s="63">
        <f>IF(I137=0,0,求节点(宝物升星!$C$92:$C$97,宝物升星!D$92:D$97,M137))</f>
        <v>0</v>
      </c>
      <c r="R137" s="63">
        <f>IF(J137=0,0,求节点(宝物升星!$C$92:$C$97,宝物升星!E$92:E$97,N137))</f>
        <v>0</v>
      </c>
      <c r="S137" s="63">
        <f>IF(K137=0,0,求节点(宝物升星!$C$92:$C$97,宝物升星!F$92:F$97,O137))</f>
        <v>0</v>
      </c>
      <c r="T137" s="63">
        <f>IF(L137=0,0,求节点(宝物升星!$C$92:$C$97,宝物升星!G$92:G$97,P137))</f>
        <v>1</v>
      </c>
      <c r="U137" s="16">
        <f>宝石镶嵌!AI126</f>
        <v>12.318018913914743</v>
      </c>
      <c r="V137" s="16">
        <v>12.317619295490751</v>
      </c>
      <c r="Y137" s="16">
        <v>0</v>
      </c>
      <c r="Z137" s="16">
        <v>3</v>
      </c>
      <c r="AA137" s="16">
        <v>5</v>
      </c>
      <c r="AB137" s="16">
        <v>5</v>
      </c>
    </row>
    <row r="138" spans="2:28">
      <c r="B138" s="16">
        <v>20</v>
      </c>
      <c r="C138" s="17">
        <v>145</v>
      </c>
      <c r="D138" s="17">
        <f>求节点(节奏总纲!$O$4:$O$163,节奏总纲!T$4:T$163,C138)</f>
        <v>5926.7517065145412</v>
      </c>
      <c r="E138" s="17">
        <f>求节点(其他调用!$AM$187:$AM$225,其他调用!AP$187:AP$225,$C138)</f>
        <v>0</v>
      </c>
      <c r="F138" s="17">
        <f>求节点(其他调用!$AM$187:$AM$225,其他调用!AQ$187:AQ$225,$C138)</f>
        <v>0</v>
      </c>
      <c r="G138" s="17">
        <f>求节点(其他调用!$AM$187:$AM$225,其他调用!AR$187:AR$225,$C138)</f>
        <v>0</v>
      </c>
      <c r="H138" s="17">
        <f>求节点(其他调用!$AM$187:$AM$225,其他调用!AS$187:AS$225,$C138)</f>
        <v>6</v>
      </c>
      <c r="I138" s="17">
        <f>IF(C138&lt;$D$2-10,0,MIN(投放验证!AL138,6-SUM(J138:$L138)))</f>
        <v>0</v>
      </c>
      <c r="J138" s="17">
        <f>IF(D138&lt;$D$2-10,0,MIN(投放验证!AM138,6-SUM(K138:$L138)))</f>
        <v>0</v>
      </c>
      <c r="K138" s="61">
        <f>IF(C138&lt;$D$2-10,0,MIN(投放验证!AN138,6-SUM(L138:$L138),G138))</f>
        <v>0</v>
      </c>
      <c r="L138" s="74">
        <f>IF(C138&lt;$D$2-10,0,MIN(投放验证!AO138,H138))</f>
        <v>6</v>
      </c>
      <c r="M138" s="17">
        <f>投放验证!AP138</f>
        <v>0</v>
      </c>
      <c r="N138" s="17">
        <f>投放验证!AQ138</f>
        <v>3</v>
      </c>
      <c r="O138" s="17">
        <f>投放验证!AR138</f>
        <v>5</v>
      </c>
      <c r="P138" s="17">
        <f>投放验证!AS138</f>
        <v>5</v>
      </c>
      <c r="Q138" s="63">
        <f>IF(I138=0,0,求节点(宝物升星!$C$92:$C$97,宝物升星!D$92:D$97,M138))</f>
        <v>0</v>
      </c>
      <c r="R138" s="63">
        <f>IF(J138=0,0,求节点(宝物升星!$C$92:$C$97,宝物升星!E$92:E$97,N138))</f>
        <v>0</v>
      </c>
      <c r="S138" s="63">
        <f>IF(K138=0,0,求节点(宝物升星!$C$92:$C$97,宝物升星!F$92:F$97,O138))</f>
        <v>0</v>
      </c>
      <c r="T138" s="63">
        <f>IF(L138=0,0,求节点(宝物升星!$C$92:$C$97,宝物升星!G$92:G$97,P138))</f>
        <v>1</v>
      </c>
      <c r="U138" s="16">
        <f>宝石镶嵌!AI127</f>
        <v>12.657018969706932</v>
      </c>
      <c r="V138" s="16">
        <v>12.656619351282938</v>
      </c>
      <c r="Y138" s="16">
        <v>0</v>
      </c>
      <c r="Z138" s="16">
        <v>3</v>
      </c>
      <c r="AA138" s="16">
        <v>5</v>
      </c>
      <c r="AB138" s="16">
        <v>5</v>
      </c>
    </row>
    <row r="139" spans="2:28">
      <c r="B139" s="16">
        <v>21</v>
      </c>
      <c r="C139" s="17">
        <v>150</v>
      </c>
      <c r="D139" s="17">
        <f>求节点(节奏总纲!$O$4:$O$163,节奏总纲!T$4:T$163,C139)</f>
        <v>8355.5850000000009</v>
      </c>
      <c r="E139" s="17">
        <f>求节点(其他调用!$AM$187:$AM$225,其他调用!AP$187:AP$225,$C139)</f>
        <v>0</v>
      </c>
      <c r="F139" s="17">
        <f>求节点(其他调用!$AM$187:$AM$225,其他调用!AQ$187:AQ$225,$C139)</f>
        <v>0</v>
      </c>
      <c r="G139" s="17">
        <f>求节点(其他调用!$AM$187:$AM$225,其他调用!AR$187:AR$225,$C139)</f>
        <v>0</v>
      </c>
      <c r="H139" s="17">
        <f>求节点(其他调用!$AM$187:$AM$225,其他调用!AS$187:AS$225,$C139)</f>
        <v>6</v>
      </c>
      <c r="I139" s="17">
        <f>IF(C139&lt;$D$2-10,0,MIN(投放验证!AL139,6-SUM(J139:$L139)))</f>
        <v>0</v>
      </c>
      <c r="J139" s="17">
        <f>IF(D139&lt;$D$2-10,0,MIN(投放验证!AM139,6-SUM(K139:$L139)))</f>
        <v>0</v>
      </c>
      <c r="K139" s="61">
        <f>IF(C139&lt;$D$2-10,0,MIN(投放验证!AN139,6-SUM(L139:$L139),G139))</f>
        <v>0</v>
      </c>
      <c r="L139" s="74">
        <f>IF(C139&lt;$D$2-10,0,MIN(投放验证!AO139,H139))</f>
        <v>6</v>
      </c>
      <c r="M139" s="17">
        <f>投放验证!AP139</f>
        <v>0</v>
      </c>
      <c r="N139" s="17">
        <f>投放验证!AQ139</f>
        <v>3</v>
      </c>
      <c r="O139" s="17">
        <f>投放验证!AR139</f>
        <v>5</v>
      </c>
      <c r="P139" s="17">
        <f>投放验证!AS139</f>
        <v>5</v>
      </c>
      <c r="Q139" s="63">
        <f>IF(I139=0,0,求节点(宝物升星!$C$92:$C$97,宝物升星!D$92:D$97,M139))</f>
        <v>0</v>
      </c>
      <c r="R139" s="63">
        <f>IF(J139=0,0,求节点(宝物升星!$C$92:$C$97,宝物升星!E$92:E$97,N139))</f>
        <v>0</v>
      </c>
      <c r="S139" s="63">
        <f>IF(K139=0,0,求节点(宝物升星!$C$92:$C$97,宝物升星!F$92:F$97,O139))</f>
        <v>0</v>
      </c>
      <c r="T139" s="63">
        <f>IF(L139=0,0,求节点(宝物升星!$C$92:$C$97,宝物升星!G$92:G$97,P139))</f>
        <v>1</v>
      </c>
      <c r="U139" s="16">
        <f>宝石镶嵌!AI128</f>
        <v>13.045479148751161</v>
      </c>
      <c r="V139" s="16">
        <v>13.045345942609829</v>
      </c>
      <c r="Y139" s="16">
        <v>0</v>
      </c>
      <c r="Z139" s="16">
        <v>3</v>
      </c>
      <c r="AA139" s="16">
        <v>5</v>
      </c>
      <c r="AB139" s="16">
        <v>5</v>
      </c>
    </row>
    <row r="140" spans="2:28">
      <c r="B140" s="16">
        <v>22</v>
      </c>
      <c r="C140" s="17">
        <v>155</v>
      </c>
      <c r="D140" s="17">
        <f>求节点(节奏总纲!$O$4:$O$163,节奏总纲!T$4:T$163,C140)</f>
        <v>44541.959951382152</v>
      </c>
      <c r="E140" s="17">
        <f>求节点(其他调用!$AM$187:$AM$225,其他调用!AP$187:AP$225,$C140)</f>
        <v>0</v>
      </c>
      <c r="F140" s="17">
        <f>求节点(其他调用!$AM$187:$AM$225,其他调用!AQ$187:AQ$225,$C140)</f>
        <v>0</v>
      </c>
      <c r="G140" s="17">
        <f>求节点(其他调用!$AM$187:$AM$225,其他调用!AR$187:AR$225,$C140)</f>
        <v>0</v>
      </c>
      <c r="H140" s="17">
        <f>求节点(其他调用!$AM$187:$AM$225,其他调用!AS$187:AS$225,$C140)</f>
        <v>6</v>
      </c>
      <c r="I140" s="17">
        <f>IF(C140&lt;$D$2-10,0,MIN(投放验证!AL140,6-SUM(J140:$L140)))</f>
        <v>0</v>
      </c>
      <c r="J140" s="17">
        <f>IF(D140&lt;$D$2-10,0,MIN(投放验证!AM140,6-SUM(K140:$L140)))</f>
        <v>0</v>
      </c>
      <c r="K140" s="61">
        <f>IF(C140&lt;$D$2-10,0,MIN(投放验证!AN140,6-SUM(L140:$L140),G140))</f>
        <v>0</v>
      </c>
      <c r="L140" s="74">
        <f>IF(C140&lt;$D$2-10,0,MIN(投放验证!AO140,H140))</f>
        <v>6</v>
      </c>
      <c r="M140" s="17">
        <f>投放验证!AP140</f>
        <v>0</v>
      </c>
      <c r="N140" s="17">
        <f>投放验证!AQ140</f>
        <v>3</v>
      </c>
      <c r="O140" s="17">
        <f>投放验证!AR140</f>
        <v>5</v>
      </c>
      <c r="P140" s="17">
        <f>投放验证!AS140</f>
        <v>5</v>
      </c>
      <c r="Q140" s="63">
        <f>IF(I140=0,0,求节点(宝物升星!$C$92:$C$97,宝物升星!D$92:D$97,M140))</f>
        <v>0</v>
      </c>
      <c r="R140" s="63">
        <f>IF(J140=0,0,求节点(宝物升星!$C$92:$C$97,宝物升星!E$92:E$97,N140))</f>
        <v>0</v>
      </c>
      <c r="S140" s="63">
        <f>IF(K140=0,0,求节点(宝物升星!$C$92:$C$97,宝物升星!F$92:F$97,O140))</f>
        <v>0</v>
      </c>
      <c r="T140" s="63">
        <f>IF(L140=0,0,求节点(宝物升星!$C$92:$C$97,宝物升星!G$92:G$97,P140))</f>
        <v>1</v>
      </c>
      <c r="U140" s="16">
        <f>宝石镶嵌!AI129</f>
        <v>13.271479185945953</v>
      </c>
      <c r="V140" s="16">
        <v>13.271345979804622</v>
      </c>
      <c r="Y140" s="16">
        <v>0</v>
      </c>
      <c r="Z140" s="16">
        <v>3</v>
      </c>
      <c r="AA140" s="16">
        <v>5</v>
      </c>
      <c r="AB140" s="16">
        <v>5</v>
      </c>
    </row>
    <row r="141" spans="2:28">
      <c r="B141" s="16">
        <v>23</v>
      </c>
      <c r="C141" s="17">
        <v>160</v>
      </c>
      <c r="D141" s="17">
        <f>求节点(节奏总纲!$O$4:$O$163,节奏总纲!T$4:T$163,C141)</f>
        <v>66190.350000000006</v>
      </c>
      <c r="E141" s="17">
        <f>求节点(其他调用!$AM$187:$AM$225,其他调用!AP$187:AP$225,$C141)</f>
        <v>0</v>
      </c>
      <c r="F141" s="17">
        <f>求节点(其他调用!$AM$187:$AM$225,其他调用!AQ$187:AQ$225,$C141)</f>
        <v>0</v>
      </c>
      <c r="G141" s="17">
        <f>求节点(其他调用!$AM$187:$AM$225,其他调用!AR$187:AR$225,$C141)</f>
        <v>0</v>
      </c>
      <c r="H141" s="17">
        <f>求节点(其他调用!$AM$187:$AM$225,其他调用!AS$187:AS$225,$C141)</f>
        <v>6</v>
      </c>
      <c r="I141" s="17">
        <f>IF(C141&lt;$D$2-10,0,MIN(投放验证!AL141,6-SUM(J141:$L141)))</f>
        <v>0</v>
      </c>
      <c r="J141" s="17">
        <f>IF(D141&lt;$D$2-10,0,MIN(投放验证!AM141,6-SUM(K141:$L141)))</f>
        <v>0</v>
      </c>
      <c r="K141" s="61">
        <f>IF(C141&lt;$D$2-10,0,MIN(投放验证!AN141,6-SUM(L141:$L141),G141))</f>
        <v>0</v>
      </c>
      <c r="L141" s="74">
        <f>IF(C141&lt;$D$2-10,0,MIN(投放验证!AO141,H141))</f>
        <v>6</v>
      </c>
      <c r="M141" s="17">
        <f>投放验证!AP141</f>
        <v>0</v>
      </c>
      <c r="N141" s="17">
        <f>投放验证!AQ141</f>
        <v>3</v>
      </c>
      <c r="O141" s="17">
        <f>投放验证!AR141</f>
        <v>5</v>
      </c>
      <c r="P141" s="17">
        <f>投放验证!AS141</f>
        <v>5</v>
      </c>
      <c r="Q141" s="63">
        <f>IF(I141=0,0,求节点(宝物升星!$C$92:$C$97,宝物升星!D$92:D$97,M141))</f>
        <v>0</v>
      </c>
      <c r="R141" s="63">
        <f>IF(J141=0,0,求节点(宝物升星!$C$92:$C$97,宝物升星!E$92:E$97,N141))</f>
        <v>0</v>
      </c>
      <c r="S141" s="63">
        <f>IF(K141=0,0,求节点(宝物升星!$C$92:$C$97,宝物升星!F$92:F$97,O141))</f>
        <v>0</v>
      </c>
      <c r="T141" s="63">
        <f>IF(L141=0,0,求节点(宝物升星!$C$92:$C$97,宝物升星!G$92:G$97,P141))</f>
        <v>1</v>
      </c>
      <c r="U141" s="16">
        <f>宝石镶嵌!AI130</f>
        <v>13.591091503643652</v>
      </c>
      <c r="V141" s="16">
        <v>13.59095829750232</v>
      </c>
      <c r="Y141" s="16">
        <v>0</v>
      </c>
      <c r="Z141" s="16">
        <v>3</v>
      </c>
      <c r="AA141" s="16">
        <v>5</v>
      </c>
      <c r="AB141" s="16">
        <v>5</v>
      </c>
    </row>
    <row r="142" spans="2:28">
      <c r="B142" s="16">
        <v>24</v>
      </c>
    </row>
    <row r="143" spans="2:28">
      <c r="B143" s="16">
        <v>25</v>
      </c>
    </row>
    <row r="144" spans="2:28">
      <c r="B144" s="16">
        <v>26</v>
      </c>
    </row>
  </sheetData>
  <mergeCells count="26">
    <mergeCell ref="B4:F4"/>
    <mergeCell ref="M15:P15"/>
    <mergeCell ref="M41:P41"/>
    <mergeCell ref="M67:P67"/>
    <mergeCell ref="M93:P93"/>
    <mergeCell ref="M119:P119"/>
    <mergeCell ref="C119:D119"/>
    <mergeCell ref="I15:L15"/>
    <mergeCell ref="I41:L41"/>
    <mergeCell ref="I67:L67"/>
    <mergeCell ref="I93:L93"/>
    <mergeCell ref="I119:L119"/>
    <mergeCell ref="E15:H15"/>
    <mergeCell ref="E41:H41"/>
    <mergeCell ref="E67:H67"/>
    <mergeCell ref="E93:H93"/>
    <mergeCell ref="E119:H119"/>
    <mergeCell ref="C15:D15"/>
    <mergeCell ref="C41:D41"/>
    <mergeCell ref="C67:D67"/>
    <mergeCell ref="C93:D93"/>
    <mergeCell ref="Q15:T15"/>
    <mergeCell ref="Q41:T41"/>
    <mergeCell ref="Q67:T67"/>
    <mergeCell ref="Q93:T93"/>
    <mergeCell ref="Q119:T119"/>
  </mergeCells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B2:BY226"/>
  <sheetViews>
    <sheetView topLeftCell="A28" workbookViewId="0">
      <selection activeCell="G60" sqref="G60"/>
    </sheetView>
  </sheetViews>
  <sheetFormatPr defaultColWidth="6.625" defaultRowHeight="11.25"/>
  <cols>
    <col min="1" max="2" width="6.625" style="16"/>
    <col min="3" max="8" width="6.75" style="16" bestFit="1" customWidth="1"/>
    <col min="9" max="9" width="6.625" style="16"/>
    <col min="10" max="10" width="6.625" style="13" customWidth="1"/>
    <col min="11" max="11" width="6.625" style="16" customWidth="1"/>
    <col min="12" max="27" width="6.75" style="16" customWidth="1"/>
    <col min="28" max="28" width="6.625" style="16" customWidth="1"/>
    <col min="29" max="29" width="6.625" style="13" customWidth="1"/>
    <col min="30" max="30" width="6.625" style="16" customWidth="1"/>
    <col min="31" max="36" width="6.75" style="16" customWidth="1"/>
    <col min="37" max="37" width="6.625" style="16" customWidth="1"/>
    <col min="38" max="38" width="6.625" style="13" customWidth="1"/>
    <col min="39" max="39" width="6.625" style="16" customWidth="1"/>
    <col min="40" max="41" width="6.75" style="16" customWidth="1"/>
    <col min="42" max="42" width="10.375" style="16" customWidth="1"/>
    <col min="43" max="43" width="9.75" style="16" customWidth="1"/>
    <col min="44" max="44" width="6.625" style="16" customWidth="1"/>
    <col min="45" max="45" width="6.625" style="13" customWidth="1"/>
    <col min="46" max="46" width="6.625" style="16" customWidth="1"/>
    <col min="47" max="47" width="6.75" style="16" customWidth="1"/>
    <col min="48" max="48" width="9" style="16" customWidth="1"/>
    <col min="49" max="50" width="6.625" style="16" customWidth="1"/>
    <col min="51" max="53" width="6.75" style="16" customWidth="1"/>
    <col min="54" max="69" width="6.625" style="16" customWidth="1"/>
    <col min="70" max="16384" width="6.625" style="16"/>
  </cols>
  <sheetData>
    <row r="2" spans="2:77">
      <c r="AM2" s="16">
        <v>1</v>
      </c>
      <c r="AN2" s="17" t="s">
        <v>74</v>
      </c>
      <c r="AO2" s="70" t="s">
        <v>54</v>
      </c>
      <c r="AP2" s="170" t="s">
        <v>414</v>
      </c>
      <c r="AQ2" s="170"/>
      <c r="AU2" s="16" t="s">
        <v>254</v>
      </c>
      <c r="AV2" s="174" t="s">
        <v>419</v>
      </c>
      <c r="AY2" s="17" t="s">
        <v>74</v>
      </c>
      <c r="AZ2" s="170" t="s">
        <v>415</v>
      </c>
      <c r="BA2" s="170"/>
    </row>
    <row r="3" spans="2:77">
      <c r="AM3" s="16">
        <v>2</v>
      </c>
      <c r="AN3" s="17" t="s">
        <v>161</v>
      </c>
      <c r="AO3" s="17" t="s">
        <v>412</v>
      </c>
      <c r="AP3" s="17" t="s">
        <v>412</v>
      </c>
      <c r="AQ3" s="17" t="s">
        <v>413</v>
      </c>
      <c r="AU3" s="16" t="s">
        <v>161</v>
      </c>
      <c r="AV3" s="174"/>
      <c r="AY3" s="17" t="s">
        <v>161</v>
      </c>
      <c r="AZ3" s="17" t="s">
        <v>416</v>
      </c>
      <c r="BA3" s="17" t="s">
        <v>192</v>
      </c>
      <c r="BG3" s="164" t="s">
        <v>298</v>
      </c>
      <c r="BH3" s="164"/>
      <c r="BI3" s="164"/>
      <c r="BJ3" s="164"/>
      <c r="BK3" s="164"/>
      <c r="BL3" s="164" t="s">
        <v>454</v>
      </c>
      <c r="BM3" s="164"/>
      <c r="BN3" s="164"/>
      <c r="BO3" s="164"/>
      <c r="BP3" s="164"/>
    </row>
    <row r="4" spans="2:77">
      <c r="B4" s="175" t="s">
        <v>222</v>
      </c>
      <c r="C4" s="17" t="s">
        <v>223</v>
      </c>
      <c r="D4" s="17" t="s">
        <v>1</v>
      </c>
      <c r="E4" s="17" t="s">
        <v>2</v>
      </c>
      <c r="F4" s="17" t="s">
        <v>0</v>
      </c>
      <c r="G4" s="17" t="s">
        <v>205</v>
      </c>
      <c r="H4" s="17" t="s">
        <v>29</v>
      </c>
      <c r="L4" s="16">
        <v>1</v>
      </c>
      <c r="M4" s="69" t="s">
        <v>247</v>
      </c>
      <c r="N4" s="171" t="s">
        <v>404</v>
      </c>
      <c r="O4" s="173"/>
      <c r="P4" s="173"/>
      <c r="Q4" s="172"/>
      <c r="R4" s="171" t="s">
        <v>455</v>
      </c>
      <c r="S4" s="173"/>
      <c r="T4" s="173"/>
      <c r="U4" s="173"/>
      <c r="V4" s="172"/>
      <c r="W4" s="170" t="s">
        <v>252</v>
      </c>
      <c r="X4" s="170"/>
      <c r="Y4" s="170"/>
      <c r="Z4" s="170"/>
      <c r="AA4" s="170"/>
      <c r="AF4" s="164" t="s">
        <v>259</v>
      </c>
      <c r="AG4" s="164"/>
      <c r="AH4" s="164"/>
      <c r="AI4" s="164"/>
      <c r="AJ4" s="164"/>
      <c r="AM4" s="16">
        <v>3</v>
      </c>
      <c r="AN4" s="17">
        <v>10</v>
      </c>
      <c r="AO4" s="17">
        <f>求节点($AE$6:$AE$165,$AF$6:$AF$165,$AN4)</f>
        <v>0</v>
      </c>
      <c r="AP4" s="51">
        <f>AO4*(INDEX([3]非r将兵属性验证!$AC$7:$AC$166,$AN4,1)*[3]战法技能效用!$AH$4+INDEX([3]非r将兵属性验证!$AX$7:$AX$166,$AN4,1)*[3]战法技能效用!$AI$4)</f>
        <v>0</v>
      </c>
      <c r="AQ4" s="17">
        <f t="shared" ref="AQ4:AQ19" si="0">SUM(AP4:AP4)</f>
        <v>0</v>
      </c>
      <c r="AT4" s="16">
        <v>50</v>
      </c>
      <c r="AU4" s="16">
        <v>50</v>
      </c>
      <c r="AV4" s="16">
        <f>投放验证!$Q17</f>
        <v>40492.816821134431</v>
      </c>
      <c r="AY4" s="17">
        <v>10</v>
      </c>
      <c r="AZ4" s="17">
        <f>求节点($AU$4:$AU$24,AV$4:AV$24,$AY4)</f>
        <v>8098.5633642268876</v>
      </c>
      <c r="BA4" s="17">
        <f t="shared" ref="BA4:BA19" si="1">SUM(AZ4:AZ4)</f>
        <v>8098.5633642268876</v>
      </c>
      <c r="BB4" s="16">
        <f>AQ4/BA4</f>
        <v>0</v>
      </c>
      <c r="BG4" s="16" t="s">
        <v>254</v>
      </c>
      <c r="BH4" s="16" t="s">
        <v>255</v>
      </c>
      <c r="BI4" s="16" t="s">
        <v>256</v>
      </c>
      <c r="BJ4" s="16" t="s">
        <v>257</v>
      </c>
      <c r="BK4" s="16" t="s">
        <v>258</v>
      </c>
      <c r="BL4" s="16" t="s">
        <v>254</v>
      </c>
      <c r="BM4" s="16" t="s">
        <v>255</v>
      </c>
      <c r="BN4" s="16" t="s">
        <v>256</v>
      </c>
      <c r="BO4" s="16" t="s">
        <v>257</v>
      </c>
      <c r="BP4" s="16" t="s">
        <v>258</v>
      </c>
      <c r="BU4" s="16" t="s">
        <v>466</v>
      </c>
    </row>
    <row r="5" spans="2:77">
      <c r="B5" s="176"/>
      <c r="C5" s="17">
        <v>0</v>
      </c>
      <c r="D5" s="17">
        <v>1</v>
      </c>
      <c r="E5" s="17">
        <v>1</v>
      </c>
      <c r="F5" s="17">
        <v>1</v>
      </c>
      <c r="G5" s="17">
        <v>1</v>
      </c>
      <c r="H5" s="17">
        <v>1</v>
      </c>
      <c r="L5" s="16">
        <v>2</v>
      </c>
      <c r="M5" s="17" t="s">
        <v>161</v>
      </c>
      <c r="N5" s="17" t="s">
        <v>1</v>
      </c>
      <c r="O5" s="17" t="s">
        <v>2</v>
      </c>
      <c r="P5" s="17" t="s">
        <v>0</v>
      </c>
      <c r="Q5" s="17" t="s">
        <v>205</v>
      </c>
      <c r="R5" s="17" t="s">
        <v>1</v>
      </c>
      <c r="S5" s="17" t="s">
        <v>2</v>
      </c>
      <c r="T5" s="17" t="s">
        <v>0</v>
      </c>
      <c r="U5" s="17" t="s">
        <v>205</v>
      </c>
      <c r="V5" s="17" t="s">
        <v>443</v>
      </c>
      <c r="W5" s="17" t="s">
        <v>1</v>
      </c>
      <c r="X5" s="17" t="s">
        <v>2</v>
      </c>
      <c r="Y5" s="17" t="s">
        <v>0</v>
      </c>
      <c r="Z5" s="17" t="s">
        <v>205</v>
      </c>
      <c r="AA5" s="71" t="s">
        <v>373</v>
      </c>
      <c r="AE5" s="16" t="s">
        <v>161</v>
      </c>
      <c r="AF5" s="16" t="s">
        <v>254</v>
      </c>
      <c r="AG5" s="16" t="s">
        <v>255</v>
      </c>
      <c r="AH5" s="16" t="s">
        <v>256</v>
      </c>
      <c r="AI5" s="16" t="s">
        <v>257</v>
      </c>
      <c r="AJ5" s="16" t="s">
        <v>258</v>
      </c>
      <c r="AM5" s="16">
        <v>4</v>
      </c>
      <c r="AN5" s="17">
        <v>20</v>
      </c>
      <c r="AO5" s="17">
        <f t="shared" ref="AO5:AO19" si="2">求节点($AE$6:$AE$165,$AF$6:$AF$165,$AN5)</f>
        <v>0</v>
      </c>
      <c r="AP5" s="17">
        <f>(AO5-AO4)*(INDEX([3]非r将兵属性验证!$AC$7:$AC$166,$AN5,1)*[3]战法技能效用!$AH$4+INDEX([3]非r将兵属性验证!$AX$7:$AX$166,$AN5,1)*[3]战法技能效用!$AI$4)+AP4</f>
        <v>0</v>
      </c>
      <c r="AQ5" s="17">
        <f t="shared" si="0"/>
        <v>0</v>
      </c>
      <c r="AT5" s="16">
        <v>60</v>
      </c>
      <c r="AU5" s="16">
        <v>60</v>
      </c>
      <c r="AV5" s="16">
        <f>投放验证!$Q18</f>
        <v>78428.388994502602</v>
      </c>
      <c r="AY5" s="17">
        <v>20</v>
      </c>
      <c r="AZ5" s="17">
        <f t="shared" ref="AZ5:AZ19" si="3">求节点($AU$4:$AU$24,AV$4:AV$24,$AY5)</f>
        <v>16197.126728453772</v>
      </c>
      <c r="BA5" s="17">
        <f t="shared" si="1"/>
        <v>16197.126728453772</v>
      </c>
      <c r="BB5" s="16">
        <f t="shared" ref="BB5:BB19" si="4">AQ5/BA5</f>
        <v>0</v>
      </c>
      <c r="BF5" s="16">
        <v>60</v>
      </c>
      <c r="BG5" s="16">
        <f>INDEX(宝物升星货币产销情况!BM$6:BM$165,$BF5)</f>
        <v>5.4716181227069374</v>
      </c>
      <c r="BH5" s="16" t="e">
        <f>INDEX(宝物升星货币产销情况!BN$6:BN$165,$BF5)</f>
        <v>#DIV/0!</v>
      </c>
      <c r="BI5" s="16">
        <f>INDEX(宝物升星货币产销情况!BO$6:BO$165,$BF5)</f>
        <v>33.573477708682148</v>
      </c>
      <c r="BJ5" s="16">
        <f>INDEX(宝物升星货币产销情况!BP$6:BP$165,$BF5)</f>
        <v>6.3549662932876014</v>
      </c>
      <c r="BK5" s="16">
        <f>INDEX(宝物升星货币产销情况!BQ$6:BQ$165,$BF5)</f>
        <v>2.258352731813932</v>
      </c>
      <c r="BL5" s="16">
        <f>INDEX(宝物升星货币产销情况!BR$6:BR$165,$BF5)</f>
        <v>-0.11839468967315403</v>
      </c>
      <c r="BM5" s="16">
        <f>INDEX(宝物升星货币产销情况!BS$6:BS$165,$BF5)</f>
        <v>-0.14715704677446473</v>
      </c>
      <c r="BN5" s="16">
        <f>INDEX(宝物升星货币产销情况!BT$6:BT$165,$BF5)</f>
        <v>-0.14183079550569569</v>
      </c>
      <c r="BO5" s="16">
        <f>INDEX(宝物升星货币产销情况!BU$6:BU$165,$BF5)</f>
        <v>-0.12006682508036734</v>
      </c>
      <c r="BP5" s="16">
        <f>INDEX(宝物升星货币产销情况!BV$6:BV$165,$BF5)</f>
        <v>-7.8387153006732227E-2</v>
      </c>
      <c r="BU5" s="16" t="s">
        <v>79</v>
      </c>
      <c r="BV5" s="16" t="s">
        <v>80</v>
      </c>
      <c r="BW5" s="16" t="s">
        <v>81</v>
      </c>
      <c r="BX5" s="16" t="s">
        <v>205</v>
      </c>
      <c r="BY5" s="16" t="s">
        <v>465</v>
      </c>
    </row>
    <row r="6" spans="2:77">
      <c r="B6" s="176"/>
      <c r="C6" s="17">
        <v>1</v>
      </c>
      <c r="D6" s="17"/>
      <c r="E6" s="17">
        <v>1</v>
      </c>
      <c r="F6" s="17">
        <v>1</v>
      </c>
      <c r="G6" s="17">
        <v>1</v>
      </c>
      <c r="H6" s="17">
        <v>1</v>
      </c>
      <c r="L6" s="16">
        <v>3</v>
      </c>
      <c r="M6" s="17">
        <f>基础状态预期!$C17</f>
        <v>50</v>
      </c>
      <c r="N6" s="17">
        <f>IF(基础状态预期!I17=0,0,求节点($C$67:$C$72,D$67:D$72,基础状态预期!M17))</f>
        <v>0</v>
      </c>
      <c r="O6" s="17">
        <f>IF(基础状态预期!J17=0,0,求节点($C$67:$C$72,E$67:E$72,基础状态预期!N17))</f>
        <v>0</v>
      </c>
      <c r="P6" s="17">
        <f>IF(基础状态预期!K17=0,0,求节点($C$67:$C$72,F$67:F$72,基础状态预期!O17))</f>
        <v>0</v>
      </c>
      <c r="Q6" s="17">
        <f>IF(基础状态预期!L17=0,0,求节点($C$67:$C$72,G$67:G$72,基础状态预期!P17))</f>
        <v>0</v>
      </c>
      <c r="R6" s="17">
        <f>IF(基础状态预期!I17=0,0,求节点($C$79:$C$84,D$79:D$84,基础状态预期!M17))</f>
        <v>0</v>
      </c>
      <c r="S6" s="17">
        <f>IF(基础状态预期!J17=0,0,求节点($C$79:$C$84,E$79:E$84,基础状态预期!N17))</f>
        <v>0</v>
      </c>
      <c r="T6" s="17">
        <f>IF(基础状态预期!K17=0,0,求节点($C$79:$C$84,F$79:F$84,基础状态预期!O17))</f>
        <v>0</v>
      </c>
      <c r="U6" s="17">
        <f>IF(基础状态预期!L17=0,0,求节点($C$79:$C$84,G$79:G$84,基础状态预期!P17))</f>
        <v>0</v>
      </c>
      <c r="V6" s="51">
        <f>SUMPRODUCT(R6:U6,基础状态预期!I17:L17)</f>
        <v>0</v>
      </c>
      <c r="W6" s="17">
        <f>求节点($C$55:$C$60,D$55:D$60,基础状态预期!M17)</f>
        <v>0.02</v>
      </c>
      <c r="X6" s="17">
        <f>求节点($C$55:$C$60,E$55:E$60,基础状态预期!N17)</f>
        <v>0.03</v>
      </c>
      <c r="Y6" s="17">
        <f>求节点($C$55:$C$60,F$55:F$60,基础状态预期!O17)</f>
        <v>0.06</v>
      </c>
      <c r="Z6" s="17">
        <f>求节点($C$55:$C$60,G$55:G$60,基础状态预期!P17)</f>
        <v>0.09</v>
      </c>
      <c r="AA6" s="51">
        <f>SUMPRODUCT(W6:Z6,基础状态预期!I17:L17)/6</f>
        <v>0</v>
      </c>
      <c r="AE6" s="16">
        <v>1</v>
      </c>
      <c r="AF6" s="16">
        <f t="shared" ref="AF6:AF37" si="5">求节点($M$6:$M$26,$AA$6:$AA$26,$AE6)</f>
        <v>0</v>
      </c>
      <c r="AG6" s="16">
        <f t="shared" ref="AG6:AG37" si="6">求节点($M$32:$M$52,$AA$32:$AA$52,$AE6)</f>
        <v>0</v>
      </c>
      <c r="AH6" s="16">
        <f t="shared" ref="AH6:AH37" si="7">求节点($M$58:$M$78,$AA$58:$AA$78,$AE6)</f>
        <v>0</v>
      </c>
      <c r="AI6" s="16">
        <f t="shared" ref="AI6:AI37" si="8">求节点($M$84:$M$104,$AA$84:$AA$104,$AE6)</f>
        <v>0</v>
      </c>
      <c r="AJ6" s="16">
        <f t="shared" ref="AJ6:AJ37" si="9">求节点($M$110:$M$130,$AA$110:$AA$130,$AE6)</f>
        <v>0</v>
      </c>
      <c r="AM6" s="16">
        <v>5</v>
      </c>
      <c r="AN6" s="17">
        <v>30</v>
      </c>
      <c r="AO6" s="17">
        <f t="shared" si="2"/>
        <v>0</v>
      </c>
      <c r="AP6" s="17">
        <f>(AO6-AO5)*(INDEX([3]非r将兵属性验证!$AC$7:$AC$166,$AN6,1)*[3]战法技能效用!$AH$4+INDEX([3]非r将兵属性验证!$AX$7:$AX$166,$AN6,1)*[3]战法技能效用!$AI$4)+AP5</f>
        <v>0</v>
      </c>
      <c r="AQ6" s="17">
        <f t="shared" si="0"/>
        <v>0</v>
      </c>
      <c r="AT6" s="16">
        <v>70</v>
      </c>
      <c r="AU6" s="16">
        <v>70</v>
      </c>
      <c r="AV6" s="16">
        <f>投放验证!$Q19</f>
        <v>142503.37561575638</v>
      </c>
      <c r="AY6" s="17">
        <v>30</v>
      </c>
      <c r="AZ6" s="17">
        <f t="shared" si="3"/>
        <v>24295.690092680659</v>
      </c>
      <c r="BA6" s="17">
        <f t="shared" si="1"/>
        <v>24295.690092680659</v>
      </c>
      <c r="BB6" s="16">
        <f t="shared" si="4"/>
        <v>0</v>
      </c>
      <c r="BF6" s="16">
        <v>65</v>
      </c>
      <c r="BG6" s="16">
        <f>INDEX(宝物升星货币产销情况!BM$6:BM$165,$BF6)</f>
        <v>3.515676350864442</v>
      </c>
      <c r="BH6" s="16">
        <f>INDEX(宝物升星货币产销情况!BN$6:BN$165,$BF6)</f>
        <v>15.887833158221927</v>
      </c>
      <c r="BI6" s="16">
        <f>INDEX(宝物升星货币产销情况!BO$6:BO$165,$BF6)</f>
        <v>19.488120767621233</v>
      </c>
      <c r="BJ6" s="16">
        <f>INDEX(宝物升星货币产销情况!BP$6:BP$165,$BF6)</f>
        <v>3.0976803119945995</v>
      </c>
      <c r="BK6" s="16">
        <f>INDEX(宝物升星货币产销情况!BQ$6:BQ$165,$BF6)</f>
        <v>0.972975721154827</v>
      </c>
      <c r="BL6" s="16">
        <f>INDEX(宝物升星货币产销情况!BR$6:BR$165,$BF6)</f>
        <v>-0.11537208342198359</v>
      </c>
      <c r="BM6" s="16">
        <f>INDEX(宝物升星货币产销情况!BS$6:BS$165,$BF6)</f>
        <v>-0.15396021414577266</v>
      </c>
      <c r="BN6" s="16">
        <f>INDEX(宝物升星货币产销情况!BT$6:BT$165,$BF6)</f>
        <v>-0.15505727999509283</v>
      </c>
      <c r="BO6" s="16">
        <f>INDEX(宝物升星货币产销情况!BU$6:BU$165,$BF6)</f>
        <v>-0.10624641949225205</v>
      </c>
      <c r="BP6" s="16">
        <f>INDEX(宝物升星货币产销情况!BV$6:BV$165,$BF6)</f>
        <v>4.2513296116809653E-3</v>
      </c>
      <c r="BU6" s="16">
        <v>0</v>
      </c>
      <c r="BV6" s="16">
        <v>0</v>
      </c>
      <c r="BW6" s="16">
        <v>0</v>
      </c>
      <c r="BX6" s="16">
        <v>0</v>
      </c>
      <c r="BY6" s="16">
        <v>0</v>
      </c>
    </row>
    <row r="7" spans="2:77">
      <c r="B7" s="176"/>
      <c r="C7" s="17">
        <v>2</v>
      </c>
      <c r="D7" s="17"/>
      <c r="E7" s="17">
        <v>1</v>
      </c>
      <c r="F7" s="17">
        <v>1</v>
      </c>
      <c r="G7" s="17">
        <v>1</v>
      </c>
      <c r="H7" s="17">
        <v>1</v>
      </c>
      <c r="L7" s="16">
        <v>4</v>
      </c>
      <c r="M7" s="17">
        <f>基础状态预期!$C18</f>
        <v>60</v>
      </c>
      <c r="N7" s="17">
        <f>IF(基础状态预期!I18=0,0,求节点($C$67:$C$72,D$67:D$72,基础状态预期!M18))</f>
        <v>0</v>
      </c>
      <c r="O7" s="17">
        <f>IF(基础状态预期!J18=0,0,求节点($C$67:$C$72,E$67:E$72,基础状态预期!N18))</f>
        <v>3.7597014206746113</v>
      </c>
      <c r="P7" s="17">
        <f>IF(基础状态预期!K18=0,0,求节点($C$67:$C$72,F$67:F$72,基础状态预期!O18))</f>
        <v>1</v>
      </c>
      <c r="Q7" s="17">
        <f>IF(基础状态预期!L18=0,0,求节点($C$67:$C$72,G$67:G$72,基础状态预期!P18))</f>
        <v>1</v>
      </c>
      <c r="R7" s="17">
        <f>IF(基础状态预期!I18=0,0,求节点($C$79:$C$84,D$79:D$84,基础状态预期!M18))</f>
        <v>0</v>
      </c>
      <c r="S7" s="17">
        <f>IF(基础状态预期!J18=0,0,求节点($C$79:$C$84,E$79:E$84,基础状态预期!N18))</f>
        <v>306.51490489226421</v>
      </c>
      <c r="T7" s="17">
        <f>IF(基础状态预期!K18=0,0,求节点($C$79:$C$84,F$79:F$84,基础状态预期!O18))</f>
        <v>0</v>
      </c>
      <c r="U7" s="17">
        <f>IF(基础状态预期!L18=0,0,求节点($C$79:$C$84,G$79:G$84,基础状态预期!P18))</f>
        <v>0</v>
      </c>
      <c r="V7" s="17">
        <f>MAX(SUMPRODUCT(R7:U7,基础状态预期!I18:L18),V6)</f>
        <v>103.82712165667306</v>
      </c>
      <c r="W7" s="17">
        <f>求节点($C$55:$C$60,D$55:D$60,基础状态预期!M18)</f>
        <v>0.02</v>
      </c>
      <c r="X7" s="17">
        <f>求节点($C$55:$C$60,E$55:E$60,基础状态预期!N18)</f>
        <v>0.11279104262023834</v>
      </c>
      <c r="Y7" s="17">
        <f>求节点($C$55:$C$60,F$55:F$60,基础状态预期!O18)</f>
        <v>0.06</v>
      </c>
      <c r="Z7" s="17">
        <f>求节点($C$55:$C$60,G$55:G$60,基础状态预期!P18)</f>
        <v>0.09</v>
      </c>
      <c r="AA7" s="17">
        <f>MAX(SUMPRODUCT(W7:Z7,基础状态预期!I18:L18)/6,AA6)</f>
        <v>7.1892673360320819E-2</v>
      </c>
      <c r="AE7" s="16">
        <v>2</v>
      </c>
      <c r="AF7" s="16">
        <f t="shared" si="5"/>
        <v>0</v>
      </c>
      <c r="AG7" s="16">
        <f t="shared" si="6"/>
        <v>0</v>
      </c>
      <c r="AH7" s="16">
        <f t="shared" si="7"/>
        <v>0</v>
      </c>
      <c r="AI7" s="16">
        <f t="shared" si="8"/>
        <v>0</v>
      </c>
      <c r="AJ7" s="16">
        <f t="shared" si="9"/>
        <v>0</v>
      </c>
      <c r="AM7" s="16">
        <v>6</v>
      </c>
      <c r="AN7" s="17">
        <v>40</v>
      </c>
      <c r="AO7" s="17">
        <f t="shared" si="2"/>
        <v>0</v>
      </c>
      <c r="AP7" s="17">
        <f>(AO7-AO6)*(INDEX([3]非r将兵属性验证!$AC$7:$AC$166,$AN7,1)*[3]战法技能效用!$AH$4+INDEX([3]非r将兵属性验证!$AX$7:$AX$166,$AN7,1)*[3]战法技能效用!$AI$4)+AP6</f>
        <v>0</v>
      </c>
      <c r="AQ7" s="17">
        <f t="shared" si="0"/>
        <v>0</v>
      </c>
      <c r="AT7" s="16">
        <v>75</v>
      </c>
      <c r="AU7" s="16">
        <v>75</v>
      </c>
      <c r="AV7" s="16">
        <f>投放验证!$Q20</f>
        <v>188452.00345502375</v>
      </c>
      <c r="AY7" s="17">
        <v>40</v>
      </c>
      <c r="AZ7" s="17">
        <f t="shared" si="3"/>
        <v>32394.253456907543</v>
      </c>
      <c r="BA7" s="17">
        <f t="shared" si="1"/>
        <v>32394.253456907543</v>
      </c>
      <c r="BB7" s="16">
        <f t="shared" si="4"/>
        <v>0</v>
      </c>
      <c r="BF7" s="16">
        <v>70</v>
      </c>
      <c r="BG7" s="16">
        <f>INDEX(宝物升星货币产销情况!BM$6:BM$165,$BF7)</f>
        <v>3.0079550863418008</v>
      </c>
      <c r="BH7" s="16">
        <f>INDEX(宝物升星货币产销情况!BN$6:BN$165,$BF7)</f>
        <v>10.811844674927309</v>
      </c>
      <c r="BI7" s="16">
        <f>INDEX(宝物升星货币产销情况!BO$6:BO$165,$BF7)</f>
        <v>16.296561325256658</v>
      </c>
      <c r="BJ7" s="16">
        <f>INDEX(宝物升星货币产销情况!BP$6:BP$165,$BF7)</f>
        <v>2.4896414602210037</v>
      </c>
      <c r="BK7" s="16">
        <f>INDEX(宝物升星货币产销情况!BQ$6:BQ$165,$BF7)</f>
        <v>0.75228297291618784</v>
      </c>
      <c r="BL7" s="16">
        <f>INDEX(宝物升星货币产销情况!BR$6:BR$165,$BF7)</f>
        <v>-0.11271980302306263</v>
      </c>
      <c r="BM7" s="16">
        <f>INDEX(宝物升星货币产销情况!BS$6:BS$165,$BF7)</f>
        <v>-0.15048040182192096</v>
      </c>
      <c r="BN7" s="16">
        <f>INDEX(宝物升星货币产销情况!BT$6:BT$165,$BF7)</f>
        <v>-0.14971499871121494</v>
      </c>
      <c r="BO7" s="16">
        <f>INDEX(宝物升星货币产销情况!BU$6:BU$165,$BF7)</f>
        <v>-9.1534897934694243E-2</v>
      </c>
      <c r="BP7" s="16">
        <f>INDEX(宝物升星货币产销情况!BV$6:BV$165,$BF7)</f>
        <v>4.8631548701282876E-2</v>
      </c>
      <c r="BU7" s="16">
        <v>0</v>
      </c>
      <c r="BV7" s="16">
        <v>88.777182088168516</v>
      </c>
      <c r="BW7" s="16">
        <v>8.5337085595103481</v>
      </c>
      <c r="BX7" s="16">
        <v>0</v>
      </c>
      <c r="BY7" s="16">
        <v>61.862860906201007</v>
      </c>
    </row>
    <row r="8" spans="2:77">
      <c r="B8" s="176"/>
      <c r="C8" s="17">
        <v>3</v>
      </c>
      <c r="D8" s="17"/>
      <c r="E8" s="17">
        <v>1</v>
      </c>
      <c r="F8" s="17">
        <v>1</v>
      </c>
      <c r="G8" s="17">
        <v>1</v>
      </c>
      <c r="H8" s="17">
        <v>1</v>
      </c>
      <c r="L8" s="16">
        <v>5</v>
      </c>
      <c r="M8" s="17">
        <f>基础状态预期!$C19</f>
        <v>70</v>
      </c>
      <c r="N8" s="17">
        <f>IF(基础状态预期!I19=0,0,求节点($C$67:$C$72,D$67:D$72,基础状态预期!M19))</f>
        <v>0</v>
      </c>
      <c r="O8" s="17">
        <f>IF(基础状态预期!J19=0,0,求节点($C$67:$C$72,E$67:E$72,基础状态预期!N19))</f>
        <v>4</v>
      </c>
      <c r="P8" s="17">
        <f>IF(基础状态预期!K19=0,0,求节点($C$67:$C$72,F$67:F$72,基础状态预期!O19))</f>
        <v>1.5325174058161057</v>
      </c>
      <c r="Q8" s="17">
        <f>IF(基础状态预期!L19=0,0,求节点($C$67:$C$72,G$67:G$72,基础状态预期!P19))</f>
        <v>1</v>
      </c>
      <c r="R8" s="17">
        <f>IF(基础状态预期!I19=0,0,求节点($C$79:$C$84,D$79:D$84,基础状态预期!M19))</f>
        <v>0</v>
      </c>
      <c r="S8" s="17">
        <f>IF(基础状态预期!J19=0,0,求节点($C$79:$C$84,E$79:E$84,基础状态预期!N19))</f>
        <v>375</v>
      </c>
      <c r="T8" s="17">
        <f>IF(基础状态预期!K19=0,0,求节点($C$79:$C$84,F$79:F$84,基础状态预期!O19))</f>
        <v>10.650348116322114</v>
      </c>
      <c r="U8" s="17">
        <f>IF(基础状态预期!L19=0,0,求节点($C$79:$C$84,G$79:G$84,基础状态预期!P19))</f>
        <v>0</v>
      </c>
      <c r="V8" s="17">
        <f>MAX(SUMPRODUCT(R8:U8,基础状态预期!I19:L19),V7)</f>
        <v>399.98286163845188</v>
      </c>
      <c r="W8" s="17">
        <f>求节点($C$55:$C$60,D$55:D$60,基础状态预期!M19)</f>
        <v>0.02</v>
      </c>
      <c r="X8" s="17">
        <f>求节点($C$55:$C$60,E$55:E$60,基础状态预期!N19)</f>
        <v>0.12</v>
      </c>
      <c r="Y8" s="17">
        <f>求节点($C$55:$C$60,F$55:F$60,基础状态预期!O19)</f>
        <v>9.1951044348966338E-2</v>
      </c>
      <c r="Z8" s="17">
        <f>求节点($C$55:$C$60,G$55:G$60,基础状态预期!P19)</f>
        <v>0.09</v>
      </c>
      <c r="AA8" s="17">
        <f>MAX(SUMPRODUCT(W8:Z8,基础状态预期!I19:L19)/6,AA7)</f>
        <v>9.5652589456082418E-2</v>
      </c>
      <c r="AE8" s="16">
        <v>3</v>
      </c>
      <c r="AF8" s="16">
        <f t="shared" si="5"/>
        <v>0</v>
      </c>
      <c r="AG8" s="16">
        <f t="shared" si="6"/>
        <v>0</v>
      </c>
      <c r="AH8" s="16">
        <f t="shared" si="7"/>
        <v>0</v>
      </c>
      <c r="AI8" s="16">
        <f t="shared" si="8"/>
        <v>0</v>
      </c>
      <c r="AJ8" s="16">
        <f t="shared" si="9"/>
        <v>0</v>
      </c>
      <c r="AM8" s="16">
        <v>7</v>
      </c>
      <c r="AN8" s="17">
        <v>50</v>
      </c>
      <c r="AO8" s="17">
        <f t="shared" si="2"/>
        <v>0</v>
      </c>
      <c r="AP8" s="17">
        <f>(AO8-AO7)*(INDEX([3]非r将兵属性验证!$AC$7:$AC$166,$AN8,1)*[3]战法技能效用!$AH$4+INDEX([3]非r将兵属性验证!$AX$7:$AX$166,$AN8,1)*[3]战法技能效用!$AI$4)+AP7</f>
        <v>0</v>
      </c>
      <c r="AQ8" s="17">
        <f t="shared" si="0"/>
        <v>0</v>
      </c>
      <c r="AT8" s="16">
        <v>80</v>
      </c>
      <c r="AU8" s="16">
        <v>80</v>
      </c>
      <c r="AV8" s="16">
        <f>投放验证!$Q21</f>
        <v>246755.68900811486</v>
      </c>
      <c r="AY8" s="17">
        <v>50</v>
      </c>
      <c r="AZ8" s="17">
        <f t="shared" si="3"/>
        <v>40492.816821134431</v>
      </c>
      <c r="BA8" s="17">
        <f t="shared" si="1"/>
        <v>40492.816821134431</v>
      </c>
      <c r="BB8" s="16">
        <f t="shared" si="4"/>
        <v>0</v>
      </c>
      <c r="BF8" s="16">
        <v>75</v>
      </c>
      <c r="BG8" s="16">
        <f>INDEX(宝物升星货币产销情况!BM$6:BM$165,$BF8)</f>
        <v>3.6062658175809892</v>
      </c>
      <c r="BH8" s="16">
        <f>INDEX(宝物升星货币产销情况!BN$6:BN$165,$BF8)</f>
        <v>15.238903067544172</v>
      </c>
      <c r="BI8" s="16">
        <f>INDEX(宝物升星货币产销情况!BO$6:BO$165,$BF8)</f>
        <v>21.105477976000248</v>
      </c>
      <c r="BJ8" s="16">
        <f>INDEX(宝物升星货币产销情况!BP$6:BP$165,$BF8)</f>
        <v>2.1895206860270267</v>
      </c>
      <c r="BK8" s="16">
        <f>INDEX(宝物升星货币产销情况!BQ$6:BQ$165,$BF8)</f>
        <v>1.1153462244097576</v>
      </c>
      <c r="BL8" s="16">
        <f>INDEX(宝物升星货币产销情况!BR$6:BR$165,$BF8)</f>
        <v>-0.13017505336057328</v>
      </c>
      <c r="BM8" s="16">
        <f>INDEX(宝物升星货币产销情况!BS$6:BS$165,$BF8)</f>
        <v>-0.16398512756292147</v>
      </c>
      <c r="BN8" s="16">
        <f>INDEX(宝物升星货币产销情况!BT$6:BT$165,$BF8)</f>
        <v>-0.15990160949561638</v>
      </c>
      <c r="BO8" s="16">
        <f>INDEX(宝物升星货币产销情况!BU$6:BU$165,$BF8)</f>
        <v>-8.657043836948769E-2</v>
      </c>
      <c r="BP8" s="16">
        <f>INDEX(宝物升星货币产销情况!BV$6:BV$165,$BF8)</f>
        <v>-1.6179037177636166E-2</v>
      </c>
      <c r="BU8" s="16">
        <v>0</v>
      </c>
      <c r="BV8" s="16">
        <v>170</v>
      </c>
      <c r="BW8" s="16">
        <v>127.64654762995207</v>
      </c>
      <c r="BX8" s="16">
        <v>0</v>
      </c>
      <c r="BY8" s="16">
        <v>344.91333265237154</v>
      </c>
    </row>
    <row r="9" spans="2:77">
      <c r="B9" s="176"/>
      <c r="C9" s="17">
        <v>4</v>
      </c>
      <c r="D9" s="17"/>
      <c r="E9" s="17"/>
      <c r="F9" s="17">
        <v>1</v>
      </c>
      <c r="G9" s="17">
        <v>1</v>
      </c>
      <c r="H9" s="17">
        <v>1</v>
      </c>
      <c r="L9" s="16">
        <v>6</v>
      </c>
      <c r="M9" s="17">
        <f>基础状态预期!$C20</f>
        <v>75</v>
      </c>
      <c r="N9" s="17">
        <f>IF(基础状态预期!I20=0,0,求节点($C$67:$C$72,D$67:D$72,基础状态预期!M20))</f>
        <v>0</v>
      </c>
      <c r="O9" s="17">
        <f>IF(基础状态预期!J20=0,0,求节点($C$67:$C$72,E$67:E$72,基础状态预期!N20))</f>
        <v>4</v>
      </c>
      <c r="P9" s="17">
        <f>IF(基础状态预期!K20=0,0,求节点($C$67:$C$72,F$67:F$72,基础状态预期!O20))</f>
        <v>2.083183037397494</v>
      </c>
      <c r="Q9" s="17">
        <f>IF(基础状态预期!L20=0,0,求节点($C$67:$C$72,G$67:G$72,基础状态预期!P20))</f>
        <v>1</v>
      </c>
      <c r="R9" s="17">
        <f>IF(基础状态预期!I20=0,0,求节点($C$79:$C$84,D$79:D$84,基础状态预期!M20))</f>
        <v>0</v>
      </c>
      <c r="S9" s="17">
        <f>IF(基础状态预期!J20=0,0,求节点($C$79:$C$84,E$79:E$84,基础状态预期!N20))</f>
        <v>375</v>
      </c>
      <c r="T9" s="17">
        <f>IF(基础状态预期!K20=0,0,求节点($C$79:$C$84,F$79:F$84,基础状态预期!O20))</f>
        <v>28.3183037397494</v>
      </c>
      <c r="U9" s="17">
        <f>IF(基础状态预期!L20=0,0,求节点($C$79:$C$84,G$79:G$84,基础状态预期!P20))</f>
        <v>0</v>
      </c>
      <c r="V9" s="17">
        <f>MAX(SUMPRODUCT(R9:U9,基础状态预期!I20:L20),V8)</f>
        <v>470.63022966003234</v>
      </c>
      <c r="W9" s="17">
        <f>求节点($C$55:$C$60,D$55:D$60,基础状态预期!M20)</f>
        <v>0.02</v>
      </c>
      <c r="X9" s="17">
        <f>求节点($C$55:$C$60,E$55:E$60,基础状态预期!N20)</f>
        <v>0.12</v>
      </c>
      <c r="Y9" s="17">
        <f>求节点($C$55:$C$60,F$55:F$60,基础状态预期!O20)</f>
        <v>0.12499098224384964</v>
      </c>
      <c r="Z9" s="17">
        <f>求节点($C$55:$C$60,G$55:G$60,基础状态预期!P20)</f>
        <v>0.09</v>
      </c>
      <c r="AA9" s="17">
        <f>MAX(SUMPRODUCT(W9:Z9,基础状态预期!I20:L20)/6,AA8)</f>
        <v>9.900068419402723E-2</v>
      </c>
      <c r="AE9" s="16">
        <v>4</v>
      </c>
      <c r="AF9" s="16">
        <f t="shared" si="5"/>
        <v>0</v>
      </c>
      <c r="AG9" s="16">
        <f t="shared" si="6"/>
        <v>0</v>
      </c>
      <c r="AH9" s="16">
        <f t="shared" si="7"/>
        <v>0</v>
      </c>
      <c r="AI9" s="16">
        <f t="shared" si="8"/>
        <v>0</v>
      </c>
      <c r="AJ9" s="16">
        <f t="shared" si="9"/>
        <v>0</v>
      </c>
      <c r="AM9" s="16">
        <v>8</v>
      </c>
      <c r="AN9" s="17">
        <v>60</v>
      </c>
      <c r="AO9" s="17">
        <f t="shared" si="2"/>
        <v>7.1892673360320819E-2</v>
      </c>
      <c r="AP9" s="17">
        <f>(AO9-AO8)*(INDEX([3]非r将兵属性验证!$AC$7:$AC$166,$AN9,1)*[3]战法技能效用!$AH$4+INDEX([3]非r将兵属性验证!$AX$7:$AX$166,$AN9,1)*[3]战法技能效用!$AI$4)+AP8</f>
        <v>253411187.41369176</v>
      </c>
      <c r="AQ9" s="17">
        <f t="shared" si="0"/>
        <v>253411187.41369176</v>
      </c>
      <c r="AT9" s="16">
        <v>85</v>
      </c>
      <c r="AU9" s="16">
        <v>85</v>
      </c>
      <c r="AV9" s="16">
        <f>投放验证!$Q22</f>
        <v>329136.24230146612</v>
      </c>
      <c r="AY9" s="17">
        <v>60</v>
      </c>
      <c r="AZ9" s="17">
        <f t="shared" si="3"/>
        <v>78428.388994502602</v>
      </c>
      <c r="BA9" s="17">
        <f t="shared" si="1"/>
        <v>78428.388994502602</v>
      </c>
      <c r="BB9" s="16">
        <f t="shared" si="4"/>
        <v>3231.1155521944293</v>
      </c>
      <c r="BF9" s="16">
        <v>80</v>
      </c>
      <c r="BG9" s="16">
        <f>INDEX(宝物升星货币产销情况!BM$6:BM$165,$BF9)</f>
        <v>4.9605941898883037</v>
      </c>
      <c r="BH9" s="16">
        <f>INDEX(宝物升星货币产销情况!BN$6:BN$165,$BF9)</f>
        <v>21.035522915281579</v>
      </c>
      <c r="BI9" s="16">
        <f>INDEX(宝物升星货币产销情况!BO$6:BO$165,$BF9)</f>
        <v>29.437674007168088</v>
      </c>
      <c r="BJ9" s="16">
        <f>INDEX(宝物升星货币产销情况!BP$6:BP$165,$BF9)</f>
        <v>3.0640700182960061</v>
      </c>
      <c r="BK9" s="16">
        <f>INDEX(宝物升星货币产销情况!BQ$6:BQ$165,$BF9)</f>
        <v>1.2632124206485242</v>
      </c>
      <c r="BL9" s="16">
        <f>INDEX(宝物升星货币产销情况!BR$6:BR$165,$BF9)</f>
        <v>-0.15107861226381072</v>
      </c>
      <c r="BM9" s="16">
        <f>INDEX(宝物升星货币产销情况!BS$6:BS$165,$BF9)</f>
        <v>-0.17239790328500382</v>
      </c>
      <c r="BN9" s="16">
        <f>INDEX(宝物升星货币产销情况!BT$6:BT$165,$BF9)</f>
        <v>-0.16574113716619035</v>
      </c>
      <c r="BO9" s="16">
        <f>INDEX(宝物升星货币产销情况!BU$6:BU$165,$BF9)</f>
        <v>-0.10887861501800943</v>
      </c>
      <c r="BP9" s="16">
        <f>INDEX(宝物升星货币产销情况!BV$6:BV$165,$BF9)</f>
        <v>-3.2906127261252242E-2</v>
      </c>
      <c r="BU9" s="16">
        <v>0</v>
      </c>
      <c r="BV9" s="16">
        <v>170</v>
      </c>
      <c r="BW9" s="16">
        <v>1610</v>
      </c>
      <c r="BX9" s="16">
        <v>0</v>
      </c>
      <c r="BY9" s="16">
        <v>920.65270822791308</v>
      </c>
    </row>
    <row r="10" spans="2:77">
      <c r="B10" s="176"/>
      <c r="C10" s="17">
        <v>5</v>
      </c>
      <c r="D10" s="17"/>
      <c r="E10" s="17"/>
      <c r="F10" s="17">
        <v>1</v>
      </c>
      <c r="G10" s="17">
        <v>1</v>
      </c>
      <c r="H10" s="17">
        <v>1</v>
      </c>
      <c r="L10" s="16">
        <v>7</v>
      </c>
      <c r="M10" s="17">
        <f>基础状态预期!$C21</f>
        <v>80</v>
      </c>
      <c r="N10" s="17">
        <f>IF(基础状态预期!I21=0,0,求节点($C$67:$C$72,D$67:D$72,基础状态预期!M21))</f>
        <v>0</v>
      </c>
      <c r="O10" s="17">
        <f>IF(基础状态预期!J21=0,0,求节点($C$67:$C$72,E$67:E$72,基础状态预期!N21))</f>
        <v>4</v>
      </c>
      <c r="P10" s="17">
        <f>IF(基础状态预期!K21=0,0,求节点($C$67:$C$72,F$67:F$72,基础状态预期!O21))</f>
        <v>0</v>
      </c>
      <c r="Q10" s="17">
        <f>IF(基础状态预期!L21=0,0,求节点($C$67:$C$72,G$67:G$72,基础状态预期!P21))</f>
        <v>1</v>
      </c>
      <c r="R10" s="17">
        <f>IF(基础状态预期!I21=0,0,求节点($C$79:$C$84,D$79:D$84,基础状态预期!M21))</f>
        <v>0</v>
      </c>
      <c r="S10" s="17">
        <f>IF(基础状态预期!J21=0,0,求节点($C$79:$C$84,E$79:E$84,基础状态预期!N21))</f>
        <v>375</v>
      </c>
      <c r="T10" s="17">
        <f>IF(基础状态预期!K21=0,0,求节点($C$79:$C$84,F$79:F$84,基础状态预期!O21))</f>
        <v>0</v>
      </c>
      <c r="U10" s="17">
        <f>IF(基础状态预期!L21=0,0,求节点($C$79:$C$84,G$79:G$84,基础状态预期!P21))</f>
        <v>0</v>
      </c>
      <c r="V10" s="17">
        <f>MAX(SUMPRODUCT(R10:U10,基础状态预期!I21:L21),V9)</f>
        <v>470.63022966003234</v>
      </c>
      <c r="W10" s="17">
        <f>求节点($C$55:$C$60,D$55:D$60,基础状态预期!M21)</f>
        <v>0.02</v>
      </c>
      <c r="X10" s="17">
        <f>求节点($C$55:$C$60,E$55:E$60,基础状态预期!N21)</f>
        <v>0.12</v>
      </c>
      <c r="Y10" s="17">
        <f>求节点($C$55:$C$60,F$55:F$60,基础状态预期!O21)</f>
        <v>0.1683018864246042</v>
      </c>
      <c r="Z10" s="17">
        <f>求节点($C$55:$C$60,G$55:G$60,基础状态预期!P21)</f>
        <v>0.09</v>
      </c>
      <c r="AA10" s="17">
        <f>MAX(SUMPRODUCT(W10:Z10,基础状态预期!I21:L21)/6,AA9)</f>
        <v>9.900068419402723E-2</v>
      </c>
      <c r="AE10" s="16">
        <v>5</v>
      </c>
      <c r="AF10" s="16">
        <f t="shared" si="5"/>
        <v>0</v>
      </c>
      <c r="AG10" s="16">
        <f t="shared" si="6"/>
        <v>0</v>
      </c>
      <c r="AH10" s="16">
        <f t="shared" si="7"/>
        <v>0</v>
      </c>
      <c r="AI10" s="16">
        <f t="shared" si="8"/>
        <v>0</v>
      </c>
      <c r="AJ10" s="16">
        <f t="shared" si="9"/>
        <v>0</v>
      </c>
      <c r="AM10" s="16">
        <v>9</v>
      </c>
      <c r="AN10" s="17">
        <v>70</v>
      </c>
      <c r="AO10" s="17">
        <f t="shared" si="2"/>
        <v>9.5652589456082418E-2</v>
      </c>
      <c r="AP10" s="17">
        <f>(AO10-AO9)*(INDEX([3]非r将兵属性验证!$AC$7:$AC$166,$AN10,1)*[3]战法技能效用!$AH$4+INDEX([3]非r将兵属性验证!$AX$7:$AX$166,$AN10,1)*[3]战法技能效用!$AI$4)+AP9</f>
        <v>556184951.29405284</v>
      </c>
      <c r="AQ10" s="17">
        <f t="shared" si="0"/>
        <v>556184951.29405284</v>
      </c>
      <c r="AT10" s="16">
        <v>90</v>
      </c>
      <c r="AU10" s="16">
        <v>90</v>
      </c>
      <c r="AV10" s="16">
        <f>投放验证!$Q23</f>
        <v>435159.3306463894</v>
      </c>
      <c r="AY10" s="17">
        <v>70</v>
      </c>
      <c r="AZ10" s="17">
        <f t="shared" si="3"/>
        <v>142503.37561575638</v>
      </c>
      <c r="BA10" s="17">
        <f t="shared" si="1"/>
        <v>142503.37561575638</v>
      </c>
      <c r="BB10" s="16">
        <f t="shared" si="4"/>
        <v>3902.9598343953639</v>
      </c>
      <c r="BF10" s="16">
        <v>85</v>
      </c>
      <c r="BG10" s="16">
        <f>INDEX(宝物升星货币产销情况!BM$6:BM$165,$BF10)</f>
        <v>6.7635414864595056</v>
      </c>
      <c r="BH10" s="16">
        <f>INDEX(宝物升星货币产销情况!BN$6:BN$165,$BF10)</f>
        <v>28.576169038038696</v>
      </c>
      <c r="BI10" s="16">
        <f>INDEX(宝物升星货币产销情况!BO$6:BO$165,$BF10)</f>
        <v>16.338256302790061</v>
      </c>
      <c r="BJ10" s="16">
        <f>INDEX(宝物升星货币产销情况!BP$6:BP$165,$BF10)</f>
        <v>1.1650394751473194</v>
      </c>
      <c r="BK10" s="77">
        <f>INDEX(宝物升星货币产销情况!BQ$6:BQ$165,$BF10)</f>
        <v>0.45526721135524656</v>
      </c>
      <c r="BL10" s="16">
        <f>INDEX(宝物升星货币产销情况!BR$6:BR$165,$BF10)</f>
        <v>-0.16482516993331298</v>
      </c>
      <c r="BM10" s="16">
        <f>INDEX(宝物升星货币产销情况!BS$6:BS$165,$BF10)</f>
        <v>-0.17702363902693141</v>
      </c>
      <c r="BN10" s="16">
        <f>INDEX(宝物升星货币产销情况!BT$6:BT$165,$BF10)</f>
        <v>-0.16229707895521234</v>
      </c>
      <c r="BO10" s="16">
        <f>INDEX(宝物升星货币产销情况!BU$6:BU$165,$BF10)</f>
        <v>-2.294390178067415E-2</v>
      </c>
      <c r="BP10" s="77">
        <f>INDEX(宝物升星货币产销情况!BV$6:BV$165,$BF10)</f>
        <v>0.19301217049610586</v>
      </c>
      <c r="BU10" s="16">
        <v>0</v>
      </c>
      <c r="BV10" s="16">
        <v>0</v>
      </c>
      <c r="BW10" s="16">
        <v>0</v>
      </c>
      <c r="BX10" s="16">
        <v>2.3337806829387411</v>
      </c>
      <c r="BY10" s="16">
        <v>920.65270822791308</v>
      </c>
    </row>
    <row r="11" spans="2:77">
      <c r="B11" s="176"/>
      <c r="C11" s="17"/>
      <c r="D11" s="17"/>
      <c r="E11" s="17"/>
      <c r="F11" s="17"/>
      <c r="G11" s="17"/>
      <c r="H11" s="17"/>
      <c r="L11" s="16">
        <v>8</v>
      </c>
      <c r="M11" s="17">
        <f>基础状态预期!$C22</f>
        <v>85</v>
      </c>
      <c r="N11" s="17">
        <f>IF(基础状态预期!I22=0,0,求节点($C$67:$C$72,D$67:D$72,基础状态预期!M22))</f>
        <v>0</v>
      </c>
      <c r="O11" s="17">
        <f>IF(基础状态预期!J22=0,0,求节点($C$67:$C$72,E$67:E$72,基础状态预期!N22))</f>
        <v>0</v>
      </c>
      <c r="P11" s="17">
        <f>IF(基础状态预期!K22=0,0,求节点($C$67:$C$72,F$67:F$72,基础状态预期!O22))</f>
        <v>0</v>
      </c>
      <c r="Q11" s="17">
        <f>IF(基础状态预期!L22=0,0,求节点($C$67:$C$72,G$67:G$72,基础状态预期!P22))</f>
        <v>1.2467281905358565</v>
      </c>
      <c r="R11" s="17">
        <f>IF(基础状态预期!I22=0,0,求节点($C$79:$C$84,D$79:D$84,基础状态预期!M22))</f>
        <v>0</v>
      </c>
      <c r="S11" s="17">
        <f>IF(基础状态预期!J22=0,0,求节点($C$79:$C$84,E$79:E$84,基础状态预期!N22))</f>
        <v>0</v>
      </c>
      <c r="T11" s="17">
        <f>IF(基础状态预期!K22=0,0,求节点($C$79:$C$84,F$79:F$84,基础状态预期!O22))</f>
        <v>0</v>
      </c>
      <c r="U11" s="17">
        <f>IF(基础状态预期!L22=0,0,求节点($C$79:$C$84,G$79:G$84,基础状态预期!P22))</f>
        <v>4.9345638107171297</v>
      </c>
      <c r="V11" s="17">
        <f>MAX(SUMPRODUCT(R11:U11,基础状态预期!I22:L22),V10)</f>
        <v>470.63022966003234</v>
      </c>
      <c r="W11" s="17">
        <f>求节点($C$55:$C$60,D$55:D$60,基础状态预期!M22)</f>
        <v>0.02</v>
      </c>
      <c r="X11" s="17">
        <f>求节点($C$55:$C$60,E$55:E$60,基础状态预期!N22)</f>
        <v>0.12</v>
      </c>
      <c r="Y11" s="17">
        <f>求节点($C$55:$C$60,F$55:F$60,基础状态预期!O22)</f>
        <v>0.22951526667649286</v>
      </c>
      <c r="Z11" s="17">
        <f>求节点($C$55:$C$60,G$55:G$60,基础状态预期!P22)</f>
        <v>0.11220553714822708</v>
      </c>
      <c r="AA11" s="17">
        <f>MAX(SUMPRODUCT(W11:Z11,基础状态预期!I22:L22)/6,AA10)</f>
        <v>0.11220553714822708</v>
      </c>
      <c r="AE11" s="16">
        <v>6</v>
      </c>
      <c r="AF11" s="16">
        <f t="shared" si="5"/>
        <v>0</v>
      </c>
      <c r="AG11" s="16">
        <f t="shared" si="6"/>
        <v>0</v>
      </c>
      <c r="AH11" s="16">
        <f t="shared" si="7"/>
        <v>0</v>
      </c>
      <c r="AI11" s="16">
        <f t="shared" si="8"/>
        <v>0</v>
      </c>
      <c r="AJ11" s="16">
        <f t="shared" si="9"/>
        <v>0</v>
      </c>
      <c r="AM11" s="16">
        <v>10</v>
      </c>
      <c r="AN11" s="17">
        <v>80</v>
      </c>
      <c r="AO11" s="17">
        <f t="shared" si="2"/>
        <v>9.900068419402723E-2</v>
      </c>
      <c r="AP11" s="17">
        <f>(AO11-AO10)*(INDEX([3]非r将兵属性验证!$AC$7:$AC$166,$AN11,1)*[3]战法技能效用!$AH$4+INDEX([3]非r将兵属性验证!$AX$7:$AX$166,$AN11,1)*[3]战法技能效用!$AI$4)+AP10</f>
        <v>674645158.31368256</v>
      </c>
      <c r="AQ11" s="17">
        <f t="shared" si="0"/>
        <v>674645158.31368256</v>
      </c>
      <c r="AT11" s="16">
        <v>95</v>
      </c>
      <c r="AU11" s="16">
        <v>95</v>
      </c>
      <c r="AV11" s="16">
        <f>投放验证!$Q24</f>
        <v>584932.34855945536</v>
      </c>
      <c r="AY11" s="17">
        <v>80</v>
      </c>
      <c r="AZ11" s="17">
        <f t="shared" si="3"/>
        <v>246755.68900811486</v>
      </c>
      <c r="BA11" s="17">
        <f t="shared" si="1"/>
        <v>246755.68900811486</v>
      </c>
      <c r="BB11" s="16">
        <f t="shared" si="4"/>
        <v>2734.0612126332617</v>
      </c>
      <c r="BF11" s="16">
        <v>90</v>
      </c>
      <c r="BG11" s="16">
        <f>INDEX(宝物升星货币产销情况!BM$6:BM$165,$BF11)</f>
        <v>9.1168158331912039</v>
      </c>
      <c r="BH11" s="16">
        <f>INDEX(宝物升星货币产销情况!BN$6:BN$165,$BF11)</f>
        <v>24.616269605674976</v>
      </c>
      <c r="BI11" s="16">
        <f>INDEX(宝物升星货币产销情况!BO$6:BO$165,$BF11)</f>
        <v>6.4389937105439881</v>
      </c>
      <c r="BJ11" s="77">
        <f>INDEX(宝物升星货币产销情况!BP$6:BP$165,$BF11)</f>
        <v>0.46822019263163034</v>
      </c>
      <c r="BK11" s="16">
        <f>INDEX(宝物升星货币产销情况!BQ$6:BQ$165,$BF11)</f>
        <v>0.64873086362689591</v>
      </c>
      <c r="BL11" s="16">
        <f>INDEX(宝物升星货币产销情况!BR$6:BR$165,$BF11)</f>
        <v>-0.17556874600430489</v>
      </c>
      <c r="BM11" s="16">
        <f>INDEX(宝物升星货币产销情况!BS$6:BS$165,$BF11)</f>
        <v>-0.17809664920302365</v>
      </c>
      <c r="BN11" s="16">
        <f>INDEX(宝物升星货币产销情况!BT$6:BT$165,$BF11)</f>
        <v>-0.1468496330315355</v>
      </c>
      <c r="BO11" s="77">
        <f>INDEX(宝物升星货币产销情况!BU$6:BU$165,$BF11)</f>
        <v>0.18805578074697232</v>
      </c>
      <c r="BP11" s="16">
        <f>INDEX(宝物升星货币产销情况!BV$6:BV$165,$BF11)</f>
        <v>9.3140847882824451E-2</v>
      </c>
      <c r="BU11" s="16">
        <v>0</v>
      </c>
      <c r="BV11" s="16">
        <v>0</v>
      </c>
      <c r="BW11" s="16">
        <v>0</v>
      </c>
      <c r="BX11" s="16">
        <v>9.7193898618556638</v>
      </c>
      <c r="BY11" s="16">
        <v>920.65270822791308</v>
      </c>
    </row>
    <row r="12" spans="2:77">
      <c r="B12" s="176"/>
      <c r="C12" s="17"/>
      <c r="D12" s="17"/>
      <c r="E12" s="17"/>
      <c r="F12" s="17"/>
      <c r="G12" s="17"/>
      <c r="H12" s="17"/>
      <c r="L12" s="16">
        <v>9</v>
      </c>
      <c r="M12" s="17">
        <f>基础状态预期!$C23</f>
        <v>90</v>
      </c>
      <c r="N12" s="17">
        <f>IF(基础状态预期!I23=0,0,求节点($C$67:$C$72,D$67:D$72,基础状态预期!M23))</f>
        <v>0</v>
      </c>
      <c r="O12" s="17">
        <f>IF(基础状态预期!J23=0,0,求节点($C$67:$C$72,E$67:E$72,基础状态预期!N23))</f>
        <v>0</v>
      </c>
      <c r="P12" s="17">
        <f>IF(基础状态预期!K23=0,0,求节点($C$67:$C$72,F$67:F$72,基础状态预期!O23))</f>
        <v>0</v>
      </c>
      <c r="Q12" s="17">
        <f>IF(基础状态预期!L23=0,0,求节点($C$67:$C$72,G$67:G$72,基础状态预期!P23))</f>
        <v>1.6483307979029902</v>
      </c>
      <c r="R12" s="17">
        <f>IF(基础状态预期!I23=0,0,求节点($C$79:$C$84,D$79:D$84,基础状态预期!M23))</f>
        <v>0</v>
      </c>
      <c r="S12" s="17">
        <f>IF(基础状态预期!J23=0,0,求节点($C$79:$C$84,E$79:E$84,基础状态预期!N23))</f>
        <v>0</v>
      </c>
      <c r="T12" s="17">
        <f>IF(基础状态预期!K23=0,0,求节点($C$79:$C$84,F$79:F$84,基础状态预期!O23))</f>
        <v>0</v>
      </c>
      <c r="U12" s="17">
        <f>IF(基础状态预期!L23=0,0,求节点($C$79:$C$84,G$79:G$84,基础状态预期!P23))</f>
        <v>12.966615958059805</v>
      </c>
      <c r="V12" s="17">
        <f>MAX(SUMPRODUCT(R12:U12,基础状态预期!I23:L23),V11)</f>
        <v>470.63022966003234</v>
      </c>
      <c r="W12" s="17">
        <f>求节点($C$55:$C$60,D$55:D$60,基础状态预期!M23)</f>
        <v>0.02</v>
      </c>
      <c r="X12" s="17">
        <f>求节点($C$55:$C$60,E$55:E$60,基础状态预期!N23)</f>
        <v>0.12</v>
      </c>
      <c r="Y12" s="17">
        <f>求节点($C$55:$C$60,F$55:F$60,基础状态预期!O23)</f>
        <v>0.31072465771690372</v>
      </c>
      <c r="Z12" s="17">
        <f>求节点($C$55:$C$60,G$55:G$60,基础状态预期!P23)</f>
        <v>0.14834977181126913</v>
      </c>
      <c r="AA12" s="17">
        <f>MAX(SUMPRODUCT(W12:Z12,基础状态预期!I23:L23)/6,AA11)</f>
        <v>0.14834977181126913</v>
      </c>
      <c r="AE12" s="16">
        <v>7</v>
      </c>
      <c r="AF12" s="16">
        <f t="shared" si="5"/>
        <v>0</v>
      </c>
      <c r="AG12" s="16">
        <f t="shared" si="6"/>
        <v>0</v>
      </c>
      <c r="AH12" s="16">
        <f t="shared" si="7"/>
        <v>0</v>
      </c>
      <c r="AI12" s="16">
        <f t="shared" si="8"/>
        <v>0</v>
      </c>
      <c r="AJ12" s="16">
        <f t="shared" si="9"/>
        <v>0</v>
      </c>
      <c r="AM12" s="16">
        <v>11</v>
      </c>
      <c r="AN12" s="17">
        <v>90</v>
      </c>
      <c r="AO12" s="17">
        <f t="shared" si="2"/>
        <v>0.14834977181126913</v>
      </c>
      <c r="AP12" s="17">
        <f>(AO12-AO11)*(INDEX([3]非r将兵属性验证!$AC$7:$AC$166,$AN12,1)*[3]战法技能效用!$AH$4+INDEX([3]非r将兵属性验证!$AX$7:$AX$166,$AN12,1)*[3]战法技能效用!$AI$4)+AP11</f>
        <v>4653062965.5333614</v>
      </c>
      <c r="AQ12" s="17">
        <f t="shared" si="0"/>
        <v>4653062965.5333614</v>
      </c>
      <c r="AT12" s="16">
        <v>100</v>
      </c>
      <c r="AU12" s="16">
        <v>100</v>
      </c>
      <c r="AV12" s="16">
        <f>投放验证!$Q25</f>
        <v>780773.44526520511</v>
      </c>
      <c r="AY12" s="17">
        <v>90</v>
      </c>
      <c r="AZ12" s="17">
        <f t="shared" si="3"/>
        <v>435159.3306463894</v>
      </c>
      <c r="BA12" s="17">
        <f t="shared" si="1"/>
        <v>435159.3306463894</v>
      </c>
      <c r="BB12" s="16">
        <f t="shared" si="4"/>
        <v>10692.779949407639</v>
      </c>
      <c r="BF12" s="16">
        <v>95</v>
      </c>
      <c r="BG12" s="16">
        <f>INDEX(宝物升星货币产销情况!BM$6:BM$165,$BF12)</f>
        <v>12.442104937126144</v>
      </c>
      <c r="BH12" s="16">
        <f>INDEX(宝物升星货币产销情况!BN$6:BN$165,$BF12)</f>
        <v>10.773564967872268</v>
      </c>
      <c r="BI12" s="16">
        <f>INDEX(宝物升星货币产销情况!BO$6:BO$165,$BF12)</f>
        <v>1.8656731866327951</v>
      </c>
      <c r="BJ12" s="16">
        <f>INDEX(宝物升星货币产销情况!BP$6:BP$165,$BF12)</f>
        <v>0.69074429429142714</v>
      </c>
      <c r="BK12" s="16">
        <f>INDEX(宝物升星货币产销情况!BQ$6:BQ$165,$BF12)</f>
        <v>0.94076362251454959</v>
      </c>
      <c r="BL12" s="16">
        <f>INDEX(宝物升星货币产销情况!BR$6:BR$165,$BF12)</f>
        <v>-0.18412387304671388</v>
      </c>
      <c r="BM12" s="16">
        <f>INDEX(宝物升星货币产销情况!BS$6:BS$165,$BF12)</f>
        <v>-0.17016315124229467</v>
      </c>
      <c r="BN12" s="16">
        <f>INDEX(宝物升星货币产销情况!BT$6:BT$165,$BF12)</f>
        <v>-8.1099910229986416E-2</v>
      </c>
      <c r="BO12" s="16">
        <f>INDEX(宝物升星货币产销情况!BU$6:BU$165,$BF12)</f>
        <v>7.9388387675951674E-2</v>
      </c>
      <c r="BP12" s="16">
        <f>INDEX(宝物升星货币产销情况!BV$6:BV$165,$BF12)</f>
        <v>1.1382847564657968E-2</v>
      </c>
      <c r="BU12" s="16">
        <v>0</v>
      </c>
      <c r="BV12" s="16">
        <v>0</v>
      </c>
      <c r="BW12" s="16">
        <v>0</v>
      </c>
      <c r="BX12" s="16">
        <v>27.467382173332055</v>
      </c>
      <c r="BY12" s="16">
        <v>920.65270822791308</v>
      </c>
    </row>
    <row r="13" spans="2:77">
      <c r="B13" s="177"/>
      <c r="C13" s="17"/>
      <c r="D13" s="17"/>
      <c r="E13" s="17"/>
      <c r="F13" s="17"/>
      <c r="G13" s="17"/>
      <c r="H13" s="17"/>
      <c r="L13" s="16">
        <v>10</v>
      </c>
      <c r="M13" s="17">
        <f>基础状态预期!$C24</f>
        <v>95</v>
      </c>
      <c r="N13" s="17">
        <f>IF(基础状态预期!I24=0,0,求节点($C$67:$C$72,D$67:D$72,基础状态预期!M24))</f>
        <v>0</v>
      </c>
      <c r="O13" s="17">
        <f>IF(基础状态预期!J24=0,0,求节点($C$67:$C$72,E$67:E$72,基础状态预期!N24))</f>
        <v>0</v>
      </c>
      <c r="P13" s="17">
        <f>IF(基础状态预期!K24=0,0,求节点($C$67:$C$72,F$67:F$72,基础状态预期!O24))</f>
        <v>0</v>
      </c>
      <c r="Q13" s="17">
        <f>IF(基础状态预期!L24=0,0,求节点($C$67:$C$72,G$67:G$72,基础状态预期!P24))</f>
        <v>2.2156528354524823</v>
      </c>
      <c r="R13" s="17">
        <f>IF(基础状态预期!I24=0,0,求节点($C$79:$C$84,D$79:D$84,基础状态预期!M24))</f>
        <v>0</v>
      </c>
      <c r="S13" s="17">
        <f>IF(基础状态预期!J24=0,0,求节点($C$79:$C$84,E$79:E$84,基础状态预期!N24))</f>
        <v>0</v>
      </c>
      <c r="T13" s="17">
        <f>IF(基础状态预期!K24=0,0,求节点($C$79:$C$84,F$79:F$84,基础状态预期!O24))</f>
        <v>0</v>
      </c>
      <c r="U13" s="17">
        <f>IF(基础状态预期!L24=0,0,求节点($C$79:$C$84,G$79:G$84,基础状态预期!P24))</f>
        <v>41.565283545248228</v>
      </c>
      <c r="V13" s="17">
        <f>MAX(SUMPRODUCT(R13:U13,基础状态预期!I24:L24),V12)</f>
        <v>470.63022966003234</v>
      </c>
      <c r="W13" s="17">
        <f>求节点($C$55:$C$60,D$55:D$60,基础状态预期!M24)</f>
        <v>0.02</v>
      </c>
      <c r="X13" s="17">
        <f>求节点($C$55:$C$60,E$55:E$60,基础状态预期!N24)</f>
        <v>0.12</v>
      </c>
      <c r="Y13" s="17">
        <f>求节点($C$55:$C$60,F$55:F$60,基础状态预期!O24)</f>
        <v>0.36000000000000004</v>
      </c>
      <c r="Z13" s="17">
        <f>求节点($C$55:$C$60,G$55:G$60,基础状态预期!P24)</f>
        <v>0.1994087551907234</v>
      </c>
      <c r="AA13" s="17">
        <f>MAX(SUMPRODUCT(W13:Z13,基础状态预期!I24:L24)/6,AA12)</f>
        <v>0.1994087551907234</v>
      </c>
      <c r="AE13" s="16">
        <v>8</v>
      </c>
      <c r="AF13" s="16">
        <f t="shared" si="5"/>
        <v>0</v>
      </c>
      <c r="AG13" s="16">
        <f t="shared" si="6"/>
        <v>0</v>
      </c>
      <c r="AH13" s="16">
        <f t="shared" si="7"/>
        <v>0</v>
      </c>
      <c r="AI13" s="16">
        <f t="shared" si="8"/>
        <v>0</v>
      </c>
      <c r="AJ13" s="16">
        <f t="shared" si="9"/>
        <v>0</v>
      </c>
      <c r="AM13" s="16">
        <v>12</v>
      </c>
      <c r="AN13" s="17">
        <v>100</v>
      </c>
      <c r="AO13" s="17">
        <f t="shared" si="2"/>
        <v>0.26617276543131996</v>
      </c>
      <c r="AP13" s="17">
        <f>(AO13-AO12)*(INDEX([3]非r将兵属性验证!$AC$7:$AC$166,$AN13,1)*[3]战法技能效用!$AH$4+INDEX([3]非r将兵属性验证!$AX$7:$AX$166,$AN13,1)*[3]战法技能效用!$AI$4)+AP12</f>
        <v>24548669516.244171</v>
      </c>
      <c r="AQ13" s="17">
        <f t="shared" si="0"/>
        <v>24548669516.244171</v>
      </c>
      <c r="AT13" s="16">
        <v>105</v>
      </c>
      <c r="AU13" s="16">
        <v>105</v>
      </c>
      <c r="AV13" s="16">
        <f>投放验证!$Q26</f>
        <v>1057463.2003238557</v>
      </c>
      <c r="AY13" s="17">
        <v>100</v>
      </c>
      <c r="AZ13" s="17">
        <f t="shared" si="3"/>
        <v>780773.44526520511</v>
      </c>
      <c r="BA13" s="17">
        <f t="shared" si="1"/>
        <v>780773.44526520511</v>
      </c>
      <c r="BB13" s="16">
        <f t="shared" si="4"/>
        <v>31441.475968622024</v>
      </c>
      <c r="BF13" s="16">
        <v>100</v>
      </c>
      <c r="BG13" s="16">
        <f>INDEX(宝物升星货币产销情况!BM$6:BM$165,$BF13)</f>
        <v>11.439899664136778</v>
      </c>
      <c r="BH13" s="16">
        <f>INDEX(宝物升星货币产销情况!BN$6:BN$165,$BF13)</f>
        <v>3.3891998989852059</v>
      </c>
      <c r="BI13" s="16">
        <f>INDEX(宝物升星货币产销情况!BO$6:BO$165,$BF13)</f>
        <v>0.46054663814284585</v>
      </c>
      <c r="BJ13" s="16">
        <f>INDEX(宝物升星货币产销情况!BP$6:BP$165,$BF13)</f>
        <v>1.0245031128679796</v>
      </c>
      <c r="BK13" s="16">
        <f>INDEX(宝物升星货币产销情况!BQ$6:BQ$165,$BF13)</f>
        <v>1.3781849872762877</v>
      </c>
      <c r="BL13" s="16">
        <f>INDEX(宝物升星货币产销情况!BR$6:BR$165,$BF13)</f>
        <v>-0.18572237148241763</v>
      </c>
      <c r="BM13" s="16">
        <f>INDEX(宝物升星货币产销情况!BS$6:BS$165,$BF13)</f>
        <v>-0.13349023085401632</v>
      </c>
      <c r="BN13" s="16">
        <f>INDEX(宝物升星货币产销情况!BT$6:BT$165,$BF13)</f>
        <v>0.20567881389424308</v>
      </c>
      <c r="BO13" s="16">
        <f>INDEX(宝物升星货币产销情况!BU$6:BU$165,$BF13)</f>
        <v>-4.4583115533819743E-3</v>
      </c>
      <c r="BP13" s="16">
        <f>INDEX(宝物升星货币产销情况!BV$6:BV$165,$BF13)</f>
        <v>-5.1456114093390869E-2</v>
      </c>
      <c r="BU13" s="16">
        <v>0</v>
      </c>
      <c r="BV13" s="16">
        <v>0</v>
      </c>
      <c r="BW13" s="16">
        <v>0</v>
      </c>
      <c r="BX13" s="16">
        <v>63.868824243053915</v>
      </c>
      <c r="BY13" s="16">
        <v>920.65270822791308</v>
      </c>
    </row>
    <row r="14" spans="2:77">
      <c r="B14" s="170" t="s">
        <v>224</v>
      </c>
      <c r="C14" s="170"/>
      <c r="D14" s="17">
        <f>COUNTA(D6:D13)</f>
        <v>0</v>
      </c>
      <c r="E14" s="17">
        <f>COUNTA(E6:E13)</f>
        <v>3</v>
      </c>
      <c r="F14" s="17">
        <f>COUNTA(F6:F13)</f>
        <v>5</v>
      </c>
      <c r="G14" s="17">
        <f>COUNTA(G6:G13)</f>
        <v>5</v>
      </c>
      <c r="H14" s="17">
        <f>COUNTA(H6:H13)</f>
        <v>5</v>
      </c>
      <c r="L14" s="16">
        <v>11</v>
      </c>
      <c r="M14" s="17">
        <f>基础状态预期!$C25</f>
        <v>100</v>
      </c>
      <c r="N14" s="17">
        <f>IF(基础状态预期!I25=0,0,求节点($C$67:$C$72,D$67:D$72,基础状态预期!M25))</f>
        <v>0</v>
      </c>
      <c r="O14" s="17">
        <f>IF(基础状态预期!J25=0,0,求节点($C$67:$C$72,E$67:E$72,基础状态预期!N25))</f>
        <v>0</v>
      </c>
      <c r="P14" s="17">
        <f>IF(基础状态预期!K25=0,0,求节点($C$67:$C$72,F$67:F$72,基础状态预期!O25))</f>
        <v>0</v>
      </c>
      <c r="Q14" s="17">
        <f>IF(基础状态预期!L25=0,0,求节点($C$67:$C$72,G$67:G$72,基础状态预期!P25))</f>
        <v>2.9574751714591101</v>
      </c>
      <c r="R14" s="17">
        <f>IF(基础状态预期!I25=0,0,求节点($C$79:$C$84,D$79:D$84,基础状态预期!M25))</f>
        <v>0</v>
      </c>
      <c r="S14" s="17">
        <f>IF(基础状态预期!J25=0,0,求节点($C$79:$C$84,E$79:E$84,基础状态预期!N25))</f>
        <v>0</v>
      </c>
      <c r="T14" s="17">
        <f>IF(基础状态预期!K25=0,0,求节点($C$79:$C$84,F$79:F$84,基础状态预期!O25))</f>
        <v>0</v>
      </c>
      <c r="U14" s="17">
        <f>IF(基础状态预期!L25=0,0,求节点($C$79:$C$84,G$79:G$84,基础状态预期!P25))</f>
        <v>115.747517145911</v>
      </c>
      <c r="V14" s="17">
        <f>MAX(SUMPRODUCT(R14:U14,基础状态预期!I25:L25),V13)</f>
        <v>694.48510287546605</v>
      </c>
      <c r="W14" s="17">
        <f>求节点($C$55:$C$60,D$55:D$60,基础状态预期!M25)</f>
        <v>0.02</v>
      </c>
      <c r="X14" s="17">
        <f>求节点($C$55:$C$60,E$55:E$60,基础状态预期!N25)</f>
        <v>0.12</v>
      </c>
      <c r="Y14" s="17">
        <f>求节点($C$55:$C$60,F$55:F$60,基础状态预期!O25)</f>
        <v>0.36000000000000004</v>
      </c>
      <c r="Z14" s="17">
        <f>求节点($C$55:$C$60,G$55:G$60,基础状态预期!P25)</f>
        <v>0.26617276543131996</v>
      </c>
      <c r="AA14" s="17">
        <f>MAX(SUMPRODUCT(W14:Z14,基础状态预期!I25:L25)/6,AA13)</f>
        <v>0.26617276543131996</v>
      </c>
      <c r="AE14" s="16">
        <v>9</v>
      </c>
      <c r="AF14" s="16">
        <f t="shared" si="5"/>
        <v>0</v>
      </c>
      <c r="AG14" s="16">
        <f t="shared" si="6"/>
        <v>0</v>
      </c>
      <c r="AH14" s="16">
        <f t="shared" si="7"/>
        <v>0</v>
      </c>
      <c r="AI14" s="16">
        <f t="shared" si="8"/>
        <v>0</v>
      </c>
      <c r="AJ14" s="16">
        <f t="shared" si="9"/>
        <v>0</v>
      </c>
      <c r="AM14" s="16">
        <v>13</v>
      </c>
      <c r="AN14" s="17">
        <v>110</v>
      </c>
      <c r="AO14" s="17">
        <f t="shared" si="2"/>
        <v>0.50030039313946606</v>
      </c>
      <c r="AP14" s="17">
        <f>(AO14-AO13)*(INDEX([3]非r将兵属性验证!$AC$7:$AC$166,$AN14,1)*[3]战法技能效用!$AH$4+INDEX([3]非r将兵属性验证!$AX$7:$AX$166,$AN14,1)*[3]战法技能效用!$AI$4)+AP13</f>
        <v>95760185718.728592</v>
      </c>
      <c r="AQ14" s="17">
        <f t="shared" si="0"/>
        <v>95760185718.728592</v>
      </c>
      <c r="AT14" s="16">
        <v>110</v>
      </c>
      <c r="AU14" s="16">
        <v>110</v>
      </c>
      <c r="AV14" s="16">
        <f>投放验证!$Q27</f>
        <v>1426393.0378881902</v>
      </c>
      <c r="AY14" s="17">
        <v>110</v>
      </c>
      <c r="AZ14" s="17">
        <f t="shared" si="3"/>
        <v>1426393.0378881902</v>
      </c>
      <c r="BA14" s="17">
        <f t="shared" si="1"/>
        <v>1426393.0378881902</v>
      </c>
      <c r="BB14" s="16">
        <f t="shared" si="4"/>
        <v>67134.501624113283</v>
      </c>
      <c r="BF14" s="16">
        <v>105</v>
      </c>
      <c r="BG14" s="16">
        <f>INDEX(宝物升星货币产销情况!BM$6:BM$165,$BF14)</f>
        <v>3.5839722730164989</v>
      </c>
      <c r="BH14" s="16">
        <f>INDEX(宝物升星货币产销情况!BN$6:BN$165,$BF14)</f>
        <v>0.74198949099033684</v>
      </c>
      <c r="BI14" s="77">
        <f>INDEX(宝物升星货币产销情况!BO$6:BO$165,$BF14)</f>
        <v>0.67797509382008336</v>
      </c>
      <c r="BJ14" s="16">
        <f>INDEX(宝物升星货币产销情况!BP$6:BP$165,$BF14)</f>
        <v>1.4727876402271838</v>
      </c>
      <c r="BK14" s="16">
        <f>INDEX(宝物升星货币产销情况!BQ$6:BQ$165,$BF14)</f>
        <v>1.9731526038354998</v>
      </c>
      <c r="BL14" s="16">
        <f>INDEX(宝物升星货币产销情况!BR$6:BR$165,$BF14)</f>
        <v>-0.14859618763853238</v>
      </c>
      <c r="BM14" s="16">
        <f>INDEX(宝物升星货币产销情况!BS$6:BS$165,$BF14)</f>
        <v>6.6386306460656741E-2</v>
      </c>
      <c r="BN14" s="77">
        <f>INDEX(宝物升星货币产销情况!BT$6:BT$165,$BF14)</f>
        <v>8.9566684526652673E-2</v>
      </c>
      <c r="BO14" s="16">
        <f>INDEX(宝物升星货币产销情况!BU$6:BU$165,$BF14)</f>
        <v>-6.1836171663456847E-2</v>
      </c>
      <c r="BP14" s="16">
        <f>INDEX(宝物升星货币产销情况!BV$6:BV$165,$BF14)</f>
        <v>-9.4774802694518656E-2</v>
      </c>
      <c r="BU14" s="16">
        <v>0</v>
      </c>
      <c r="BV14" s="16">
        <v>0</v>
      </c>
      <c r="BW14" s="16">
        <v>0</v>
      </c>
      <c r="BX14" s="16">
        <v>162.73948956307765</v>
      </c>
      <c r="BY14" s="16">
        <v>976.43693737846593</v>
      </c>
    </row>
    <row r="15" spans="2:77">
      <c r="L15" s="16">
        <v>12</v>
      </c>
      <c r="M15" s="17">
        <f>基础状态预期!$C26</f>
        <v>105</v>
      </c>
      <c r="N15" s="17">
        <f>IF(基础状态预期!I26=0,0,求节点($C$67:$C$72,D$67:D$72,基础状态预期!M26))</f>
        <v>0</v>
      </c>
      <c r="O15" s="17">
        <f>IF(基础状态预期!J26=0,0,求节点($C$67:$C$72,E$67:E$72,基础状态预期!N26))</f>
        <v>0</v>
      </c>
      <c r="P15" s="17">
        <f>IF(基础状态预期!K26=0,0,求节点($C$67:$C$72,F$67:F$72,基础状态预期!O26))</f>
        <v>0</v>
      </c>
      <c r="Q15" s="17">
        <f>IF(基础状态预期!L26=0,0,求节点($C$67:$C$72,G$67:G$72,基础状态预期!P26))</f>
        <v>4.0055424254691507</v>
      </c>
      <c r="R15" s="17">
        <f>IF(基础状态预期!I26=0,0,求节点($C$79:$C$84,D$79:D$84,基础状态预期!M26))</f>
        <v>0</v>
      </c>
      <c r="S15" s="17">
        <f>IF(基础状态预期!J26=0,0,求节点($C$79:$C$84,E$79:E$84,基础状态预期!N26))</f>
        <v>0</v>
      </c>
      <c r="T15" s="17">
        <f>IF(基础状态预期!K26=0,0,求节点($C$79:$C$84,F$79:F$84,基础状态预期!O26))</f>
        <v>0</v>
      </c>
      <c r="U15" s="17">
        <f>IF(基础状态预期!L26=0,0,求节点($C$79:$C$84,G$79:G$84,基础状态预期!P26))</f>
        <v>506.76175907236387</v>
      </c>
      <c r="V15" s="17">
        <f>MAX(SUMPRODUCT(R15:U15,基础状态预期!I26:L26),V14)</f>
        <v>3040.5705544341831</v>
      </c>
      <c r="W15" s="17">
        <f>求节点($C$55:$C$60,D$55:D$60,基础状态预期!M26)</f>
        <v>0.02</v>
      </c>
      <c r="X15" s="17">
        <f>求节点($C$55:$C$60,E$55:E$60,基础状态预期!N26)</f>
        <v>0.12</v>
      </c>
      <c r="Y15" s="17">
        <f>求节点($C$55:$C$60,F$55:F$60,基础状态预期!O26)</f>
        <v>0.36000000000000004</v>
      </c>
      <c r="Z15" s="17">
        <f>求节点($C$55:$C$60,G$55:G$60,基础状态预期!P26)</f>
        <v>0.36055424254691504</v>
      </c>
      <c r="AA15" s="17">
        <f>MAX(SUMPRODUCT(W15:Z15,基础状态预期!I26:L26)/6,AA14)</f>
        <v>0.36055424254691504</v>
      </c>
      <c r="AE15" s="16">
        <v>10</v>
      </c>
      <c r="AF15" s="16">
        <f t="shared" si="5"/>
        <v>0</v>
      </c>
      <c r="AG15" s="16">
        <f t="shared" si="6"/>
        <v>0</v>
      </c>
      <c r="AH15" s="16">
        <f t="shared" si="7"/>
        <v>0</v>
      </c>
      <c r="AI15" s="16">
        <f t="shared" si="8"/>
        <v>0</v>
      </c>
      <c r="AJ15" s="16">
        <f t="shared" si="9"/>
        <v>0</v>
      </c>
      <c r="AM15" s="16">
        <v>14</v>
      </c>
      <c r="AN15" s="17">
        <v>120</v>
      </c>
      <c r="AO15" s="17">
        <f t="shared" si="2"/>
        <v>0.56000000000000005</v>
      </c>
      <c r="AP15" s="17">
        <f>(AO15-AO14)*(INDEX([3]非r将兵属性验证!$AC$7:$AC$166,$AN15,1)*[3]战法技能效用!$AH$4+INDEX([3]非r将兵属性验证!$AX$7:$AX$166,$AN15,1)*[3]战法技能效用!$AI$4)+AP14</f>
        <v>126133784559.19385</v>
      </c>
      <c r="AQ15" s="17">
        <f t="shared" si="0"/>
        <v>126133784559.19385</v>
      </c>
      <c r="AT15" s="16">
        <v>115</v>
      </c>
      <c r="AU15" s="16">
        <v>115</v>
      </c>
      <c r="AV15" s="16">
        <f>投放验证!$Q28</f>
        <v>1947707.7787177598</v>
      </c>
      <c r="AY15" s="17">
        <v>120</v>
      </c>
      <c r="AZ15" s="17">
        <f t="shared" si="3"/>
        <v>2651805.5592236123</v>
      </c>
      <c r="BA15" s="17">
        <f t="shared" si="1"/>
        <v>2651805.5592236123</v>
      </c>
      <c r="BB15" s="16">
        <f t="shared" si="4"/>
        <v>47565.246298119579</v>
      </c>
      <c r="BF15" s="16">
        <v>110</v>
      </c>
      <c r="BG15" s="16">
        <f>INDEX(宝物升星货币产销情况!BM$6:BM$165,$BF15)</f>
        <v>0.8120337229119019</v>
      </c>
      <c r="BH15" s="77">
        <f>INDEX(宝物升星货币产销情况!BN$6:BN$165,$BF15)</f>
        <v>0.64675277753761129</v>
      </c>
      <c r="BI15" s="16">
        <f>INDEX(宝物升星货币产销情况!BO$6:BO$165,$BF15)</f>
        <v>0.9842507265601439</v>
      </c>
      <c r="BJ15" s="16">
        <f>INDEX(宝物升星货币产销情况!BP$6:BP$165,$BF15)</f>
        <v>2.0942987225302354</v>
      </c>
      <c r="BK15" s="16">
        <f>INDEX(宝物升星货币产销情况!BQ$6:BQ$165,$BF15)</f>
        <v>2.7988203498578068</v>
      </c>
      <c r="BL15" s="16">
        <f>INDEX(宝物升星货币产销情况!BR$6:BR$165,$BF15)</f>
        <v>4.8356585720394564E-2</v>
      </c>
      <c r="BM15" s="77">
        <f>INDEX(宝物升星货币产销情况!BS$6:BS$165,$BF15)</f>
        <v>0.10968039382806505</v>
      </c>
      <c r="BN15" s="16">
        <f>INDEX(宝物升星货币产销情况!BT$6:BT$165,$BF15)</f>
        <v>3.1719657701392606E-3</v>
      </c>
      <c r="BO15" s="16">
        <f>INDEX(宝物升星货币产销情况!BU$6:BU$165,$BF15)</f>
        <v>-0.10299249714720235</v>
      </c>
      <c r="BP15" s="16">
        <f>INDEX(宝物升星货币产销情况!BV$6:BV$165,$BF15)</f>
        <v>-0.12563571682576893</v>
      </c>
      <c r="BU15" s="16">
        <v>0</v>
      </c>
      <c r="BV15" s="16">
        <v>0</v>
      </c>
      <c r="BW15" s="16">
        <v>0</v>
      </c>
      <c r="BX15" s="16">
        <v>392.22666737960458</v>
      </c>
      <c r="BY15" s="16">
        <v>2353.3600042776275</v>
      </c>
    </row>
    <row r="16" spans="2:77">
      <c r="L16" s="16">
        <v>13</v>
      </c>
      <c r="M16" s="17">
        <f>基础状态预期!$C27</f>
        <v>110</v>
      </c>
      <c r="N16" s="17">
        <f>IF(基础状态预期!I27=0,0,求节点($C$67:$C$72,D$67:D$72,基础状态预期!M27))</f>
        <v>0</v>
      </c>
      <c r="O16" s="17">
        <f>IF(基础状态预期!J27=0,0,求节点($C$67:$C$72,E$67:E$72,基础状态预期!N27))</f>
        <v>0</v>
      </c>
      <c r="P16" s="17">
        <f>IF(基础状态预期!K27=0,0,求节点($C$67:$C$72,F$67:F$72,基础状态预期!O27))</f>
        <v>0</v>
      </c>
      <c r="Q16" s="17">
        <f>IF(基础状态预期!L27=0,0,求节点($C$67:$C$72,G$67:G$72,基础状态预期!P27))</f>
        <v>5.4030039313946601</v>
      </c>
      <c r="R16" s="17">
        <f>IF(基础状态预期!I27=0,0,求节点($C$79:$C$84,D$79:D$84,基础状态预期!M27))</f>
        <v>0</v>
      </c>
      <c r="S16" s="17">
        <f>IF(基础状态预期!J27=0,0,求节点($C$79:$C$84,E$79:E$84,基础状态预期!N27))</f>
        <v>0</v>
      </c>
      <c r="T16" s="17">
        <f>IF(基础状态预期!K27=0,0,求节点($C$79:$C$84,F$79:F$84,基础状态预期!O27))</f>
        <v>0</v>
      </c>
      <c r="U16" s="17">
        <f>IF(基础状态预期!L27=0,0,求节点($C$79:$C$84,G$79:G$84,基础状态预期!P27))</f>
        <v>3057.9730522302716</v>
      </c>
      <c r="V16" s="17">
        <f>MAX(SUMPRODUCT(R16:U16,基础状态预期!I27:L27),V15)</f>
        <v>18347.838313381631</v>
      </c>
      <c r="W16" s="17">
        <f>求节点($C$55:$C$60,D$55:D$60,基础状态预期!M27)</f>
        <v>0.02</v>
      </c>
      <c r="X16" s="17">
        <f>求节点($C$55:$C$60,E$55:E$60,基础状态预期!N27)</f>
        <v>0.12</v>
      </c>
      <c r="Y16" s="17">
        <f>求节点($C$55:$C$60,F$55:F$60,基础状态预期!O27)</f>
        <v>0.36000000000000004</v>
      </c>
      <c r="Z16" s="17">
        <f>求节点($C$55:$C$60,G$55:G$60,基础状态预期!P27)</f>
        <v>0.50030039313946606</v>
      </c>
      <c r="AA16" s="17">
        <f>MAX(SUMPRODUCT(W16:Z16,基础状态预期!I27:L27)/6,AA15)</f>
        <v>0.50030039313946606</v>
      </c>
      <c r="AE16" s="16">
        <v>11</v>
      </c>
      <c r="AF16" s="16">
        <f t="shared" si="5"/>
        <v>0</v>
      </c>
      <c r="AG16" s="16">
        <f t="shared" si="6"/>
        <v>0</v>
      </c>
      <c r="AH16" s="16">
        <f t="shared" si="7"/>
        <v>0</v>
      </c>
      <c r="AI16" s="16">
        <f t="shared" si="8"/>
        <v>0</v>
      </c>
      <c r="AJ16" s="16">
        <f t="shared" si="9"/>
        <v>0</v>
      </c>
      <c r="AM16" s="16">
        <v>15</v>
      </c>
      <c r="AN16" s="17">
        <v>130</v>
      </c>
      <c r="AO16" s="17">
        <f t="shared" si="2"/>
        <v>0.56000000000000005</v>
      </c>
      <c r="AP16" s="17">
        <f>(AO16-AO15)*(INDEX([3]非r将兵属性验证!$AC$7:$AC$166,$AN16,1)*[3]战法技能效用!$AH$4+INDEX([3]非r将兵属性验证!$AX$7:$AX$166,$AN16,1)*[3]战法技能效用!$AI$4)+AP15</f>
        <v>126133784559.19385</v>
      </c>
      <c r="AQ16" s="17">
        <f t="shared" si="0"/>
        <v>126133784559.19385</v>
      </c>
      <c r="AT16" s="16">
        <v>120</v>
      </c>
      <c r="AU16" s="16">
        <v>120</v>
      </c>
      <c r="AV16" s="16">
        <f>投放验证!$Q29</f>
        <v>2651805.5592236123</v>
      </c>
      <c r="AY16" s="17">
        <v>130</v>
      </c>
      <c r="AZ16" s="17">
        <f t="shared" si="3"/>
        <v>5004306.6487671379</v>
      </c>
      <c r="BA16" s="17">
        <f t="shared" si="1"/>
        <v>5004306.6487671379</v>
      </c>
      <c r="BB16" s="16">
        <f t="shared" si="4"/>
        <v>25205.047054873863</v>
      </c>
      <c r="BF16" s="16">
        <v>115</v>
      </c>
      <c r="BG16" s="16">
        <f>INDEX(宝物升星货币产销情况!BM$6:BM$165,$BF16)</f>
        <v>0.70706499938482681</v>
      </c>
      <c r="BH16" s="16">
        <f>INDEX(宝物升星货币产销情况!BN$6:BN$165,$BF16)</f>
        <v>0.93949896010285872</v>
      </c>
      <c r="BI16" s="16">
        <f>INDEX(宝物升星货币产销情况!BO$6:BO$165,$BF16)</f>
        <v>1.4102275337741645</v>
      </c>
      <c r="BJ16" s="16">
        <f>INDEX(宝物升星货币产销情况!BP$6:BP$165,$BF16)</f>
        <v>2.9702611500110656</v>
      </c>
      <c r="BK16" s="16">
        <f>INDEX(宝物升星货币产销情况!BQ$6:BQ$165,$BF16)</f>
        <v>3.9478869662363651</v>
      </c>
      <c r="BL16" s="16">
        <f>INDEX(宝物升星货币产销情况!BR$6:BR$165,$BF16)</f>
        <v>9.0961842586412878E-2</v>
      </c>
      <c r="BM16" s="16">
        <f>INDEX(宝物升星货币产销情况!BS$6:BS$165,$BF16)</f>
        <v>1.366056845623465E-2</v>
      </c>
      <c r="BN16" s="16">
        <f>INDEX(宝物升星货币产销情况!BT$6:BT$165,$BF16)</f>
        <v>-5.9746203966889844E-2</v>
      </c>
      <c r="BO16" s="16">
        <f>INDEX(宝物升星货币产销情况!BU$6:BU$165,$BF16)</f>
        <v>-0.13291082840250737</v>
      </c>
      <c r="BP16" s="16">
        <f>INDEX(宝物升星货币产销情况!BV$6:BV$165,$BF16)</f>
        <v>-0.14773743907596992</v>
      </c>
      <c r="BU16" s="16">
        <v>0</v>
      </c>
      <c r="BV16" s="16">
        <v>0</v>
      </c>
      <c r="BW16" s="16">
        <v>0</v>
      </c>
      <c r="BX16" s="16">
        <v>1043.4210294554321</v>
      </c>
      <c r="BY16" s="16">
        <v>6260.5261767325919</v>
      </c>
    </row>
    <row r="17" spans="2:77" ht="11.25" customHeight="1">
      <c r="B17" s="175" t="s">
        <v>434</v>
      </c>
      <c r="C17" s="17" t="s">
        <v>223</v>
      </c>
      <c r="D17" s="17" t="s">
        <v>1</v>
      </c>
      <c r="E17" s="17" t="s">
        <v>2</v>
      </c>
      <c r="F17" s="17" t="s">
        <v>0</v>
      </c>
      <c r="G17" s="17" t="s">
        <v>205</v>
      </c>
      <c r="H17" s="17" t="s">
        <v>83</v>
      </c>
      <c r="L17" s="16">
        <v>14</v>
      </c>
      <c r="M17" s="17">
        <f>基础状态预期!$C28</f>
        <v>115</v>
      </c>
      <c r="N17" s="17">
        <f>IF(基础状态预期!I28=0,0,求节点($C$67:$C$72,D$67:D$72,基础状态预期!M28))</f>
        <v>0</v>
      </c>
      <c r="O17" s="17">
        <f>IF(基础状态预期!J28=0,0,求节点($C$67:$C$72,E$67:E$72,基础状态预期!N28))</f>
        <v>0</v>
      </c>
      <c r="P17" s="17">
        <f>IF(基础状态预期!K28=0,0,求节点($C$67:$C$72,F$67:F$72,基础状态预期!O28))</f>
        <v>0</v>
      </c>
      <c r="Q17" s="17">
        <f>IF(基础状态预期!L28=0,0,求节点($C$67:$C$72,G$67:G$72,基础状态预期!P28))</f>
        <v>6</v>
      </c>
      <c r="R17" s="17">
        <f>IF(基础状态预期!I28=0,0,求节点($C$79:$C$84,D$79:D$84,基础状态预期!M28))</f>
        <v>0</v>
      </c>
      <c r="S17" s="17">
        <f>IF(基础状态预期!J28=0,0,求节点($C$79:$C$84,E$79:E$84,基础状态预期!N28))</f>
        <v>0</v>
      </c>
      <c r="T17" s="17">
        <f>IF(基础状态预期!K28=0,0,求节点($C$79:$C$84,F$79:F$84,基础状态预期!O28))</f>
        <v>0</v>
      </c>
      <c r="U17" s="17">
        <f>IF(基础状态预期!L28=0,0,求节点($C$79:$C$84,G$79:G$84,基础状态预期!P28))</f>
        <v>5040</v>
      </c>
      <c r="V17" s="17">
        <f>MAX(SUMPRODUCT(R17:U17,基础状态预期!I28:L28),V16)</f>
        <v>30240</v>
      </c>
      <c r="W17" s="17">
        <f>求节点($C$55:$C$60,D$55:D$60,基础状态预期!M28)</f>
        <v>0.02</v>
      </c>
      <c r="X17" s="17">
        <f>求节点($C$55:$C$60,E$55:E$60,基础状态预期!N28)</f>
        <v>0.12</v>
      </c>
      <c r="Y17" s="17">
        <f>求节点($C$55:$C$60,F$55:F$60,基础状态预期!O28)</f>
        <v>0.36000000000000004</v>
      </c>
      <c r="Z17" s="17">
        <f>求节点($C$55:$C$60,G$55:G$60,基础状态预期!P28)</f>
        <v>0.56000000000000005</v>
      </c>
      <c r="AA17" s="17">
        <f>MAX(SUMPRODUCT(W17:Z17,基础状态预期!I28:L28)/6,AA16)</f>
        <v>0.56000000000000005</v>
      </c>
      <c r="AE17" s="16">
        <v>12</v>
      </c>
      <c r="AF17" s="16">
        <f t="shared" si="5"/>
        <v>0</v>
      </c>
      <c r="AG17" s="16">
        <f t="shared" si="6"/>
        <v>0</v>
      </c>
      <c r="AH17" s="16">
        <f t="shared" si="7"/>
        <v>0</v>
      </c>
      <c r="AI17" s="16">
        <f t="shared" si="8"/>
        <v>0</v>
      </c>
      <c r="AJ17" s="16">
        <f t="shared" si="9"/>
        <v>0</v>
      </c>
      <c r="AM17" s="16">
        <v>16</v>
      </c>
      <c r="AN17" s="17">
        <v>140</v>
      </c>
      <c r="AO17" s="17">
        <f t="shared" si="2"/>
        <v>0.56000000000000005</v>
      </c>
      <c r="AP17" s="17">
        <f>(AO17-AO16)*(INDEX([3]非r将兵属性验证!$AC$7:$AC$166,$AN17,1)*[3]战法技能效用!$AH$4+INDEX([3]非r将兵属性验证!$AX$7:$AX$166,$AN17,1)*[3]战法技能效用!$AI$4)+AP16</f>
        <v>126133784559.19385</v>
      </c>
      <c r="AQ17" s="17">
        <f t="shared" si="0"/>
        <v>126133784559.19385</v>
      </c>
      <c r="AT17" s="16">
        <v>125</v>
      </c>
      <c r="AU17" s="16">
        <v>125</v>
      </c>
      <c r="AV17" s="16">
        <f>投放验证!$Q30</f>
        <v>3646881.1480313707</v>
      </c>
      <c r="AY17" s="17">
        <v>140</v>
      </c>
      <c r="AZ17" s="17">
        <f t="shared" si="3"/>
        <v>9561679.009956589</v>
      </c>
      <c r="BA17" s="17">
        <f t="shared" si="1"/>
        <v>9561679.009956589</v>
      </c>
      <c r="BB17" s="16">
        <f t="shared" si="4"/>
        <v>13191.593696865433</v>
      </c>
      <c r="BF17" s="16">
        <v>120</v>
      </c>
      <c r="BG17" s="77">
        <f>INDEX(宝物升星货币产销情况!BM$6:BM$165,$BF17)</f>
        <v>1.0159784181928442</v>
      </c>
      <c r="BH17" s="16">
        <f>INDEX(宝物升星货币产销情况!BN$6:BN$165,$BF17)</f>
        <v>1.3482734699104455</v>
      </c>
      <c r="BI17" s="16">
        <f>INDEX(宝物升星货币产销情况!BO$6:BO$165,$BF17)</f>
        <v>2.0207171673655191</v>
      </c>
      <c r="BJ17" s="16">
        <f>INDEX(宝物升星货币产销情况!BP$6:BP$165,$BF17)</f>
        <v>4.2163304597138156</v>
      </c>
      <c r="BK17" s="16">
        <f>INDEX(宝物升星货币产销情况!BQ$6:BQ$165,$BF17)</f>
        <v>5.5794612248857245</v>
      </c>
      <c r="BL17" s="77">
        <f>INDEX(宝物升星货币产销情况!BR$6:BR$165,$BF17)</f>
        <v>-3.6442141428579978E-3</v>
      </c>
      <c r="BM17" s="16">
        <f>INDEX(宝物升星货币产销情况!BS$6:BS$165,$BF17)</f>
        <v>-5.6994918072855179E-2</v>
      </c>
      <c r="BN17" s="16">
        <f>INDEX(宝物升星货币产销情况!BT$6:BT$165,$BF17)</f>
        <v>-0.10643402047993403</v>
      </c>
      <c r="BO17" s="16">
        <f>INDEX(宝物升星货币产销情况!BU$6:BU$165,$BF17)</f>
        <v>-0.15466694534965703</v>
      </c>
      <c r="BP17" s="16">
        <f>INDEX(宝物升星货币产销情况!BV$6:BV$165,$BF17)</f>
        <v>-0.16381312262678158</v>
      </c>
      <c r="BU17" s="16">
        <v>0</v>
      </c>
      <c r="BV17" s="16">
        <v>0</v>
      </c>
      <c r="BW17" s="16">
        <v>0</v>
      </c>
      <c r="BX17" s="16">
        <v>2415</v>
      </c>
      <c r="BY17" s="16">
        <v>14490</v>
      </c>
    </row>
    <row r="18" spans="2:77">
      <c r="B18" s="176"/>
      <c r="C18" s="17">
        <v>0</v>
      </c>
      <c r="D18" s="17">
        <v>0</v>
      </c>
      <c r="E18" s="17">
        <v>0</v>
      </c>
      <c r="F18" s="17">
        <v>0</v>
      </c>
      <c r="G18" s="17">
        <v>0</v>
      </c>
      <c r="H18" s="17">
        <v>0</v>
      </c>
      <c r="L18" s="16">
        <v>15</v>
      </c>
      <c r="M18" s="17">
        <f>基础状态预期!$C29</f>
        <v>120</v>
      </c>
      <c r="N18" s="17">
        <f>IF(基础状态预期!I29=0,0,求节点($C$67:$C$72,D$67:D$72,基础状态预期!M29))</f>
        <v>0</v>
      </c>
      <c r="O18" s="17">
        <f>IF(基础状态预期!J29=0,0,求节点($C$67:$C$72,E$67:E$72,基础状态预期!N29))</f>
        <v>0</v>
      </c>
      <c r="P18" s="17">
        <f>IF(基础状态预期!K29=0,0,求节点($C$67:$C$72,F$67:F$72,基础状态预期!O29))</f>
        <v>0</v>
      </c>
      <c r="Q18" s="17">
        <f>IF(基础状态预期!L29=0,0,求节点($C$67:$C$72,G$67:G$72,基础状态预期!P29))</f>
        <v>6</v>
      </c>
      <c r="R18" s="17">
        <f>IF(基础状态预期!I29=0,0,求节点($C$79:$C$84,D$79:D$84,基础状态预期!M29))</f>
        <v>0</v>
      </c>
      <c r="S18" s="17">
        <f>IF(基础状态预期!J29=0,0,求节点($C$79:$C$84,E$79:E$84,基础状态预期!N29))</f>
        <v>0</v>
      </c>
      <c r="T18" s="17">
        <f>IF(基础状态预期!K29=0,0,求节点($C$79:$C$84,F$79:F$84,基础状态预期!O29))</f>
        <v>0</v>
      </c>
      <c r="U18" s="17">
        <f>IF(基础状态预期!L29=0,0,求节点($C$79:$C$84,G$79:G$84,基础状态预期!P29))</f>
        <v>5040</v>
      </c>
      <c r="V18" s="17">
        <f>MAX(SUMPRODUCT(R18:U18,基础状态预期!I29:L29),V17)</f>
        <v>30240</v>
      </c>
      <c r="W18" s="17">
        <f>求节点($C$55:$C$60,D$55:D$60,基础状态预期!M29)</f>
        <v>0.02</v>
      </c>
      <c r="X18" s="17">
        <f>求节点($C$55:$C$60,E$55:E$60,基础状态预期!N29)</f>
        <v>0.12</v>
      </c>
      <c r="Y18" s="17">
        <f>求节点($C$55:$C$60,F$55:F$60,基础状态预期!O29)</f>
        <v>0.36000000000000004</v>
      </c>
      <c r="Z18" s="17">
        <f>求节点($C$55:$C$60,G$55:G$60,基础状态预期!P29)</f>
        <v>0.56000000000000005</v>
      </c>
      <c r="AA18" s="17">
        <f>MAX(SUMPRODUCT(W18:Z18,基础状态预期!I29:L29)/6,AA17)</f>
        <v>0.56000000000000005</v>
      </c>
      <c r="AE18" s="16">
        <v>13</v>
      </c>
      <c r="AF18" s="16">
        <f t="shared" si="5"/>
        <v>0</v>
      </c>
      <c r="AG18" s="16">
        <f t="shared" si="6"/>
        <v>0</v>
      </c>
      <c r="AH18" s="16">
        <f t="shared" si="7"/>
        <v>0</v>
      </c>
      <c r="AI18" s="16">
        <f t="shared" si="8"/>
        <v>0</v>
      </c>
      <c r="AJ18" s="16">
        <f t="shared" si="9"/>
        <v>0</v>
      </c>
      <c r="AM18" s="16">
        <v>17</v>
      </c>
      <c r="AN18" s="17">
        <v>150</v>
      </c>
      <c r="AO18" s="17">
        <f t="shared" si="2"/>
        <v>0.56000000000000005</v>
      </c>
      <c r="AP18" s="17">
        <f>(AO18-AO17)*(INDEX([3]非r将兵属性验证!$AC$7:$AC$166,$AN18,1)*[3]战法技能效用!$AH$4+INDEX([3]非r将兵属性验证!$AX$7:$AX$166,$AN18,1)*[3]战法技能效用!$AI$4)+AP17</f>
        <v>126133784559.19385</v>
      </c>
      <c r="AQ18" s="17">
        <f t="shared" si="0"/>
        <v>126133784559.19385</v>
      </c>
      <c r="AT18" s="16">
        <v>130</v>
      </c>
      <c r="AU18" s="16">
        <v>130</v>
      </c>
      <c r="AV18" s="16">
        <f>投放验证!$Q31</f>
        <v>5004306.6487671379</v>
      </c>
      <c r="AY18" s="17">
        <v>150</v>
      </c>
      <c r="AZ18" s="17">
        <f t="shared" si="3"/>
        <v>18455010.060757648</v>
      </c>
      <c r="BA18" s="17">
        <f t="shared" si="1"/>
        <v>18455010.060757648</v>
      </c>
      <c r="BB18" s="16">
        <f t="shared" si="4"/>
        <v>6834.6635490273784</v>
      </c>
      <c r="BF18" s="16">
        <v>125</v>
      </c>
      <c r="BG18" s="16">
        <f>INDEX(宝物升星货币产销情况!BM$6:BM$165,$BF18)</f>
        <v>1.4526258827029288</v>
      </c>
      <c r="BH18" s="16">
        <f>INDEX(宝物升星货币产销情况!BN$6:BN$165,$BF18)</f>
        <v>1.9147574883856175</v>
      </c>
      <c r="BI18" s="16">
        <f>INDEX(宝物升星货币产销情况!BO$6:BO$165,$BF18)</f>
        <v>2.861388599411208</v>
      </c>
      <c r="BJ18" s="16">
        <f>INDEX(宝物升星货币产销情况!BP$6:BP$165,$BF18)</f>
        <v>5.9899528556836339</v>
      </c>
      <c r="BK18" s="16">
        <f>INDEX(宝物升星货币产销情况!BQ$6:BQ$165,$BF18)</f>
        <v>7.9106063413260417</v>
      </c>
      <c r="BL18" s="16">
        <f>INDEX(宝物升星货币产销情况!BR$6:BR$165,$BF18)</f>
        <v>-7.5063629097565684E-2</v>
      </c>
      <c r="BM18" s="16">
        <f>INDEX(宝物升星货币产销情况!BS$6:BS$165,$BF18)</f>
        <v>-0.10843557319990602</v>
      </c>
      <c r="BN18" s="16">
        <f>INDEX(宝物升星货币产销情况!BT$6:BT$165,$BF18)</f>
        <v>-0.13958723204084966</v>
      </c>
      <c r="BO18" s="16">
        <f>INDEX(宝物升星货币产销情况!BU$6:BU$165,$BF18)</f>
        <v>-0.17033809371903644</v>
      </c>
      <c r="BP18" s="16">
        <f>INDEX(宝物升星货币产销情况!BV$6:BV$165,$BF18)</f>
        <v>-0.17544908979060325</v>
      </c>
      <c r="BU18" s="16">
        <v>0</v>
      </c>
      <c r="BV18" s="16">
        <v>0</v>
      </c>
      <c r="BW18" s="16">
        <v>0</v>
      </c>
      <c r="BX18" s="16">
        <v>2415</v>
      </c>
      <c r="BY18" s="16">
        <v>14490</v>
      </c>
    </row>
    <row r="19" spans="2:77">
      <c r="B19" s="176"/>
      <c r="C19" s="17">
        <v>1</v>
      </c>
      <c r="D19" s="17"/>
      <c r="E19" s="17">
        <v>15</v>
      </c>
      <c r="F19" s="17">
        <v>20</v>
      </c>
      <c r="G19" s="17">
        <v>20</v>
      </c>
      <c r="H19" s="17">
        <v>30</v>
      </c>
      <c r="L19" s="16">
        <v>16</v>
      </c>
      <c r="M19" s="17">
        <f>基础状态预期!$C30</f>
        <v>125</v>
      </c>
      <c r="N19" s="17">
        <f>IF(基础状态预期!I30=0,0,求节点($C$67:$C$72,D$67:D$72,基础状态预期!M30))</f>
        <v>0</v>
      </c>
      <c r="O19" s="17">
        <f>IF(基础状态预期!J30=0,0,求节点($C$67:$C$72,E$67:E$72,基础状态预期!N30))</f>
        <v>0</v>
      </c>
      <c r="P19" s="17">
        <f>IF(基础状态预期!K30=0,0,求节点($C$67:$C$72,F$67:F$72,基础状态预期!O30))</f>
        <v>0</v>
      </c>
      <c r="Q19" s="17">
        <f>IF(基础状态预期!L30=0,0,求节点($C$67:$C$72,G$67:G$72,基础状态预期!P30))</f>
        <v>6</v>
      </c>
      <c r="R19" s="17">
        <f>IF(基础状态预期!I30=0,0,求节点($C$79:$C$84,D$79:D$84,基础状态预期!M30))</f>
        <v>0</v>
      </c>
      <c r="S19" s="17">
        <f>IF(基础状态预期!J30=0,0,求节点($C$79:$C$84,E$79:E$84,基础状态预期!N30))</f>
        <v>0</v>
      </c>
      <c r="T19" s="17">
        <f>IF(基础状态预期!K30=0,0,求节点($C$79:$C$84,F$79:F$84,基础状态预期!O30))</f>
        <v>0</v>
      </c>
      <c r="U19" s="17">
        <f>IF(基础状态预期!L30=0,0,求节点($C$79:$C$84,G$79:G$84,基础状态预期!P30))</f>
        <v>5040</v>
      </c>
      <c r="V19" s="17">
        <f>MAX(SUMPRODUCT(R19:U19,基础状态预期!I30:L30),V18)</f>
        <v>30240</v>
      </c>
      <c r="W19" s="17">
        <f>求节点($C$55:$C$60,D$55:D$60,基础状态预期!M30)</f>
        <v>0.02</v>
      </c>
      <c r="X19" s="17">
        <f>求节点($C$55:$C$60,E$55:E$60,基础状态预期!N30)</f>
        <v>0.12</v>
      </c>
      <c r="Y19" s="17">
        <f>求节点($C$55:$C$60,F$55:F$60,基础状态预期!O30)</f>
        <v>0.36000000000000004</v>
      </c>
      <c r="Z19" s="17">
        <f>求节点($C$55:$C$60,G$55:G$60,基础状态预期!P30)</f>
        <v>0.56000000000000005</v>
      </c>
      <c r="AA19" s="17">
        <f>MAX(SUMPRODUCT(W19:Z19,基础状态预期!I30:L30)/6,AA18)</f>
        <v>0.56000000000000005</v>
      </c>
      <c r="AE19" s="16">
        <v>14</v>
      </c>
      <c r="AF19" s="16">
        <f t="shared" si="5"/>
        <v>0</v>
      </c>
      <c r="AG19" s="16">
        <f t="shared" si="6"/>
        <v>0</v>
      </c>
      <c r="AH19" s="16">
        <f t="shared" si="7"/>
        <v>0</v>
      </c>
      <c r="AI19" s="16">
        <f t="shared" si="8"/>
        <v>0</v>
      </c>
      <c r="AJ19" s="16">
        <f t="shared" si="9"/>
        <v>0</v>
      </c>
      <c r="AM19" s="16">
        <v>18</v>
      </c>
      <c r="AN19" s="17">
        <v>160</v>
      </c>
      <c r="AO19" s="17">
        <f t="shared" si="2"/>
        <v>0.56000000000000005</v>
      </c>
      <c r="AP19" s="17">
        <f>(AO19-AO18)*(INDEX([3]非r将兵属性验证!$AC$7:$AC$166,$AN19,1)*[3]战法技能效用!$AH$4+INDEX([3]非r将兵属性验证!$AX$7:$AX$166,$AN19,1)*[3]战法技能效用!$AI$4)+AP18</f>
        <v>126133784559.19385</v>
      </c>
      <c r="AQ19" s="17">
        <f t="shared" si="0"/>
        <v>126133784559.19385</v>
      </c>
      <c r="AT19" s="16">
        <v>135</v>
      </c>
      <c r="AU19" s="16">
        <v>135</v>
      </c>
      <c r="AV19" s="16">
        <f>投放验证!$Q32</f>
        <v>6922976.8532586619</v>
      </c>
      <c r="AY19" s="17">
        <v>160</v>
      </c>
      <c r="AZ19" s="17">
        <f t="shared" si="3"/>
        <v>35883256.61129427</v>
      </c>
      <c r="BA19" s="17">
        <f t="shared" si="1"/>
        <v>35883256.61129427</v>
      </c>
      <c r="BB19" s="16">
        <f t="shared" si="4"/>
        <v>3515.1153064377436</v>
      </c>
      <c r="BF19" s="16">
        <v>130</v>
      </c>
      <c r="BG19" s="16">
        <f>INDEX(宝物升星货币产销情况!BM$6:BM$165,$BF19)</f>
        <v>2.0536000843697853</v>
      </c>
      <c r="BH19" s="16">
        <f>INDEX(宝物升星货币产销情况!BN$6:BN$165,$BF19)</f>
        <v>2.7055056257611412</v>
      </c>
      <c r="BI19" s="16">
        <f>INDEX(宝物升星货币产销情况!BO$6:BO$165,$BF19)</f>
        <v>4.0330579649007632</v>
      </c>
      <c r="BJ19" s="16">
        <f>INDEX(宝物升星货币产销情况!BP$6:BP$165,$BF19)</f>
        <v>8.4077955042997079</v>
      </c>
      <c r="BK19" s="16">
        <f>INDEX(宝物升星货币产销情况!BQ$6:BQ$165,$BF19)</f>
        <v>11.144683323654636</v>
      </c>
      <c r="BL19" s="16">
        <f>INDEX(宝物升星货币产销情况!BR$6:BR$165,$BF19)</f>
        <v>-0.12733378982357749</v>
      </c>
      <c r="BM19" s="16">
        <f>INDEX(宝物升星货币产销情况!BS$6:BS$165,$BF19)</f>
        <v>-0.14609589700353237</v>
      </c>
      <c r="BN19" s="16">
        <f>INDEX(宝物升星货币产销情况!BT$6:BT$165,$BF19)</f>
        <v>-0.16347657285896824</v>
      </c>
      <c r="BO19" s="16">
        <f>INDEX(宝物升星货币产销情况!BU$6:BU$165,$BF19)</f>
        <v>-0.18121633054166369</v>
      </c>
      <c r="BP19" s="16">
        <f>INDEX(宝物升星货币产销情况!BV$6:BV$165,$BF19)</f>
        <v>-0.1836196850155544</v>
      </c>
      <c r="BU19" s="16">
        <v>0</v>
      </c>
      <c r="BV19" s="16">
        <v>0</v>
      </c>
      <c r="BW19" s="16">
        <v>0</v>
      </c>
      <c r="BX19" s="16">
        <v>2415</v>
      </c>
      <c r="BY19" s="16">
        <v>14490</v>
      </c>
    </row>
    <row r="20" spans="2:77">
      <c r="B20" s="176"/>
      <c r="C20" s="17">
        <v>2</v>
      </c>
      <c r="D20" s="17"/>
      <c r="E20" s="17">
        <v>75</v>
      </c>
      <c r="F20" s="17">
        <v>100</v>
      </c>
      <c r="G20" s="17">
        <v>100</v>
      </c>
      <c r="H20" s="17">
        <v>150</v>
      </c>
      <c r="L20" s="16">
        <v>17</v>
      </c>
      <c r="M20" s="17">
        <f>基础状态预期!$C31</f>
        <v>130</v>
      </c>
      <c r="N20" s="17">
        <f>IF(基础状态预期!I31=0,0,求节点($C$67:$C$72,D$67:D$72,基础状态预期!M31))</f>
        <v>0</v>
      </c>
      <c r="O20" s="17">
        <f>IF(基础状态预期!J31=0,0,求节点($C$67:$C$72,E$67:E$72,基础状态预期!N31))</f>
        <v>0</v>
      </c>
      <c r="P20" s="17">
        <f>IF(基础状态预期!K31=0,0,求节点($C$67:$C$72,F$67:F$72,基础状态预期!O31))</f>
        <v>0</v>
      </c>
      <c r="Q20" s="17">
        <f>IF(基础状态预期!L31=0,0,求节点($C$67:$C$72,G$67:G$72,基础状态预期!P31))</f>
        <v>6</v>
      </c>
      <c r="R20" s="17">
        <f>IF(基础状态预期!I31=0,0,求节点($C$79:$C$84,D$79:D$84,基础状态预期!M31))</f>
        <v>0</v>
      </c>
      <c r="S20" s="17">
        <f>IF(基础状态预期!J31=0,0,求节点($C$79:$C$84,E$79:E$84,基础状态预期!N31))</f>
        <v>0</v>
      </c>
      <c r="T20" s="17">
        <f>IF(基础状态预期!K31=0,0,求节点($C$79:$C$84,F$79:F$84,基础状态预期!O31))</f>
        <v>0</v>
      </c>
      <c r="U20" s="17">
        <f>IF(基础状态预期!L31=0,0,求节点($C$79:$C$84,G$79:G$84,基础状态预期!P31))</f>
        <v>5040</v>
      </c>
      <c r="V20" s="17">
        <f>MAX(SUMPRODUCT(R20:U20,基础状态预期!I31:L31),V19)</f>
        <v>30240</v>
      </c>
      <c r="W20" s="17">
        <f>求节点($C$55:$C$60,D$55:D$60,基础状态预期!M31)</f>
        <v>0.02</v>
      </c>
      <c r="X20" s="17">
        <f>求节点($C$55:$C$60,E$55:E$60,基础状态预期!N31)</f>
        <v>0.12</v>
      </c>
      <c r="Y20" s="17">
        <f>求节点($C$55:$C$60,F$55:F$60,基础状态预期!O31)</f>
        <v>0.36000000000000004</v>
      </c>
      <c r="Z20" s="17">
        <f>求节点($C$55:$C$60,G$55:G$60,基础状态预期!P31)</f>
        <v>0.56000000000000005</v>
      </c>
      <c r="AA20" s="17">
        <f>MAX(SUMPRODUCT(W20:Z20,基础状态预期!I31:L31)/6,AA19)</f>
        <v>0.56000000000000005</v>
      </c>
      <c r="AE20" s="16">
        <v>15</v>
      </c>
      <c r="AF20" s="16">
        <f t="shared" si="5"/>
        <v>0</v>
      </c>
      <c r="AG20" s="16">
        <f t="shared" si="6"/>
        <v>0</v>
      </c>
      <c r="AH20" s="16">
        <f t="shared" si="7"/>
        <v>0</v>
      </c>
      <c r="AI20" s="16">
        <f t="shared" si="8"/>
        <v>0</v>
      </c>
      <c r="AJ20" s="16">
        <f t="shared" si="9"/>
        <v>0</v>
      </c>
      <c r="AM20" s="16">
        <v>19</v>
      </c>
      <c r="AT20" s="16">
        <v>140</v>
      </c>
      <c r="AU20" s="16">
        <v>140</v>
      </c>
      <c r="AV20" s="16">
        <f>投放验证!$Q33</f>
        <v>9561679.009956589</v>
      </c>
      <c r="BF20" s="16">
        <v>135</v>
      </c>
      <c r="BG20" s="16">
        <f>INDEX(宝物升星货币产销情况!BM$6:BM$165,$BF20)</f>
        <v>2.903167587997816</v>
      </c>
      <c r="BH20" s="16">
        <f>INDEX(宝物升星货币产销情况!BN$6:BN$165,$BF20)</f>
        <v>3.8122333051717994</v>
      </c>
      <c r="BI20" s="16">
        <f>INDEX(宝物升星货币产销情况!BO$6:BO$165,$BF20)</f>
        <v>5.6644072677039619</v>
      </c>
      <c r="BJ20" s="16">
        <f>INDEX(宝物升星货币产销情况!BP$6:BP$165,$BF20)</f>
        <v>11.810171826428693</v>
      </c>
      <c r="BK20" s="16">
        <f>INDEX(宝物升星货币产销情况!BQ$6:BQ$165,$BF20)</f>
        <v>15.638956304827978</v>
      </c>
      <c r="BL20" s="16">
        <f>INDEX(宝物升星货币产销情况!BR$6:BR$165,$BF20)</f>
        <v>-0.16626312374268359</v>
      </c>
      <c r="BM20" s="16">
        <f>INDEX(宝物升星货币产销情况!BS$6:BS$165,$BF20)</f>
        <v>-0.17362109286993468</v>
      </c>
      <c r="BN20" s="16">
        <f>INDEX(宝物升星货币产销情况!BT$6:BT$165,$BF20)</f>
        <v>-0.18071918732623185</v>
      </c>
      <c r="BO20" s="16">
        <f>INDEX(宝物升星货币产销情况!BU$6:BU$165,$BF20)</f>
        <v>-0.18905966778200381</v>
      </c>
      <c r="BP20" s="16">
        <f>INDEX(宝物升星货币产销情况!BV$6:BV$165,$BF20)</f>
        <v>-0.18940638560693188</v>
      </c>
      <c r="BU20" s="16">
        <v>0</v>
      </c>
      <c r="BV20" s="16">
        <v>0</v>
      </c>
      <c r="BW20" s="16">
        <v>0</v>
      </c>
      <c r="BX20" s="16">
        <v>2415</v>
      </c>
      <c r="BY20" s="16">
        <v>14490</v>
      </c>
    </row>
    <row r="21" spans="2:77">
      <c r="B21" s="176"/>
      <c r="C21" s="17">
        <v>3</v>
      </c>
      <c r="D21" s="17"/>
      <c r="E21" s="17">
        <v>285</v>
      </c>
      <c r="F21" s="17">
        <v>380</v>
      </c>
      <c r="G21" s="17">
        <v>380</v>
      </c>
      <c r="H21" s="17">
        <v>570</v>
      </c>
      <c r="L21" s="16">
        <v>18</v>
      </c>
      <c r="M21" s="17">
        <f>基础状态预期!$C32</f>
        <v>135</v>
      </c>
      <c r="N21" s="17">
        <f>IF(基础状态预期!I32=0,0,求节点($C$67:$C$72,D$67:D$72,基础状态预期!M32))</f>
        <v>0</v>
      </c>
      <c r="O21" s="17">
        <f>IF(基础状态预期!J32=0,0,求节点($C$67:$C$72,E$67:E$72,基础状态预期!N32))</f>
        <v>0</v>
      </c>
      <c r="P21" s="17">
        <f>IF(基础状态预期!K32=0,0,求节点($C$67:$C$72,F$67:F$72,基础状态预期!O32))</f>
        <v>0</v>
      </c>
      <c r="Q21" s="17">
        <f>IF(基础状态预期!L32=0,0,求节点($C$67:$C$72,G$67:G$72,基础状态预期!P32))</f>
        <v>6</v>
      </c>
      <c r="R21" s="17">
        <f>IF(基础状态预期!I32=0,0,求节点($C$79:$C$84,D$79:D$84,基础状态预期!M32))</f>
        <v>0</v>
      </c>
      <c r="S21" s="17">
        <f>IF(基础状态预期!J32=0,0,求节点($C$79:$C$84,E$79:E$84,基础状态预期!N32))</f>
        <v>0</v>
      </c>
      <c r="T21" s="17">
        <f>IF(基础状态预期!K32=0,0,求节点($C$79:$C$84,F$79:F$84,基础状态预期!O32))</f>
        <v>0</v>
      </c>
      <c r="U21" s="17">
        <f>IF(基础状态预期!L32=0,0,求节点($C$79:$C$84,G$79:G$84,基础状态预期!P32))</f>
        <v>5040</v>
      </c>
      <c r="V21" s="17">
        <f>MAX(SUMPRODUCT(R21:U21,基础状态预期!I32:L32),V20)</f>
        <v>30240</v>
      </c>
      <c r="W21" s="17">
        <f>求节点($C$55:$C$60,D$55:D$60,基础状态预期!M32)</f>
        <v>0.02</v>
      </c>
      <c r="X21" s="17">
        <f>求节点($C$55:$C$60,E$55:E$60,基础状态预期!N32)</f>
        <v>0.12</v>
      </c>
      <c r="Y21" s="17">
        <f>求节点($C$55:$C$60,F$55:F$60,基础状态预期!O32)</f>
        <v>0.36000000000000004</v>
      </c>
      <c r="Z21" s="17">
        <f>求节点($C$55:$C$60,G$55:G$60,基础状态预期!P32)</f>
        <v>0.56000000000000005</v>
      </c>
      <c r="AA21" s="17">
        <f>MAX(SUMPRODUCT(W21:Z21,基础状态预期!I32:L32)/6,AA20)</f>
        <v>0.56000000000000005</v>
      </c>
      <c r="AE21" s="16">
        <v>16</v>
      </c>
      <c r="AF21" s="16">
        <f t="shared" si="5"/>
        <v>0</v>
      </c>
      <c r="AG21" s="16">
        <f t="shared" si="6"/>
        <v>0</v>
      </c>
      <c r="AH21" s="16">
        <f t="shared" si="7"/>
        <v>0</v>
      </c>
      <c r="AI21" s="16">
        <f t="shared" si="8"/>
        <v>0</v>
      </c>
      <c r="AJ21" s="16">
        <f t="shared" si="9"/>
        <v>0</v>
      </c>
      <c r="AM21" s="16">
        <v>20</v>
      </c>
      <c r="AT21" s="16">
        <v>145</v>
      </c>
      <c r="AU21" s="16">
        <v>145</v>
      </c>
      <c r="AV21" s="16">
        <f>投放验证!$Q34</f>
        <v>13291826.496821428</v>
      </c>
      <c r="BU21" s="16">
        <v>0</v>
      </c>
      <c r="BV21" s="16">
        <v>0</v>
      </c>
      <c r="BW21" s="16">
        <v>0</v>
      </c>
      <c r="BX21" s="16">
        <v>2415</v>
      </c>
      <c r="BY21" s="16">
        <v>14490</v>
      </c>
    </row>
    <row r="22" spans="2:77">
      <c r="B22" s="176"/>
      <c r="C22" s="17">
        <v>4</v>
      </c>
      <c r="D22" s="17"/>
      <c r="E22" s="88">
        <v>915</v>
      </c>
      <c r="F22" s="17">
        <v>1220</v>
      </c>
      <c r="G22" s="17">
        <v>1220</v>
      </c>
      <c r="H22" s="17">
        <v>1830</v>
      </c>
      <c r="L22" s="16">
        <v>19</v>
      </c>
      <c r="M22" s="17">
        <f>基础状态预期!$C33</f>
        <v>140</v>
      </c>
      <c r="N22" s="17">
        <f>IF(基础状态预期!I33=0,0,求节点($C$67:$C$72,D$67:D$72,基础状态预期!M33))</f>
        <v>0</v>
      </c>
      <c r="O22" s="17">
        <f>IF(基础状态预期!J33=0,0,求节点($C$67:$C$72,E$67:E$72,基础状态预期!N33))</f>
        <v>0</v>
      </c>
      <c r="P22" s="17">
        <f>IF(基础状态预期!K33=0,0,求节点($C$67:$C$72,F$67:F$72,基础状态预期!O33))</f>
        <v>0</v>
      </c>
      <c r="Q22" s="17">
        <f>IF(基础状态预期!L33=0,0,求节点($C$67:$C$72,G$67:G$72,基础状态预期!P33))</f>
        <v>6</v>
      </c>
      <c r="R22" s="17">
        <f>IF(基础状态预期!I33=0,0,求节点($C$79:$C$84,D$79:D$84,基础状态预期!M33))</f>
        <v>0</v>
      </c>
      <c r="S22" s="17">
        <f>IF(基础状态预期!J33=0,0,求节点($C$79:$C$84,E$79:E$84,基础状态预期!N33))</f>
        <v>0</v>
      </c>
      <c r="T22" s="17">
        <f>IF(基础状态预期!K33=0,0,求节点($C$79:$C$84,F$79:F$84,基础状态预期!O33))</f>
        <v>0</v>
      </c>
      <c r="U22" s="17">
        <f>IF(基础状态预期!L33=0,0,求节点($C$79:$C$84,G$79:G$84,基础状态预期!P33))</f>
        <v>5040</v>
      </c>
      <c r="V22" s="17">
        <f>MAX(SUMPRODUCT(R22:U22,基础状态预期!I33:L33),V21)</f>
        <v>30240</v>
      </c>
      <c r="W22" s="17">
        <f>求节点($C$55:$C$60,D$55:D$60,基础状态预期!M33)</f>
        <v>0.02</v>
      </c>
      <c r="X22" s="17">
        <f>求节点($C$55:$C$60,E$55:E$60,基础状态预期!N33)</f>
        <v>0.12</v>
      </c>
      <c r="Y22" s="17">
        <f>求节点($C$55:$C$60,F$55:F$60,基础状态预期!O33)</f>
        <v>0.36000000000000004</v>
      </c>
      <c r="Z22" s="17">
        <f>求节点($C$55:$C$60,G$55:G$60,基础状态预期!P33)</f>
        <v>0.56000000000000005</v>
      </c>
      <c r="AA22" s="17">
        <f>MAX(SUMPRODUCT(W22:Z22,基础状态预期!I33:L33)/6,AA21)</f>
        <v>0.56000000000000005</v>
      </c>
      <c r="AE22" s="16">
        <v>17</v>
      </c>
      <c r="AF22" s="16">
        <f t="shared" si="5"/>
        <v>0</v>
      </c>
      <c r="AG22" s="16">
        <f t="shared" si="6"/>
        <v>0</v>
      </c>
      <c r="AH22" s="16">
        <f t="shared" si="7"/>
        <v>0</v>
      </c>
      <c r="AI22" s="16">
        <f t="shared" si="8"/>
        <v>0</v>
      </c>
      <c r="AJ22" s="16">
        <f t="shared" si="9"/>
        <v>0</v>
      </c>
      <c r="AM22" s="16">
        <v>21</v>
      </c>
      <c r="AT22" s="16">
        <v>150</v>
      </c>
      <c r="AU22" s="16">
        <v>150</v>
      </c>
      <c r="AV22" s="16">
        <f>投放验证!$Q35</f>
        <v>18455010.060757648</v>
      </c>
      <c r="BU22" s="16">
        <v>0</v>
      </c>
      <c r="BV22" s="16">
        <v>0</v>
      </c>
      <c r="BW22" s="16">
        <v>0</v>
      </c>
      <c r="BX22" s="16">
        <v>2415</v>
      </c>
      <c r="BY22" s="16">
        <v>14490</v>
      </c>
    </row>
    <row r="23" spans="2:77">
      <c r="B23" s="176"/>
      <c r="C23" s="17">
        <v>5</v>
      </c>
      <c r="D23" s="17"/>
      <c r="E23" s="88">
        <v>2490</v>
      </c>
      <c r="F23" s="17">
        <v>3320</v>
      </c>
      <c r="G23" s="17">
        <v>3320</v>
      </c>
      <c r="H23" s="17">
        <v>4980</v>
      </c>
      <c r="L23" s="16">
        <v>20</v>
      </c>
      <c r="M23" s="17">
        <f>基础状态预期!$C34</f>
        <v>145</v>
      </c>
      <c r="N23" s="17">
        <f>IF(基础状态预期!I34=0,0,求节点($C$67:$C$72,D$67:D$72,基础状态预期!M34))</f>
        <v>0</v>
      </c>
      <c r="O23" s="17">
        <f>IF(基础状态预期!J34=0,0,求节点($C$67:$C$72,E$67:E$72,基础状态预期!N34))</f>
        <v>0</v>
      </c>
      <c r="P23" s="17">
        <f>IF(基础状态预期!K34=0,0,求节点($C$67:$C$72,F$67:F$72,基础状态预期!O34))</f>
        <v>0</v>
      </c>
      <c r="Q23" s="17">
        <f>IF(基础状态预期!L34=0,0,求节点($C$67:$C$72,G$67:G$72,基础状态预期!P34))</f>
        <v>6</v>
      </c>
      <c r="R23" s="17">
        <f>IF(基础状态预期!I34=0,0,求节点($C$79:$C$84,D$79:D$84,基础状态预期!M34))</f>
        <v>0</v>
      </c>
      <c r="S23" s="17">
        <f>IF(基础状态预期!J34=0,0,求节点($C$79:$C$84,E$79:E$84,基础状态预期!N34))</f>
        <v>0</v>
      </c>
      <c r="T23" s="17">
        <f>IF(基础状态预期!K34=0,0,求节点($C$79:$C$84,F$79:F$84,基础状态预期!O34))</f>
        <v>0</v>
      </c>
      <c r="U23" s="17">
        <f>IF(基础状态预期!L34=0,0,求节点($C$79:$C$84,G$79:G$84,基础状态预期!P34))</f>
        <v>5040</v>
      </c>
      <c r="V23" s="17">
        <f>MAX(SUMPRODUCT(R23:U23,基础状态预期!I34:L34),V22)</f>
        <v>30240</v>
      </c>
      <c r="W23" s="17">
        <f>求节点($C$55:$C$60,D$55:D$60,基础状态预期!M34)</f>
        <v>0.02</v>
      </c>
      <c r="X23" s="17">
        <f>求节点($C$55:$C$60,E$55:E$60,基础状态预期!N34)</f>
        <v>0.12</v>
      </c>
      <c r="Y23" s="17">
        <f>求节点($C$55:$C$60,F$55:F$60,基础状态预期!O34)</f>
        <v>0.36000000000000004</v>
      </c>
      <c r="Z23" s="17">
        <f>求节点($C$55:$C$60,G$55:G$60,基础状态预期!P34)</f>
        <v>0.56000000000000005</v>
      </c>
      <c r="AA23" s="17">
        <f>MAX(SUMPRODUCT(W23:Z23,基础状态预期!I34:L34)/6,AA22)</f>
        <v>0.56000000000000005</v>
      </c>
      <c r="AE23" s="16">
        <v>18</v>
      </c>
      <c r="AF23" s="16">
        <f t="shared" si="5"/>
        <v>0</v>
      </c>
      <c r="AG23" s="16">
        <f t="shared" si="6"/>
        <v>0</v>
      </c>
      <c r="AH23" s="16">
        <f t="shared" si="7"/>
        <v>0</v>
      </c>
      <c r="AI23" s="16">
        <f t="shared" si="8"/>
        <v>0</v>
      </c>
      <c r="AJ23" s="16">
        <f t="shared" si="9"/>
        <v>0</v>
      </c>
      <c r="AM23" s="16">
        <v>22</v>
      </c>
      <c r="AT23" s="16">
        <v>155</v>
      </c>
      <c r="AU23" s="16">
        <v>155</v>
      </c>
      <c r="AV23" s="16">
        <f>投放验证!$Q36</f>
        <v>25754182.431385055</v>
      </c>
      <c r="BU23" s="16">
        <v>0</v>
      </c>
      <c r="BV23" s="16">
        <v>0</v>
      </c>
      <c r="BW23" s="16">
        <v>0</v>
      </c>
      <c r="BX23" s="16">
        <v>2415</v>
      </c>
      <c r="BY23" s="16">
        <v>14490</v>
      </c>
    </row>
    <row r="24" spans="2:77">
      <c r="B24" s="176"/>
      <c r="C24" s="17"/>
      <c r="D24" s="17"/>
      <c r="E24" s="17"/>
      <c r="F24" s="17"/>
      <c r="G24" s="17"/>
      <c r="H24" s="17"/>
      <c r="L24" s="16">
        <v>21</v>
      </c>
      <c r="M24" s="17">
        <f>基础状态预期!$C35</f>
        <v>150</v>
      </c>
      <c r="N24" s="17">
        <f>IF(基础状态预期!I35=0,0,求节点($C$67:$C$72,D$67:D$72,基础状态预期!M35))</f>
        <v>0</v>
      </c>
      <c r="O24" s="17">
        <f>IF(基础状态预期!J35=0,0,求节点($C$67:$C$72,E$67:E$72,基础状态预期!N35))</f>
        <v>0</v>
      </c>
      <c r="P24" s="17">
        <f>IF(基础状态预期!K35=0,0,求节点($C$67:$C$72,F$67:F$72,基础状态预期!O35))</f>
        <v>0</v>
      </c>
      <c r="Q24" s="17">
        <f>IF(基础状态预期!L35=0,0,求节点($C$67:$C$72,G$67:G$72,基础状态预期!P35))</f>
        <v>6</v>
      </c>
      <c r="R24" s="17">
        <f>IF(基础状态预期!I35=0,0,求节点($C$79:$C$84,D$79:D$84,基础状态预期!M35))</f>
        <v>0</v>
      </c>
      <c r="S24" s="17">
        <f>IF(基础状态预期!J35=0,0,求节点($C$79:$C$84,E$79:E$84,基础状态预期!N35))</f>
        <v>0</v>
      </c>
      <c r="T24" s="17">
        <f>IF(基础状态预期!K35=0,0,求节点($C$79:$C$84,F$79:F$84,基础状态预期!O35))</f>
        <v>0</v>
      </c>
      <c r="U24" s="17">
        <f>IF(基础状态预期!L35=0,0,求节点($C$79:$C$84,G$79:G$84,基础状态预期!P35))</f>
        <v>5040</v>
      </c>
      <c r="V24" s="17">
        <f>MAX(SUMPRODUCT(R24:U24,基础状态预期!I35:L35),V23)</f>
        <v>30240</v>
      </c>
      <c r="W24" s="17">
        <f>求节点($C$55:$C$60,D$55:D$60,基础状态预期!M35)</f>
        <v>0.02</v>
      </c>
      <c r="X24" s="17">
        <f>求节点($C$55:$C$60,E$55:E$60,基础状态预期!N35)</f>
        <v>0.12</v>
      </c>
      <c r="Y24" s="17">
        <f>求节点($C$55:$C$60,F$55:F$60,基础状态预期!O35)</f>
        <v>0.36000000000000004</v>
      </c>
      <c r="Z24" s="17">
        <f>求节点($C$55:$C$60,G$55:G$60,基础状态预期!P35)</f>
        <v>0.56000000000000005</v>
      </c>
      <c r="AA24" s="17">
        <f>MAX(SUMPRODUCT(W24:Z24,基础状态预期!I35:L35)/6,AA23)</f>
        <v>0.56000000000000005</v>
      </c>
      <c r="AE24" s="16">
        <v>19</v>
      </c>
      <c r="AF24" s="16">
        <f t="shared" si="5"/>
        <v>0</v>
      </c>
      <c r="AG24" s="16">
        <f t="shared" si="6"/>
        <v>0</v>
      </c>
      <c r="AH24" s="16">
        <f t="shared" si="7"/>
        <v>0</v>
      </c>
      <c r="AI24" s="16">
        <f t="shared" si="8"/>
        <v>0</v>
      </c>
      <c r="AJ24" s="16">
        <f t="shared" si="9"/>
        <v>0</v>
      </c>
      <c r="AM24" s="16">
        <v>23</v>
      </c>
      <c r="AT24" s="16">
        <v>160</v>
      </c>
      <c r="AU24" s="16">
        <v>160</v>
      </c>
      <c r="AV24" s="16">
        <f>投放验证!$Q37</f>
        <v>35883256.61129427</v>
      </c>
      <c r="BU24" s="16">
        <v>0</v>
      </c>
      <c r="BV24" s="16">
        <v>0</v>
      </c>
      <c r="BW24" s="16">
        <v>0</v>
      </c>
      <c r="BX24" s="16">
        <v>2415</v>
      </c>
      <c r="BY24" s="16">
        <v>14490</v>
      </c>
    </row>
    <row r="25" spans="2:77">
      <c r="B25" s="176"/>
      <c r="C25" s="17"/>
      <c r="D25" s="17"/>
      <c r="E25" s="17"/>
      <c r="F25" s="17"/>
      <c r="G25" s="17"/>
      <c r="H25" s="17"/>
      <c r="L25" s="16">
        <v>22</v>
      </c>
      <c r="M25" s="17">
        <f>基础状态预期!$C36</f>
        <v>155</v>
      </c>
      <c r="N25" s="17">
        <f>IF(基础状态预期!I36=0,0,求节点($C$67:$C$72,D$67:D$72,基础状态预期!M36))</f>
        <v>0</v>
      </c>
      <c r="O25" s="17">
        <f>IF(基础状态预期!J36=0,0,求节点($C$67:$C$72,E$67:E$72,基础状态预期!N36))</f>
        <v>0</v>
      </c>
      <c r="P25" s="17">
        <f>IF(基础状态预期!K36=0,0,求节点($C$67:$C$72,F$67:F$72,基础状态预期!O36))</f>
        <v>0</v>
      </c>
      <c r="Q25" s="17">
        <f>IF(基础状态预期!L36=0,0,求节点($C$67:$C$72,G$67:G$72,基础状态预期!P36))</f>
        <v>6</v>
      </c>
      <c r="R25" s="17">
        <f>IF(基础状态预期!I36=0,0,求节点($C$79:$C$84,D$79:D$84,基础状态预期!M36))</f>
        <v>0</v>
      </c>
      <c r="S25" s="17">
        <f>IF(基础状态预期!J36=0,0,求节点($C$79:$C$84,E$79:E$84,基础状态预期!N36))</f>
        <v>0</v>
      </c>
      <c r="T25" s="17">
        <f>IF(基础状态预期!K36=0,0,求节点($C$79:$C$84,F$79:F$84,基础状态预期!O36))</f>
        <v>0</v>
      </c>
      <c r="U25" s="17">
        <f>IF(基础状态预期!L36=0,0,求节点($C$79:$C$84,G$79:G$84,基础状态预期!P36))</f>
        <v>5040</v>
      </c>
      <c r="V25" s="17">
        <f>MAX(SUMPRODUCT(R25:U25,基础状态预期!I36:L36),V24)</f>
        <v>30240</v>
      </c>
      <c r="W25" s="17">
        <f>求节点($C$55:$C$60,D$55:D$60,基础状态预期!M36)</f>
        <v>0.02</v>
      </c>
      <c r="X25" s="17">
        <f>求节点($C$55:$C$60,E$55:E$60,基础状态预期!N36)</f>
        <v>0.12</v>
      </c>
      <c r="Y25" s="17">
        <f>求节点($C$55:$C$60,F$55:F$60,基础状态预期!O36)</f>
        <v>0.36000000000000004</v>
      </c>
      <c r="Z25" s="17">
        <f>求节点($C$55:$C$60,G$55:G$60,基础状态预期!P36)</f>
        <v>0.56000000000000005</v>
      </c>
      <c r="AA25" s="17">
        <f>MAX(SUMPRODUCT(W25:Z25,基础状态预期!I36:L36)/6,AA24)</f>
        <v>0.56000000000000005</v>
      </c>
      <c r="AE25" s="16">
        <v>20</v>
      </c>
      <c r="AF25" s="16">
        <f t="shared" si="5"/>
        <v>0</v>
      </c>
      <c r="AG25" s="16">
        <f t="shared" si="6"/>
        <v>0</v>
      </c>
      <c r="AH25" s="16">
        <f t="shared" si="7"/>
        <v>0</v>
      </c>
      <c r="AI25" s="16">
        <f t="shared" si="8"/>
        <v>0</v>
      </c>
      <c r="AJ25" s="16">
        <f t="shared" si="9"/>
        <v>0</v>
      </c>
      <c r="AM25" s="16">
        <v>24</v>
      </c>
      <c r="BU25" s="16">
        <v>0</v>
      </c>
      <c r="BV25" s="16">
        <v>0</v>
      </c>
      <c r="BW25" s="16">
        <v>0</v>
      </c>
      <c r="BX25" s="16">
        <v>2415</v>
      </c>
      <c r="BY25" s="16">
        <v>14490</v>
      </c>
    </row>
    <row r="26" spans="2:77">
      <c r="B26" s="177"/>
      <c r="C26" s="17"/>
      <c r="D26" s="17"/>
      <c r="E26" s="17"/>
      <c r="F26" s="17"/>
      <c r="G26" s="17"/>
      <c r="H26" s="17"/>
      <c r="L26" s="16">
        <v>23</v>
      </c>
      <c r="M26" s="17">
        <f>基础状态预期!$C37</f>
        <v>160</v>
      </c>
      <c r="N26" s="17">
        <f>IF(基础状态预期!I37=0,0,求节点($C$67:$C$72,D$67:D$72,基础状态预期!M37))</f>
        <v>0</v>
      </c>
      <c r="O26" s="17">
        <f>IF(基础状态预期!J37=0,0,求节点($C$67:$C$72,E$67:E$72,基础状态预期!N37))</f>
        <v>0</v>
      </c>
      <c r="P26" s="17">
        <f>IF(基础状态预期!K37=0,0,求节点($C$67:$C$72,F$67:F$72,基础状态预期!O37))</f>
        <v>0</v>
      </c>
      <c r="Q26" s="17">
        <f>IF(基础状态预期!L37=0,0,求节点($C$67:$C$72,G$67:G$72,基础状态预期!P37))</f>
        <v>6</v>
      </c>
      <c r="R26" s="17">
        <f>IF(基础状态预期!I37=0,0,求节点($C$79:$C$84,D$79:D$84,基础状态预期!M37))</f>
        <v>0</v>
      </c>
      <c r="S26" s="17">
        <f>IF(基础状态预期!J37=0,0,求节点($C$79:$C$84,E$79:E$84,基础状态预期!N37))</f>
        <v>0</v>
      </c>
      <c r="T26" s="17">
        <f>IF(基础状态预期!K37=0,0,求节点($C$79:$C$84,F$79:F$84,基础状态预期!O37))</f>
        <v>0</v>
      </c>
      <c r="U26" s="17">
        <f>IF(基础状态预期!L37=0,0,求节点($C$79:$C$84,G$79:G$84,基础状态预期!P37))</f>
        <v>5040</v>
      </c>
      <c r="V26" s="17">
        <f>MAX(SUMPRODUCT(R26:U26,基础状态预期!I37:L37),V25)</f>
        <v>30240</v>
      </c>
      <c r="W26" s="17">
        <f>求节点($C$55:$C$60,D$55:D$60,基础状态预期!M37)</f>
        <v>0.02</v>
      </c>
      <c r="X26" s="17">
        <f>求节点($C$55:$C$60,E$55:E$60,基础状态预期!N37)</f>
        <v>0.12</v>
      </c>
      <c r="Y26" s="17">
        <f>求节点($C$55:$C$60,F$55:F$60,基础状态预期!O37)</f>
        <v>0.36000000000000004</v>
      </c>
      <c r="Z26" s="17">
        <f>求节点($C$55:$C$60,G$55:G$60,基础状态预期!P37)</f>
        <v>0.56000000000000005</v>
      </c>
      <c r="AA26" s="17">
        <f>MAX(SUMPRODUCT(W26:Z26,基础状态预期!I37:L37)/6,AA25)</f>
        <v>0.56000000000000005</v>
      </c>
      <c r="AE26" s="16">
        <v>21</v>
      </c>
      <c r="AF26" s="16">
        <f t="shared" si="5"/>
        <v>0</v>
      </c>
      <c r="AG26" s="16">
        <f t="shared" si="6"/>
        <v>0</v>
      </c>
      <c r="AH26" s="16">
        <f t="shared" si="7"/>
        <v>0</v>
      </c>
      <c r="AI26" s="16">
        <f t="shared" si="8"/>
        <v>0</v>
      </c>
      <c r="AJ26" s="16">
        <f t="shared" si="9"/>
        <v>0</v>
      </c>
      <c r="AM26" s="16">
        <v>25</v>
      </c>
      <c r="BU26" s="16">
        <v>0</v>
      </c>
      <c r="BV26" s="16">
        <v>0</v>
      </c>
      <c r="BW26" s="16">
        <v>0</v>
      </c>
      <c r="BX26" s="16">
        <v>2415</v>
      </c>
      <c r="BY26" s="16">
        <v>14490</v>
      </c>
    </row>
    <row r="27" spans="2:77">
      <c r="B27" s="170" t="s">
        <v>224</v>
      </c>
      <c r="C27" s="170"/>
      <c r="D27" s="17">
        <f>COUNTA(D19:D26)</f>
        <v>0</v>
      </c>
      <c r="E27" s="17">
        <f>COUNTA(E19:E26)</f>
        <v>5</v>
      </c>
      <c r="F27" s="17">
        <f>COUNTA(F19:F26)</f>
        <v>5</v>
      </c>
      <c r="G27" s="17">
        <f>COUNTA(G19:G26)</f>
        <v>5</v>
      </c>
      <c r="H27" s="17">
        <f>COUNTA(H19:H26)</f>
        <v>5</v>
      </c>
      <c r="L27" s="16">
        <v>24</v>
      </c>
      <c r="AE27" s="16">
        <v>22</v>
      </c>
      <c r="AF27" s="16">
        <f t="shared" si="5"/>
        <v>0</v>
      </c>
      <c r="AG27" s="16">
        <f t="shared" si="6"/>
        <v>0</v>
      </c>
      <c r="AH27" s="16">
        <f t="shared" si="7"/>
        <v>0</v>
      </c>
      <c r="AI27" s="16">
        <f t="shared" si="8"/>
        <v>0</v>
      </c>
      <c r="AJ27" s="16">
        <f t="shared" si="9"/>
        <v>0</v>
      </c>
      <c r="AM27" s="16">
        <v>26</v>
      </c>
    </row>
    <row r="28" spans="2:77">
      <c r="L28" s="16">
        <v>25</v>
      </c>
      <c r="AE28" s="16">
        <v>23</v>
      </c>
      <c r="AF28" s="16">
        <f t="shared" si="5"/>
        <v>0</v>
      </c>
      <c r="AG28" s="16">
        <f t="shared" si="6"/>
        <v>0</v>
      </c>
      <c r="AH28" s="16">
        <f t="shared" si="7"/>
        <v>0</v>
      </c>
      <c r="AI28" s="16">
        <f t="shared" si="8"/>
        <v>0</v>
      </c>
      <c r="AJ28" s="16">
        <f t="shared" si="9"/>
        <v>0</v>
      </c>
      <c r="AM28" s="16">
        <v>27</v>
      </c>
      <c r="AU28" s="16" t="s">
        <v>255</v>
      </c>
      <c r="AV28" s="174" t="s">
        <v>419</v>
      </c>
    </row>
    <row r="29" spans="2:77">
      <c r="L29" s="16">
        <v>26</v>
      </c>
      <c r="AE29" s="16">
        <v>24</v>
      </c>
      <c r="AF29" s="16">
        <f t="shared" si="5"/>
        <v>0</v>
      </c>
      <c r="AG29" s="16">
        <f t="shared" si="6"/>
        <v>0</v>
      </c>
      <c r="AH29" s="16">
        <f t="shared" si="7"/>
        <v>0</v>
      </c>
      <c r="AI29" s="16">
        <f t="shared" si="8"/>
        <v>0</v>
      </c>
      <c r="AJ29" s="16">
        <f t="shared" si="9"/>
        <v>0</v>
      </c>
      <c r="AM29" s="16">
        <v>28</v>
      </c>
      <c r="AU29" s="16" t="s">
        <v>161</v>
      </c>
      <c r="AV29" s="174"/>
    </row>
    <row r="30" spans="2:77">
      <c r="B30" s="175" t="s">
        <v>225</v>
      </c>
      <c r="C30" s="17" t="s">
        <v>223</v>
      </c>
      <c r="D30" s="17" t="s">
        <v>1</v>
      </c>
      <c r="E30" s="17" t="s">
        <v>2</v>
      </c>
      <c r="F30" s="17" t="s">
        <v>0</v>
      </c>
      <c r="G30" s="17" t="s">
        <v>205</v>
      </c>
      <c r="H30" s="17" t="s">
        <v>29</v>
      </c>
      <c r="L30" s="16">
        <v>1</v>
      </c>
      <c r="M30" s="69" t="s">
        <v>248</v>
      </c>
      <c r="N30" s="171" t="s">
        <v>404</v>
      </c>
      <c r="O30" s="173"/>
      <c r="P30" s="173"/>
      <c r="Q30" s="172"/>
      <c r="R30" s="171" t="s">
        <v>455</v>
      </c>
      <c r="S30" s="173"/>
      <c r="T30" s="173"/>
      <c r="U30" s="173"/>
      <c r="V30" s="172"/>
      <c r="W30" s="170" t="s">
        <v>252</v>
      </c>
      <c r="X30" s="170"/>
      <c r="Y30" s="170"/>
      <c r="Z30" s="170"/>
      <c r="AA30" s="170"/>
      <c r="AE30" s="16">
        <v>25</v>
      </c>
      <c r="AF30" s="16">
        <f t="shared" si="5"/>
        <v>0</v>
      </c>
      <c r="AG30" s="16">
        <f t="shared" si="6"/>
        <v>0</v>
      </c>
      <c r="AH30" s="16">
        <f t="shared" si="7"/>
        <v>0</v>
      </c>
      <c r="AI30" s="16">
        <f t="shared" si="8"/>
        <v>0</v>
      </c>
      <c r="AJ30" s="16">
        <f t="shared" si="9"/>
        <v>0</v>
      </c>
      <c r="AM30" s="16">
        <v>29</v>
      </c>
      <c r="AU30" s="16">
        <v>50</v>
      </c>
      <c r="AV30" s="16">
        <f>投放验证!$Q43</f>
        <v>49177.057062087086</v>
      </c>
      <c r="BU30" s="16" t="s">
        <v>466</v>
      </c>
    </row>
    <row r="31" spans="2:77">
      <c r="B31" s="176"/>
      <c r="C31" s="17">
        <v>0</v>
      </c>
      <c r="D31" s="31">
        <v>0.02</v>
      </c>
      <c r="E31" s="31">
        <v>0.03</v>
      </c>
      <c r="F31" s="31">
        <v>0.04</v>
      </c>
      <c r="G31" s="31">
        <v>0.06</v>
      </c>
      <c r="H31" s="31">
        <v>0.08</v>
      </c>
      <c r="L31" s="16">
        <v>2</v>
      </c>
      <c r="M31" s="17" t="s">
        <v>161</v>
      </c>
      <c r="N31" s="17" t="s">
        <v>1</v>
      </c>
      <c r="O31" s="17" t="s">
        <v>2</v>
      </c>
      <c r="P31" s="17" t="s">
        <v>0</v>
      </c>
      <c r="Q31" s="17" t="s">
        <v>205</v>
      </c>
      <c r="R31" s="17" t="s">
        <v>1</v>
      </c>
      <c r="S31" s="17" t="s">
        <v>2</v>
      </c>
      <c r="T31" s="17" t="s">
        <v>0</v>
      </c>
      <c r="U31" s="17" t="s">
        <v>205</v>
      </c>
      <c r="V31" s="17" t="s">
        <v>443</v>
      </c>
      <c r="W31" s="17" t="s">
        <v>1</v>
      </c>
      <c r="X31" s="17" t="s">
        <v>2</v>
      </c>
      <c r="Y31" s="17" t="s">
        <v>0</v>
      </c>
      <c r="Z31" s="17" t="s">
        <v>205</v>
      </c>
      <c r="AA31" s="71" t="s">
        <v>373</v>
      </c>
      <c r="AE31" s="16">
        <v>26</v>
      </c>
      <c r="AF31" s="16">
        <f t="shared" si="5"/>
        <v>0</v>
      </c>
      <c r="AG31" s="16">
        <f t="shared" si="6"/>
        <v>0</v>
      </c>
      <c r="AH31" s="16">
        <f t="shared" si="7"/>
        <v>0</v>
      </c>
      <c r="AI31" s="16">
        <f t="shared" si="8"/>
        <v>0</v>
      </c>
      <c r="AJ31" s="16">
        <f t="shared" si="9"/>
        <v>0</v>
      </c>
      <c r="AM31" s="16">
        <v>30</v>
      </c>
      <c r="AU31" s="16">
        <v>60</v>
      </c>
      <c r="AV31" s="16">
        <f>投放验证!$Q44</f>
        <v>94149.711058311499</v>
      </c>
      <c r="BU31" s="16" t="s">
        <v>79</v>
      </c>
      <c r="BV31" s="16" t="s">
        <v>80</v>
      </c>
      <c r="BW31" s="16" t="s">
        <v>81</v>
      </c>
      <c r="BX31" s="16" t="s">
        <v>205</v>
      </c>
      <c r="BY31" s="16" t="s">
        <v>465</v>
      </c>
    </row>
    <row r="32" spans="2:77">
      <c r="B32" s="176"/>
      <c r="C32" s="17">
        <v>1</v>
      </c>
      <c r="D32" s="96">
        <f t="shared" ref="D32:F32" si="10">D31+D$31</f>
        <v>0.04</v>
      </c>
      <c r="E32" s="31">
        <f t="shared" si="10"/>
        <v>0.06</v>
      </c>
      <c r="F32" s="31">
        <f t="shared" si="10"/>
        <v>0.08</v>
      </c>
      <c r="G32" s="31">
        <f>G31+G$31</f>
        <v>0.12</v>
      </c>
      <c r="H32" s="31">
        <f>H31+H$31</f>
        <v>0.16</v>
      </c>
      <c r="L32" s="16">
        <v>3</v>
      </c>
      <c r="M32" s="17">
        <f>基础状态预期!$C43</f>
        <v>50</v>
      </c>
      <c r="N32" s="17">
        <f>IF(基础状态预期!I43=0,0,求节点($C$67:$C$72,D$67:D$72,基础状态预期!M43))</f>
        <v>0</v>
      </c>
      <c r="O32" s="17">
        <f>IF(基础状态预期!J43=0,0,求节点($C$67:$C$72,E$67:E$72,基础状态预期!N43))</f>
        <v>0</v>
      </c>
      <c r="P32" s="17">
        <f>IF(基础状态预期!K43=0,0,求节点($C$67:$C$72,F$67:F$72,基础状态预期!O43))</f>
        <v>0</v>
      </c>
      <c r="Q32" s="17">
        <f>IF(基础状态预期!L43=0,0,求节点($C$67:$C$72,G$67:G$72,基础状态预期!P43))</f>
        <v>0</v>
      </c>
      <c r="R32" s="17">
        <f>IF(基础状态预期!I43=0,0,求节点($C$79:$C$84,D$79:D$84,基础状态预期!M43))</f>
        <v>0</v>
      </c>
      <c r="S32" s="17">
        <f>IF(基础状态预期!J43=0,0,求节点($C$79:$C$84,E$79:E$84,基础状态预期!N43))</f>
        <v>0</v>
      </c>
      <c r="T32" s="17">
        <f>IF(基础状态预期!K43=0,0,求节点($C$79:$C$84,F$79:F$84,基础状态预期!O43))</f>
        <v>0</v>
      </c>
      <c r="U32" s="17">
        <f>IF(基础状态预期!L43=0,0,求节点($C$79:$C$84,G$79:G$84,基础状态预期!P43))</f>
        <v>0</v>
      </c>
      <c r="V32" s="51">
        <f>SUMPRODUCT(R32:U32,基础状态预期!I43:L43)</f>
        <v>0</v>
      </c>
      <c r="W32" s="17">
        <f>求节点($C$55:$C$60,D$55:D$60,基础状态预期!M43)</f>
        <v>0.02</v>
      </c>
      <c r="X32" s="17">
        <f>求节点($C$55:$C$60,E$55:E$60,基础状态预期!N43)</f>
        <v>0.03</v>
      </c>
      <c r="Y32" s="17">
        <f>求节点($C$55:$C$60,F$55:F$60,基础状态预期!O43)</f>
        <v>0.06</v>
      </c>
      <c r="Z32" s="17">
        <f>求节点($C$55:$C$60,G$55:G$60,基础状态预期!P43)</f>
        <v>0.09</v>
      </c>
      <c r="AA32" s="51">
        <f>SUMPRODUCT(W32:Z32,基础状态预期!I43:L43)/6</f>
        <v>0</v>
      </c>
      <c r="AE32" s="16">
        <v>27</v>
      </c>
      <c r="AF32" s="16">
        <f t="shared" si="5"/>
        <v>0</v>
      </c>
      <c r="AG32" s="16">
        <f t="shared" si="6"/>
        <v>0</v>
      </c>
      <c r="AH32" s="16">
        <f t="shared" si="7"/>
        <v>0</v>
      </c>
      <c r="AI32" s="16">
        <f t="shared" si="8"/>
        <v>0</v>
      </c>
      <c r="AJ32" s="16">
        <f t="shared" si="9"/>
        <v>0</v>
      </c>
      <c r="AM32" s="16">
        <v>31</v>
      </c>
      <c r="AU32" s="16">
        <v>70</v>
      </c>
      <c r="AV32" s="16">
        <f>投放验证!$Q45</f>
        <v>177971.37236752198</v>
      </c>
      <c r="BU32" s="16">
        <v>0</v>
      </c>
      <c r="BV32" s="16">
        <v>0</v>
      </c>
      <c r="BW32" s="16">
        <v>0</v>
      </c>
      <c r="BX32" s="16">
        <v>0</v>
      </c>
      <c r="BY32" s="16">
        <v>0</v>
      </c>
    </row>
    <row r="33" spans="2:77">
      <c r="B33" s="176"/>
      <c r="C33" s="17">
        <v>2</v>
      </c>
      <c r="D33" s="96">
        <f t="shared" ref="D33:D36" si="11">D32+D$31</f>
        <v>0.06</v>
      </c>
      <c r="E33" s="31">
        <f t="shared" ref="E33:E36" si="12">E32+E$31</f>
        <v>0.09</v>
      </c>
      <c r="F33" s="31">
        <f t="shared" ref="F33:F36" si="13">F32+F$31</f>
        <v>0.12</v>
      </c>
      <c r="G33" s="31">
        <f t="shared" ref="G33:H36" si="14">G32+G$31</f>
        <v>0.18</v>
      </c>
      <c r="H33" s="31">
        <f t="shared" si="14"/>
        <v>0.24</v>
      </c>
      <c r="L33" s="16">
        <v>4</v>
      </c>
      <c r="M33" s="17">
        <f>基础状态预期!$C44</f>
        <v>60</v>
      </c>
      <c r="N33" s="17">
        <f>IF(基础状态预期!I44=0,0,求节点($C$67:$C$72,D$67:D$72,基础状态预期!M44))</f>
        <v>1</v>
      </c>
      <c r="O33" s="17">
        <f>IF(基础状态预期!J44=0,0,求节点($C$67:$C$72,E$67:E$72,基础状态预期!N44))</f>
        <v>0</v>
      </c>
      <c r="P33" s="17">
        <f>IF(基础状态预期!K44=0,0,求节点($C$67:$C$72,F$67:F$72,基础状态预期!O44))</f>
        <v>1</v>
      </c>
      <c r="Q33" s="17">
        <f>IF(基础状态预期!L44=0,0,求节点($C$67:$C$72,G$67:G$72,基础状态预期!P44))</f>
        <v>1</v>
      </c>
      <c r="R33" s="17">
        <f>IF(基础状态预期!I44=0,0,求节点($C$79:$C$84,D$79:D$84,基础状态预期!M44))</f>
        <v>0</v>
      </c>
      <c r="S33" s="17">
        <f>IF(基础状态预期!J44=0,0,求节点($C$79:$C$84,E$79:E$84,基础状态预期!N44))</f>
        <v>0</v>
      </c>
      <c r="T33" s="17">
        <f>IF(基础状态预期!K44=0,0,求节点($C$79:$C$84,F$79:F$84,基础状态预期!O44))</f>
        <v>0</v>
      </c>
      <c r="U33" s="17">
        <f>IF(基础状态预期!L44=0,0,求节点($C$79:$C$84,G$79:G$84,基础状态预期!P44))</f>
        <v>0</v>
      </c>
      <c r="V33" s="17">
        <f>MAX(SUMPRODUCT(R33:U33,基础状态预期!I44:L44),V32)</f>
        <v>0</v>
      </c>
      <c r="W33" s="17">
        <f>求节点($C$55:$C$60,D$55:D$60,基础状态预期!M44)</f>
        <v>0.02</v>
      </c>
      <c r="X33" s="17">
        <f>求节点($C$55:$C$60,E$55:E$60,基础状态预期!N44)</f>
        <v>0.12</v>
      </c>
      <c r="Y33" s="17">
        <f>求节点($C$55:$C$60,F$55:F$60,基础状态预期!O44)</f>
        <v>0.06</v>
      </c>
      <c r="Z33" s="17">
        <f>求节点($C$55:$C$60,G$55:G$60,基础状态预期!P44)</f>
        <v>0.09</v>
      </c>
      <c r="AA33" s="17">
        <f>MAX(SUMPRODUCT(W33:Z33,基础状态预期!I44:L44)/6,AA32)</f>
        <v>7.0493034678204447E-2</v>
      </c>
      <c r="AE33" s="16">
        <v>28</v>
      </c>
      <c r="AF33" s="16">
        <f t="shared" si="5"/>
        <v>0</v>
      </c>
      <c r="AG33" s="16">
        <f t="shared" si="6"/>
        <v>0</v>
      </c>
      <c r="AH33" s="16">
        <f t="shared" si="7"/>
        <v>0</v>
      </c>
      <c r="AI33" s="16">
        <f t="shared" si="8"/>
        <v>0</v>
      </c>
      <c r="AJ33" s="16">
        <f t="shared" si="9"/>
        <v>0</v>
      </c>
      <c r="AM33" s="16">
        <v>32</v>
      </c>
      <c r="AU33" s="16">
        <v>75</v>
      </c>
      <c r="AV33" s="16">
        <f>投放验证!$Q46</f>
        <v>237001.72040092075</v>
      </c>
      <c r="BU33" s="16">
        <v>0</v>
      </c>
      <c r="BV33" s="16">
        <v>0</v>
      </c>
      <c r="BW33" s="16">
        <v>21.322507778686219</v>
      </c>
      <c r="BX33" s="16">
        <v>0.1038925033668936</v>
      </c>
      <c r="BY33" s="16">
        <v>81.877165418446609</v>
      </c>
    </row>
    <row r="34" spans="2:77">
      <c r="B34" s="176"/>
      <c r="C34" s="17">
        <v>3</v>
      </c>
      <c r="D34" s="96">
        <f t="shared" si="11"/>
        <v>0.08</v>
      </c>
      <c r="E34" s="31">
        <f t="shared" si="12"/>
        <v>0.12</v>
      </c>
      <c r="F34" s="31">
        <f t="shared" si="13"/>
        <v>0.16</v>
      </c>
      <c r="G34" s="31">
        <f t="shared" si="14"/>
        <v>0.24</v>
      </c>
      <c r="H34" s="31">
        <f t="shared" si="14"/>
        <v>0.32</v>
      </c>
      <c r="L34" s="16">
        <v>5</v>
      </c>
      <c r="M34" s="17">
        <f>基础状态预期!$C45</f>
        <v>70</v>
      </c>
      <c r="N34" s="17">
        <f>IF(基础状态预期!I45=0,0,求节点($C$67:$C$72,D$67:D$72,基础状态预期!M45))</f>
        <v>0</v>
      </c>
      <c r="O34" s="17">
        <f>IF(基础状态预期!J45=0,0,求节点($C$67:$C$72,E$67:E$72,基础状态预期!N45))</f>
        <v>4</v>
      </c>
      <c r="P34" s="17">
        <f>IF(基础状态预期!K45=0,0,求节点($C$67:$C$72,F$67:F$72,基础状态预期!O45))</f>
        <v>1.7927093690413809</v>
      </c>
      <c r="Q34" s="17">
        <f>IF(基础状态预期!L45=0,0,求节点($C$67:$C$72,G$67:G$72,基础状态预期!P45))</f>
        <v>1</v>
      </c>
      <c r="R34" s="17">
        <f>IF(基础状态预期!I45=0,0,求节点($C$79:$C$84,D$79:D$84,基础状态预期!M45))</f>
        <v>0</v>
      </c>
      <c r="S34" s="17">
        <f>IF(基础状态预期!J45=0,0,求节点($C$79:$C$84,E$79:E$84,基础状态预期!N45))</f>
        <v>375</v>
      </c>
      <c r="T34" s="17">
        <f>IF(基础状态预期!K45=0,0,求节点($C$79:$C$84,F$79:F$84,基础状态预期!O45))</f>
        <v>15.854187380827618</v>
      </c>
      <c r="U34" s="17">
        <f>IF(基础状态预期!L45=0,0,求节点($C$79:$C$84,G$79:G$84,基础状态预期!P45))</f>
        <v>0</v>
      </c>
      <c r="V34" s="17">
        <f>MAX(SUMPRODUCT(R34:U34,基础状态预期!I45:L45),V33)</f>
        <v>136.47384622332413</v>
      </c>
      <c r="W34" s="17">
        <f>求节点($C$55:$C$60,D$55:D$60,基础状态预期!M45)</f>
        <v>0.02</v>
      </c>
      <c r="X34" s="17">
        <f>求节点($C$55:$C$60,E$55:E$60,基础状态预期!N45)</f>
        <v>0.12</v>
      </c>
      <c r="Y34" s="17">
        <f>求节点($C$55:$C$60,F$55:F$60,基础状态预期!O45)</f>
        <v>0.10756256214248286</v>
      </c>
      <c r="Z34" s="17">
        <f>求节点($C$55:$C$60,G$55:G$60,基础状态预期!P45)</f>
        <v>0.09</v>
      </c>
      <c r="AA34" s="17">
        <f>MAX(SUMPRODUCT(W34:Z34,基础状态预期!I45:L45)/6,AA33)</f>
        <v>9.6331823970993269E-2</v>
      </c>
      <c r="AE34" s="16">
        <v>29</v>
      </c>
      <c r="AF34" s="16">
        <f t="shared" si="5"/>
        <v>0</v>
      </c>
      <c r="AG34" s="16">
        <f t="shared" si="6"/>
        <v>0</v>
      </c>
      <c r="AH34" s="16">
        <f t="shared" si="7"/>
        <v>0</v>
      </c>
      <c r="AI34" s="16">
        <f t="shared" si="8"/>
        <v>0</v>
      </c>
      <c r="AJ34" s="16">
        <f t="shared" si="9"/>
        <v>0</v>
      </c>
      <c r="AM34" s="16">
        <v>33</v>
      </c>
      <c r="AU34" s="16">
        <v>80</v>
      </c>
      <c r="AV34" s="16">
        <f>投放验证!$Q47</f>
        <v>317210.91976666433</v>
      </c>
      <c r="BU34" s="16">
        <v>0</v>
      </c>
      <c r="BV34" s="16">
        <v>0</v>
      </c>
      <c r="BW34" s="16">
        <v>403.76127400081032</v>
      </c>
      <c r="BX34" s="16">
        <v>0.38900249882177662</v>
      </c>
      <c r="BY34" s="16">
        <v>672.54144352340779</v>
      </c>
    </row>
    <row r="35" spans="2:77">
      <c r="B35" s="176"/>
      <c r="C35" s="17">
        <v>4</v>
      </c>
      <c r="D35" s="96">
        <f t="shared" si="11"/>
        <v>0.1</v>
      </c>
      <c r="E35" s="96">
        <f t="shared" si="12"/>
        <v>0.15</v>
      </c>
      <c r="F35" s="31">
        <f t="shared" si="13"/>
        <v>0.2</v>
      </c>
      <c r="G35" s="31">
        <f t="shared" si="14"/>
        <v>0.3</v>
      </c>
      <c r="H35" s="31">
        <f t="shared" si="14"/>
        <v>0.4</v>
      </c>
      <c r="L35" s="16">
        <v>6</v>
      </c>
      <c r="M35" s="17">
        <f>基础状态预期!$C46</f>
        <v>75</v>
      </c>
      <c r="N35" s="17">
        <f>IF(基础状态预期!I46=0,0,求节点($C$67:$C$72,D$67:D$72,基础状态预期!M46))</f>
        <v>0</v>
      </c>
      <c r="O35" s="17">
        <f>IF(基础状态预期!J46=0,0,求节点($C$67:$C$72,E$67:E$72,基础状态预期!N46))</f>
        <v>4</v>
      </c>
      <c r="P35" s="17">
        <f>IF(基础状态预期!K46=0,0,求节点($C$67:$C$72,F$67:F$72,基础状态预期!O46))</f>
        <v>2.4331592146236485</v>
      </c>
      <c r="Q35" s="17">
        <f>IF(基础状态预期!L46=0,0,求节点($C$67:$C$72,G$67:G$72,基础状态预期!P46))</f>
        <v>1</v>
      </c>
      <c r="R35" s="17">
        <f>IF(基础状态预期!I46=0,0,求节点($C$79:$C$84,D$79:D$84,基础状态预期!M46))</f>
        <v>0</v>
      </c>
      <c r="S35" s="17">
        <f>IF(基础状态预期!J46=0,0,求节点($C$79:$C$84,E$79:E$84,基础状态预期!N46))</f>
        <v>375</v>
      </c>
      <c r="T35" s="17">
        <f>IF(基础状态预期!K46=0,0,求节点($C$79:$C$84,F$79:F$84,基础状态预期!O46))</f>
        <v>63.315921462364848</v>
      </c>
      <c r="U35" s="17">
        <f>IF(基础状态预期!L46=0,0,求节点($C$79:$C$84,G$79:G$84,基础状态预期!P46))</f>
        <v>0</v>
      </c>
      <c r="V35" s="17">
        <f>MAX(SUMPRODUCT(R35:U35,基础状态预期!I46:L46),V34)</f>
        <v>136.47384622332413</v>
      </c>
      <c r="W35" s="17">
        <f>求节点($C$55:$C$60,D$55:D$60,基础状态预期!M46)</f>
        <v>0.02</v>
      </c>
      <c r="X35" s="17">
        <f>求节点($C$55:$C$60,E$55:E$60,基础状态预期!N46)</f>
        <v>0.12</v>
      </c>
      <c r="Y35" s="17">
        <f>求节点($C$55:$C$60,F$55:F$60,基础状态预期!O46)</f>
        <v>0.14598955287741891</v>
      </c>
      <c r="Z35" s="17">
        <f>求节点($C$55:$C$60,G$55:G$60,基础状态预期!P46)</f>
        <v>0.09</v>
      </c>
      <c r="AA35" s="17">
        <f>MAX(SUMPRODUCT(W35:Z35,基础状态预期!I46:L46)/6,AA34)</f>
        <v>9.6331823970993269E-2</v>
      </c>
      <c r="AE35" s="16">
        <v>30</v>
      </c>
      <c r="AF35" s="16">
        <f t="shared" si="5"/>
        <v>0</v>
      </c>
      <c r="AG35" s="16">
        <f t="shared" si="6"/>
        <v>0</v>
      </c>
      <c r="AH35" s="16">
        <f t="shared" si="7"/>
        <v>0</v>
      </c>
      <c r="AI35" s="16">
        <f t="shared" si="8"/>
        <v>0</v>
      </c>
      <c r="AJ35" s="16">
        <f t="shared" si="9"/>
        <v>0</v>
      </c>
      <c r="AM35" s="16">
        <v>34</v>
      </c>
      <c r="AU35" s="16">
        <v>85</v>
      </c>
      <c r="AV35" s="16">
        <f>投放验证!$Q48</f>
        <v>425189.07343816815</v>
      </c>
      <c r="BU35" s="16">
        <v>0</v>
      </c>
      <c r="BV35" s="16">
        <v>0</v>
      </c>
      <c r="BW35" s="16">
        <v>1610</v>
      </c>
      <c r="BX35" s="16">
        <v>1.481950625823516</v>
      </c>
      <c r="BY35" s="16">
        <v>740.29165786328656</v>
      </c>
    </row>
    <row r="36" spans="2:77" ht="11.25" customHeight="1">
      <c r="B36" s="176"/>
      <c r="C36" s="17">
        <v>5</v>
      </c>
      <c r="D36" s="96">
        <f t="shared" si="11"/>
        <v>0.12000000000000001</v>
      </c>
      <c r="E36" s="96">
        <f t="shared" si="12"/>
        <v>0.18</v>
      </c>
      <c r="F36" s="31">
        <f t="shared" si="13"/>
        <v>0.24000000000000002</v>
      </c>
      <c r="G36" s="31">
        <f t="shared" si="14"/>
        <v>0.36</v>
      </c>
      <c r="H36" s="31">
        <f t="shared" si="14"/>
        <v>0.48000000000000004</v>
      </c>
      <c r="L36" s="16">
        <v>7</v>
      </c>
      <c r="M36" s="17">
        <f>基础状态预期!$C47</f>
        <v>80</v>
      </c>
      <c r="N36" s="17">
        <f>IF(基础状态预期!I47=0,0,求节点($C$67:$C$72,D$67:D$72,基础状态预期!M47))</f>
        <v>0</v>
      </c>
      <c r="O36" s="17">
        <f>IF(基础状态预期!J47=0,0,求节点($C$67:$C$72,E$67:E$72,基础状态预期!N47))</f>
        <v>0</v>
      </c>
      <c r="P36" s="17">
        <f>IF(基础状态预期!K47=0,0,求节点($C$67:$C$72,F$67:F$72,基础状态预期!O47))</f>
        <v>0</v>
      </c>
      <c r="Q36" s="17">
        <f>IF(基础状态预期!L47=0,0,求节点($C$67:$C$72,G$67:G$72,基础状态预期!P47))</f>
        <v>1.2015565142676679</v>
      </c>
      <c r="R36" s="17">
        <f>IF(基础状态预期!I47=0,0,求节点($C$79:$C$84,D$79:D$84,基础状态预期!M47))</f>
        <v>0</v>
      </c>
      <c r="S36" s="17">
        <f>IF(基础状态预期!J47=0,0,求节点($C$79:$C$84,E$79:E$84,基础状态预期!N47))</f>
        <v>0</v>
      </c>
      <c r="T36" s="17">
        <f>IF(基础状态预期!K47=0,0,求节点($C$79:$C$84,F$79:F$84,基础状态预期!O47))</f>
        <v>0</v>
      </c>
      <c r="U36" s="17">
        <f>IF(基础状态预期!L47=0,0,求节点($C$79:$C$84,G$79:G$84,基础状态预期!P47))</f>
        <v>4.031130285353357</v>
      </c>
      <c r="V36" s="17">
        <f>MAX(SUMPRODUCT(R36:U36,基础状态预期!I47:L47),V35)</f>
        <v>136.47384622332413</v>
      </c>
      <c r="W36" s="17">
        <f>求节点($C$55:$C$60,D$55:D$60,基础状态预期!M47)</f>
        <v>0.02</v>
      </c>
      <c r="X36" s="17">
        <f>求节点($C$55:$C$60,E$55:E$60,基础状态预期!N47)</f>
        <v>0.12</v>
      </c>
      <c r="Y36" s="17">
        <f>求节点($C$55:$C$60,F$55:F$60,基础状态预期!O47)</f>
        <v>0.1987654294261352</v>
      </c>
      <c r="Z36" s="17">
        <f>求节点($C$55:$C$60,G$55:G$60,基础状态预期!P47)</f>
        <v>0.10814008628409011</v>
      </c>
      <c r="AA36" s="17">
        <f>MAX(SUMPRODUCT(W36:Z36,基础状态预期!I47:L47)/6,AA35)</f>
        <v>0.10814008628409011</v>
      </c>
      <c r="AE36" s="16">
        <v>31</v>
      </c>
      <c r="AF36" s="16">
        <f t="shared" si="5"/>
        <v>0</v>
      </c>
      <c r="AG36" s="16">
        <f t="shared" si="6"/>
        <v>0</v>
      </c>
      <c r="AH36" s="16">
        <f t="shared" si="7"/>
        <v>0</v>
      </c>
      <c r="AI36" s="16">
        <f t="shared" si="8"/>
        <v>0</v>
      </c>
      <c r="AJ36" s="16">
        <f t="shared" si="9"/>
        <v>0</v>
      </c>
      <c r="AM36" s="16">
        <v>35</v>
      </c>
      <c r="AU36" s="16">
        <v>90</v>
      </c>
      <c r="AV36" s="16">
        <f>投放验证!$Q49</f>
        <v>569721.27435961948</v>
      </c>
      <c r="BU36" s="16">
        <v>0</v>
      </c>
      <c r="BV36" s="16">
        <v>0</v>
      </c>
      <c r="BW36" s="16">
        <v>0</v>
      </c>
      <c r="BX36" s="16">
        <v>6.5507363664128135</v>
      </c>
      <c r="BY36" s="16">
        <v>740.29165786328656</v>
      </c>
    </row>
    <row r="37" spans="2:77">
      <c r="B37" s="176"/>
      <c r="C37" s="17"/>
      <c r="D37" s="31"/>
      <c r="E37" s="31"/>
      <c r="F37" s="31"/>
      <c r="G37" s="31"/>
      <c r="H37" s="31"/>
      <c r="L37" s="16">
        <v>8</v>
      </c>
      <c r="M37" s="17">
        <f>基础状态预期!$C48</f>
        <v>85</v>
      </c>
      <c r="N37" s="17">
        <f>IF(基础状态预期!I48=0,0,求节点($C$67:$C$72,D$67:D$72,基础状态预期!M48))</f>
        <v>0</v>
      </c>
      <c r="O37" s="17">
        <f>IF(基础状态预期!J48=0,0,求节点($C$67:$C$72,E$67:E$72,基础状态预期!N48))</f>
        <v>0</v>
      </c>
      <c r="P37" s="17">
        <f>IF(基础状态预期!K48=0,0,求节点($C$67:$C$72,F$67:F$72,基础状态预期!O48))</f>
        <v>0</v>
      </c>
      <c r="Q37" s="17">
        <f>IF(基础状态预期!L48=0,0,求节点($C$67:$C$72,G$67:G$72,基础状态预期!P48))</f>
        <v>1.610564672114273</v>
      </c>
      <c r="R37" s="17">
        <f>IF(基础状态预期!I48=0,0,求节点($C$79:$C$84,D$79:D$84,基础状态预期!M48))</f>
        <v>0</v>
      </c>
      <c r="S37" s="17">
        <f>IF(基础状态预期!J48=0,0,求节点($C$79:$C$84,E$79:E$84,基础状态预期!N48))</f>
        <v>0</v>
      </c>
      <c r="T37" s="17">
        <f>IF(基础状态预期!K48=0,0,求节点($C$79:$C$84,F$79:F$84,基础状态预期!O48))</f>
        <v>0</v>
      </c>
      <c r="U37" s="17">
        <f>IF(基础状态预期!L48=0,0,求节点($C$79:$C$84,G$79:G$84,基础状态预期!P48))</f>
        <v>12.211293442285459</v>
      </c>
      <c r="V37" s="17">
        <f>MAX(SUMPRODUCT(R37:U37,基础状态预期!I48:L48),V36)</f>
        <v>136.47384622332413</v>
      </c>
      <c r="W37" s="17">
        <f>求节点($C$55:$C$60,D$55:D$60,基础状态预期!M48)</f>
        <v>0.02</v>
      </c>
      <c r="X37" s="17">
        <f>求节点($C$55:$C$60,E$55:E$60,基础状态预期!N48)</f>
        <v>0.12</v>
      </c>
      <c r="Y37" s="17">
        <f>求节点($C$55:$C$60,F$55:F$60,基础状态预期!O48)</f>
        <v>0.27029597282324197</v>
      </c>
      <c r="Z37" s="17">
        <f>求节点($C$55:$C$60,G$55:G$60,基础状态预期!P48)</f>
        <v>0.14495082049028457</v>
      </c>
      <c r="AA37" s="17">
        <f>MAX(SUMPRODUCT(W37:Z37,基础状态预期!I48:L48)/6,AA36)</f>
        <v>0.14495082049028457</v>
      </c>
      <c r="AE37" s="16">
        <v>32</v>
      </c>
      <c r="AF37" s="16">
        <f t="shared" si="5"/>
        <v>0</v>
      </c>
      <c r="AG37" s="16">
        <f t="shared" si="6"/>
        <v>0</v>
      </c>
      <c r="AH37" s="16">
        <f t="shared" si="7"/>
        <v>0</v>
      </c>
      <c r="AI37" s="16">
        <f t="shared" si="8"/>
        <v>0</v>
      </c>
      <c r="AJ37" s="16">
        <f t="shared" si="9"/>
        <v>0</v>
      </c>
      <c r="AM37" s="16">
        <v>36</v>
      </c>
      <c r="AU37" s="16">
        <v>95</v>
      </c>
      <c r="AV37" s="16">
        <f>投放验证!$Q50</f>
        <v>770218.38056971133</v>
      </c>
      <c r="BU37" s="16">
        <v>0</v>
      </c>
      <c r="BV37" s="16">
        <v>0</v>
      </c>
      <c r="BW37" s="16">
        <v>0</v>
      </c>
      <c r="BX37" s="16">
        <v>17.767107476985345</v>
      </c>
      <c r="BY37" s="16">
        <v>740.29165786328656</v>
      </c>
    </row>
    <row r="38" spans="2:77">
      <c r="B38" s="176"/>
      <c r="C38" s="17"/>
      <c r="D38" s="31"/>
      <c r="E38" s="31"/>
      <c r="F38" s="31"/>
      <c r="G38" s="31"/>
      <c r="H38" s="31"/>
      <c r="L38" s="16">
        <v>9</v>
      </c>
      <c r="M38" s="17">
        <f>基础状态预期!$C49</f>
        <v>90</v>
      </c>
      <c r="N38" s="17">
        <f>IF(基础状态预期!I49=0,0,求节点($C$67:$C$72,D$67:D$72,基础状态预期!M49))</f>
        <v>0</v>
      </c>
      <c r="O38" s="17">
        <f>IF(基础状态预期!J49=0,0,求节点($C$67:$C$72,E$67:E$72,基础状态预期!N49))</f>
        <v>0</v>
      </c>
      <c r="P38" s="17">
        <f>IF(基础状态预期!K49=0,0,求节点($C$67:$C$72,F$67:F$72,基础状态预期!O49))</f>
        <v>0</v>
      </c>
      <c r="Q38" s="17">
        <f>IF(基础状态预期!L49=0,0,求节点($C$67:$C$72,G$67:G$72,基础状态预期!P49))</f>
        <v>2.1580351301500733</v>
      </c>
      <c r="R38" s="17">
        <f>IF(基础状态预期!I49=0,0,求节点($C$79:$C$84,D$79:D$84,基础状态预期!M49))</f>
        <v>0</v>
      </c>
      <c r="S38" s="17">
        <f>IF(基础状态预期!J49=0,0,求节点($C$79:$C$84,E$79:E$84,基础状态预期!N49))</f>
        <v>0</v>
      </c>
      <c r="T38" s="17">
        <f>IF(基础状态预期!K49=0,0,求节点($C$79:$C$84,F$79:F$84,基础状态预期!O49))</f>
        <v>0</v>
      </c>
      <c r="U38" s="17">
        <f>IF(基础状态预期!L49=0,0,求节点($C$79:$C$84,G$79:G$84,基础状态预期!P49))</f>
        <v>35.803513015007333</v>
      </c>
      <c r="V38" s="17">
        <f>MAX(SUMPRODUCT(R38:U38,基础状态预期!I49:L49),V37)</f>
        <v>214.82107809004401</v>
      </c>
      <c r="W38" s="17">
        <f>求节点($C$55:$C$60,D$55:D$60,基础状态预期!M49)</f>
        <v>0.02</v>
      </c>
      <c r="X38" s="17">
        <f>求节点($C$55:$C$60,E$55:E$60,基础状态预期!N49)</f>
        <v>0.12</v>
      </c>
      <c r="Y38" s="17">
        <f>求节点($C$55:$C$60,F$55:F$60,基础状态预期!O49)</f>
        <v>0.36000000000000004</v>
      </c>
      <c r="Z38" s="17">
        <f>求节点($C$55:$C$60,G$55:G$60,基础状态预期!P49)</f>
        <v>0.19422316171350659</v>
      </c>
      <c r="AA38" s="17">
        <f>MAX(SUMPRODUCT(W38:Z38,基础状态预期!I49:L49)/6,AA37)</f>
        <v>0.19422316171350659</v>
      </c>
      <c r="AE38" s="16">
        <v>33</v>
      </c>
      <c r="AF38" s="16">
        <f t="shared" ref="AF38:AF69" si="15">求节点($M$6:$M$26,$AA$6:$AA$26,$AE38)</f>
        <v>0</v>
      </c>
      <c r="AG38" s="16">
        <f t="shared" ref="AG38:AG69" si="16">求节点($M$32:$M$52,$AA$32:$AA$52,$AE38)</f>
        <v>0</v>
      </c>
      <c r="AH38" s="16">
        <f t="shared" ref="AH38:AH69" si="17">求节点($M$58:$M$78,$AA$58:$AA$78,$AE38)</f>
        <v>0</v>
      </c>
      <c r="AI38" s="16">
        <f t="shared" ref="AI38:AI69" si="18">求节点($M$84:$M$104,$AA$84:$AA$104,$AE38)</f>
        <v>0</v>
      </c>
      <c r="AJ38" s="16">
        <f t="shared" ref="AJ38:AJ69" si="19">求节点($M$110:$M$130,$AA$110:$AA$130,$AE38)</f>
        <v>0</v>
      </c>
      <c r="AM38" s="16">
        <v>37</v>
      </c>
      <c r="AU38" s="16">
        <v>100</v>
      </c>
      <c r="AV38" s="16">
        <f>投放验证!$Q51</f>
        <v>1047452.7301136302</v>
      </c>
      <c r="BU38" s="16">
        <v>0</v>
      </c>
      <c r="BV38" s="16">
        <v>0</v>
      </c>
      <c r="BW38" s="16">
        <v>0</v>
      </c>
      <c r="BX38" s="16">
        <v>66.402071043859465</v>
      </c>
      <c r="BY38" s="16">
        <v>740.29165786328656</v>
      </c>
    </row>
    <row r="39" spans="2:77">
      <c r="B39" s="177"/>
      <c r="C39" s="17"/>
      <c r="D39" s="31"/>
      <c r="E39" s="31"/>
      <c r="F39" s="31"/>
      <c r="G39" s="31"/>
      <c r="H39" s="31"/>
      <c r="L39" s="16">
        <v>10</v>
      </c>
      <c r="M39" s="17">
        <f>基础状态预期!$C50</f>
        <v>95</v>
      </c>
      <c r="N39" s="17">
        <f>IF(基础状态预期!I50=0,0,求节点($C$67:$C$72,D$67:D$72,基础状态预期!M50))</f>
        <v>0</v>
      </c>
      <c r="O39" s="17">
        <f>IF(基础状态预期!J50=0,0,求节点($C$67:$C$72,E$67:E$72,基础状态预期!N50))</f>
        <v>0</v>
      </c>
      <c r="P39" s="17">
        <f>IF(基础状态预期!K50=0,0,求节点($C$67:$C$72,F$67:F$72,基础状态预期!O50))</f>
        <v>0</v>
      </c>
      <c r="Q39" s="17">
        <f>IF(基础状态预期!L50=0,0,求节点($C$67:$C$72,G$67:G$72,基础状态预期!P50))</f>
        <v>2.917493865794361</v>
      </c>
      <c r="R39" s="17">
        <f>IF(基础状态预期!I50=0,0,求节点($C$79:$C$84,D$79:D$84,基础状态预期!M50))</f>
        <v>0</v>
      </c>
      <c r="S39" s="17">
        <f>IF(基础状态预期!J50=0,0,求节点($C$79:$C$84,E$79:E$84,基础状态预期!N50))</f>
        <v>0</v>
      </c>
      <c r="T39" s="17">
        <f>IF(基础状态预期!K50=0,0,求节点($C$79:$C$84,F$79:F$84,基础状态预期!O50))</f>
        <v>0</v>
      </c>
      <c r="U39" s="17">
        <f>IF(基础状态预期!L50=0,0,求节点($C$79:$C$84,G$79:G$84,基础状态预期!P50))</f>
        <v>111.74938657943611</v>
      </c>
      <c r="V39" s="17">
        <f>MAX(SUMPRODUCT(R39:U39,基础状态预期!I50:L50),V38)</f>
        <v>670.49631947661669</v>
      </c>
      <c r="W39" s="17">
        <f>求节点($C$55:$C$60,D$55:D$60,基础状态预期!M50)</f>
        <v>0.02</v>
      </c>
      <c r="X39" s="17">
        <f>求节点($C$55:$C$60,E$55:E$60,基础状态预期!N50)</f>
        <v>0.12</v>
      </c>
      <c r="Y39" s="17">
        <f>求节点($C$55:$C$60,F$55:F$60,基础状态预期!O50)</f>
        <v>0.36000000000000004</v>
      </c>
      <c r="Z39" s="17">
        <f>求节点($C$55:$C$60,G$55:G$60,基础状态预期!P50)</f>
        <v>0.26257444792149254</v>
      </c>
      <c r="AA39" s="17">
        <f>MAX(SUMPRODUCT(W39:Z39,基础状态预期!I50:L50)/6,AA38)</f>
        <v>0.26257444792149254</v>
      </c>
      <c r="AE39" s="16">
        <v>34</v>
      </c>
      <c r="AF39" s="16">
        <f t="shared" si="15"/>
        <v>0</v>
      </c>
      <c r="AG39" s="16">
        <f t="shared" si="16"/>
        <v>0</v>
      </c>
      <c r="AH39" s="16">
        <f t="shared" si="17"/>
        <v>0</v>
      </c>
      <c r="AI39" s="16">
        <f t="shared" si="18"/>
        <v>0</v>
      </c>
      <c r="AJ39" s="16">
        <f t="shared" si="19"/>
        <v>0</v>
      </c>
      <c r="AM39" s="16">
        <v>38</v>
      </c>
      <c r="AU39" s="16">
        <v>105</v>
      </c>
      <c r="AV39" s="16">
        <f>投放验证!$Q52</f>
        <v>1426437.2001206402</v>
      </c>
      <c r="BU39" s="16">
        <v>0</v>
      </c>
      <c r="BV39" s="16">
        <v>0</v>
      </c>
      <c r="BW39" s="16">
        <v>0</v>
      </c>
      <c r="BX39" s="16">
        <v>207.80068436674478</v>
      </c>
      <c r="BY39" s="16">
        <v>1246.8041062004686</v>
      </c>
    </row>
    <row r="40" spans="2:77">
      <c r="D40" s="24"/>
      <c r="E40" s="24"/>
      <c r="F40" s="24"/>
      <c r="G40" s="24"/>
      <c r="H40" s="24"/>
      <c r="L40" s="16">
        <v>11</v>
      </c>
      <c r="M40" s="17">
        <f>基础状态预期!$C51</f>
        <v>100</v>
      </c>
      <c r="N40" s="17">
        <f>IF(基础状态预期!I51=0,0,求节点($C$67:$C$72,D$67:D$72,基础状态预期!M51))</f>
        <v>0</v>
      </c>
      <c r="O40" s="17">
        <f>IF(基础状态预期!J51=0,0,求节点($C$67:$C$72,E$67:E$72,基础状态预期!N51))</f>
        <v>0</v>
      </c>
      <c r="P40" s="17">
        <f>IF(基础状态预期!K51=0,0,求节点($C$67:$C$72,F$67:F$72,基础状态预期!O51))</f>
        <v>0</v>
      </c>
      <c r="Q40" s="17">
        <f>IF(基础状态预期!L51=0,0,求节点($C$67:$C$72,G$67:G$72,基础状态预期!P51))</f>
        <v>3.9676239777031448</v>
      </c>
      <c r="R40" s="17">
        <f>IF(基础状态预期!I51=0,0,求节点($C$79:$C$84,D$79:D$84,基础状态预期!M51))</f>
        <v>0</v>
      </c>
      <c r="S40" s="17">
        <f>IF(基础状态预期!J51=0,0,求节点($C$79:$C$84,E$79:E$84,基础状态预期!N51))</f>
        <v>0</v>
      </c>
      <c r="T40" s="17">
        <f>IF(基础状态预期!K51=0,0,求节点($C$79:$C$84,F$79:F$84,基础状态预期!O51))</f>
        <v>0</v>
      </c>
      <c r="U40" s="17">
        <f>IF(基础状态预期!L51=0,0,求节点($C$79:$C$84,G$79:G$84,基础状态预期!P51))</f>
        <v>487.69711152719503</v>
      </c>
      <c r="V40" s="17">
        <f>MAX(SUMPRODUCT(R40:U40,基础状态预期!I51:L51),V39)</f>
        <v>2926.1826691631704</v>
      </c>
      <c r="W40" s="17">
        <f>求节点($C$55:$C$60,D$55:D$60,基础状态预期!M51)</f>
        <v>0.02</v>
      </c>
      <c r="X40" s="17">
        <f>求节点($C$55:$C$60,E$55:E$60,基础状态预期!N51)</f>
        <v>0.12</v>
      </c>
      <c r="Y40" s="17">
        <f>求节点($C$55:$C$60,F$55:F$60,基础状态预期!O51)</f>
        <v>0.36000000000000004</v>
      </c>
      <c r="Z40" s="17">
        <f>求节点($C$55:$C$60,G$55:G$60,基础状态预期!P51)</f>
        <v>0.35708615799328303</v>
      </c>
      <c r="AA40" s="17">
        <f>MAX(SUMPRODUCT(W40:Z40,基础状态预期!I51:L51)/6,AA39)</f>
        <v>0.35708615799328297</v>
      </c>
      <c r="AE40" s="16">
        <v>35</v>
      </c>
      <c r="AF40" s="16">
        <f t="shared" si="15"/>
        <v>0</v>
      </c>
      <c r="AG40" s="16">
        <f t="shared" si="16"/>
        <v>0</v>
      </c>
      <c r="AH40" s="16">
        <f t="shared" si="17"/>
        <v>0</v>
      </c>
      <c r="AI40" s="16">
        <f t="shared" si="18"/>
        <v>0</v>
      </c>
      <c r="AJ40" s="16">
        <f t="shared" si="19"/>
        <v>0</v>
      </c>
      <c r="AM40" s="16">
        <v>39</v>
      </c>
      <c r="AU40" s="16">
        <v>110</v>
      </c>
      <c r="AV40" s="16">
        <f>投放验证!$Q53</f>
        <v>1947877.0333388925</v>
      </c>
      <c r="BU40" s="16">
        <v>0</v>
      </c>
      <c r="BV40" s="16">
        <v>0</v>
      </c>
      <c r="BW40" s="16">
        <v>0</v>
      </c>
      <c r="BX40" s="16">
        <v>634.40315864913305</v>
      </c>
      <c r="BY40" s="16">
        <v>3806.4189518947983</v>
      </c>
    </row>
    <row r="41" spans="2:77">
      <c r="L41" s="16">
        <v>12</v>
      </c>
      <c r="M41" s="17">
        <f>基础状态预期!$C52</f>
        <v>105</v>
      </c>
      <c r="N41" s="17">
        <f>IF(基础状态预期!I52=0,0,求节点($C$67:$C$72,D$67:D$72,基础状态预期!M52))</f>
        <v>0</v>
      </c>
      <c r="O41" s="17">
        <f>IF(基础状态预期!J52=0,0,求节点($C$67:$C$72,E$67:E$72,基础状态预期!N52))</f>
        <v>0</v>
      </c>
      <c r="P41" s="17">
        <f>IF(基础状态预期!K52=0,0,求节点($C$67:$C$72,F$67:F$72,基础状态预期!O52))</f>
        <v>0</v>
      </c>
      <c r="Q41" s="17">
        <f>IF(基础状态预期!L52=0,0,求节点($C$67:$C$72,G$67:G$72,基础状态预期!P52))</f>
        <v>5.403171212578183</v>
      </c>
      <c r="R41" s="17">
        <f>IF(基础状态预期!I52=0,0,求节点($C$79:$C$84,D$79:D$84,基础状态预期!M52))</f>
        <v>0</v>
      </c>
      <c r="S41" s="17">
        <f>IF(基础状态预期!J52=0,0,求节点($C$79:$C$84,E$79:E$84,基础状态预期!N52))</f>
        <v>0</v>
      </c>
      <c r="T41" s="17">
        <f>IF(基础状态预期!K52=0,0,求节点($C$79:$C$84,F$79:F$84,基础状态预期!O52))</f>
        <v>0</v>
      </c>
      <c r="U41" s="17">
        <f>IF(基础状态预期!L52=0,0,求节点($C$79:$C$84,G$79:G$84,基础状态预期!P52))</f>
        <v>3058.5284257595677</v>
      </c>
      <c r="V41" s="17">
        <f>MAX(SUMPRODUCT(R41:U41,基础状态预期!I52:L52),V40)</f>
        <v>18351.170554557408</v>
      </c>
      <c r="W41" s="17">
        <f>求节点($C$55:$C$60,D$55:D$60,基础状态预期!M52)</f>
        <v>0.02</v>
      </c>
      <c r="X41" s="17">
        <f>求节点($C$55:$C$60,E$55:E$60,基础状态预期!N52)</f>
        <v>0.12</v>
      </c>
      <c r="Y41" s="17">
        <f>求节点($C$55:$C$60,F$55:F$60,基础状态预期!O52)</f>
        <v>0.36000000000000004</v>
      </c>
      <c r="Z41" s="17">
        <f>求节点($C$55:$C$60,G$55:G$60,基础状态预期!P52)</f>
        <v>0.50031712125781835</v>
      </c>
      <c r="AA41" s="17">
        <f>MAX(SUMPRODUCT(W41:Z41,基础状态预期!I52:L52)/6,AA40)</f>
        <v>0.50031712125781835</v>
      </c>
      <c r="AE41" s="16">
        <v>36</v>
      </c>
      <c r="AF41" s="16">
        <f t="shared" si="15"/>
        <v>0</v>
      </c>
      <c r="AG41" s="16">
        <f t="shared" si="16"/>
        <v>0</v>
      </c>
      <c r="AH41" s="16">
        <f t="shared" si="17"/>
        <v>0</v>
      </c>
      <c r="AI41" s="16">
        <f t="shared" si="18"/>
        <v>0</v>
      </c>
      <c r="AJ41" s="16">
        <f t="shared" si="19"/>
        <v>0</v>
      </c>
      <c r="AM41" s="16">
        <v>40</v>
      </c>
      <c r="AU41" s="16">
        <v>115</v>
      </c>
      <c r="AV41" s="16">
        <f>投放验证!$Q54</f>
        <v>2678587.5746694133</v>
      </c>
      <c r="BU41" s="16">
        <v>0</v>
      </c>
      <c r="BV41" s="16">
        <v>0</v>
      </c>
      <c r="BW41" s="16">
        <v>0</v>
      </c>
      <c r="BX41" s="16">
        <v>2060.2017792498591</v>
      </c>
      <c r="BY41" s="16">
        <v>12361.210675499155</v>
      </c>
    </row>
    <row r="42" spans="2:77">
      <c r="B42" s="175" t="s">
        <v>327</v>
      </c>
      <c r="C42" s="17" t="s">
        <v>223</v>
      </c>
      <c r="D42" s="17" t="s">
        <v>1</v>
      </c>
      <c r="E42" s="17" t="s">
        <v>2</v>
      </c>
      <c r="F42" s="17" t="s">
        <v>0</v>
      </c>
      <c r="G42" s="17" t="s">
        <v>205</v>
      </c>
      <c r="H42" s="17" t="s">
        <v>29</v>
      </c>
      <c r="L42" s="16">
        <v>13</v>
      </c>
      <c r="M42" s="17">
        <f>基础状态预期!$C53</f>
        <v>110</v>
      </c>
      <c r="N42" s="17">
        <f>IF(基础状态预期!I53=0,0,求节点($C$67:$C$72,D$67:D$72,基础状态预期!M53))</f>
        <v>0</v>
      </c>
      <c r="O42" s="17">
        <f>IF(基础状态预期!J53=0,0,求节点($C$67:$C$72,E$67:E$72,基础状态预期!N53))</f>
        <v>0</v>
      </c>
      <c r="P42" s="17">
        <f>IF(基础状态预期!K53=0,0,求节点($C$67:$C$72,F$67:F$72,基础状态预期!O53))</f>
        <v>0</v>
      </c>
      <c r="Q42" s="17">
        <f>IF(基础状态预期!L53=0,0,求节点($C$67:$C$72,G$67:G$72,基础状态预期!P53))</f>
        <v>6</v>
      </c>
      <c r="R42" s="17">
        <f>IF(基础状态预期!I53=0,0,求节点($C$79:$C$84,D$79:D$84,基础状态预期!M53))</f>
        <v>0</v>
      </c>
      <c r="S42" s="17">
        <f>IF(基础状态预期!J53=0,0,求节点($C$79:$C$84,E$79:E$84,基础状态预期!N53))</f>
        <v>0</v>
      </c>
      <c r="T42" s="17">
        <f>IF(基础状态预期!K53=0,0,求节点($C$79:$C$84,F$79:F$84,基础状态预期!O53))</f>
        <v>0</v>
      </c>
      <c r="U42" s="17">
        <f>IF(基础状态预期!L53=0,0,求节点($C$79:$C$84,G$79:G$84,基础状态预期!P53))</f>
        <v>5040</v>
      </c>
      <c r="V42" s="17">
        <f>MAX(SUMPRODUCT(R42:U42,基础状态预期!I53:L53),V41)</f>
        <v>30240</v>
      </c>
      <c r="W42" s="17">
        <f>求节点($C$55:$C$60,D$55:D$60,基础状态预期!M53)</f>
        <v>0.02</v>
      </c>
      <c r="X42" s="17">
        <f>求节点($C$55:$C$60,E$55:E$60,基础状态预期!N53)</f>
        <v>0.12</v>
      </c>
      <c r="Y42" s="17">
        <f>求节点($C$55:$C$60,F$55:F$60,基础状态预期!O53)</f>
        <v>0.36000000000000004</v>
      </c>
      <c r="Z42" s="17">
        <f>求节点($C$55:$C$60,G$55:G$60,基础状态预期!P53)</f>
        <v>0.56000000000000005</v>
      </c>
      <c r="AA42" s="17">
        <f>MAX(SUMPRODUCT(W42:Z42,基础状态预期!I53:L53)/6,AA41)</f>
        <v>0.56000000000000005</v>
      </c>
      <c r="AE42" s="16">
        <v>37</v>
      </c>
      <c r="AF42" s="16">
        <f t="shared" si="15"/>
        <v>0</v>
      </c>
      <c r="AG42" s="16">
        <f t="shared" si="16"/>
        <v>0</v>
      </c>
      <c r="AH42" s="16">
        <f t="shared" si="17"/>
        <v>0</v>
      </c>
      <c r="AI42" s="16">
        <f t="shared" si="18"/>
        <v>0</v>
      </c>
      <c r="AJ42" s="16">
        <f t="shared" si="19"/>
        <v>0</v>
      </c>
      <c r="AM42" s="16">
        <v>41</v>
      </c>
      <c r="AU42" s="16">
        <v>120</v>
      </c>
      <c r="AV42" s="16">
        <f>投放验证!$Q55</f>
        <v>3695694.313176956</v>
      </c>
      <c r="BU42" s="16">
        <v>0</v>
      </c>
      <c r="BV42" s="16">
        <v>0</v>
      </c>
      <c r="BW42" s="16">
        <v>0</v>
      </c>
      <c r="BX42" s="16">
        <v>2415</v>
      </c>
      <c r="BY42" s="16">
        <v>14490</v>
      </c>
    </row>
    <row r="43" spans="2:77">
      <c r="B43" s="176"/>
      <c r="C43" s="17">
        <v>0</v>
      </c>
      <c r="D43" s="31"/>
      <c r="E43" s="31"/>
      <c r="F43" s="31">
        <v>0.02</v>
      </c>
      <c r="G43" s="31">
        <v>0.03</v>
      </c>
      <c r="H43" s="31">
        <v>0.04</v>
      </c>
      <c r="L43" s="16">
        <v>14</v>
      </c>
      <c r="M43" s="17">
        <f>基础状态预期!$C54</f>
        <v>115</v>
      </c>
      <c r="N43" s="17">
        <f>IF(基础状态预期!I54=0,0,求节点($C$67:$C$72,D$67:D$72,基础状态预期!M54))</f>
        <v>0</v>
      </c>
      <c r="O43" s="17">
        <f>IF(基础状态预期!J54=0,0,求节点($C$67:$C$72,E$67:E$72,基础状态预期!N54))</f>
        <v>0</v>
      </c>
      <c r="P43" s="17">
        <f>IF(基础状态预期!K54=0,0,求节点($C$67:$C$72,F$67:F$72,基础状态预期!O54))</f>
        <v>0</v>
      </c>
      <c r="Q43" s="17">
        <f>IF(基础状态预期!L54=0,0,求节点($C$67:$C$72,G$67:G$72,基础状态预期!P54))</f>
        <v>6</v>
      </c>
      <c r="R43" s="17">
        <f>IF(基础状态预期!I54=0,0,求节点($C$79:$C$84,D$79:D$84,基础状态预期!M54))</f>
        <v>0</v>
      </c>
      <c r="S43" s="17">
        <f>IF(基础状态预期!J54=0,0,求节点($C$79:$C$84,E$79:E$84,基础状态预期!N54))</f>
        <v>0</v>
      </c>
      <c r="T43" s="17">
        <f>IF(基础状态预期!K54=0,0,求节点($C$79:$C$84,F$79:F$84,基础状态预期!O54))</f>
        <v>0</v>
      </c>
      <c r="U43" s="17">
        <f>IF(基础状态预期!L54=0,0,求节点($C$79:$C$84,G$79:G$84,基础状态预期!P54))</f>
        <v>5040</v>
      </c>
      <c r="V43" s="17">
        <f>MAX(SUMPRODUCT(R43:U43,基础状态预期!I54:L54),V42)</f>
        <v>30240</v>
      </c>
      <c r="W43" s="17">
        <f>求节点($C$55:$C$60,D$55:D$60,基础状态预期!M54)</f>
        <v>0.02</v>
      </c>
      <c r="X43" s="17">
        <f>求节点($C$55:$C$60,E$55:E$60,基础状态预期!N54)</f>
        <v>0.12</v>
      </c>
      <c r="Y43" s="17">
        <f>求节点($C$55:$C$60,F$55:F$60,基础状态预期!O54)</f>
        <v>0.36000000000000004</v>
      </c>
      <c r="Z43" s="17">
        <f>求节点($C$55:$C$60,G$55:G$60,基础状态预期!P54)</f>
        <v>0.56000000000000005</v>
      </c>
      <c r="AA43" s="17">
        <f>MAX(SUMPRODUCT(W43:Z43,基础状态预期!I54:L54)/6,AA42)</f>
        <v>0.56000000000000005</v>
      </c>
      <c r="AE43" s="16">
        <v>38</v>
      </c>
      <c r="AF43" s="16">
        <f t="shared" si="15"/>
        <v>0</v>
      </c>
      <c r="AG43" s="16">
        <f t="shared" si="16"/>
        <v>0</v>
      </c>
      <c r="AH43" s="16">
        <f t="shared" si="17"/>
        <v>0</v>
      </c>
      <c r="AI43" s="16">
        <f t="shared" si="18"/>
        <v>0</v>
      </c>
      <c r="AJ43" s="16">
        <f t="shared" si="19"/>
        <v>0</v>
      </c>
      <c r="AM43" s="16">
        <v>42</v>
      </c>
      <c r="AU43" s="16">
        <v>125</v>
      </c>
      <c r="AV43" s="16">
        <f>投放验证!$Q56</f>
        <v>5102064.8727119109</v>
      </c>
      <c r="BU43" s="16">
        <v>0</v>
      </c>
      <c r="BV43" s="16">
        <v>0</v>
      </c>
      <c r="BW43" s="16">
        <v>0</v>
      </c>
      <c r="BX43" s="16">
        <v>2415</v>
      </c>
      <c r="BY43" s="16">
        <v>14490</v>
      </c>
    </row>
    <row r="44" spans="2:77">
      <c r="B44" s="176"/>
      <c r="C44" s="17">
        <v>1</v>
      </c>
      <c r="D44" s="31"/>
      <c r="E44" s="31"/>
      <c r="F44" s="31">
        <f>F43+0.02</f>
        <v>0.04</v>
      </c>
      <c r="G44" s="31">
        <f>G43+0.03</f>
        <v>0.06</v>
      </c>
      <c r="H44" s="31">
        <f>H43+0.04</f>
        <v>0.08</v>
      </c>
      <c r="L44" s="16">
        <v>15</v>
      </c>
      <c r="M44" s="17">
        <f>基础状态预期!$C55</f>
        <v>120</v>
      </c>
      <c r="N44" s="17">
        <f>IF(基础状态预期!I55=0,0,求节点($C$67:$C$72,D$67:D$72,基础状态预期!M55))</f>
        <v>0</v>
      </c>
      <c r="O44" s="17">
        <f>IF(基础状态预期!J55=0,0,求节点($C$67:$C$72,E$67:E$72,基础状态预期!N55))</f>
        <v>0</v>
      </c>
      <c r="P44" s="17">
        <f>IF(基础状态预期!K55=0,0,求节点($C$67:$C$72,F$67:F$72,基础状态预期!O55))</f>
        <v>0</v>
      </c>
      <c r="Q44" s="17">
        <f>IF(基础状态预期!L55=0,0,求节点($C$67:$C$72,G$67:G$72,基础状态预期!P55))</f>
        <v>6</v>
      </c>
      <c r="R44" s="17">
        <f>IF(基础状态预期!I55=0,0,求节点($C$79:$C$84,D$79:D$84,基础状态预期!M55))</f>
        <v>0</v>
      </c>
      <c r="S44" s="17">
        <f>IF(基础状态预期!J55=0,0,求节点($C$79:$C$84,E$79:E$84,基础状态预期!N55))</f>
        <v>0</v>
      </c>
      <c r="T44" s="17">
        <f>IF(基础状态预期!K55=0,0,求节点($C$79:$C$84,F$79:F$84,基础状态预期!O55))</f>
        <v>0</v>
      </c>
      <c r="U44" s="17">
        <f>IF(基础状态预期!L55=0,0,求节点($C$79:$C$84,G$79:G$84,基础状态预期!P55))</f>
        <v>5040</v>
      </c>
      <c r="V44" s="17">
        <f>MAX(SUMPRODUCT(R44:U44,基础状态预期!I55:L55),V43)</f>
        <v>30240</v>
      </c>
      <c r="W44" s="17">
        <f>求节点($C$55:$C$60,D$55:D$60,基础状态预期!M55)</f>
        <v>0.02</v>
      </c>
      <c r="X44" s="17">
        <f>求节点($C$55:$C$60,E$55:E$60,基础状态预期!N55)</f>
        <v>0.12</v>
      </c>
      <c r="Y44" s="17">
        <f>求节点($C$55:$C$60,F$55:F$60,基础状态预期!O55)</f>
        <v>0.36000000000000004</v>
      </c>
      <c r="Z44" s="17">
        <f>求节点($C$55:$C$60,G$55:G$60,基础状态预期!P55)</f>
        <v>0.56000000000000005</v>
      </c>
      <c r="AA44" s="17">
        <f>MAX(SUMPRODUCT(W44:Z44,基础状态预期!I55:L55)/6,AA43)</f>
        <v>0.56000000000000005</v>
      </c>
      <c r="AE44" s="16">
        <v>39</v>
      </c>
      <c r="AF44" s="16">
        <f t="shared" si="15"/>
        <v>0</v>
      </c>
      <c r="AG44" s="16">
        <f t="shared" si="16"/>
        <v>0</v>
      </c>
      <c r="AH44" s="16">
        <f t="shared" si="17"/>
        <v>0</v>
      </c>
      <c r="AI44" s="16">
        <f t="shared" si="18"/>
        <v>0</v>
      </c>
      <c r="AJ44" s="16">
        <f t="shared" si="19"/>
        <v>0</v>
      </c>
      <c r="AM44" s="16">
        <v>43</v>
      </c>
      <c r="AU44" s="16">
        <v>130</v>
      </c>
      <c r="AV44" s="16">
        <f>投放验证!$Q57</f>
        <v>7060361.1984763565</v>
      </c>
      <c r="BU44" s="16">
        <v>0</v>
      </c>
      <c r="BV44" s="16">
        <v>0</v>
      </c>
      <c r="BW44" s="16">
        <v>0</v>
      </c>
      <c r="BX44" s="16">
        <v>2415</v>
      </c>
      <c r="BY44" s="16">
        <v>14490</v>
      </c>
    </row>
    <row r="45" spans="2:77">
      <c r="B45" s="176"/>
      <c r="C45" s="17">
        <v>2</v>
      </c>
      <c r="D45" s="31"/>
      <c r="E45" s="31"/>
      <c r="F45" s="31">
        <f t="shared" ref="F45:F48" si="20">F44+0.02</f>
        <v>0.06</v>
      </c>
      <c r="G45" s="31">
        <f t="shared" ref="G45:G46" si="21">G44+0.03</f>
        <v>0.09</v>
      </c>
      <c r="H45" s="31">
        <f t="shared" ref="H45:H47" si="22">H44+0.04</f>
        <v>0.12</v>
      </c>
      <c r="L45" s="16">
        <v>16</v>
      </c>
      <c r="M45" s="17">
        <f>基础状态预期!$C56</f>
        <v>125</v>
      </c>
      <c r="N45" s="17">
        <f>IF(基础状态预期!I56=0,0,求节点($C$67:$C$72,D$67:D$72,基础状态预期!M56))</f>
        <v>0</v>
      </c>
      <c r="O45" s="17">
        <f>IF(基础状态预期!J56=0,0,求节点($C$67:$C$72,E$67:E$72,基础状态预期!N56))</f>
        <v>0</v>
      </c>
      <c r="P45" s="17">
        <f>IF(基础状态预期!K56=0,0,求节点($C$67:$C$72,F$67:F$72,基础状态预期!O56))</f>
        <v>0</v>
      </c>
      <c r="Q45" s="17">
        <f>IF(基础状态预期!L56=0,0,求节点($C$67:$C$72,G$67:G$72,基础状态预期!P56))</f>
        <v>6</v>
      </c>
      <c r="R45" s="17">
        <f>IF(基础状态预期!I56=0,0,求节点($C$79:$C$84,D$79:D$84,基础状态预期!M56))</f>
        <v>0</v>
      </c>
      <c r="S45" s="17">
        <f>IF(基础状态预期!J56=0,0,求节点($C$79:$C$84,E$79:E$84,基础状态预期!N56))</f>
        <v>0</v>
      </c>
      <c r="T45" s="17">
        <f>IF(基础状态预期!K56=0,0,求节点($C$79:$C$84,F$79:F$84,基础状态预期!O56))</f>
        <v>0</v>
      </c>
      <c r="U45" s="17">
        <f>IF(基础状态预期!L56=0,0,求节点($C$79:$C$84,G$79:G$84,基础状态预期!P56))</f>
        <v>5040</v>
      </c>
      <c r="V45" s="17">
        <f>MAX(SUMPRODUCT(R45:U45,基础状态预期!I56:L56),V44)</f>
        <v>30240</v>
      </c>
      <c r="W45" s="17">
        <f>求节点($C$55:$C$60,D$55:D$60,基础状态预期!M56)</f>
        <v>0.02</v>
      </c>
      <c r="X45" s="17">
        <f>求节点($C$55:$C$60,E$55:E$60,基础状态预期!N56)</f>
        <v>0.12</v>
      </c>
      <c r="Y45" s="17">
        <f>求节点($C$55:$C$60,F$55:F$60,基础状态预期!O56)</f>
        <v>0.36000000000000004</v>
      </c>
      <c r="Z45" s="17">
        <f>求节点($C$55:$C$60,G$55:G$60,基础状态预期!P56)</f>
        <v>0.56000000000000005</v>
      </c>
      <c r="AA45" s="17">
        <f>MAX(SUMPRODUCT(W45:Z45,基础状态预期!I56:L56)/6,AA44)</f>
        <v>0.56000000000000005</v>
      </c>
      <c r="AE45" s="16">
        <v>40</v>
      </c>
      <c r="AF45" s="16">
        <f t="shared" si="15"/>
        <v>0</v>
      </c>
      <c r="AG45" s="16">
        <f t="shared" si="16"/>
        <v>0</v>
      </c>
      <c r="AH45" s="16">
        <f t="shared" si="17"/>
        <v>0</v>
      </c>
      <c r="AI45" s="16">
        <f t="shared" si="18"/>
        <v>0</v>
      </c>
      <c r="AJ45" s="16">
        <f t="shared" si="19"/>
        <v>0</v>
      </c>
      <c r="AM45" s="16">
        <v>44</v>
      </c>
      <c r="AU45" s="16">
        <v>135</v>
      </c>
      <c r="AV45" s="16">
        <f>投放验证!$Q58</f>
        <v>9796267.6933617704</v>
      </c>
      <c r="BU45" s="16">
        <v>0</v>
      </c>
      <c r="BV45" s="16">
        <v>0</v>
      </c>
      <c r="BW45" s="16">
        <v>0</v>
      </c>
      <c r="BX45" s="16">
        <v>2415</v>
      </c>
      <c r="BY45" s="16">
        <v>14490</v>
      </c>
    </row>
    <row r="46" spans="2:77">
      <c r="B46" s="176"/>
      <c r="C46" s="17">
        <v>3</v>
      </c>
      <c r="D46" s="31"/>
      <c r="E46" s="31"/>
      <c r="F46" s="31">
        <f t="shared" si="20"/>
        <v>0.08</v>
      </c>
      <c r="G46" s="31">
        <f t="shared" si="21"/>
        <v>0.12</v>
      </c>
      <c r="H46" s="31">
        <f t="shared" si="22"/>
        <v>0.16</v>
      </c>
      <c r="L46" s="16">
        <v>17</v>
      </c>
      <c r="M46" s="17">
        <f>基础状态预期!$C57</f>
        <v>130</v>
      </c>
      <c r="N46" s="17">
        <f>IF(基础状态预期!I57=0,0,求节点($C$67:$C$72,D$67:D$72,基础状态预期!M57))</f>
        <v>0</v>
      </c>
      <c r="O46" s="17">
        <f>IF(基础状态预期!J57=0,0,求节点($C$67:$C$72,E$67:E$72,基础状态预期!N57))</f>
        <v>0</v>
      </c>
      <c r="P46" s="17">
        <f>IF(基础状态预期!K57=0,0,求节点($C$67:$C$72,F$67:F$72,基础状态预期!O57))</f>
        <v>0</v>
      </c>
      <c r="Q46" s="17">
        <f>IF(基础状态预期!L57=0,0,求节点($C$67:$C$72,G$67:G$72,基础状态预期!P57))</f>
        <v>6</v>
      </c>
      <c r="R46" s="17">
        <f>IF(基础状态预期!I57=0,0,求节点($C$79:$C$84,D$79:D$84,基础状态预期!M57))</f>
        <v>0</v>
      </c>
      <c r="S46" s="17">
        <f>IF(基础状态预期!J57=0,0,求节点($C$79:$C$84,E$79:E$84,基础状态预期!N57))</f>
        <v>0</v>
      </c>
      <c r="T46" s="17">
        <f>IF(基础状态预期!K57=0,0,求节点($C$79:$C$84,F$79:F$84,基础状态预期!O57))</f>
        <v>0</v>
      </c>
      <c r="U46" s="17">
        <f>IF(基础状态预期!L57=0,0,求节点($C$79:$C$84,G$79:G$84,基础状态预期!P57))</f>
        <v>5040</v>
      </c>
      <c r="V46" s="17">
        <f>MAX(SUMPRODUCT(R46:U46,基础状态预期!I57:L57),V45)</f>
        <v>30240</v>
      </c>
      <c r="W46" s="17">
        <f>求节点($C$55:$C$60,D$55:D$60,基础状态预期!M57)</f>
        <v>0.02</v>
      </c>
      <c r="X46" s="17">
        <f>求节点($C$55:$C$60,E$55:E$60,基础状态预期!N57)</f>
        <v>0.12</v>
      </c>
      <c r="Y46" s="17">
        <f>求节点($C$55:$C$60,F$55:F$60,基础状态预期!O57)</f>
        <v>0.36000000000000004</v>
      </c>
      <c r="Z46" s="17">
        <f>求节点($C$55:$C$60,G$55:G$60,基础状态预期!P57)</f>
        <v>0.56000000000000005</v>
      </c>
      <c r="AA46" s="17">
        <f>MAX(SUMPRODUCT(W46:Z46,基础状态预期!I57:L57)/6,AA45)</f>
        <v>0.56000000000000005</v>
      </c>
      <c r="AE46" s="16">
        <v>41</v>
      </c>
      <c r="AF46" s="16">
        <f t="shared" si="15"/>
        <v>0</v>
      </c>
      <c r="AG46" s="16">
        <f t="shared" si="16"/>
        <v>0</v>
      </c>
      <c r="AH46" s="16">
        <f t="shared" si="17"/>
        <v>0</v>
      </c>
      <c r="AI46" s="16">
        <f t="shared" si="18"/>
        <v>0</v>
      </c>
      <c r="AJ46" s="16">
        <f t="shared" si="19"/>
        <v>0</v>
      </c>
      <c r="AM46" s="16">
        <v>45</v>
      </c>
      <c r="AU46" s="16">
        <v>140</v>
      </c>
      <c r="AV46" s="16">
        <f>投放验证!$Q59</f>
        <v>13669308.116031185</v>
      </c>
      <c r="BU46" s="16">
        <v>0</v>
      </c>
      <c r="BV46" s="16">
        <v>0</v>
      </c>
      <c r="BW46" s="16">
        <v>0</v>
      </c>
      <c r="BX46" s="16">
        <v>2415</v>
      </c>
      <c r="BY46" s="16">
        <v>14490</v>
      </c>
    </row>
    <row r="47" spans="2:77">
      <c r="B47" s="176"/>
      <c r="C47" s="17">
        <v>4</v>
      </c>
      <c r="D47" s="31"/>
      <c r="E47" s="31"/>
      <c r="F47" s="31">
        <f t="shared" si="20"/>
        <v>0.1</v>
      </c>
      <c r="G47" s="31">
        <v>0.16</v>
      </c>
      <c r="H47" s="31">
        <f t="shared" si="22"/>
        <v>0.2</v>
      </c>
      <c r="L47" s="16">
        <v>18</v>
      </c>
      <c r="M47" s="17">
        <f>基础状态预期!$C58</f>
        <v>135</v>
      </c>
      <c r="N47" s="17">
        <f>IF(基础状态预期!I58=0,0,求节点($C$67:$C$72,D$67:D$72,基础状态预期!M58))</f>
        <v>0</v>
      </c>
      <c r="O47" s="17">
        <f>IF(基础状态预期!J58=0,0,求节点($C$67:$C$72,E$67:E$72,基础状态预期!N58))</f>
        <v>0</v>
      </c>
      <c r="P47" s="17">
        <f>IF(基础状态预期!K58=0,0,求节点($C$67:$C$72,F$67:F$72,基础状态预期!O58))</f>
        <v>0</v>
      </c>
      <c r="Q47" s="17">
        <f>IF(基础状态预期!L58=0,0,求节点($C$67:$C$72,G$67:G$72,基础状态预期!P58))</f>
        <v>6</v>
      </c>
      <c r="R47" s="17">
        <f>IF(基础状态预期!I58=0,0,求节点($C$79:$C$84,D$79:D$84,基础状态预期!M58))</f>
        <v>0</v>
      </c>
      <c r="S47" s="17">
        <f>IF(基础状态预期!J58=0,0,求节点($C$79:$C$84,E$79:E$84,基础状态预期!N58))</f>
        <v>0</v>
      </c>
      <c r="T47" s="17">
        <f>IF(基础状态预期!K58=0,0,求节点($C$79:$C$84,F$79:F$84,基础状态预期!O58))</f>
        <v>0</v>
      </c>
      <c r="U47" s="17">
        <f>IF(基础状态预期!L58=0,0,求节点($C$79:$C$84,G$79:G$84,基础状态预期!P58))</f>
        <v>5040</v>
      </c>
      <c r="V47" s="17">
        <f>MAX(SUMPRODUCT(R47:U47,基础状态预期!I58:L58),V46)</f>
        <v>30240</v>
      </c>
      <c r="W47" s="17">
        <f>求节点($C$55:$C$60,D$55:D$60,基础状态预期!M58)</f>
        <v>0.02</v>
      </c>
      <c r="X47" s="17">
        <f>求节点($C$55:$C$60,E$55:E$60,基础状态预期!N58)</f>
        <v>0.12</v>
      </c>
      <c r="Y47" s="17">
        <f>求节点($C$55:$C$60,F$55:F$60,基础状态预期!O58)</f>
        <v>0.36000000000000004</v>
      </c>
      <c r="Z47" s="17">
        <f>求节点($C$55:$C$60,G$55:G$60,基础状态预期!P58)</f>
        <v>0.56000000000000005</v>
      </c>
      <c r="AA47" s="17">
        <f>MAX(SUMPRODUCT(W47:Z47,基础状态预期!I58:L58)/6,AA46)</f>
        <v>0.56000000000000005</v>
      </c>
      <c r="AE47" s="16">
        <v>42</v>
      </c>
      <c r="AF47" s="16">
        <f t="shared" si="15"/>
        <v>0</v>
      </c>
      <c r="AG47" s="16">
        <f t="shared" si="16"/>
        <v>0</v>
      </c>
      <c r="AH47" s="16">
        <f t="shared" si="17"/>
        <v>0</v>
      </c>
      <c r="AI47" s="16">
        <f t="shared" si="18"/>
        <v>0</v>
      </c>
      <c r="AJ47" s="16">
        <f t="shared" si="19"/>
        <v>0</v>
      </c>
      <c r="AM47" s="16">
        <v>1</v>
      </c>
      <c r="AN47" s="17" t="s">
        <v>75</v>
      </c>
      <c r="AO47" s="70" t="s">
        <v>54</v>
      </c>
      <c r="AP47" s="170" t="s">
        <v>414</v>
      </c>
      <c r="AQ47" s="170"/>
      <c r="AU47" s="16">
        <v>145</v>
      </c>
      <c r="AV47" s="16">
        <f>投放验证!$Q60</f>
        <v>19079414.205673017</v>
      </c>
      <c r="AY47" s="17" t="s">
        <v>75</v>
      </c>
      <c r="AZ47" s="69" t="s">
        <v>417</v>
      </c>
      <c r="BU47" s="16">
        <v>0</v>
      </c>
      <c r="BV47" s="16">
        <v>0</v>
      </c>
      <c r="BW47" s="16">
        <v>0</v>
      </c>
      <c r="BX47" s="16">
        <v>2415</v>
      </c>
      <c r="BY47" s="16">
        <v>14490</v>
      </c>
    </row>
    <row r="48" spans="2:77" ht="11.25" customHeight="1">
      <c r="B48" s="176"/>
      <c r="C48" s="17">
        <v>5</v>
      </c>
      <c r="D48" s="31"/>
      <c r="E48" s="31"/>
      <c r="F48" s="31">
        <f t="shared" si="20"/>
        <v>0.12000000000000001</v>
      </c>
      <c r="G48" s="31">
        <v>0.2</v>
      </c>
      <c r="H48" s="31">
        <v>0.25</v>
      </c>
      <c r="L48" s="16">
        <v>19</v>
      </c>
      <c r="M48" s="17">
        <f>基础状态预期!$C59</f>
        <v>140</v>
      </c>
      <c r="N48" s="17">
        <f>IF(基础状态预期!I59=0,0,求节点($C$67:$C$72,D$67:D$72,基础状态预期!M59))</f>
        <v>0</v>
      </c>
      <c r="O48" s="17">
        <f>IF(基础状态预期!J59=0,0,求节点($C$67:$C$72,E$67:E$72,基础状态预期!N59))</f>
        <v>0</v>
      </c>
      <c r="P48" s="17">
        <f>IF(基础状态预期!K59=0,0,求节点($C$67:$C$72,F$67:F$72,基础状态预期!O59))</f>
        <v>0</v>
      </c>
      <c r="Q48" s="17">
        <f>IF(基础状态预期!L59=0,0,求节点($C$67:$C$72,G$67:G$72,基础状态预期!P59))</f>
        <v>6</v>
      </c>
      <c r="R48" s="17">
        <f>IF(基础状态预期!I59=0,0,求节点($C$79:$C$84,D$79:D$84,基础状态预期!M59))</f>
        <v>0</v>
      </c>
      <c r="S48" s="17">
        <f>IF(基础状态预期!J59=0,0,求节点($C$79:$C$84,E$79:E$84,基础状态预期!N59))</f>
        <v>0</v>
      </c>
      <c r="T48" s="17">
        <f>IF(基础状态预期!K59=0,0,求节点($C$79:$C$84,F$79:F$84,基础状态预期!O59))</f>
        <v>0</v>
      </c>
      <c r="U48" s="17">
        <f>IF(基础状态预期!L59=0,0,求节点($C$79:$C$84,G$79:G$84,基础状态预期!P59))</f>
        <v>5040</v>
      </c>
      <c r="V48" s="17">
        <f>MAX(SUMPRODUCT(R48:U48,基础状态预期!I59:L59),V47)</f>
        <v>30240</v>
      </c>
      <c r="W48" s="17">
        <f>求节点($C$55:$C$60,D$55:D$60,基础状态预期!M59)</f>
        <v>0.02</v>
      </c>
      <c r="X48" s="17">
        <f>求节点($C$55:$C$60,E$55:E$60,基础状态预期!N59)</f>
        <v>0.12</v>
      </c>
      <c r="Y48" s="17">
        <f>求节点($C$55:$C$60,F$55:F$60,基础状态预期!O59)</f>
        <v>0.36000000000000004</v>
      </c>
      <c r="Z48" s="17">
        <f>求节点($C$55:$C$60,G$55:G$60,基础状态预期!P59)</f>
        <v>0.56000000000000005</v>
      </c>
      <c r="AA48" s="17">
        <f>MAX(SUMPRODUCT(W48:Z48,基础状态预期!I59:L59)/6,AA47)</f>
        <v>0.56000000000000005</v>
      </c>
      <c r="AE48" s="16">
        <v>43</v>
      </c>
      <c r="AF48" s="16">
        <f t="shared" si="15"/>
        <v>0</v>
      </c>
      <c r="AG48" s="16">
        <f t="shared" si="16"/>
        <v>0</v>
      </c>
      <c r="AH48" s="16">
        <f t="shared" si="17"/>
        <v>0</v>
      </c>
      <c r="AI48" s="16">
        <f t="shared" si="18"/>
        <v>0</v>
      </c>
      <c r="AJ48" s="16">
        <f t="shared" si="19"/>
        <v>0</v>
      </c>
      <c r="AM48" s="16">
        <v>2</v>
      </c>
      <c r="AN48" s="17" t="s">
        <v>161</v>
      </c>
      <c r="AO48" s="17" t="s">
        <v>412</v>
      </c>
      <c r="AP48" s="17" t="s">
        <v>412</v>
      </c>
      <c r="AQ48" s="17" t="s">
        <v>413</v>
      </c>
      <c r="AU48" s="16">
        <v>150</v>
      </c>
      <c r="AV48" s="16">
        <f>投放验证!$Q61</f>
        <v>26583503.319407489</v>
      </c>
      <c r="AY48" s="17" t="s">
        <v>161</v>
      </c>
      <c r="AZ48" s="17" t="s">
        <v>416</v>
      </c>
      <c r="BA48" s="17" t="s">
        <v>192</v>
      </c>
      <c r="BU48" s="16">
        <v>0</v>
      </c>
      <c r="BV48" s="16">
        <v>0</v>
      </c>
      <c r="BW48" s="16">
        <v>0</v>
      </c>
      <c r="BX48" s="16">
        <v>2415</v>
      </c>
      <c r="BY48" s="16">
        <v>14490</v>
      </c>
    </row>
    <row r="49" spans="2:77">
      <c r="B49" s="176"/>
      <c r="C49" s="17"/>
      <c r="D49" s="31"/>
      <c r="E49" s="31"/>
      <c r="F49" s="31"/>
      <c r="G49" s="31"/>
      <c r="H49" s="31"/>
      <c r="L49" s="16">
        <v>20</v>
      </c>
      <c r="M49" s="17">
        <f>基础状态预期!$C60</f>
        <v>145</v>
      </c>
      <c r="N49" s="17">
        <f>IF(基础状态预期!I60=0,0,求节点($C$67:$C$72,D$67:D$72,基础状态预期!M60))</f>
        <v>0</v>
      </c>
      <c r="O49" s="17">
        <f>IF(基础状态预期!J60=0,0,求节点($C$67:$C$72,E$67:E$72,基础状态预期!N60))</f>
        <v>0</v>
      </c>
      <c r="P49" s="17">
        <f>IF(基础状态预期!K60=0,0,求节点($C$67:$C$72,F$67:F$72,基础状态预期!O60))</f>
        <v>0</v>
      </c>
      <c r="Q49" s="17">
        <f>IF(基础状态预期!L60=0,0,求节点($C$67:$C$72,G$67:G$72,基础状态预期!P60))</f>
        <v>6</v>
      </c>
      <c r="R49" s="17">
        <f>IF(基础状态预期!I60=0,0,求节点($C$79:$C$84,D$79:D$84,基础状态预期!M60))</f>
        <v>0</v>
      </c>
      <c r="S49" s="17">
        <f>IF(基础状态预期!J60=0,0,求节点($C$79:$C$84,E$79:E$84,基础状态预期!N60))</f>
        <v>0</v>
      </c>
      <c r="T49" s="17">
        <f>IF(基础状态预期!K60=0,0,求节点($C$79:$C$84,F$79:F$84,基础状态预期!O60))</f>
        <v>0</v>
      </c>
      <c r="U49" s="17">
        <f>IF(基础状态预期!L60=0,0,求节点($C$79:$C$84,G$79:G$84,基础状态预期!P60))</f>
        <v>5040</v>
      </c>
      <c r="V49" s="17">
        <f>MAX(SUMPRODUCT(R49:U49,基础状态预期!I60:L60),V48)</f>
        <v>30240</v>
      </c>
      <c r="W49" s="17">
        <f>求节点($C$55:$C$60,D$55:D$60,基础状态预期!M60)</f>
        <v>0.02</v>
      </c>
      <c r="X49" s="17">
        <f>求节点($C$55:$C$60,E$55:E$60,基础状态预期!N60)</f>
        <v>0.12</v>
      </c>
      <c r="Y49" s="17">
        <f>求节点($C$55:$C$60,F$55:F$60,基础状态预期!O60)</f>
        <v>0.36000000000000004</v>
      </c>
      <c r="Z49" s="17">
        <f>求节点($C$55:$C$60,G$55:G$60,基础状态预期!P60)</f>
        <v>0.56000000000000005</v>
      </c>
      <c r="AA49" s="17">
        <f>MAX(SUMPRODUCT(W49:Z49,基础状态预期!I60:L60)/6,AA48)</f>
        <v>0.56000000000000005</v>
      </c>
      <c r="AE49" s="16">
        <v>44</v>
      </c>
      <c r="AF49" s="16">
        <f t="shared" si="15"/>
        <v>0</v>
      </c>
      <c r="AG49" s="16">
        <f t="shared" si="16"/>
        <v>0</v>
      </c>
      <c r="AH49" s="16">
        <f t="shared" si="17"/>
        <v>0</v>
      </c>
      <c r="AI49" s="16">
        <f t="shared" si="18"/>
        <v>0</v>
      </c>
      <c r="AJ49" s="16">
        <f t="shared" si="19"/>
        <v>0</v>
      </c>
      <c r="AM49" s="16">
        <v>3</v>
      </c>
      <c r="AN49" s="17">
        <v>10</v>
      </c>
      <c r="AO49" s="17">
        <f>求节点($AE$6:$AE$165,$AG$6:$AG$165,$AN49)</f>
        <v>0</v>
      </c>
      <c r="AP49" s="51">
        <f>AO49*(INDEX([3]小r将兵属性验证!$AC$7:$AC$166,$AN49,1)*[3]战法技能效用!$AH$4+INDEX([3]小r将兵属性验证!$AX$7:$AX$166,$AN49,1)*[3]战法技能效用!$AI$4)</f>
        <v>0</v>
      </c>
      <c r="AQ49" s="17">
        <f t="shared" ref="AQ49:AQ64" si="23">SUM(AP49:AP49)</f>
        <v>0</v>
      </c>
      <c r="AU49" s="16">
        <v>155</v>
      </c>
      <c r="AV49" s="16">
        <f>投放验证!$Q62</f>
        <v>41805223.516953342</v>
      </c>
      <c r="AY49" s="17">
        <v>10</v>
      </c>
      <c r="AZ49" s="17">
        <f>求节点($AU$30:$AU$50,AV$30:AV$50,$AY49)</f>
        <v>9835.4114124174157</v>
      </c>
      <c r="BA49" s="17">
        <f t="shared" ref="BA49:BA64" si="24">SUM(AZ49:AZ49)</f>
        <v>9835.4114124174157</v>
      </c>
      <c r="BB49" s="16">
        <f>AQ49/BA49</f>
        <v>0</v>
      </c>
      <c r="BU49" s="16">
        <v>0</v>
      </c>
      <c r="BV49" s="16">
        <v>0</v>
      </c>
      <c r="BW49" s="16">
        <v>0</v>
      </c>
      <c r="BX49" s="16">
        <v>2415</v>
      </c>
      <c r="BY49" s="16">
        <v>14490</v>
      </c>
    </row>
    <row r="50" spans="2:77">
      <c r="B50" s="176"/>
      <c r="C50" s="17"/>
      <c r="D50" s="31"/>
      <c r="E50" s="31"/>
      <c r="F50" s="31"/>
      <c r="G50" s="31"/>
      <c r="H50" s="31"/>
      <c r="L50" s="16">
        <v>21</v>
      </c>
      <c r="M50" s="17">
        <f>基础状态预期!$C61</f>
        <v>150</v>
      </c>
      <c r="N50" s="17">
        <f>IF(基础状态预期!I61=0,0,求节点($C$67:$C$72,D$67:D$72,基础状态预期!M61))</f>
        <v>0</v>
      </c>
      <c r="O50" s="17">
        <f>IF(基础状态预期!J61=0,0,求节点($C$67:$C$72,E$67:E$72,基础状态预期!N61))</f>
        <v>0</v>
      </c>
      <c r="P50" s="17">
        <f>IF(基础状态预期!K61=0,0,求节点($C$67:$C$72,F$67:F$72,基础状态预期!O61))</f>
        <v>0</v>
      </c>
      <c r="Q50" s="17">
        <f>IF(基础状态预期!L61=0,0,求节点($C$67:$C$72,G$67:G$72,基础状态预期!P61))</f>
        <v>6</v>
      </c>
      <c r="R50" s="17">
        <f>IF(基础状态预期!I61=0,0,求节点($C$79:$C$84,D$79:D$84,基础状态预期!M61))</f>
        <v>0</v>
      </c>
      <c r="S50" s="17">
        <f>IF(基础状态预期!J61=0,0,求节点($C$79:$C$84,E$79:E$84,基础状态预期!N61))</f>
        <v>0</v>
      </c>
      <c r="T50" s="17">
        <f>IF(基础状态预期!K61=0,0,求节点($C$79:$C$84,F$79:F$84,基础状态预期!O61))</f>
        <v>0</v>
      </c>
      <c r="U50" s="17">
        <f>IF(基础状态预期!L61=0,0,求节点($C$79:$C$84,G$79:G$84,基础状态预期!P61))</f>
        <v>5040</v>
      </c>
      <c r="V50" s="17">
        <f>MAX(SUMPRODUCT(R50:U50,基础状态预期!I61:L61),V49)</f>
        <v>30240</v>
      </c>
      <c r="W50" s="17">
        <f>求节点($C$55:$C$60,D$55:D$60,基础状态预期!M61)</f>
        <v>0.02</v>
      </c>
      <c r="X50" s="17">
        <f>求节点($C$55:$C$60,E$55:E$60,基础状态预期!N61)</f>
        <v>0.12</v>
      </c>
      <c r="Y50" s="17">
        <f>求节点($C$55:$C$60,F$55:F$60,基础状态预期!O61)</f>
        <v>0.36000000000000004</v>
      </c>
      <c r="Z50" s="17">
        <f>求节点($C$55:$C$60,G$55:G$60,基础状态预期!P61)</f>
        <v>0.56000000000000005</v>
      </c>
      <c r="AA50" s="17">
        <f>MAX(SUMPRODUCT(W50:Z50,基础状态预期!I61:L61)/6,AA49)</f>
        <v>0.56000000000000005</v>
      </c>
      <c r="AE50" s="16">
        <v>45</v>
      </c>
      <c r="AF50" s="16">
        <f t="shared" si="15"/>
        <v>0</v>
      </c>
      <c r="AG50" s="16">
        <f t="shared" si="16"/>
        <v>0</v>
      </c>
      <c r="AH50" s="16">
        <f t="shared" si="17"/>
        <v>0</v>
      </c>
      <c r="AI50" s="16">
        <f t="shared" si="18"/>
        <v>0</v>
      </c>
      <c r="AJ50" s="16">
        <f t="shared" si="19"/>
        <v>0</v>
      </c>
      <c r="AM50" s="16">
        <v>4</v>
      </c>
      <c r="AN50" s="17">
        <v>20</v>
      </c>
      <c r="AO50" s="17">
        <f t="shared" ref="AO50:AO64" si="25">求节点($AE$6:$AE$165,$AG$6:$AG$165,$AN50)</f>
        <v>0</v>
      </c>
      <c r="AP50" s="17">
        <f>(AO50-AO49)*(INDEX([3]小r将兵属性验证!$AC$7:$AC$166,$AN50,1)*[3]战法技能效用!$AH$4+INDEX([3]小r将兵属性验证!$AX$7:$AX$166,$AN50,1)*[3]战法技能效用!$AI$4)+AP49</f>
        <v>0</v>
      </c>
      <c r="AQ50" s="17">
        <f t="shared" si="23"/>
        <v>0</v>
      </c>
      <c r="AU50" s="16">
        <v>160</v>
      </c>
      <c r="AV50" s="16">
        <f>投放验证!$Q63</f>
        <v>61491846.272423699</v>
      </c>
      <c r="AY50" s="17">
        <v>20</v>
      </c>
      <c r="AZ50" s="17">
        <f t="shared" ref="AZ50:AZ64" si="26">求节点($AU$30:$AU$50,AV$30:AV$50,$AY50)</f>
        <v>19670.822824834835</v>
      </c>
      <c r="BA50" s="17">
        <f t="shared" si="24"/>
        <v>19670.822824834835</v>
      </c>
      <c r="BB50" s="16">
        <f t="shared" ref="BB50:BB64" si="27">AQ50/BA50</f>
        <v>0</v>
      </c>
      <c r="BU50" s="16">
        <v>0</v>
      </c>
      <c r="BV50" s="16">
        <v>0</v>
      </c>
      <c r="BW50" s="16">
        <v>0</v>
      </c>
      <c r="BX50" s="16">
        <v>2415</v>
      </c>
      <c r="BY50" s="16">
        <v>14490</v>
      </c>
    </row>
    <row r="51" spans="2:77">
      <c r="B51" s="177"/>
      <c r="C51" s="17"/>
      <c r="D51" s="31"/>
      <c r="E51" s="31"/>
      <c r="F51" s="31"/>
      <c r="G51" s="31"/>
      <c r="H51" s="31"/>
      <c r="L51" s="16">
        <v>22</v>
      </c>
      <c r="M51" s="17">
        <f>基础状态预期!$C62</f>
        <v>155</v>
      </c>
      <c r="N51" s="17">
        <f>IF(基础状态预期!I62=0,0,求节点($C$67:$C$72,D$67:D$72,基础状态预期!M62))</f>
        <v>0</v>
      </c>
      <c r="O51" s="17">
        <f>IF(基础状态预期!J62=0,0,求节点($C$67:$C$72,E$67:E$72,基础状态预期!N62))</f>
        <v>0</v>
      </c>
      <c r="P51" s="17">
        <f>IF(基础状态预期!K62=0,0,求节点($C$67:$C$72,F$67:F$72,基础状态预期!O62))</f>
        <v>0</v>
      </c>
      <c r="Q51" s="17">
        <f>IF(基础状态预期!L62=0,0,求节点($C$67:$C$72,G$67:G$72,基础状态预期!P62))</f>
        <v>6</v>
      </c>
      <c r="R51" s="17">
        <f>IF(基础状态预期!I62=0,0,求节点($C$79:$C$84,D$79:D$84,基础状态预期!M62))</f>
        <v>0</v>
      </c>
      <c r="S51" s="17">
        <f>IF(基础状态预期!J62=0,0,求节点($C$79:$C$84,E$79:E$84,基础状态预期!N62))</f>
        <v>0</v>
      </c>
      <c r="T51" s="17">
        <f>IF(基础状态预期!K62=0,0,求节点($C$79:$C$84,F$79:F$84,基础状态预期!O62))</f>
        <v>0</v>
      </c>
      <c r="U51" s="17">
        <f>IF(基础状态预期!L62=0,0,求节点($C$79:$C$84,G$79:G$84,基础状态预期!P62))</f>
        <v>5040</v>
      </c>
      <c r="V51" s="17">
        <f>MAX(SUMPRODUCT(R51:U51,基础状态预期!I62:L62),V50)</f>
        <v>30240</v>
      </c>
      <c r="W51" s="17">
        <f>求节点($C$55:$C$60,D$55:D$60,基础状态预期!M62)</f>
        <v>0.02</v>
      </c>
      <c r="X51" s="17">
        <f>求节点($C$55:$C$60,E$55:E$60,基础状态预期!N62)</f>
        <v>0.12</v>
      </c>
      <c r="Y51" s="17">
        <f>求节点($C$55:$C$60,F$55:F$60,基础状态预期!O62)</f>
        <v>0.36000000000000004</v>
      </c>
      <c r="Z51" s="17">
        <f>求节点($C$55:$C$60,G$55:G$60,基础状态预期!P62)</f>
        <v>0.56000000000000005</v>
      </c>
      <c r="AA51" s="17">
        <f>MAX(SUMPRODUCT(W51:Z51,基础状态预期!I62:L62)/6,AA50)</f>
        <v>0.56000000000000005</v>
      </c>
      <c r="AE51" s="16">
        <v>46</v>
      </c>
      <c r="AF51" s="16">
        <f t="shared" si="15"/>
        <v>0</v>
      </c>
      <c r="AG51" s="16">
        <f t="shared" si="16"/>
        <v>0</v>
      </c>
      <c r="AH51" s="16">
        <f t="shared" si="17"/>
        <v>0</v>
      </c>
      <c r="AI51" s="16">
        <f t="shared" si="18"/>
        <v>0</v>
      </c>
      <c r="AJ51" s="16">
        <f t="shared" si="19"/>
        <v>0</v>
      </c>
      <c r="AM51" s="16">
        <v>5</v>
      </c>
      <c r="AN51" s="17">
        <v>30</v>
      </c>
      <c r="AO51" s="17">
        <f t="shared" si="25"/>
        <v>0</v>
      </c>
      <c r="AP51" s="17">
        <f>(AO51-AO50)*(INDEX([3]小r将兵属性验证!$AC$7:$AC$166,$AN51,1)*[3]战法技能效用!$AH$4+INDEX([3]小r将兵属性验证!$AX$7:$AX$166,$AN51,1)*[3]战法技能效用!$AI$4)+AP50</f>
        <v>0</v>
      </c>
      <c r="AQ51" s="17">
        <f t="shared" si="23"/>
        <v>0</v>
      </c>
      <c r="AY51" s="17">
        <v>30</v>
      </c>
      <c r="AZ51" s="17">
        <f t="shared" si="26"/>
        <v>29506.234237252251</v>
      </c>
      <c r="BA51" s="17">
        <f t="shared" si="24"/>
        <v>29506.234237252251</v>
      </c>
      <c r="BB51" s="16">
        <f t="shared" si="27"/>
        <v>0</v>
      </c>
      <c r="BU51" s="16">
        <v>0</v>
      </c>
      <c r="BV51" s="16">
        <v>0</v>
      </c>
      <c r="BW51" s="16">
        <v>0</v>
      </c>
      <c r="BX51" s="16">
        <v>2415</v>
      </c>
      <c r="BY51" s="16">
        <v>14490</v>
      </c>
    </row>
    <row r="52" spans="2:77">
      <c r="L52" s="16">
        <v>23</v>
      </c>
      <c r="M52" s="17">
        <f>基础状态预期!$C63</f>
        <v>160</v>
      </c>
      <c r="N52" s="17">
        <f>IF(基础状态预期!I63=0,0,求节点($C$67:$C$72,D$67:D$72,基础状态预期!M63))</f>
        <v>0</v>
      </c>
      <c r="O52" s="17">
        <f>IF(基础状态预期!J63=0,0,求节点($C$67:$C$72,E$67:E$72,基础状态预期!N63))</f>
        <v>0</v>
      </c>
      <c r="P52" s="17">
        <f>IF(基础状态预期!K63=0,0,求节点($C$67:$C$72,F$67:F$72,基础状态预期!O63))</f>
        <v>0</v>
      </c>
      <c r="Q52" s="17">
        <f>IF(基础状态预期!L63=0,0,求节点($C$67:$C$72,G$67:G$72,基础状态预期!P63))</f>
        <v>6</v>
      </c>
      <c r="R52" s="17">
        <f>IF(基础状态预期!I63=0,0,求节点($C$79:$C$84,D$79:D$84,基础状态预期!M63))</f>
        <v>0</v>
      </c>
      <c r="S52" s="17">
        <f>IF(基础状态预期!J63=0,0,求节点($C$79:$C$84,E$79:E$84,基础状态预期!N63))</f>
        <v>0</v>
      </c>
      <c r="T52" s="17">
        <f>IF(基础状态预期!K63=0,0,求节点($C$79:$C$84,F$79:F$84,基础状态预期!O63))</f>
        <v>0</v>
      </c>
      <c r="U52" s="17">
        <f>IF(基础状态预期!L63=0,0,求节点($C$79:$C$84,G$79:G$84,基础状态预期!P63))</f>
        <v>5040</v>
      </c>
      <c r="V52" s="17">
        <f>MAX(SUMPRODUCT(R52:U52,基础状态预期!I63:L63),V51)</f>
        <v>30240</v>
      </c>
      <c r="W52" s="17">
        <f>求节点($C$55:$C$60,D$55:D$60,基础状态预期!M63)</f>
        <v>0.02</v>
      </c>
      <c r="X52" s="17">
        <f>求节点($C$55:$C$60,E$55:E$60,基础状态预期!N63)</f>
        <v>0.12</v>
      </c>
      <c r="Y52" s="17">
        <f>求节点($C$55:$C$60,F$55:F$60,基础状态预期!O63)</f>
        <v>0.36000000000000004</v>
      </c>
      <c r="Z52" s="17">
        <f>求节点($C$55:$C$60,G$55:G$60,基础状态预期!P63)</f>
        <v>0.56000000000000005</v>
      </c>
      <c r="AA52" s="17">
        <f>MAX(SUMPRODUCT(W52:Z52,基础状态预期!I63:L63)/6,AA51)</f>
        <v>0.56000000000000005</v>
      </c>
      <c r="AE52" s="16">
        <v>47</v>
      </c>
      <c r="AF52" s="16">
        <f t="shared" si="15"/>
        <v>0</v>
      </c>
      <c r="AG52" s="16">
        <f t="shared" si="16"/>
        <v>0</v>
      </c>
      <c r="AH52" s="16">
        <f t="shared" si="17"/>
        <v>0</v>
      </c>
      <c r="AI52" s="16">
        <f t="shared" si="18"/>
        <v>0</v>
      </c>
      <c r="AJ52" s="16">
        <f t="shared" si="19"/>
        <v>0</v>
      </c>
      <c r="AM52" s="16">
        <v>6</v>
      </c>
      <c r="AN52" s="17">
        <v>40</v>
      </c>
      <c r="AO52" s="17">
        <f t="shared" si="25"/>
        <v>0</v>
      </c>
      <c r="AP52" s="17">
        <f>(AO52-AO51)*(INDEX([3]小r将兵属性验证!$AC$7:$AC$166,$AN52,1)*[3]战法技能效用!$AH$4+INDEX([3]小r将兵属性验证!$AX$7:$AX$166,$AN52,1)*[3]战法技能效用!$AI$4)+AP51</f>
        <v>0</v>
      </c>
      <c r="AQ52" s="17">
        <f t="shared" si="23"/>
        <v>0</v>
      </c>
      <c r="AY52" s="17">
        <v>40</v>
      </c>
      <c r="AZ52" s="17">
        <f t="shared" si="26"/>
        <v>39341.64564966967</v>
      </c>
      <c r="BA52" s="17">
        <f t="shared" si="24"/>
        <v>39341.64564966967</v>
      </c>
      <c r="BB52" s="16">
        <f t="shared" si="27"/>
        <v>0</v>
      </c>
      <c r="BU52" s="16">
        <v>0</v>
      </c>
      <c r="BV52" s="16">
        <v>0</v>
      </c>
      <c r="BW52" s="16">
        <v>0</v>
      </c>
      <c r="BX52" s="16">
        <v>2415</v>
      </c>
      <c r="BY52" s="16">
        <v>14490</v>
      </c>
    </row>
    <row r="53" spans="2:77">
      <c r="L53" s="16">
        <v>24</v>
      </c>
      <c r="AE53" s="16">
        <v>48</v>
      </c>
      <c r="AF53" s="16">
        <f t="shared" si="15"/>
        <v>0</v>
      </c>
      <c r="AG53" s="16">
        <f t="shared" si="16"/>
        <v>0</v>
      </c>
      <c r="AH53" s="16">
        <f t="shared" si="17"/>
        <v>0</v>
      </c>
      <c r="AI53" s="16">
        <f t="shared" si="18"/>
        <v>0</v>
      </c>
      <c r="AJ53" s="16">
        <f t="shared" si="19"/>
        <v>0</v>
      </c>
      <c r="AM53" s="16">
        <v>7</v>
      </c>
      <c r="AN53" s="17">
        <v>50</v>
      </c>
      <c r="AO53" s="17">
        <f t="shared" si="25"/>
        <v>0</v>
      </c>
      <c r="AP53" s="17">
        <f>(AO53-AO52)*(INDEX([3]小r将兵属性验证!$AC$7:$AC$166,$AN53,1)*[3]战法技能效用!$AH$4+INDEX([3]小r将兵属性验证!$AX$7:$AX$166,$AN53,1)*[3]战法技能效用!$AI$4)+AP52</f>
        <v>0</v>
      </c>
      <c r="AQ53" s="17">
        <f t="shared" si="23"/>
        <v>0</v>
      </c>
      <c r="AY53" s="17">
        <v>50</v>
      </c>
      <c r="AZ53" s="17">
        <f t="shared" si="26"/>
        <v>49177.057062087086</v>
      </c>
      <c r="BA53" s="17">
        <f t="shared" si="24"/>
        <v>49177.057062087086</v>
      </c>
      <c r="BB53" s="16">
        <f t="shared" si="27"/>
        <v>0</v>
      </c>
    </row>
    <row r="54" spans="2:77">
      <c r="B54" s="175" t="s">
        <v>253</v>
      </c>
      <c r="C54" s="17" t="s">
        <v>223</v>
      </c>
      <c r="D54" s="17" t="s">
        <v>1</v>
      </c>
      <c r="E54" s="17" t="s">
        <v>2</v>
      </c>
      <c r="F54" s="17" t="s">
        <v>0</v>
      </c>
      <c r="G54" s="17" t="s">
        <v>205</v>
      </c>
      <c r="H54" s="17" t="s">
        <v>29</v>
      </c>
      <c r="L54" s="16">
        <v>25</v>
      </c>
      <c r="AE54" s="16">
        <v>49</v>
      </c>
      <c r="AF54" s="16">
        <f t="shared" si="15"/>
        <v>0</v>
      </c>
      <c r="AG54" s="16">
        <f t="shared" si="16"/>
        <v>0</v>
      </c>
      <c r="AH54" s="16">
        <f t="shared" si="17"/>
        <v>0</v>
      </c>
      <c r="AI54" s="16">
        <f t="shared" si="18"/>
        <v>0</v>
      </c>
      <c r="AJ54" s="16">
        <f t="shared" si="19"/>
        <v>0</v>
      </c>
      <c r="AM54" s="16">
        <v>8</v>
      </c>
      <c r="AN54" s="17">
        <v>60</v>
      </c>
      <c r="AO54" s="17">
        <f t="shared" si="25"/>
        <v>7.0493034678204447E-2</v>
      </c>
      <c r="AP54" s="17">
        <f>(AO54-AO53)*(INDEX([3]小r将兵属性验证!$AC$7:$AC$166,$AN54,1)*[3]战法技能效用!$AH$4+INDEX([3]小r将兵属性验证!$AX$7:$AX$166,$AN54,1)*[3]战法技能效用!$AI$4)+AP53</f>
        <v>268928334.90960687</v>
      </c>
      <c r="AQ54" s="17">
        <f t="shared" si="23"/>
        <v>268928334.90960687</v>
      </c>
      <c r="AU54" s="16" t="s">
        <v>256</v>
      </c>
      <c r="AV54" s="174" t="s">
        <v>419</v>
      </c>
      <c r="AY54" s="17">
        <v>60</v>
      </c>
      <c r="AZ54" s="17">
        <f t="shared" si="26"/>
        <v>94149.711058311499</v>
      </c>
      <c r="BA54" s="17">
        <f t="shared" si="24"/>
        <v>94149.711058311499</v>
      </c>
      <c r="BB54" s="16">
        <f t="shared" si="27"/>
        <v>2856.3904433338776</v>
      </c>
    </row>
    <row r="55" spans="2:77">
      <c r="B55" s="176"/>
      <c r="C55" s="17">
        <v>0</v>
      </c>
      <c r="D55" s="31">
        <f>D31+D43</f>
        <v>0.02</v>
      </c>
      <c r="E55" s="31">
        <f t="shared" ref="E55:G55" si="28">E31+E43</f>
        <v>0.03</v>
      </c>
      <c r="F55" s="31">
        <f t="shared" si="28"/>
        <v>0.06</v>
      </c>
      <c r="G55" s="31">
        <f t="shared" si="28"/>
        <v>0.09</v>
      </c>
      <c r="H55" s="31">
        <f t="shared" ref="H55" si="29">H31+H43</f>
        <v>0.12</v>
      </c>
      <c r="L55" s="16">
        <v>26</v>
      </c>
      <c r="AE55" s="16">
        <v>50</v>
      </c>
      <c r="AF55" s="16">
        <f t="shared" si="15"/>
        <v>0</v>
      </c>
      <c r="AG55" s="16">
        <f t="shared" si="16"/>
        <v>0</v>
      </c>
      <c r="AH55" s="16">
        <f t="shared" si="17"/>
        <v>0</v>
      </c>
      <c r="AI55" s="16">
        <f t="shared" si="18"/>
        <v>0</v>
      </c>
      <c r="AJ55" s="16">
        <f t="shared" si="19"/>
        <v>0</v>
      </c>
      <c r="AM55" s="16">
        <v>9</v>
      </c>
      <c r="AN55" s="17">
        <v>70</v>
      </c>
      <c r="AO55" s="17">
        <f t="shared" si="25"/>
        <v>9.6331823970993269E-2</v>
      </c>
      <c r="AP55" s="17">
        <f>(AO55-AO54)*(INDEX([3]小r将兵属性验证!$AC$7:$AC$166,$AN55,1)*[3]战法技能效用!$AH$4+INDEX([3]小r将兵属性验证!$AX$7:$AX$166,$AN55,1)*[3]战法技能效用!$AI$4)+AP54</f>
        <v>667460037.10000312</v>
      </c>
      <c r="AQ55" s="17">
        <f t="shared" si="23"/>
        <v>667460037.10000312</v>
      </c>
      <c r="AU55" s="16" t="s">
        <v>161</v>
      </c>
      <c r="AV55" s="174"/>
      <c r="AY55" s="17">
        <v>70</v>
      </c>
      <c r="AZ55" s="17">
        <f t="shared" si="26"/>
        <v>177971.37236752198</v>
      </c>
      <c r="BA55" s="17">
        <f t="shared" si="24"/>
        <v>177971.37236752198</v>
      </c>
      <c r="BB55" s="16">
        <f t="shared" si="27"/>
        <v>3750.3786604603829</v>
      </c>
    </row>
    <row r="56" spans="2:77">
      <c r="B56" s="176"/>
      <c r="C56" s="17">
        <v>1</v>
      </c>
      <c r="D56" s="31">
        <f t="shared" ref="D56:G56" si="30">D32+D44</f>
        <v>0.04</v>
      </c>
      <c r="E56" s="31">
        <f t="shared" si="30"/>
        <v>0.06</v>
      </c>
      <c r="F56" s="31">
        <f t="shared" si="30"/>
        <v>0.12</v>
      </c>
      <c r="G56" s="31">
        <f t="shared" si="30"/>
        <v>0.18</v>
      </c>
      <c r="H56" s="31">
        <f t="shared" ref="H56" si="31">H32+H44</f>
        <v>0.24</v>
      </c>
      <c r="L56" s="16">
        <v>1</v>
      </c>
      <c r="M56" s="69" t="s">
        <v>249</v>
      </c>
      <c r="N56" s="171" t="s">
        <v>404</v>
      </c>
      <c r="O56" s="173"/>
      <c r="P56" s="173"/>
      <c r="Q56" s="172"/>
      <c r="R56" s="171" t="s">
        <v>455</v>
      </c>
      <c r="S56" s="173"/>
      <c r="T56" s="173"/>
      <c r="U56" s="173"/>
      <c r="V56" s="172"/>
      <c r="W56" s="170" t="s">
        <v>252</v>
      </c>
      <c r="X56" s="170"/>
      <c r="Y56" s="170"/>
      <c r="Z56" s="170"/>
      <c r="AA56" s="170"/>
      <c r="AE56" s="16">
        <v>51</v>
      </c>
      <c r="AF56" s="16">
        <f t="shared" si="15"/>
        <v>7.1892673360320816E-3</v>
      </c>
      <c r="AG56" s="16">
        <f t="shared" si="16"/>
        <v>7.0493034678204445E-3</v>
      </c>
      <c r="AH56" s="16">
        <f t="shared" si="17"/>
        <v>8.8235649808400159E-3</v>
      </c>
      <c r="AI56" s="16">
        <f t="shared" si="18"/>
        <v>1.6255914095700763E-2</v>
      </c>
      <c r="AJ56" s="16">
        <f t="shared" si="19"/>
        <v>2.2553541234424115E-2</v>
      </c>
      <c r="AM56" s="16">
        <v>10</v>
      </c>
      <c r="AN56" s="17">
        <v>80</v>
      </c>
      <c r="AO56" s="17">
        <f t="shared" si="25"/>
        <v>0.10814008628409011</v>
      </c>
      <c r="AP56" s="17">
        <f>(AO56-AO55)*(INDEX([3]小r将兵属性验证!$AC$7:$AC$166,$AN56,1)*[3]战法技能效用!$AH$4+INDEX([3]小r将兵属性验证!$AX$7:$AX$166,$AN56,1)*[3]战法技能效用!$AI$4)+AP55</f>
        <v>1171966306.0821452</v>
      </c>
      <c r="AQ56" s="17">
        <f t="shared" si="23"/>
        <v>1171966306.0821452</v>
      </c>
      <c r="AU56" s="16">
        <v>50</v>
      </c>
      <c r="AV56" s="16">
        <f>投放验证!$Q69</f>
        <v>67312.388512865</v>
      </c>
      <c r="AY56" s="17">
        <v>80</v>
      </c>
      <c r="AZ56" s="17">
        <f t="shared" si="26"/>
        <v>317210.91976666433</v>
      </c>
      <c r="BA56" s="17">
        <f t="shared" si="24"/>
        <v>317210.91976666433</v>
      </c>
      <c r="BB56" s="16">
        <f t="shared" si="27"/>
        <v>3694.5963491554021</v>
      </c>
      <c r="BU56" s="16" t="s">
        <v>466</v>
      </c>
    </row>
    <row r="57" spans="2:77">
      <c r="B57" s="176"/>
      <c r="C57" s="17">
        <v>2</v>
      </c>
      <c r="D57" s="31">
        <f t="shared" ref="D57:G57" si="32">D33+D45</f>
        <v>0.06</v>
      </c>
      <c r="E57" s="31">
        <f t="shared" si="32"/>
        <v>0.09</v>
      </c>
      <c r="F57" s="31">
        <f t="shared" si="32"/>
        <v>0.18</v>
      </c>
      <c r="G57" s="31">
        <f t="shared" si="32"/>
        <v>0.27</v>
      </c>
      <c r="H57" s="31">
        <f t="shared" ref="H57" si="33">H33+H45</f>
        <v>0.36</v>
      </c>
      <c r="L57" s="16">
        <v>2</v>
      </c>
      <c r="M57" s="17" t="s">
        <v>161</v>
      </c>
      <c r="N57" s="17" t="s">
        <v>1</v>
      </c>
      <c r="O57" s="17" t="s">
        <v>2</v>
      </c>
      <c r="P57" s="17" t="s">
        <v>0</v>
      </c>
      <c r="Q57" s="17" t="s">
        <v>205</v>
      </c>
      <c r="R57" s="17" t="s">
        <v>1</v>
      </c>
      <c r="S57" s="17" t="s">
        <v>2</v>
      </c>
      <c r="T57" s="17" t="s">
        <v>0</v>
      </c>
      <c r="U57" s="17" t="s">
        <v>205</v>
      </c>
      <c r="V57" s="17" t="s">
        <v>443</v>
      </c>
      <c r="W57" s="17" t="s">
        <v>1</v>
      </c>
      <c r="X57" s="17" t="s">
        <v>2</v>
      </c>
      <c r="Y57" s="17" t="s">
        <v>0</v>
      </c>
      <c r="Z57" s="17" t="s">
        <v>205</v>
      </c>
      <c r="AA57" s="71" t="s">
        <v>373</v>
      </c>
      <c r="AE57" s="16">
        <v>52</v>
      </c>
      <c r="AF57" s="16">
        <f t="shared" si="15"/>
        <v>1.4378534672064163E-2</v>
      </c>
      <c r="AG57" s="16">
        <f t="shared" si="16"/>
        <v>1.4098606935640889E-2</v>
      </c>
      <c r="AH57" s="16">
        <f t="shared" si="17"/>
        <v>1.7647129961680032E-2</v>
      </c>
      <c r="AI57" s="16">
        <f t="shared" si="18"/>
        <v>3.2511828191401526E-2</v>
      </c>
      <c r="AJ57" s="16">
        <f t="shared" si="19"/>
        <v>4.5107082468848231E-2</v>
      </c>
      <c r="AM57" s="16">
        <v>11</v>
      </c>
      <c r="AN57" s="17">
        <v>90</v>
      </c>
      <c r="AO57" s="17">
        <f t="shared" si="25"/>
        <v>0.19422316171350659</v>
      </c>
      <c r="AP57" s="17">
        <f>(AO57-AO56)*(INDEX([3]小r将兵属性验证!$AC$7:$AC$166,$AN57,1)*[3]战法技能效用!$AH$4+INDEX([3]小r将兵属性验证!$AX$7:$AX$166,$AN57,1)*[3]战法技能效用!$AI$4)+AP56</f>
        <v>9995226844.5417099</v>
      </c>
      <c r="AQ57" s="17">
        <f t="shared" si="23"/>
        <v>9995226844.5417099</v>
      </c>
      <c r="AU57" s="16">
        <v>60</v>
      </c>
      <c r="AV57" s="16">
        <f>投放验证!$Q70</f>
        <v>126907.00346152461</v>
      </c>
      <c r="AY57" s="17">
        <v>90</v>
      </c>
      <c r="AZ57" s="17">
        <f t="shared" si="26"/>
        <v>569721.27435961948</v>
      </c>
      <c r="BA57" s="17">
        <f t="shared" si="24"/>
        <v>569721.27435961948</v>
      </c>
      <c r="BB57" s="16">
        <f t="shared" si="27"/>
        <v>17544.064605585576</v>
      </c>
      <c r="BU57" s="16" t="s">
        <v>79</v>
      </c>
      <c r="BV57" s="16" t="s">
        <v>80</v>
      </c>
      <c r="BW57" s="16" t="s">
        <v>81</v>
      </c>
      <c r="BX57" s="16" t="s">
        <v>205</v>
      </c>
      <c r="BY57" s="16" t="s">
        <v>465</v>
      </c>
    </row>
    <row r="58" spans="2:77">
      <c r="B58" s="176"/>
      <c r="C58" s="17">
        <v>3</v>
      </c>
      <c r="D58" s="31">
        <f t="shared" ref="D58:G58" si="34">D34+D46</f>
        <v>0.08</v>
      </c>
      <c r="E58" s="31">
        <f t="shared" si="34"/>
        <v>0.12</v>
      </c>
      <c r="F58" s="31">
        <f t="shared" si="34"/>
        <v>0.24</v>
      </c>
      <c r="G58" s="31">
        <f t="shared" si="34"/>
        <v>0.36</v>
      </c>
      <c r="H58" s="31">
        <f t="shared" ref="H58" si="35">H34+H46</f>
        <v>0.48</v>
      </c>
      <c r="L58" s="16">
        <v>3</v>
      </c>
      <c r="M58" s="17">
        <f>基础状态预期!$C69</f>
        <v>50</v>
      </c>
      <c r="N58" s="17">
        <f>IF(基础状态预期!I69=0,0,求节点($C$67:$C$72,D$67:D$72,基础状态预期!M69))</f>
        <v>0</v>
      </c>
      <c r="O58" s="17">
        <f>IF(基础状态预期!J69=0,0,求节点($C$67:$C$72,E$67:E$72,基础状态预期!N69))</f>
        <v>0</v>
      </c>
      <c r="P58" s="17">
        <f>IF(基础状态预期!K69=0,0,求节点($C$67:$C$72,F$67:F$72,基础状态预期!O69))</f>
        <v>0</v>
      </c>
      <c r="Q58" s="17">
        <f>IF(基础状态预期!L69=0,0,求节点($C$67:$C$72,G$67:G$72,基础状态预期!P69))</f>
        <v>0</v>
      </c>
      <c r="R58" s="17">
        <f>IF(基础状态预期!I69=0,0,求节点($C$79:$C$84,D$79:D$84,基础状态预期!M69))</f>
        <v>0</v>
      </c>
      <c r="S58" s="17">
        <f>IF(基础状态预期!J69=0,0,求节点($C$79:$C$84,E$79:E$84,基础状态预期!N69))</f>
        <v>0</v>
      </c>
      <c r="T58" s="17">
        <f>IF(基础状态预期!K69=0,0,求节点($C$79:$C$84,F$79:F$84,基础状态预期!O69))</f>
        <v>0</v>
      </c>
      <c r="U58" s="17">
        <f>IF(基础状态预期!L69=0,0,求节点($C$79:$C$84,G$79:G$84,基础状态预期!P69))</f>
        <v>0</v>
      </c>
      <c r="V58" s="51">
        <f>SUMPRODUCT(R58:U58,基础状态预期!I69:L69)</f>
        <v>0</v>
      </c>
      <c r="W58" s="17">
        <f>求节点($C$55:$C$60,D$55:D$60,基础状态预期!M69)</f>
        <v>0.02</v>
      </c>
      <c r="X58" s="17">
        <f>求节点($C$55:$C$60,E$55:E$60,基础状态预期!N69)</f>
        <v>0.03</v>
      </c>
      <c r="Y58" s="17">
        <f>求节点($C$55:$C$60,F$55:F$60,基础状态预期!O69)</f>
        <v>0.06</v>
      </c>
      <c r="Z58" s="17">
        <f>求节点($C$55:$C$60,G$55:G$60,基础状态预期!P69)</f>
        <v>0.09</v>
      </c>
      <c r="AA58" s="51">
        <f>SUMPRODUCT(W58:Z58,基础状态预期!I69:L69)/6</f>
        <v>0</v>
      </c>
      <c r="AE58" s="16">
        <v>53</v>
      </c>
      <c r="AF58" s="16">
        <f t="shared" si="15"/>
        <v>2.1567802008096243E-2</v>
      </c>
      <c r="AG58" s="16">
        <f t="shared" si="16"/>
        <v>2.1147910403461333E-2</v>
      </c>
      <c r="AH58" s="16">
        <f t="shared" si="17"/>
        <v>2.6470694942520048E-2</v>
      </c>
      <c r="AI58" s="16">
        <f t="shared" si="18"/>
        <v>4.8767742287102289E-2</v>
      </c>
      <c r="AJ58" s="16">
        <f t="shared" si="19"/>
        <v>6.7660623703272346E-2</v>
      </c>
      <c r="AM58" s="16">
        <v>12</v>
      </c>
      <c r="AN58" s="17">
        <v>100</v>
      </c>
      <c r="AO58" s="17">
        <f t="shared" si="25"/>
        <v>0.35708615799328297</v>
      </c>
      <c r="AP58" s="17">
        <f>(AO58-AO57)*(INDEX([3]小r将兵属性验证!$AC$7:$AC$166,$AN58,1)*[3]战法技能效用!$AH$4+INDEX([3]小r将兵属性验证!$AX$7:$AX$166,$AN58,1)*[3]战法技能效用!$AI$4)+AP57</f>
        <v>45662291376.322937</v>
      </c>
      <c r="AQ58" s="17">
        <f t="shared" si="23"/>
        <v>45662291376.322937</v>
      </c>
      <c r="AU58" s="16">
        <v>70</v>
      </c>
      <c r="AV58" s="16">
        <f>投放验证!$Q71</f>
        <v>249164.07252925762</v>
      </c>
      <c r="AY58" s="17">
        <v>100</v>
      </c>
      <c r="AZ58" s="17">
        <f t="shared" si="26"/>
        <v>1047452.7301136302</v>
      </c>
      <c r="BA58" s="17">
        <f t="shared" si="24"/>
        <v>1047452.7301136302</v>
      </c>
      <c r="BB58" s="16">
        <f t="shared" si="27"/>
        <v>43593.653502024274</v>
      </c>
      <c r="BU58" s="16">
        <v>0</v>
      </c>
      <c r="BV58" s="16">
        <v>0</v>
      </c>
      <c r="BW58" s="16">
        <v>0</v>
      </c>
      <c r="BX58" s="16">
        <v>0</v>
      </c>
      <c r="BY58" s="16">
        <v>0</v>
      </c>
    </row>
    <row r="59" spans="2:77">
      <c r="B59" s="176"/>
      <c r="C59" s="17">
        <v>4</v>
      </c>
      <c r="D59" s="31">
        <f t="shared" ref="D59:G59" si="36">D35+D47</f>
        <v>0.1</v>
      </c>
      <c r="E59" s="31">
        <f t="shared" si="36"/>
        <v>0.15</v>
      </c>
      <c r="F59" s="31">
        <f t="shared" si="36"/>
        <v>0.30000000000000004</v>
      </c>
      <c r="G59" s="31">
        <f t="shared" si="36"/>
        <v>0.45999999999999996</v>
      </c>
      <c r="H59" s="31">
        <f t="shared" ref="H59" si="37">H35+H47</f>
        <v>0.60000000000000009</v>
      </c>
      <c r="L59" s="16">
        <v>4</v>
      </c>
      <c r="M59" s="17">
        <f>基础状态预期!$C70</f>
        <v>60</v>
      </c>
      <c r="N59" s="17">
        <f>IF(基础状态预期!I70=0,0,求节点($C$67:$C$72,D$67:D$72,基础状态预期!M70))</f>
        <v>0</v>
      </c>
      <c r="O59" s="17">
        <f>IF(基础状态预期!J70=0,0,求节点($C$67:$C$72,E$67:E$72,基础状态预期!N70))</f>
        <v>0</v>
      </c>
      <c r="P59" s="17">
        <f>IF(基础状态预期!K70=0,0,求节点($C$67:$C$72,F$67:F$72,基础状态预期!O70))</f>
        <v>1.1707459795016302</v>
      </c>
      <c r="Q59" s="17">
        <f>IF(基础状态预期!L70=0,0,求节点($C$67:$C$72,G$67:G$72,基础状态预期!P70))</f>
        <v>1.3361068610914304</v>
      </c>
      <c r="R59" s="17">
        <f>IF(基础状态预期!I70=0,0,求节点($C$79:$C$84,D$79:D$84,基础状态预期!M70))</f>
        <v>0</v>
      </c>
      <c r="S59" s="17">
        <f>IF(基础状态预期!J70=0,0,求节点($C$79:$C$84,E$79:E$84,基础状态预期!N70))</f>
        <v>0</v>
      </c>
      <c r="T59" s="17">
        <f>IF(基础状态预期!K70=0,0,求节点($C$79:$C$84,F$79:F$84,基础状态预期!O70))</f>
        <v>3.4149195900326035</v>
      </c>
      <c r="U59" s="17">
        <f>IF(基础状态预期!L70=0,0,求节点($C$79:$C$84,G$79:G$84,基础状态预期!P70))</f>
        <v>6.722137221828608</v>
      </c>
      <c r="V59" s="17">
        <f>MAX(SUMPRODUCT(R59:U59,基础状态预期!I70:L70),V58)</f>
        <v>27.628798830090176</v>
      </c>
      <c r="W59" s="17">
        <f>求节点($C$55:$C$60,D$55:D$60,基础状态预期!M70)</f>
        <v>0.02</v>
      </c>
      <c r="X59" s="17">
        <f>求节点($C$55:$C$60,E$55:E$60,基础状态预期!N70)</f>
        <v>0.12</v>
      </c>
      <c r="Y59" s="17">
        <f>求节点($C$55:$C$60,F$55:F$60,基础状态预期!O70)</f>
        <v>7.0244758770097809E-2</v>
      </c>
      <c r="Z59" s="17">
        <f>求节点($C$55:$C$60,G$55:G$60,基础状态预期!P70)</f>
        <v>0.12024961749822874</v>
      </c>
      <c r="AA59" s="17">
        <f>MAX(SUMPRODUCT(W59:Z59,基础状态预期!I70:L70)/6,AA58)</f>
        <v>8.8235649808400152E-2</v>
      </c>
      <c r="AE59" s="16">
        <v>54</v>
      </c>
      <c r="AF59" s="16">
        <f t="shared" si="15"/>
        <v>2.8757069344128326E-2</v>
      </c>
      <c r="AG59" s="16">
        <f t="shared" si="16"/>
        <v>2.8197213871281778E-2</v>
      </c>
      <c r="AH59" s="16">
        <f t="shared" si="17"/>
        <v>3.5294259923360063E-2</v>
      </c>
      <c r="AI59" s="16">
        <f t="shared" si="18"/>
        <v>6.5023656382803052E-2</v>
      </c>
      <c r="AJ59" s="16">
        <f t="shared" si="19"/>
        <v>9.0214164937696462E-2</v>
      </c>
      <c r="AM59" s="16">
        <v>13</v>
      </c>
      <c r="AN59" s="17">
        <v>110</v>
      </c>
      <c r="AO59" s="17">
        <f t="shared" si="25"/>
        <v>0.56000000000000005</v>
      </c>
      <c r="AP59" s="17">
        <f>(AO59-AO58)*(INDEX([3]小r将兵属性验证!$AC$7:$AC$166,$AN59,1)*[3]战法技能效用!$AH$4+INDEX([3]小r将兵属性验证!$AX$7:$AX$166,$AN59,1)*[3]战法技能效用!$AI$4)+AP58</f>
        <v>123139027576.3432</v>
      </c>
      <c r="AQ59" s="17">
        <f t="shared" si="23"/>
        <v>123139027576.3432</v>
      </c>
      <c r="AU59" s="16">
        <v>75</v>
      </c>
      <c r="AV59" s="16">
        <f>投放验证!$Q72</f>
        <v>335220.26359222329</v>
      </c>
      <c r="AY59" s="17">
        <v>110</v>
      </c>
      <c r="AZ59" s="17">
        <f t="shared" si="26"/>
        <v>1947877.0333388925</v>
      </c>
      <c r="BA59" s="17">
        <f t="shared" si="24"/>
        <v>1947877.0333388925</v>
      </c>
      <c r="BB59" s="16">
        <f t="shared" si="27"/>
        <v>63217.043719268193</v>
      </c>
      <c r="BU59" s="16">
        <v>0</v>
      </c>
      <c r="BV59" s="16">
        <v>0</v>
      </c>
      <c r="BW59" s="16">
        <v>63.249950631316821</v>
      </c>
      <c r="BX59" s="16">
        <v>5.7556629530976879</v>
      </c>
      <c r="BY59" s="16">
        <v>255.38694859736401</v>
      </c>
    </row>
    <row r="60" spans="2:77">
      <c r="B60" s="176"/>
      <c r="C60" s="17">
        <v>5</v>
      </c>
      <c r="D60" s="31">
        <f t="shared" ref="D60:G60" si="38">D36+D48</f>
        <v>0.12000000000000001</v>
      </c>
      <c r="E60" s="31">
        <f t="shared" si="38"/>
        <v>0.18</v>
      </c>
      <c r="F60" s="31">
        <f t="shared" si="38"/>
        <v>0.36000000000000004</v>
      </c>
      <c r="G60" s="31">
        <f t="shared" si="38"/>
        <v>0.56000000000000005</v>
      </c>
      <c r="H60" s="31">
        <f t="shared" ref="H60" si="39">H36+H48</f>
        <v>0.73</v>
      </c>
      <c r="L60" s="16">
        <v>5</v>
      </c>
      <c r="M60" s="17">
        <f>基础状态预期!$C71</f>
        <v>70</v>
      </c>
      <c r="N60" s="17">
        <f>IF(基础状态预期!I71=0,0,求节点($C$67:$C$72,D$67:D$72,基础状态预期!M71))</f>
        <v>0</v>
      </c>
      <c r="O60" s="17">
        <f>IF(基础状态预期!J71=0,0,求节点($C$67:$C$72,E$67:E$72,基础状态预期!N71))</f>
        <v>0</v>
      </c>
      <c r="P60" s="17">
        <f>IF(基础状态预期!K71=0,0,求节点($C$67:$C$72,F$67:F$72,基础状态预期!O71))</f>
        <v>2.3488769363288999</v>
      </c>
      <c r="Q60" s="17">
        <f>IF(基础状态预期!L71=0,0,求节点($C$67:$C$72,G$67:G$72,基础状态预期!P71))</f>
        <v>1.3361068610914304</v>
      </c>
      <c r="R60" s="17">
        <f>IF(基础状态预期!I71=0,0,求节点($C$79:$C$84,D$79:D$84,基础状态预期!M71))</f>
        <v>0</v>
      </c>
      <c r="S60" s="17">
        <f>IF(基础状态预期!J71=0,0,求节点($C$79:$C$84,E$79:E$84,基础状态预期!N71))</f>
        <v>0</v>
      </c>
      <c r="T60" s="17">
        <f>IF(基础状态预期!K71=0,0,求节点($C$79:$C$84,F$79:F$84,基础状态预期!O71))</f>
        <v>54.887693632889992</v>
      </c>
      <c r="U60" s="17">
        <f>IF(基础状态预期!L71=0,0,求节点($C$79:$C$84,G$79:G$84,基础状态预期!P71))</f>
        <v>6.722137221828608</v>
      </c>
      <c r="V60" s="17">
        <f>MAX(SUMPRODUCT(R60:U60,基础状态预期!I71:L71),V59)</f>
        <v>121.93459041021742</v>
      </c>
      <c r="W60" s="17">
        <f>求节点($C$55:$C$60,D$55:D$60,基础状态预期!M71)</f>
        <v>0.02</v>
      </c>
      <c r="X60" s="17">
        <f>求节点($C$55:$C$60,E$55:E$60,基础状态预期!N71)</f>
        <v>0.12</v>
      </c>
      <c r="Y60" s="17">
        <f>求节点($C$55:$C$60,F$55:F$60,基础状态预期!O71)</f>
        <v>0.14093261617973399</v>
      </c>
      <c r="Z60" s="17">
        <f>求节点($C$55:$C$60,G$55:G$60,基础状态预期!P71)</f>
        <v>0.12024961749822874</v>
      </c>
      <c r="AA60" s="17">
        <f>MAX(SUMPRODUCT(W60:Z60,基础状态预期!I71:L71)/6,AA59)</f>
        <v>0.12608978409122082</v>
      </c>
      <c r="AE60" s="16">
        <v>55</v>
      </c>
      <c r="AF60" s="16">
        <f t="shared" si="15"/>
        <v>3.594633668016041E-2</v>
      </c>
      <c r="AG60" s="16">
        <f t="shared" si="16"/>
        <v>3.5246517339102224E-2</v>
      </c>
      <c r="AH60" s="16">
        <f t="shared" si="17"/>
        <v>4.4117824904200076E-2</v>
      </c>
      <c r="AI60" s="16">
        <f t="shared" si="18"/>
        <v>8.1279570478503815E-2</v>
      </c>
      <c r="AJ60" s="16">
        <f t="shared" si="19"/>
        <v>0.11276770617212058</v>
      </c>
      <c r="AM60" s="16">
        <v>14</v>
      </c>
      <c r="AN60" s="17">
        <v>120</v>
      </c>
      <c r="AO60" s="17">
        <f t="shared" si="25"/>
        <v>0.56000000000000005</v>
      </c>
      <c r="AP60" s="17">
        <f>(AO60-AO59)*(INDEX([3]小r将兵属性验证!$AC$7:$AC$166,$AN60,1)*[3]战法技能效用!$AH$4+INDEX([3]小r将兵属性验证!$AX$7:$AX$166,$AN60,1)*[3]战法技能效用!$AI$4)+AP59</f>
        <v>123139027576.3432</v>
      </c>
      <c r="AQ60" s="17">
        <f t="shared" si="23"/>
        <v>123139027576.3432</v>
      </c>
      <c r="AU60" s="16">
        <v>80</v>
      </c>
      <c r="AV60" s="16">
        <f>投放验证!$Q73</f>
        <v>457438.22555200127</v>
      </c>
      <c r="AY60" s="17">
        <v>120</v>
      </c>
      <c r="AZ60" s="17">
        <f t="shared" si="26"/>
        <v>3695694.313176956</v>
      </c>
      <c r="BA60" s="17">
        <f t="shared" si="24"/>
        <v>3695694.313176956</v>
      </c>
      <c r="BB60" s="16">
        <f t="shared" si="27"/>
        <v>33319.592244762345</v>
      </c>
      <c r="BU60" s="16">
        <v>0</v>
      </c>
      <c r="BV60" s="16">
        <v>0</v>
      </c>
      <c r="BW60" s="16">
        <v>1610</v>
      </c>
      <c r="BX60" s="16">
        <v>6.4999107280457782</v>
      </c>
      <c r="BY60" s="16">
        <v>2755.638709218149</v>
      </c>
    </row>
    <row r="61" spans="2:77">
      <c r="B61" s="176"/>
      <c r="C61" s="17"/>
      <c r="D61" s="31"/>
      <c r="E61" s="31"/>
      <c r="F61" s="31"/>
      <c r="G61" s="31"/>
      <c r="H61" s="31"/>
      <c r="L61" s="16">
        <v>6</v>
      </c>
      <c r="M61" s="17">
        <f>基础状态预期!$C72</f>
        <v>75</v>
      </c>
      <c r="N61" s="17">
        <f>IF(基础状态预期!I72=0,0,求节点($C$67:$C$72,D$67:D$72,基础状态预期!M72))</f>
        <v>0</v>
      </c>
      <c r="O61" s="17">
        <f>IF(基础状态预期!J72=0,0,求节点($C$67:$C$72,E$67:E$72,基础状态预期!N72))</f>
        <v>0</v>
      </c>
      <c r="P61" s="17">
        <f>IF(基础状态预期!K72=0,0,求节点($C$67:$C$72,F$67:F$72,基础状态预期!O72))</f>
        <v>3.1941359293145841</v>
      </c>
      <c r="Q61" s="17">
        <f>IF(基础状态预期!L72=0,0,求节点($C$67:$C$72,G$67:G$72,基础状态预期!P72))</f>
        <v>1.3782259254248106</v>
      </c>
      <c r="R61" s="17">
        <f>IF(基础状态预期!I72=0,0,求节点($C$79:$C$84,D$79:D$84,基础状态预期!M72))</f>
        <v>0</v>
      </c>
      <c r="S61" s="17">
        <f>IF(基础状态预期!J72=0,0,求节点($C$79:$C$84,E$79:E$84,基础状态预期!N72))</f>
        <v>0</v>
      </c>
      <c r="T61" s="17">
        <f>IF(基础状态预期!K72=0,0,求节点($C$79:$C$84,F$79:F$84,基础状态预期!O72))</f>
        <v>193.77165313954197</v>
      </c>
      <c r="U61" s="17">
        <f>IF(基础状态预期!L72=0,0,求节点($C$79:$C$84,G$79:G$84,基础状态预期!P72))</f>
        <v>7.5645185084962119</v>
      </c>
      <c r="V61" s="17">
        <f>MAX(SUMPRODUCT(R61:U61,基础状态预期!I72:L72),V60)</f>
        <v>133.30262465763278</v>
      </c>
      <c r="W61" s="17">
        <f>求节点($C$55:$C$60,D$55:D$60,基础状态预期!M72)</f>
        <v>0.02</v>
      </c>
      <c r="X61" s="17">
        <f>求节点($C$55:$C$60,E$55:E$60,基础状态预期!N72)</f>
        <v>0.12</v>
      </c>
      <c r="Y61" s="17">
        <f>求节点($C$55:$C$60,F$55:F$60,基础状态预期!O72)</f>
        <v>0.19164815575887503</v>
      </c>
      <c r="Z61" s="17">
        <f>求节点($C$55:$C$60,G$55:G$60,基础状态预期!P72)</f>
        <v>0.12404033328823294</v>
      </c>
      <c r="AA61" s="17">
        <f>MAX(SUMPRODUCT(W61:Z61,基础状态预期!I72:L72)/6,AA60)</f>
        <v>0.12936037329646641</v>
      </c>
      <c r="AE61" s="16">
        <v>56</v>
      </c>
      <c r="AF61" s="16">
        <f t="shared" si="15"/>
        <v>4.3135604016192486E-2</v>
      </c>
      <c r="AG61" s="16">
        <f t="shared" si="16"/>
        <v>4.2295820806922665E-2</v>
      </c>
      <c r="AH61" s="16">
        <f t="shared" si="17"/>
        <v>5.2941389885040095E-2</v>
      </c>
      <c r="AI61" s="16">
        <f t="shared" si="18"/>
        <v>9.7535484574204578E-2</v>
      </c>
      <c r="AJ61" s="16">
        <f t="shared" si="19"/>
        <v>0.13532124740654469</v>
      </c>
      <c r="AM61" s="16">
        <v>15</v>
      </c>
      <c r="AN61" s="17">
        <v>130</v>
      </c>
      <c r="AO61" s="17">
        <f t="shared" si="25"/>
        <v>0.56000000000000005</v>
      </c>
      <c r="AP61" s="17">
        <f>(AO61-AO60)*(INDEX([3]小r将兵属性验证!$AC$7:$AC$166,$AN61,1)*[3]战法技能效用!$AH$4+INDEX([3]小r将兵属性验证!$AX$7:$AX$166,$AN61,1)*[3]战法技能效用!$AI$4)+AP60</f>
        <v>123139027576.3432</v>
      </c>
      <c r="AQ61" s="17">
        <f t="shared" si="23"/>
        <v>123139027576.3432</v>
      </c>
      <c r="AU61" s="16">
        <v>85</v>
      </c>
      <c r="AV61" s="16">
        <f>投放验证!$Q74</f>
        <v>619384.13258078357</v>
      </c>
      <c r="AY61" s="17">
        <v>130</v>
      </c>
      <c r="AZ61" s="17">
        <f t="shared" si="26"/>
        <v>7060361.1984763565</v>
      </c>
      <c r="BA61" s="17">
        <f t="shared" si="24"/>
        <v>7060361.1984763565</v>
      </c>
      <c r="BB61" s="16">
        <f t="shared" si="27"/>
        <v>17440.896310363965</v>
      </c>
      <c r="BU61" s="16">
        <v>0</v>
      </c>
      <c r="BV61" s="16">
        <v>0</v>
      </c>
      <c r="BW61" s="16">
        <v>1610</v>
      </c>
      <c r="BX61" s="16">
        <v>7.9691225557557956</v>
      </c>
      <c r="BY61" s="16">
        <v>2755.638709218149</v>
      </c>
    </row>
    <row r="62" spans="2:77">
      <c r="B62" s="176"/>
      <c r="C62" s="17"/>
      <c r="D62" s="31"/>
      <c r="E62" s="31"/>
      <c r="F62" s="31"/>
      <c r="G62" s="31"/>
      <c r="H62" s="31"/>
      <c r="L62" s="16">
        <v>7</v>
      </c>
      <c r="M62" s="17">
        <f>基础状态预期!$C73</f>
        <v>80</v>
      </c>
      <c r="N62" s="17">
        <f>IF(基础状态预期!I73=0,0,求节点($C$67:$C$72,D$67:D$72,基础状态预期!M73))</f>
        <v>0</v>
      </c>
      <c r="O62" s="17">
        <f>IF(基础状态预期!J73=0,0,求节点($C$67:$C$72,E$67:E$72,基础状态预期!N73))</f>
        <v>0</v>
      </c>
      <c r="P62" s="17">
        <f>IF(基础状态预期!K73=0,0,求节点($C$67:$C$72,F$67:F$72,基础状态预期!O73))</f>
        <v>0</v>
      </c>
      <c r="Q62" s="17">
        <f>IF(基础状态预期!L73=0,0,求节点($C$67:$C$72,G$67:G$72,基础状态预期!P73))</f>
        <v>1.7327205513333379</v>
      </c>
      <c r="R62" s="17">
        <f>IF(基础状态预期!I73=0,0,求节点($C$79:$C$84,D$79:D$84,基础状态预期!M73))</f>
        <v>0</v>
      </c>
      <c r="S62" s="17">
        <f>IF(基础状态预期!J73=0,0,求节点($C$79:$C$84,E$79:E$84,基础状态预期!N73))</f>
        <v>0</v>
      </c>
      <c r="T62" s="17">
        <f>IF(基础状态预期!K73=0,0,求节点($C$79:$C$84,F$79:F$84,基础状态预期!O73))</f>
        <v>0</v>
      </c>
      <c r="U62" s="17">
        <f>IF(基础状态预期!L73=0,0,求节点($C$79:$C$84,G$79:G$84,基础状态预期!P73))</f>
        <v>14.654411026666757</v>
      </c>
      <c r="V62" s="17">
        <f>MAX(SUMPRODUCT(R62:U62,基础状态预期!I73:L73),V61)</f>
        <v>133.30262465763278</v>
      </c>
      <c r="W62" s="17">
        <f>求节点($C$55:$C$60,D$55:D$60,基础状态预期!M73)</f>
        <v>0.02</v>
      </c>
      <c r="X62" s="17">
        <f>求节点($C$55:$C$60,E$55:E$60,基础状态预期!N73)</f>
        <v>0.12</v>
      </c>
      <c r="Y62" s="17">
        <f>求节点($C$55:$C$60,F$55:F$60,基础状态预期!O73)</f>
        <v>0.26367775443000069</v>
      </c>
      <c r="Z62" s="17">
        <f>求节点($C$55:$C$60,G$55:G$60,基础状态预期!P73)</f>
        <v>0.15594484962000041</v>
      </c>
      <c r="AA62" s="17">
        <f>MAX(SUMPRODUCT(W62:Z62,基础状态预期!I73:L73)/6,AA61)</f>
        <v>0.15594484962000041</v>
      </c>
      <c r="AE62" s="16">
        <v>57</v>
      </c>
      <c r="AF62" s="16">
        <f t="shared" si="15"/>
        <v>5.0324871352224569E-2</v>
      </c>
      <c r="AG62" s="16">
        <f t="shared" si="16"/>
        <v>4.9345124274743114E-2</v>
      </c>
      <c r="AH62" s="16">
        <f t="shared" si="17"/>
        <v>6.1764954865880115E-2</v>
      </c>
      <c r="AI62" s="16">
        <f t="shared" si="18"/>
        <v>0.11379139866990534</v>
      </c>
      <c r="AJ62" s="16">
        <f t="shared" si="19"/>
        <v>0.15787478864096882</v>
      </c>
      <c r="AM62" s="16">
        <v>16</v>
      </c>
      <c r="AN62" s="17">
        <v>140</v>
      </c>
      <c r="AO62" s="17">
        <f t="shared" si="25"/>
        <v>0.56000000000000005</v>
      </c>
      <c r="AP62" s="17">
        <f>(AO62-AO61)*(INDEX([3]小r将兵属性验证!$AC$7:$AC$166,$AN62,1)*[3]战法技能效用!$AH$4+INDEX([3]小r将兵属性验证!$AX$7:$AX$166,$AN62,1)*[3]战法技能效用!$AI$4)+AP61</f>
        <v>123139027576.3432</v>
      </c>
      <c r="AQ62" s="17">
        <f t="shared" si="23"/>
        <v>123139027576.3432</v>
      </c>
      <c r="AU62" s="16">
        <v>90</v>
      </c>
      <c r="AV62" s="16">
        <f>投放验证!$Q75</f>
        <v>839921.75236592523</v>
      </c>
      <c r="AY62" s="17">
        <v>140</v>
      </c>
      <c r="AZ62" s="17">
        <f t="shared" si="26"/>
        <v>13669308.116031185</v>
      </c>
      <c r="BA62" s="17">
        <f t="shared" si="24"/>
        <v>13669308.116031185</v>
      </c>
      <c r="BB62" s="16">
        <f t="shared" si="27"/>
        <v>9008.4316288055106</v>
      </c>
      <c r="BU62" s="16">
        <v>0</v>
      </c>
      <c r="BV62" s="16">
        <v>0</v>
      </c>
      <c r="BW62" s="16">
        <v>0</v>
      </c>
      <c r="BX62" s="16">
        <v>14.309756115826566</v>
      </c>
      <c r="BY62" s="16">
        <v>2755.638709218149</v>
      </c>
    </row>
    <row r="63" spans="2:77">
      <c r="B63" s="177"/>
      <c r="C63" s="17"/>
      <c r="D63" s="31"/>
      <c r="E63" s="31"/>
      <c r="F63" s="31"/>
      <c r="G63" s="31"/>
      <c r="H63" s="31"/>
      <c r="L63" s="16">
        <v>8</v>
      </c>
      <c r="M63" s="17">
        <f>基础状态预期!$C74</f>
        <v>85</v>
      </c>
      <c r="N63" s="17">
        <f>IF(基础状态预期!I74=0,0,求节点($C$67:$C$72,D$67:D$72,基础状态预期!M74))</f>
        <v>0</v>
      </c>
      <c r="O63" s="17">
        <f>IF(基础状态预期!J74=0,0,求节点($C$67:$C$72,E$67:E$72,基础状态预期!N74))</f>
        <v>0</v>
      </c>
      <c r="P63" s="17">
        <f>IF(基础状态预期!K74=0,0,求节点($C$67:$C$72,F$67:F$72,基础状态预期!O74))</f>
        <v>0</v>
      </c>
      <c r="Q63" s="17">
        <f>IF(基础状态预期!L74=0,0,求节点($C$67:$C$72,G$67:G$72,基础状态预期!P74))</f>
        <v>2.3461520173514527</v>
      </c>
      <c r="R63" s="17">
        <f>IF(基础状态预期!I74=0,0,求节点($C$79:$C$84,D$79:D$84,基础状态预期!M74))</f>
        <v>0</v>
      </c>
      <c r="S63" s="17">
        <f>IF(基础状态预期!J74=0,0,求节点($C$79:$C$84,E$79:E$84,基础状态预期!N74))</f>
        <v>0</v>
      </c>
      <c r="T63" s="17">
        <f>IF(基础状态预期!K74=0,0,求节点($C$79:$C$84,F$79:F$84,基础状态预期!O74))</f>
        <v>0</v>
      </c>
      <c r="U63" s="17">
        <f>IF(基础状态预期!L74=0,0,求节点($C$79:$C$84,G$79:G$84,基础状态预期!P74))</f>
        <v>54.615201735145277</v>
      </c>
      <c r="V63" s="17">
        <f>MAX(SUMPRODUCT(R63:U63,基础状态预期!I74:L74),V62)</f>
        <v>327.69121041087169</v>
      </c>
      <c r="W63" s="17">
        <f>求节点($C$55:$C$60,D$55:D$60,基础状态预期!M74)</f>
        <v>0.02</v>
      </c>
      <c r="X63" s="17">
        <f>求节点($C$55:$C$60,E$55:E$60,基础状态预期!N74)</f>
        <v>0.12</v>
      </c>
      <c r="Y63" s="17">
        <f>求节点($C$55:$C$60,F$55:F$60,基础状态预期!O74)</f>
        <v>0.35973585198150149</v>
      </c>
      <c r="Z63" s="17">
        <f>求节点($C$55:$C$60,G$55:G$60,基础状态预期!P74)</f>
        <v>0.21115368156163075</v>
      </c>
      <c r="AA63" s="17">
        <f>MAX(SUMPRODUCT(W63:Z63,基础状态预期!I74:L74)/6,AA62)</f>
        <v>0.21115368156163075</v>
      </c>
      <c r="AE63" s="16">
        <v>58</v>
      </c>
      <c r="AF63" s="16">
        <f t="shared" si="15"/>
        <v>5.7514138688256652E-2</v>
      </c>
      <c r="AG63" s="16">
        <f t="shared" si="16"/>
        <v>5.6394427742563556E-2</v>
      </c>
      <c r="AH63" s="16">
        <f t="shared" si="17"/>
        <v>7.0588519846720127E-2</v>
      </c>
      <c r="AI63" s="16">
        <f t="shared" si="18"/>
        <v>0.1300473127656061</v>
      </c>
      <c r="AJ63" s="16">
        <f t="shared" si="19"/>
        <v>0.18042832987539292</v>
      </c>
      <c r="AM63" s="16">
        <v>17</v>
      </c>
      <c r="AN63" s="17">
        <v>150</v>
      </c>
      <c r="AO63" s="17">
        <f t="shared" si="25"/>
        <v>0.56000000000000005</v>
      </c>
      <c r="AP63" s="17">
        <f>(AO63-AO62)*(INDEX([3]小r将兵属性验证!$AC$7:$AC$166,$AN63,1)*[3]战法技能效用!$AH$4+INDEX([3]小r将兵属性验证!$AX$7:$AX$166,$AN63,1)*[3]战法技能效用!$AI$4)+AP62</f>
        <v>123139027576.3432</v>
      </c>
      <c r="AQ63" s="17">
        <f t="shared" si="23"/>
        <v>123139027576.3432</v>
      </c>
      <c r="AU63" s="16">
        <v>95</v>
      </c>
      <c r="AV63" s="16">
        <f>投放验证!$Q76</f>
        <v>1140473.4252615056</v>
      </c>
      <c r="AY63" s="17">
        <v>150</v>
      </c>
      <c r="AZ63" s="17">
        <f t="shared" si="26"/>
        <v>26583503.319407489</v>
      </c>
      <c r="BA63" s="17">
        <f t="shared" si="24"/>
        <v>26583503.319407489</v>
      </c>
      <c r="BB63" s="16">
        <f t="shared" si="27"/>
        <v>4632.1595049680536</v>
      </c>
      <c r="BU63" s="16">
        <v>0</v>
      </c>
      <c r="BV63" s="16">
        <v>0</v>
      </c>
      <c r="BW63" s="16">
        <v>0</v>
      </c>
      <c r="BX63" s="16">
        <v>61.125853208159526</v>
      </c>
      <c r="BY63" s="16">
        <v>2755.638709218149</v>
      </c>
    </row>
    <row r="64" spans="2:77">
      <c r="B64" s="28"/>
      <c r="D64" s="35"/>
      <c r="E64" s="35"/>
      <c r="F64" s="35"/>
      <c r="G64" s="35"/>
      <c r="H64" s="35"/>
      <c r="L64" s="16">
        <v>9</v>
      </c>
      <c r="M64" s="17">
        <f>基础状态预期!$C75</f>
        <v>90</v>
      </c>
      <c r="N64" s="17">
        <f>IF(基础状态预期!I75=0,0,求节点($C$67:$C$72,D$67:D$72,基础状态预期!M75))</f>
        <v>0</v>
      </c>
      <c r="O64" s="17">
        <f>IF(基础状态预期!J75=0,0,求节点($C$67:$C$72,E$67:E$72,基础状态预期!N75))</f>
        <v>0</v>
      </c>
      <c r="P64" s="17">
        <f>IF(基础状态预期!K75=0,0,求节点($C$67:$C$72,F$67:F$72,基础状态预期!O75))</f>
        <v>0</v>
      </c>
      <c r="Q64" s="17">
        <f>IF(基础状态预期!L75=0,0,求节点($C$67:$C$72,G$67:G$72,基础状态预期!P75))</f>
        <v>3.1815217892648682</v>
      </c>
      <c r="R64" s="17">
        <f>IF(基础状态预期!I75=0,0,求节点($C$79:$C$84,D$79:D$84,基础状态预期!M75))</f>
        <v>0</v>
      </c>
      <c r="S64" s="17">
        <f>IF(基础状态预期!J75=0,0,求节点($C$79:$C$84,E$79:E$84,基础状态预期!N75))</f>
        <v>0</v>
      </c>
      <c r="T64" s="17">
        <f>IF(基础状态预期!K75=0,0,求节点($C$79:$C$84,F$79:F$84,基础状态预期!O75))</f>
        <v>0</v>
      </c>
      <c r="U64" s="17">
        <f>IF(基础状态预期!L75=0,0,求节点($C$79:$C$84,G$79:G$84,基础状态预期!P75))</f>
        <v>188.97827992064992</v>
      </c>
      <c r="V64" s="17">
        <f>MAX(SUMPRODUCT(R64:U64,基础状态预期!I75:L75),V63)</f>
        <v>1133.8696795238995</v>
      </c>
      <c r="W64" s="17">
        <f>求节点($C$55:$C$60,D$55:D$60,基础状态预期!M75)</f>
        <v>0.02</v>
      </c>
      <c r="X64" s="17">
        <f>求节点($C$55:$C$60,E$55:E$60,基础状态预期!N75)</f>
        <v>0.12</v>
      </c>
      <c r="Y64" s="17">
        <f>求节点($C$55:$C$60,F$55:F$60,基础状态预期!O75)</f>
        <v>0.36000000000000004</v>
      </c>
      <c r="Z64" s="17">
        <f>求节点($C$55:$C$60,G$55:G$60,基础状态预期!P75)</f>
        <v>0.28633696103383816</v>
      </c>
      <c r="AA64" s="17">
        <f>MAX(SUMPRODUCT(W64:Z64,基础状态预期!I75:L75)/6,AA63)</f>
        <v>0.28633696103383816</v>
      </c>
      <c r="AE64" s="16">
        <v>59</v>
      </c>
      <c r="AF64" s="16">
        <f t="shared" si="15"/>
        <v>6.4703406024288729E-2</v>
      </c>
      <c r="AG64" s="16">
        <f t="shared" si="16"/>
        <v>6.3443731210384005E-2</v>
      </c>
      <c r="AH64" s="16">
        <f t="shared" si="17"/>
        <v>7.9412084827560139E-2</v>
      </c>
      <c r="AI64" s="16">
        <f t="shared" si="18"/>
        <v>0.14630322686130687</v>
      </c>
      <c r="AJ64" s="16">
        <f t="shared" si="19"/>
        <v>0.20298187110981702</v>
      </c>
      <c r="AM64" s="16">
        <v>18</v>
      </c>
      <c r="AN64" s="17">
        <v>160</v>
      </c>
      <c r="AO64" s="17">
        <f t="shared" si="25"/>
        <v>0.56000000000000005</v>
      </c>
      <c r="AP64" s="17">
        <f>(AO64-AO63)*(INDEX([3]小r将兵属性验证!$AC$7:$AC$166,$AN64,1)*[3]战法技能效用!$AH$4+INDEX([3]小r将兵属性验证!$AX$7:$AX$166,$AN64,1)*[3]战法技能效用!$AI$4)+AP63</f>
        <v>123139027576.3432</v>
      </c>
      <c r="AQ64" s="17">
        <f t="shared" si="23"/>
        <v>123139027576.3432</v>
      </c>
      <c r="AU64" s="16">
        <v>100</v>
      </c>
      <c r="AV64" s="16">
        <f>投放验证!$Q77</f>
        <v>1586266.4076766092</v>
      </c>
      <c r="AY64" s="17">
        <v>160</v>
      </c>
      <c r="AZ64" s="17">
        <f t="shared" si="26"/>
        <v>61491846.272423699</v>
      </c>
      <c r="BA64" s="17">
        <f t="shared" si="24"/>
        <v>61491846.272423699</v>
      </c>
      <c r="BB64" s="16">
        <f t="shared" si="27"/>
        <v>2002.5261077835853</v>
      </c>
      <c r="BU64" s="16">
        <v>0</v>
      </c>
      <c r="BV64" s="16">
        <v>0</v>
      </c>
      <c r="BW64" s="16">
        <v>0</v>
      </c>
      <c r="BX64" s="16">
        <v>232.38657576443211</v>
      </c>
      <c r="BY64" s="16">
        <v>2755.638709218149</v>
      </c>
    </row>
    <row r="65" spans="2:77">
      <c r="L65" s="16">
        <v>10</v>
      </c>
      <c r="M65" s="17">
        <f>基础状态预期!$C76</f>
        <v>95</v>
      </c>
      <c r="N65" s="17">
        <f>IF(基础状态预期!I76=0,0,求节点($C$67:$C$72,D$67:D$72,基础状态预期!M76))</f>
        <v>0</v>
      </c>
      <c r="O65" s="17">
        <f>IF(基础状态预期!J76=0,0,求节点($C$67:$C$72,E$67:E$72,基础状态预期!N76))</f>
        <v>0</v>
      </c>
      <c r="P65" s="17">
        <f>IF(基础状态预期!K76=0,0,求节点($C$67:$C$72,F$67:F$72,基础状态预期!O76))</f>
        <v>0</v>
      </c>
      <c r="Q65" s="17">
        <f>IF(基础状态预期!L76=0,0,求节点($C$67:$C$72,G$67:G$72,基础状态预期!P76))</f>
        <v>4.3199750956875214</v>
      </c>
      <c r="R65" s="17">
        <f>IF(基础状态预期!I76=0,0,求节点($C$79:$C$84,D$79:D$84,基础状态预期!M76))</f>
        <v>0</v>
      </c>
      <c r="S65" s="17">
        <f>IF(基础状态预期!J76=0,0,求节点($C$79:$C$84,E$79:E$84,基础状态预期!N76))</f>
        <v>0</v>
      </c>
      <c r="T65" s="17">
        <f>IF(基础状态预期!K76=0,0,求节点($C$79:$C$84,F$79:F$84,基础状态预期!O76))</f>
        <v>0</v>
      </c>
      <c r="U65" s="17">
        <f>IF(基础状态预期!L76=0,0,求节点($C$79:$C$84,G$79:G$84,基础状态预期!P76))</f>
        <v>890.36961673877613</v>
      </c>
      <c r="V65" s="17">
        <f>MAX(SUMPRODUCT(R65:U65,基础状态预期!I76:L76),V64)</f>
        <v>5342.2177004326568</v>
      </c>
      <c r="W65" s="17">
        <f>求节点($C$55:$C$60,D$55:D$60,基础状态预期!M76)</f>
        <v>0.02</v>
      </c>
      <c r="X65" s="17">
        <f>求节点($C$55:$C$60,E$55:E$60,基础状态预期!N76)</f>
        <v>0.12</v>
      </c>
      <c r="Y65" s="17">
        <f>求节点($C$55:$C$60,F$55:F$60,基础状态预期!O76)</f>
        <v>0.36000000000000004</v>
      </c>
      <c r="Z65" s="17">
        <f>求节点($C$55:$C$60,G$55:G$60,基础状态预期!P76)</f>
        <v>0.39199750956875212</v>
      </c>
      <c r="AA65" s="17">
        <f>MAX(SUMPRODUCT(W65:Z65,基础状态预期!I76:L76)/6,AA64)</f>
        <v>0.39199750956875218</v>
      </c>
      <c r="AE65" s="16">
        <v>60</v>
      </c>
      <c r="AF65" s="16">
        <f t="shared" si="15"/>
        <v>7.1892673360320819E-2</v>
      </c>
      <c r="AG65" s="16">
        <f t="shared" si="16"/>
        <v>7.0493034678204447E-2</v>
      </c>
      <c r="AH65" s="16">
        <f t="shared" si="17"/>
        <v>8.8235649808400152E-2</v>
      </c>
      <c r="AI65" s="16">
        <f t="shared" si="18"/>
        <v>0.16255914095700763</v>
      </c>
      <c r="AJ65" s="16">
        <f t="shared" si="19"/>
        <v>0.22553541234424115</v>
      </c>
      <c r="AM65" s="16">
        <v>19</v>
      </c>
      <c r="AU65" s="16">
        <v>105</v>
      </c>
      <c r="AV65" s="16">
        <f>投放验证!$Q78</f>
        <v>2174476.6403590385</v>
      </c>
      <c r="BU65" s="16">
        <v>0</v>
      </c>
      <c r="BV65" s="16">
        <v>0</v>
      </c>
      <c r="BW65" s="16">
        <v>0</v>
      </c>
      <c r="BX65" s="16">
        <v>958.24854219587405</v>
      </c>
      <c r="BY65" s="16">
        <v>5749.4912531752443</v>
      </c>
    </row>
    <row r="66" spans="2:77">
      <c r="B66" s="175" t="s">
        <v>403</v>
      </c>
      <c r="C66" s="17" t="s">
        <v>223</v>
      </c>
      <c r="D66" s="17" t="s">
        <v>1</v>
      </c>
      <c r="E66" s="17" t="s">
        <v>2</v>
      </c>
      <c r="F66" s="17" t="s">
        <v>0</v>
      </c>
      <c r="G66" s="17" t="s">
        <v>205</v>
      </c>
      <c r="H66" s="17" t="s">
        <v>29</v>
      </c>
      <c r="L66" s="16">
        <v>11</v>
      </c>
      <c r="M66" s="17">
        <f>基础状态预期!$C77</f>
        <v>100</v>
      </c>
      <c r="N66" s="17">
        <f>IF(基础状态预期!I77=0,0,求节点($C$67:$C$72,D$67:D$72,基础状态预期!M77))</f>
        <v>0</v>
      </c>
      <c r="O66" s="17">
        <f>IF(基础状态预期!J77=0,0,求节点($C$67:$C$72,E$67:E$72,基础状态预期!N77))</f>
        <v>0</v>
      </c>
      <c r="P66" s="17">
        <f>IF(基础状态预期!K77=0,0,求节点($C$67:$C$72,F$67:F$72,基础状态预期!O77))</f>
        <v>0</v>
      </c>
      <c r="Q66" s="17">
        <f>IF(基础状态预期!L77=0,0,求节点($C$67:$C$72,G$67:G$72,基础状态预期!P77))</f>
        <v>6</v>
      </c>
      <c r="R66" s="17">
        <f>IF(基础状态预期!I77=0,0,求节点($C$79:$C$84,D$79:D$84,基础状态预期!M77))</f>
        <v>0</v>
      </c>
      <c r="S66" s="17">
        <f>IF(基础状态预期!J77=0,0,求节点($C$79:$C$84,E$79:E$84,基础状态预期!N77))</f>
        <v>0</v>
      </c>
      <c r="T66" s="17">
        <f>IF(基础状态预期!K77=0,0,求节点($C$79:$C$84,F$79:F$84,基础状态预期!O77))</f>
        <v>0</v>
      </c>
      <c r="U66" s="17">
        <f>IF(基础状态预期!L77=0,0,求节点($C$79:$C$84,G$79:G$84,基础状态预期!P77))</f>
        <v>5040</v>
      </c>
      <c r="V66" s="17">
        <f>MAX(SUMPRODUCT(R66:U66,基础状态预期!I77:L77),V65)</f>
        <v>30240</v>
      </c>
      <c r="W66" s="17">
        <f>求节点($C$55:$C$60,D$55:D$60,基础状态预期!M77)</f>
        <v>0.02</v>
      </c>
      <c r="X66" s="17">
        <f>求节点($C$55:$C$60,E$55:E$60,基础状态预期!N77)</f>
        <v>0.12</v>
      </c>
      <c r="Y66" s="17">
        <f>求节点($C$55:$C$60,F$55:F$60,基础状态预期!O77)</f>
        <v>0.36000000000000004</v>
      </c>
      <c r="Z66" s="17">
        <f>求节点($C$55:$C$60,G$55:G$60,基础状态预期!P77)</f>
        <v>0.56000000000000005</v>
      </c>
      <c r="AA66" s="17">
        <f>MAX(SUMPRODUCT(W66:Z66,基础状态预期!I77:L77)/6,AA65)</f>
        <v>0.56000000000000005</v>
      </c>
      <c r="AE66" s="16">
        <v>61</v>
      </c>
      <c r="AF66" s="16">
        <f t="shared" si="15"/>
        <v>7.426866496989698E-2</v>
      </c>
      <c r="AG66" s="16">
        <f t="shared" si="16"/>
        <v>7.3076913607483335E-2</v>
      </c>
      <c r="AH66" s="16">
        <f t="shared" si="17"/>
        <v>9.2021063236682216E-2</v>
      </c>
      <c r="AI66" s="16">
        <f t="shared" si="18"/>
        <v>0.16927048623274063</v>
      </c>
      <c r="AJ66" s="16">
        <f t="shared" si="19"/>
        <v>0.23426967088101969</v>
      </c>
      <c r="AM66" s="16">
        <v>20</v>
      </c>
      <c r="AU66" s="16">
        <v>110</v>
      </c>
      <c r="AV66" s="16">
        <f>投放验证!$Q79</f>
        <v>3002920.3549717944</v>
      </c>
      <c r="BU66" s="16">
        <v>0</v>
      </c>
      <c r="BV66" s="16">
        <v>0</v>
      </c>
      <c r="BW66" s="16">
        <v>0</v>
      </c>
      <c r="BX66" s="16">
        <v>2415</v>
      </c>
      <c r="BY66" s="16">
        <v>14490</v>
      </c>
    </row>
    <row r="67" spans="2:77">
      <c r="B67" s="176"/>
      <c r="C67" s="17">
        <v>0</v>
      </c>
      <c r="D67" s="17">
        <f>IF(D5="","",SUM(D$5:D5))</f>
        <v>1</v>
      </c>
      <c r="E67" s="17">
        <f>SUM(E$5:E5)</f>
        <v>1</v>
      </c>
      <c r="F67" s="17">
        <f>SUM(F$5:F5)</f>
        <v>1</v>
      </c>
      <c r="G67" s="17">
        <f>SUM(G$5:G5)</f>
        <v>1</v>
      </c>
      <c r="H67" s="17">
        <f>SUM(H$5:H5)</f>
        <v>1</v>
      </c>
      <c r="L67" s="16">
        <v>12</v>
      </c>
      <c r="M67" s="17">
        <f>基础状态预期!$C78</f>
        <v>105</v>
      </c>
      <c r="N67" s="17">
        <f>IF(基础状态预期!I78=0,0,求节点($C$67:$C$72,D$67:D$72,基础状态预期!M78))</f>
        <v>0</v>
      </c>
      <c r="O67" s="17">
        <f>IF(基础状态预期!J78=0,0,求节点($C$67:$C$72,E$67:E$72,基础状态预期!N78))</f>
        <v>0</v>
      </c>
      <c r="P67" s="17">
        <f>IF(基础状态预期!K78=0,0,求节点($C$67:$C$72,F$67:F$72,基础状态预期!O78))</f>
        <v>0</v>
      </c>
      <c r="Q67" s="17">
        <f>IF(基础状态预期!L78=0,0,求节点($C$67:$C$72,G$67:G$72,基础状态预期!P78))</f>
        <v>6</v>
      </c>
      <c r="R67" s="17">
        <f>IF(基础状态预期!I78=0,0,求节点($C$79:$C$84,D$79:D$84,基础状态预期!M78))</f>
        <v>0</v>
      </c>
      <c r="S67" s="17">
        <f>IF(基础状态预期!J78=0,0,求节点($C$79:$C$84,E$79:E$84,基础状态预期!N78))</f>
        <v>0</v>
      </c>
      <c r="T67" s="17">
        <f>IF(基础状态预期!K78=0,0,求节点($C$79:$C$84,F$79:F$84,基础状态预期!O78))</f>
        <v>0</v>
      </c>
      <c r="U67" s="17">
        <f>IF(基础状态预期!L78=0,0,求节点($C$79:$C$84,G$79:G$84,基础状态预期!P78))</f>
        <v>5040</v>
      </c>
      <c r="V67" s="17">
        <f>MAX(SUMPRODUCT(R67:U67,基础状态预期!I78:L78),V66)</f>
        <v>30240</v>
      </c>
      <c r="W67" s="17">
        <f>求节点($C$55:$C$60,D$55:D$60,基础状态预期!M78)</f>
        <v>0.02</v>
      </c>
      <c r="X67" s="17">
        <f>求节点($C$55:$C$60,E$55:E$60,基础状态预期!N78)</f>
        <v>0.12</v>
      </c>
      <c r="Y67" s="17">
        <f>求节点($C$55:$C$60,F$55:F$60,基础状态预期!O78)</f>
        <v>0.36000000000000004</v>
      </c>
      <c r="Z67" s="17">
        <f>求节点($C$55:$C$60,G$55:G$60,基础状态预期!P78)</f>
        <v>0.56000000000000005</v>
      </c>
      <c r="AA67" s="17">
        <f>MAX(SUMPRODUCT(W67:Z67,基础状态预期!I78:L78)/6,AA66)</f>
        <v>0.56000000000000005</v>
      </c>
      <c r="AE67" s="16">
        <v>62</v>
      </c>
      <c r="AF67" s="16">
        <f t="shared" si="15"/>
        <v>7.6644656579473142E-2</v>
      </c>
      <c r="AG67" s="16">
        <f t="shared" si="16"/>
        <v>7.5660792536762209E-2</v>
      </c>
      <c r="AH67" s="16">
        <f t="shared" si="17"/>
        <v>9.580647666496428E-2</v>
      </c>
      <c r="AI67" s="16">
        <f t="shared" si="18"/>
        <v>0.17598183150847363</v>
      </c>
      <c r="AJ67" s="16">
        <f t="shared" si="19"/>
        <v>0.24300392941779825</v>
      </c>
      <c r="AM67" s="16">
        <v>21</v>
      </c>
      <c r="AU67" s="16">
        <v>115</v>
      </c>
      <c r="AV67" s="16">
        <f>投放验证!$Q80</f>
        <v>4152659.0135184135</v>
      </c>
      <c r="BU67" s="16">
        <v>0</v>
      </c>
      <c r="BV67" s="16">
        <v>0</v>
      </c>
      <c r="BW67" s="16">
        <v>0</v>
      </c>
      <c r="BX67" s="16">
        <v>2415</v>
      </c>
      <c r="BY67" s="16">
        <v>14490</v>
      </c>
    </row>
    <row r="68" spans="2:77">
      <c r="B68" s="176"/>
      <c r="C68" s="17">
        <v>1</v>
      </c>
      <c r="D68" s="17">
        <f>SUM(D$5:D6)</f>
        <v>1</v>
      </c>
      <c r="E68" s="17">
        <f>SUM(E$5:E6)</f>
        <v>2</v>
      </c>
      <c r="F68" s="17">
        <f>SUM(F$5:F6)</f>
        <v>2</v>
      </c>
      <c r="G68" s="17">
        <f>SUM(G$5:G6)</f>
        <v>2</v>
      </c>
      <c r="H68" s="17">
        <f>SUM(H$5:H6)</f>
        <v>2</v>
      </c>
      <c r="L68" s="16">
        <v>13</v>
      </c>
      <c r="M68" s="17">
        <f>基础状态预期!$C79</f>
        <v>110</v>
      </c>
      <c r="N68" s="17">
        <f>IF(基础状态预期!I79=0,0,求节点($C$67:$C$72,D$67:D$72,基础状态预期!M79))</f>
        <v>0</v>
      </c>
      <c r="O68" s="17">
        <f>IF(基础状态预期!J79=0,0,求节点($C$67:$C$72,E$67:E$72,基础状态预期!N79))</f>
        <v>0</v>
      </c>
      <c r="P68" s="17">
        <f>IF(基础状态预期!K79=0,0,求节点($C$67:$C$72,F$67:F$72,基础状态预期!O79))</f>
        <v>0</v>
      </c>
      <c r="Q68" s="17">
        <f>IF(基础状态预期!L79=0,0,求节点($C$67:$C$72,G$67:G$72,基础状态预期!P79))</f>
        <v>6</v>
      </c>
      <c r="R68" s="17">
        <f>IF(基础状态预期!I79=0,0,求节点($C$79:$C$84,D$79:D$84,基础状态预期!M79))</f>
        <v>0</v>
      </c>
      <c r="S68" s="17">
        <f>IF(基础状态预期!J79=0,0,求节点($C$79:$C$84,E$79:E$84,基础状态预期!N79))</f>
        <v>0</v>
      </c>
      <c r="T68" s="17">
        <f>IF(基础状态预期!K79=0,0,求节点($C$79:$C$84,F$79:F$84,基础状态预期!O79))</f>
        <v>0</v>
      </c>
      <c r="U68" s="17">
        <f>IF(基础状态预期!L79=0,0,求节点($C$79:$C$84,G$79:G$84,基础状态预期!P79))</f>
        <v>5040</v>
      </c>
      <c r="V68" s="17">
        <f>MAX(SUMPRODUCT(R68:U68,基础状态预期!I79:L79),V67)</f>
        <v>30240</v>
      </c>
      <c r="W68" s="17">
        <f>求节点($C$55:$C$60,D$55:D$60,基础状态预期!M79)</f>
        <v>0.02</v>
      </c>
      <c r="X68" s="17">
        <f>求节点($C$55:$C$60,E$55:E$60,基础状态预期!N79)</f>
        <v>0.12</v>
      </c>
      <c r="Y68" s="17">
        <f>求节点($C$55:$C$60,F$55:F$60,基础状态预期!O79)</f>
        <v>0.36000000000000004</v>
      </c>
      <c r="Z68" s="17">
        <f>求节点($C$55:$C$60,G$55:G$60,基础状态预期!P79)</f>
        <v>0.56000000000000005</v>
      </c>
      <c r="AA68" s="17">
        <f>MAX(SUMPRODUCT(W68:Z68,基础状态预期!I79:L79)/6,AA67)</f>
        <v>0.56000000000000005</v>
      </c>
      <c r="AE68" s="16">
        <v>63</v>
      </c>
      <c r="AF68" s="16">
        <f t="shared" si="15"/>
        <v>7.9020648189049303E-2</v>
      </c>
      <c r="AG68" s="16">
        <f t="shared" si="16"/>
        <v>7.8244671466041096E-2</v>
      </c>
      <c r="AH68" s="16">
        <f t="shared" si="17"/>
        <v>9.9591890093246344E-2</v>
      </c>
      <c r="AI68" s="16">
        <f t="shared" si="18"/>
        <v>0.18269317678420663</v>
      </c>
      <c r="AJ68" s="16">
        <f t="shared" si="19"/>
        <v>0.25173818795457681</v>
      </c>
      <c r="AM68" s="16">
        <v>22</v>
      </c>
      <c r="AU68" s="16">
        <v>120</v>
      </c>
      <c r="AV68" s="16">
        <f>投放验证!$Q81</f>
        <v>5800116.7299608961</v>
      </c>
      <c r="BU68" s="16">
        <v>0</v>
      </c>
      <c r="BV68" s="16">
        <v>0</v>
      </c>
      <c r="BW68" s="16">
        <v>0</v>
      </c>
      <c r="BX68" s="16">
        <v>2415</v>
      </c>
      <c r="BY68" s="16">
        <v>14490</v>
      </c>
    </row>
    <row r="69" spans="2:77">
      <c r="B69" s="176"/>
      <c r="C69" s="17">
        <v>2</v>
      </c>
      <c r="D69" s="17">
        <f>SUM(D$5:D7)</f>
        <v>1</v>
      </c>
      <c r="E69" s="17">
        <f>SUM(E$5:E7)</f>
        <v>3</v>
      </c>
      <c r="F69" s="17">
        <f>SUM(F$5:F7)</f>
        <v>3</v>
      </c>
      <c r="G69" s="17">
        <f>SUM(G$5:G7)</f>
        <v>3</v>
      </c>
      <c r="H69" s="17">
        <f>SUM(H$5:H7)</f>
        <v>3</v>
      </c>
      <c r="L69" s="16">
        <v>14</v>
      </c>
      <c r="M69" s="17">
        <f>基础状态预期!$C80</f>
        <v>115</v>
      </c>
      <c r="N69" s="17">
        <f>IF(基础状态预期!I80=0,0,求节点($C$67:$C$72,D$67:D$72,基础状态预期!M80))</f>
        <v>0</v>
      </c>
      <c r="O69" s="17">
        <f>IF(基础状态预期!J80=0,0,求节点($C$67:$C$72,E$67:E$72,基础状态预期!N80))</f>
        <v>0</v>
      </c>
      <c r="P69" s="17">
        <f>IF(基础状态预期!K80=0,0,求节点($C$67:$C$72,F$67:F$72,基础状态预期!O80))</f>
        <v>0</v>
      </c>
      <c r="Q69" s="17">
        <f>IF(基础状态预期!L80=0,0,求节点($C$67:$C$72,G$67:G$72,基础状态预期!P80))</f>
        <v>6</v>
      </c>
      <c r="R69" s="17">
        <f>IF(基础状态预期!I80=0,0,求节点($C$79:$C$84,D$79:D$84,基础状态预期!M80))</f>
        <v>0</v>
      </c>
      <c r="S69" s="17">
        <f>IF(基础状态预期!J80=0,0,求节点($C$79:$C$84,E$79:E$84,基础状态预期!N80))</f>
        <v>0</v>
      </c>
      <c r="T69" s="17">
        <f>IF(基础状态预期!K80=0,0,求节点($C$79:$C$84,F$79:F$84,基础状态预期!O80))</f>
        <v>0</v>
      </c>
      <c r="U69" s="17">
        <f>IF(基础状态预期!L80=0,0,求节点($C$79:$C$84,G$79:G$84,基础状态预期!P80))</f>
        <v>5040</v>
      </c>
      <c r="V69" s="17">
        <f>MAX(SUMPRODUCT(R69:U69,基础状态预期!I80:L80),V68)</f>
        <v>30240</v>
      </c>
      <c r="W69" s="17">
        <f>求节点($C$55:$C$60,D$55:D$60,基础状态预期!M80)</f>
        <v>0.02</v>
      </c>
      <c r="X69" s="17">
        <f>求节点($C$55:$C$60,E$55:E$60,基础状态预期!N80)</f>
        <v>0.12</v>
      </c>
      <c r="Y69" s="17">
        <f>求节点($C$55:$C$60,F$55:F$60,基础状态预期!O80)</f>
        <v>0.36000000000000004</v>
      </c>
      <c r="Z69" s="17">
        <f>求节点($C$55:$C$60,G$55:G$60,基础状态预期!P80)</f>
        <v>0.56000000000000005</v>
      </c>
      <c r="AA69" s="17">
        <f>MAX(SUMPRODUCT(W69:Z69,基础状态预期!I80:L80)/6,AA68)</f>
        <v>0.56000000000000005</v>
      </c>
      <c r="AE69" s="16">
        <v>64</v>
      </c>
      <c r="AF69" s="16">
        <f t="shared" si="15"/>
        <v>8.1396639798625464E-2</v>
      </c>
      <c r="AG69" s="16">
        <f t="shared" si="16"/>
        <v>8.082855039531997E-2</v>
      </c>
      <c r="AH69" s="16">
        <f t="shared" si="17"/>
        <v>0.10337730352152842</v>
      </c>
      <c r="AI69" s="16">
        <f t="shared" si="18"/>
        <v>0.18940452205993963</v>
      </c>
      <c r="AJ69" s="16">
        <f t="shared" si="19"/>
        <v>0.26047244649135537</v>
      </c>
      <c r="AM69" s="16">
        <v>23</v>
      </c>
      <c r="AU69" s="16">
        <v>125</v>
      </c>
      <c r="AV69" s="16">
        <f>投放验证!$Q82</f>
        <v>8064977.0646247007</v>
      </c>
      <c r="BU69" s="16">
        <v>0</v>
      </c>
      <c r="BV69" s="16">
        <v>0</v>
      </c>
      <c r="BW69" s="16">
        <v>0</v>
      </c>
      <c r="BX69" s="16">
        <v>2415</v>
      </c>
      <c r="BY69" s="16">
        <v>14490</v>
      </c>
    </row>
    <row r="70" spans="2:77">
      <c r="B70" s="176"/>
      <c r="C70" s="17">
        <v>3</v>
      </c>
      <c r="D70" s="17">
        <f>SUM(D$5:D8)</f>
        <v>1</v>
      </c>
      <c r="E70" s="17">
        <f>SUM(E$5:E8)</f>
        <v>4</v>
      </c>
      <c r="F70" s="17">
        <f>SUM(F$5:F8)</f>
        <v>4</v>
      </c>
      <c r="G70" s="17">
        <f>SUM(G$5:G8)</f>
        <v>4</v>
      </c>
      <c r="H70" s="17">
        <f>SUM(H$5:H8)</f>
        <v>4</v>
      </c>
      <c r="L70" s="16">
        <v>15</v>
      </c>
      <c r="M70" s="17">
        <f>基础状态预期!$C81</f>
        <v>120</v>
      </c>
      <c r="N70" s="17">
        <f>IF(基础状态预期!I81=0,0,求节点($C$67:$C$72,D$67:D$72,基础状态预期!M81))</f>
        <v>0</v>
      </c>
      <c r="O70" s="17">
        <f>IF(基础状态预期!J81=0,0,求节点($C$67:$C$72,E$67:E$72,基础状态预期!N81))</f>
        <v>0</v>
      </c>
      <c r="P70" s="17">
        <f>IF(基础状态预期!K81=0,0,求节点($C$67:$C$72,F$67:F$72,基础状态预期!O81))</f>
        <v>0</v>
      </c>
      <c r="Q70" s="17">
        <f>IF(基础状态预期!L81=0,0,求节点($C$67:$C$72,G$67:G$72,基础状态预期!P81))</f>
        <v>6</v>
      </c>
      <c r="R70" s="17">
        <f>IF(基础状态预期!I81=0,0,求节点($C$79:$C$84,D$79:D$84,基础状态预期!M81))</f>
        <v>0</v>
      </c>
      <c r="S70" s="17">
        <f>IF(基础状态预期!J81=0,0,求节点($C$79:$C$84,E$79:E$84,基础状态预期!N81))</f>
        <v>0</v>
      </c>
      <c r="T70" s="17">
        <f>IF(基础状态预期!K81=0,0,求节点($C$79:$C$84,F$79:F$84,基础状态预期!O81))</f>
        <v>0</v>
      </c>
      <c r="U70" s="17">
        <f>IF(基础状态预期!L81=0,0,求节点($C$79:$C$84,G$79:G$84,基础状态预期!P81))</f>
        <v>5040</v>
      </c>
      <c r="V70" s="17">
        <f>MAX(SUMPRODUCT(R70:U70,基础状态预期!I81:L81),V69)</f>
        <v>30240</v>
      </c>
      <c r="W70" s="17">
        <f>求节点($C$55:$C$60,D$55:D$60,基础状态预期!M81)</f>
        <v>0.02</v>
      </c>
      <c r="X70" s="17">
        <f>求节点($C$55:$C$60,E$55:E$60,基础状态预期!N81)</f>
        <v>0.12</v>
      </c>
      <c r="Y70" s="17">
        <f>求节点($C$55:$C$60,F$55:F$60,基础状态预期!O81)</f>
        <v>0.36000000000000004</v>
      </c>
      <c r="Z70" s="17">
        <f>求节点($C$55:$C$60,G$55:G$60,基础状态预期!P81)</f>
        <v>0.56000000000000005</v>
      </c>
      <c r="AA70" s="17">
        <f>MAX(SUMPRODUCT(W70:Z70,基础状态预期!I81:L81)/6,AA69)</f>
        <v>0.56000000000000005</v>
      </c>
      <c r="AE70" s="16">
        <v>65</v>
      </c>
      <c r="AF70" s="16">
        <f t="shared" ref="AF70:AF101" si="40">求节点($M$6:$M$26,$AA$6:$AA$26,$AE70)</f>
        <v>8.3772631408201625E-2</v>
      </c>
      <c r="AG70" s="16">
        <f t="shared" ref="AG70:AG101" si="41">求节点($M$32:$M$52,$AA$32:$AA$52,$AE70)</f>
        <v>8.3412429324598858E-2</v>
      </c>
      <c r="AH70" s="16">
        <f t="shared" ref="AH70:AH101" si="42">求节点($M$58:$M$78,$AA$58:$AA$78,$AE70)</f>
        <v>0.10716271694981049</v>
      </c>
      <c r="AI70" s="16">
        <f t="shared" ref="AI70:AI101" si="43">求节点($M$84:$M$104,$AA$84:$AA$104,$AE70)</f>
        <v>0.19611586733567266</v>
      </c>
      <c r="AJ70" s="16">
        <f t="shared" ref="AJ70:AJ101" si="44">求节点($M$110:$M$130,$AA$110:$AA$130,$AE70)</f>
        <v>0.26920670502813387</v>
      </c>
      <c r="AM70" s="16">
        <v>24</v>
      </c>
      <c r="AU70" s="16">
        <v>130</v>
      </c>
      <c r="AV70" s="16">
        <f>投放验证!$Q83</f>
        <v>11221139.672132218</v>
      </c>
      <c r="BU70" s="16">
        <v>0</v>
      </c>
      <c r="BV70" s="16">
        <v>0</v>
      </c>
      <c r="BW70" s="16">
        <v>0</v>
      </c>
      <c r="BX70" s="16">
        <v>2415</v>
      </c>
      <c r="BY70" s="16">
        <v>14490</v>
      </c>
    </row>
    <row r="71" spans="2:77">
      <c r="B71" s="176"/>
      <c r="C71" s="17">
        <v>4</v>
      </c>
      <c r="D71" s="17">
        <f>SUM(D$5:D9)</f>
        <v>1</v>
      </c>
      <c r="E71" s="17">
        <f>SUM(E$5:E9)</f>
        <v>4</v>
      </c>
      <c r="F71" s="17">
        <f>SUM(F$5:F9)</f>
        <v>5</v>
      </c>
      <c r="G71" s="17">
        <f>SUM(G$5:G9)</f>
        <v>5</v>
      </c>
      <c r="H71" s="17">
        <f>SUM(H$5:H9)</f>
        <v>5</v>
      </c>
      <c r="L71" s="16">
        <v>16</v>
      </c>
      <c r="M71" s="17">
        <f>基础状态预期!$C82</f>
        <v>125</v>
      </c>
      <c r="N71" s="17">
        <f>IF(基础状态预期!I82=0,0,求节点($C$67:$C$72,D$67:D$72,基础状态预期!M82))</f>
        <v>0</v>
      </c>
      <c r="O71" s="17">
        <f>IF(基础状态预期!J82=0,0,求节点($C$67:$C$72,E$67:E$72,基础状态预期!N82))</f>
        <v>0</v>
      </c>
      <c r="P71" s="17">
        <f>IF(基础状态预期!K82=0,0,求节点($C$67:$C$72,F$67:F$72,基础状态预期!O82))</f>
        <v>0</v>
      </c>
      <c r="Q71" s="17">
        <f>IF(基础状态预期!L82=0,0,求节点($C$67:$C$72,G$67:G$72,基础状态预期!P82))</f>
        <v>6</v>
      </c>
      <c r="R71" s="17">
        <f>IF(基础状态预期!I82=0,0,求节点($C$79:$C$84,D$79:D$84,基础状态预期!M82))</f>
        <v>0</v>
      </c>
      <c r="S71" s="17">
        <f>IF(基础状态预期!J82=0,0,求节点($C$79:$C$84,E$79:E$84,基础状态预期!N82))</f>
        <v>0</v>
      </c>
      <c r="T71" s="17">
        <f>IF(基础状态预期!K82=0,0,求节点($C$79:$C$84,F$79:F$84,基础状态预期!O82))</f>
        <v>0</v>
      </c>
      <c r="U71" s="17">
        <f>IF(基础状态预期!L82=0,0,求节点($C$79:$C$84,G$79:G$84,基础状态预期!P82))</f>
        <v>5040</v>
      </c>
      <c r="V71" s="17">
        <f>MAX(SUMPRODUCT(R71:U71,基础状态预期!I82:L82),V70)</f>
        <v>30240</v>
      </c>
      <c r="W71" s="17">
        <f>求节点($C$55:$C$60,D$55:D$60,基础状态预期!M82)</f>
        <v>0.02</v>
      </c>
      <c r="X71" s="17">
        <f>求节点($C$55:$C$60,E$55:E$60,基础状态预期!N82)</f>
        <v>0.12</v>
      </c>
      <c r="Y71" s="17">
        <f>求节点($C$55:$C$60,F$55:F$60,基础状态预期!O82)</f>
        <v>0.36000000000000004</v>
      </c>
      <c r="Z71" s="17">
        <f>求节点($C$55:$C$60,G$55:G$60,基础状态预期!P82)</f>
        <v>0.56000000000000005</v>
      </c>
      <c r="AA71" s="17">
        <f>MAX(SUMPRODUCT(W71:Z71,基础状态预期!I82:L82)/6,AA70)</f>
        <v>0.56000000000000005</v>
      </c>
      <c r="AE71" s="16">
        <v>66</v>
      </c>
      <c r="AF71" s="16">
        <f t="shared" si="40"/>
        <v>8.6148623017777787E-2</v>
      </c>
      <c r="AG71" s="16">
        <f t="shared" si="41"/>
        <v>8.5996308253877746E-2</v>
      </c>
      <c r="AH71" s="16">
        <f t="shared" si="42"/>
        <v>0.11094813037809255</v>
      </c>
      <c r="AI71" s="16">
        <f t="shared" si="43"/>
        <v>0.20282721261140563</v>
      </c>
      <c r="AJ71" s="16">
        <f t="shared" si="44"/>
        <v>0.27794096356491244</v>
      </c>
      <c r="AM71" s="16">
        <v>25</v>
      </c>
      <c r="AU71" s="16">
        <v>135</v>
      </c>
      <c r="AV71" s="16">
        <f>投放验证!$Q84</f>
        <v>15610038.741569065</v>
      </c>
      <c r="BU71" s="16">
        <v>0</v>
      </c>
      <c r="BV71" s="16">
        <v>0</v>
      </c>
      <c r="BW71" s="16">
        <v>0</v>
      </c>
      <c r="BX71" s="16">
        <v>2415</v>
      </c>
      <c r="BY71" s="16">
        <v>14490</v>
      </c>
    </row>
    <row r="72" spans="2:77">
      <c r="B72" s="176"/>
      <c r="C72" s="17">
        <v>5</v>
      </c>
      <c r="D72" s="17">
        <f>SUM(D$5:D10)</f>
        <v>1</v>
      </c>
      <c r="E72" s="17">
        <f>SUM(E$5:E10)</f>
        <v>4</v>
      </c>
      <c r="F72" s="17">
        <f>SUM(F$5:F10)</f>
        <v>6</v>
      </c>
      <c r="G72" s="17">
        <f>SUM(G$5:G10)</f>
        <v>6</v>
      </c>
      <c r="H72" s="17">
        <f>SUM(H$5:H10)</f>
        <v>6</v>
      </c>
      <c r="L72" s="16">
        <v>17</v>
      </c>
      <c r="M72" s="17">
        <f>基础状态预期!$C83</f>
        <v>130</v>
      </c>
      <c r="N72" s="17">
        <f>IF(基础状态预期!I83=0,0,求节点($C$67:$C$72,D$67:D$72,基础状态预期!M83))</f>
        <v>0</v>
      </c>
      <c r="O72" s="17">
        <f>IF(基础状态预期!J83=0,0,求节点($C$67:$C$72,E$67:E$72,基础状态预期!N83))</f>
        <v>0</v>
      </c>
      <c r="P72" s="17">
        <f>IF(基础状态预期!K83=0,0,求节点($C$67:$C$72,F$67:F$72,基础状态预期!O83))</f>
        <v>0</v>
      </c>
      <c r="Q72" s="17">
        <f>IF(基础状态预期!L83=0,0,求节点($C$67:$C$72,G$67:G$72,基础状态预期!P83))</f>
        <v>6</v>
      </c>
      <c r="R72" s="17">
        <f>IF(基础状态预期!I83=0,0,求节点($C$79:$C$84,D$79:D$84,基础状态预期!M83))</f>
        <v>0</v>
      </c>
      <c r="S72" s="17">
        <f>IF(基础状态预期!J83=0,0,求节点($C$79:$C$84,E$79:E$84,基础状态预期!N83))</f>
        <v>0</v>
      </c>
      <c r="T72" s="17">
        <f>IF(基础状态预期!K83=0,0,求节点($C$79:$C$84,F$79:F$84,基础状态预期!O83))</f>
        <v>0</v>
      </c>
      <c r="U72" s="17">
        <f>IF(基础状态预期!L83=0,0,求节点($C$79:$C$84,G$79:G$84,基础状态预期!P83))</f>
        <v>5040</v>
      </c>
      <c r="V72" s="17">
        <f>MAX(SUMPRODUCT(R72:U72,基础状态预期!I83:L83),V71)</f>
        <v>30240</v>
      </c>
      <c r="W72" s="17">
        <f>求节点($C$55:$C$60,D$55:D$60,基础状态预期!M83)</f>
        <v>0.02</v>
      </c>
      <c r="X72" s="17">
        <f>求节点($C$55:$C$60,E$55:E$60,基础状态预期!N83)</f>
        <v>0.12</v>
      </c>
      <c r="Y72" s="17">
        <f>求节点($C$55:$C$60,F$55:F$60,基础状态预期!O83)</f>
        <v>0.36000000000000004</v>
      </c>
      <c r="Z72" s="17">
        <f>求节点($C$55:$C$60,G$55:G$60,基础状态预期!P83)</f>
        <v>0.56000000000000005</v>
      </c>
      <c r="AA72" s="17">
        <f>MAX(SUMPRODUCT(W72:Z72,基础状态预期!I83:L83)/6,AA71)</f>
        <v>0.56000000000000005</v>
      </c>
      <c r="AE72" s="16">
        <v>67</v>
      </c>
      <c r="AF72" s="16">
        <f t="shared" si="40"/>
        <v>8.8524614627353934E-2</v>
      </c>
      <c r="AG72" s="16">
        <f t="shared" si="41"/>
        <v>8.858018718315662E-2</v>
      </c>
      <c r="AH72" s="16">
        <f t="shared" si="42"/>
        <v>0.11473354380637461</v>
      </c>
      <c r="AI72" s="16">
        <f t="shared" si="43"/>
        <v>0.20953855788713865</v>
      </c>
      <c r="AJ72" s="16">
        <f t="shared" si="44"/>
        <v>0.286675222101691</v>
      </c>
      <c r="AM72" s="16">
        <v>26</v>
      </c>
      <c r="AU72" s="16">
        <v>140</v>
      </c>
      <c r="AV72" s="16">
        <f>投放验证!$Q85</f>
        <v>21912378.218354762</v>
      </c>
      <c r="BU72" s="16">
        <v>0</v>
      </c>
      <c r="BV72" s="16">
        <v>0</v>
      </c>
      <c r="BW72" s="16">
        <v>0</v>
      </c>
      <c r="BX72" s="16">
        <v>2415</v>
      </c>
      <c r="BY72" s="16">
        <v>14490</v>
      </c>
    </row>
    <row r="73" spans="2:77">
      <c r="B73" s="176"/>
      <c r="C73" s="17"/>
      <c r="D73" s="31"/>
      <c r="E73" s="31"/>
      <c r="F73" s="31"/>
      <c r="G73" s="31"/>
      <c r="H73" s="31"/>
      <c r="L73" s="16">
        <v>18</v>
      </c>
      <c r="M73" s="17">
        <f>基础状态预期!$C84</f>
        <v>135</v>
      </c>
      <c r="N73" s="17">
        <f>IF(基础状态预期!I84=0,0,求节点($C$67:$C$72,D$67:D$72,基础状态预期!M84))</f>
        <v>0</v>
      </c>
      <c r="O73" s="17">
        <f>IF(基础状态预期!J84=0,0,求节点($C$67:$C$72,E$67:E$72,基础状态预期!N84))</f>
        <v>0</v>
      </c>
      <c r="P73" s="17">
        <f>IF(基础状态预期!K84=0,0,求节点($C$67:$C$72,F$67:F$72,基础状态预期!O84))</f>
        <v>0</v>
      </c>
      <c r="Q73" s="17">
        <f>IF(基础状态预期!L84=0,0,求节点($C$67:$C$72,G$67:G$72,基础状态预期!P84))</f>
        <v>6</v>
      </c>
      <c r="R73" s="17">
        <f>IF(基础状态预期!I84=0,0,求节点($C$79:$C$84,D$79:D$84,基础状态预期!M84))</f>
        <v>0</v>
      </c>
      <c r="S73" s="17">
        <f>IF(基础状态预期!J84=0,0,求节点($C$79:$C$84,E$79:E$84,基础状态预期!N84))</f>
        <v>0</v>
      </c>
      <c r="T73" s="17">
        <f>IF(基础状态预期!K84=0,0,求节点($C$79:$C$84,F$79:F$84,基础状态预期!O84))</f>
        <v>0</v>
      </c>
      <c r="U73" s="17">
        <f>IF(基础状态预期!L84=0,0,求节点($C$79:$C$84,G$79:G$84,基础状态预期!P84))</f>
        <v>5040</v>
      </c>
      <c r="V73" s="17">
        <f>MAX(SUMPRODUCT(R73:U73,基础状态预期!I84:L84),V72)</f>
        <v>30240</v>
      </c>
      <c r="W73" s="17">
        <f>求节点($C$55:$C$60,D$55:D$60,基础状态预期!M84)</f>
        <v>0.02</v>
      </c>
      <c r="X73" s="17">
        <f>求节点($C$55:$C$60,E$55:E$60,基础状态预期!N84)</f>
        <v>0.12</v>
      </c>
      <c r="Y73" s="17">
        <f>求节点($C$55:$C$60,F$55:F$60,基础状态预期!O84)</f>
        <v>0.36000000000000004</v>
      </c>
      <c r="Z73" s="17">
        <f>求节点($C$55:$C$60,G$55:G$60,基础状态预期!P84)</f>
        <v>0.56000000000000005</v>
      </c>
      <c r="AA73" s="17">
        <f>MAX(SUMPRODUCT(W73:Z73,基础状态预期!I84:L84)/6,AA72)</f>
        <v>0.56000000000000005</v>
      </c>
      <c r="AE73" s="16">
        <v>68</v>
      </c>
      <c r="AF73" s="16">
        <f t="shared" si="40"/>
        <v>9.0900606236930095E-2</v>
      </c>
      <c r="AG73" s="16">
        <f t="shared" si="41"/>
        <v>9.1164066112435507E-2</v>
      </c>
      <c r="AH73" s="16">
        <f t="shared" si="42"/>
        <v>0.11851895723465669</v>
      </c>
      <c r="AI73" s="16">
        <f t="shared" si="43"/>
        <v>0.21624990316287165</v>
      </c>
      <c r="AJ73" s="16">
        <f t="shared" si="44"/>
        <v>0.2954094806384695</v>
      </c>
      <c r="AM73" s="16">
        <v>27</v>
      </c>
      <c r="AU73" s="16">
        <v>145</v>
      </c>
      <c r="AV73" s="16">
        <f>投放验证!$Q86</f>
        <v>30804711.722074971</v>
      </c>
      <c r="BU73" s="16">
        <v>0</v>
      </c>
      <c r="BV73" s="16">
        <v>0</v>
      </c>
      <c r="BW73" s="16">
        <v>0</v>
      </c>
      <c r="BX73" s="16">
        <v>2415</v>
      </c>
      <c r="BY73" s="16">
        <v>14490</v>
      </c>
    </row>
    <row r="74" spans="2:77">
      <c r="B74" s="176"/>
      <c r="C74" s="17"/>
      <c r="D74" s="31"/>
      <c r="E74" s="31"/>
      <c r="F74" s="31"/>
      <c r="G74" s="31"/>
      <c r="H74" s="31"/>
      <c r="L74" s="16">
        <v>19</v>
      </c>
      <c r="M74" s="17">
        <f>基础状态预期!$C85</f>
        <v>140</v>
      </c>
      <c r="N74" s="17">
        <f>IF(基础状态预期!I85=0,0,求节点($C$67:$C$72,D$67:D$72,基础状态预期!M85))</f>
        <v>0</v>
      </c>
      <c r="O74" s="17">
        <f>IF(基础状态预期!J85=0,0,求节点($C$67:$C$72,E$67:E$72,基础状态预期!N85))</f>
        <v>0</v>
      </c>
      <c r="P74" s="17">
        <f>IF(基础状态预期!K85=0,0,求节点($C$67:$C$72,F$67:F$72,基础状态预期!O85))</f>
        <v>0</v>
      </c>
      <c r="Q74" s="17">
        <f>IF(基础状态预期!L85=0,0,求节点($C$67:$C$72,G$67:G$72,基础状态预期!P85))</f>
        <v>6</v>
      </c>
      <c r="R74" s="17">
        <f>IF(基础状态预期!I85=0,0,求节点($C$79:$C$84,D$79:D$84,基础状态预期!M85))</f>
        <v>0</v>
      </c>
      <c r="S74" s="17">
        <f>IF(基础状态预期!J85=0,0,求节点($C$79:$C$84,E$79:E$84,基础状态预期!N85))</f>
        <v>0</v>
      </c>
      <c r="T74" s="17">
        <f>IF(基础状态预期!K85=0,0,求节点($C$79:$C$84,F$79:F$84,基础状态预期!O85))</f>
        <v>0</v>
      </c>
      <c r="U74" s="17">
        <f>IF(基础状态预期!L85=0,0,求节点($C$79:$C$84,G$79:G$84,基础状态预期!P85))</f>
        <v>5040</v>
      </c>
      <c r="V74" s="17">
        <f>MAX(SUMPRODUCT(R74:U74,基础状态预期!I85:L85),V73)</f>
        <v>30240</v>
      </c>
      <c r="W74" s="17">
        <f>求节点($C$55:$C$60,D$55:D$60,基础状态预期!M85)</f>
        <v>0.02</v>
      </c>
      <c r="X74" s="17">
        <f>求节点($C$55:$C$60,E$55:E$60,基础状态预期!N85)</f>
        <v>0.12</v>
      </c>
      <c r="Y74" s="17">
        <f>求节点($C$55:$C$60,F$55:F$60,基础状态预期!O85)</f>
        <v>0.36000000000000004</v>
      </c>
      <c r="Z74" s="17">
        <f>求节点($C$55:$C$60,G$55:G$60,基础状态预期!P85)</f>
        <v>0.56000000000000005</v>
      </c>
      <c r="AA74" s="17">
        <f>MAX(SUMPRODUCT(W74:Z74,基础状态预期!I85:L85)/6,AA73)</f>
        <v>0.56000000000000005</v>
      </c>
      <c r="AE74" s="16">
        <v>69</v>
      </c>
      <c r="AF74" s="16">
        <f t="shared" si="40"/>
        <v>9.3276597846506257E-2</v>
      </c>
      <c r="AG74" s="16">
        <f t="shared" si="41"/>
        <v>9.3747945041714381E-2</v>
      </c>
      <c r="AH74" s="16">
        <f t="shared" si="42"/>
        <v>0.12230437066293876</v>
      </c>
      <c r="AI74" s="16">
        <f t="shared" si="43"/>
        <v>0.22296124843860465</v>
      </c>
      <c r="AJ74" s="16">
        <f t="shared" si="44"/>
        <v>0.30414373917524806</v>
      </c>
      <c r="AM74" s="16">
        <v>28</v>
      </c>
      <c r="AU74" s="16">
        <v>150</v>
      </c>
      <c r="AV74" s="16">
        <f>投放验证!$Q87</f>
        <v>43021997.385201767</v>
      </c>
      <c r="BU74" s="16">
        <v>0</v>
      </c>
      <c r="BV74" s="16">
        <v>0</v>
      </c>
      <c r="BW74" s="16">
        <v>0</v>
      </c>
      <c r="BX74" s="16">
        <v>2415</v>
      </c>
      <c r="BY74" s="16">
        <v>14490</v>
      </c>
    </row>
    <row r="75" spans="2:77">
      <c r="B75" s="177"/>
      <c r="C75" s="17"/>
      <c r="D75" s="31"/>
      <c r="E75" s="31"/>
      <c r="F75" s="31"/>
      <c r="G75" s="31"/>
      <c r="H75" s="31"/>
      <c r="L75" s="16">
        <v>20</v>
      </c>
      <c r="M75" s="17">
        <f>基础状态预期!$C86</f>
        <v>145</v>
      </c>
      <c r="N75" s="17">
        <f>IF(基础状态预期!I86=0,0,求节点($C$67:$C$72,D$67:D$72,基础状态预期!M86))</f>
        <v>0</v>
      </c>
      <c r="O75" s="17">
        <f>IF(基础状态预期!J86=0,0,求节点($C$67:$C$72,E$67:E$72,基础状态预期!N86))</f>
        <v>0</v>
      </c>
      <c r="P75" s="17">
        <f>IF(基础状态预期!K86=0,0,求节点($C$67:$C$72,F$67:F$72,基础状态预期!O86))</f>
        <v>0</v>
      </c>
      <c r="Q75" s="17">
        <f>IF(基础状态预期!L86=0,0,求节点($C$67:$C$72,G$67:G$72,基础状态预期!P86))</f>
        <v>6</v>
      </c>
      <c r="R75" s="17">
        <f>IF(基础状态预期!I86=0,0,求节点($C$79:$C$84,D$79:D$84,基础状态预期!M86))</f>
        <v>0</v>
      </c>
      <c r="S75" s="17">
        <f>IF(基础状态预期!J86=0,0,求节点($C$79:$C$84,E$79:E$84,基础状态预期!N86))</f>
        <v>0</v>
      </c>
      <c r="T75" s="17">
        <f>IF(基础状态预期!K86=0,0,求节点($C$79:$C$84,F$79:F$84,基础状态预期!O86))</f>
        <v>0</v>
      </c>
      <c r="U75" s="17">
        <f>IF(基础状态预期!L86=0,0,求节点($C$79:$C$84,G$79:G$84,基础状态预期!P86))</f>
        <v>5040</v>
      </c>
      <c r="V75" s="17">
        <f>MAX(SUMPRODUCT(R75:U75,基础状态预期!I86:L86),V74)</f>
        <v>30240</v>
      </c>
      <c r="W75" s="17">
        <f>求节点($C$55:$C$60,D$55:D$60,基础状态预期!M86)</f>
        <v>0.02</v>
      </c>
      <c r="X75" s="17">
        <f>求节点($C$55:$C$60,E$55:E$60,基础状态预期!N86)</f>
        <v>0.12</v>
      </c>
      <c r="Y75" s="17">
        <f>求节点($C$55:$C$60,F$55:F$60,基础状态预期!O86)</f>
        <v>0.36000000000000004</v>
      </c>
      <c r="Z75" s="17">
        <f>求节点($C$55:$C$60,G$55:G$60,基础状态预期!P86)</f>
        <v>0.56000000000000005</v>
      </c>
      <c r="AA75" s="17">
        <f>MAX(SUMPRODUCT(W75:Z75,基础状态预期!I86:L86)/6,AA74)</f>
        <v>0.56000000000000005</v>
      </c>
      <c r="AE75" s="16">
        <v>70</v>
      </c>
      <c r="AF75" s="16">
        <f t="shared" si="40"/>
        <v>9.5652589456082418E-2</v>
      </c>
      <c r="AG75" s="16">
        <f t="shared" si="41"/>
        <v>9.6331823970993269E-2</v>
      </c>
      <c r="AH75" s="16">
        <f t="shared" si="42"/>
        <v>0.12608978409122082</v>
      </c>
      <c r="AI75" s="16">
        <f t="shared" si="43"/>
        <v>0.22967259371433765</v>
      </c>
      <c r="AJ75" s="16">
        <f t="shared" si="44"/>
        <v>0.31287799771202662</v>
      </c>
      <c r="AM75" s="16">
        <v>29</v>
      </c>
      <c r="AU75" s="16">
        <v>155</v>
      </c>
      <c r="AV75" s="16">
        <f>投放验证!$Q88</f>
        <v>85854503.067628965</v>
      </c>
      <c r="BU75" s="16">
        <v>0</v>
      </c>
      <c r="BV75" s="16">
        <v>0</v>
      </c>
      <c r="BW75" s="16">
        <v>0</v>
      </c>
      <c r="BX75" s="16">
        <v>2415</v>
      </c>
      <c r="BY75" s="16">
        <v>14490</v>
      </c>
    </row>
    <row r="76" spans="2:77">
      <c r="L76" s="16">
        <v>21</v>
      </c>
      <c r="M76" s="17">
        <f>基础状态预期!$C87</f>
        <v>150</v>
      </c>
      <c r="N76" s="17">
        <f>IF(基础状态预期!I87=0,0,求节点($C$67:$C$72,D$67:D$72,基础状态预期!M87))</f>
        <v>0</v>
      </c>
      <c r="O76" s="17">
        <f>IF(基础状态预期!J87=0,0,求节点($C$67:$C$72,E$67:E$72,基础状态预期!N87))</f>
        <v>0</v>
      </c>
      <c r="P76" s="17">
        <f>IF(基础状态预期!K87=0,0,求节点($C$67:$C$72,F$67:F$72,基础状态预期!O87))</f>
        <v>0</v>
      </c>
      <c r="Q76" s="17">
        <f>IF(基础状态预期!L87=0,0,求节点($C$67:$C$72,G$67:G$72,基础状态预期!P87))</f>
        <v>6</v>
      </c>
      <c r="R76" s="17">
        <f>IF(基础状态预期!I87=0,0,求节点($C$79:$C$84,D$79:D$84,基础状态预期!M87))</f>
        <v>0</v>
      </c>
      <c r="S76" s="17">
        <f>IF(基础状态预期!J87=0,0,求节点($C$79:$C$84,E$79:E$84,基础状态预期!N87))</f>
        <v>0</v>
      </c>
      <c r="T76" s="17">
        <f>IF(基础状态预期!K87=0,0,求节点($C$79:$C$84,F$79:F$84,基础状态预期!O87))</f>
        <v>0</v>
      </c>
      <c r="U76" s="17">
        <f>IF(基础状态预期!L87=0,0,求节点($C$79:$C$84,G$79:G$84,基础状态预期!P87))</f>
        <v>5040</v>
      </c>
      <c r="V76" s="17">
        <f>MAX(SUMPRODUCT(R76:U76,基础状态预期!I87:L87),V75)</f>
        <v>30240</v>
      </c>
      <c r="W76" s="17">
        <f>求节点($C$55:$C$60,D$55:D$60,基础状态预期!M87)</f>
        <v>0.02</v>
      </c>
      <c r="X76" s="17">
        <f>求节点($C$55:$C$60,E$55:E$60,基础状态预期!N87)</f>
        <v>0.12</v>
      </c>
      <c r="Y76" s="17">
        <f>求节点($C$55:$C$60,F$55:F$60,基础状态预期!O87)</f>
        <v>0.36000000000000004</v>
      </c>
      <c r="Z76" s="17">
        <f>求节点($C$55:$C$60,G$55:G$60,基础状态预期!P87)</f>
        <v>0.56000000000000005</v>
      </c>
      <c r="AA76" s="17">
        <f>MAX(SUMPRODUCT(W76:Z76,基础状态预期!I87:L87)/6,AA75)</f>
        <v>0.56000000000000005</v>
      </c>
      <c r="AE76" s="16">
        <v>71</v>
      </c>
      <c r="AF76" s="16">
        <f t="shared" si="40"/>
        <v>9.632220840367138E-2</v>
      </c>
      <c r="AG76" s="16">
        <f t="shared" si="41"/>
        <v>9.6331823970993269E-2</v>
      </c>
      <c r="AH76" s="16">
        <f t="shared" si="42"/>
        <v>0.12674390193226995</v>
      </c>
      <c r="AI76" s="16">
        <f t="shared" si="43"/>
        <v>0.23365287979457788</v>
      </c>
      <c r="AJ76" s="16">
        <f t="shared" si="44"/>
        <v>0.31485934425025708</v>
      </c>
      <c r="AM76" s="16">
        <v>30</v>
      </c>
      <c r="AU76" s="16">
        <v>160</v>
      </c>
      <c r="AV76" s="16">
        <f>投放验证!$Q89</f>
        <v>127238917.26610886</v>
      </c>
      <c r="BU76" s="16">
        <v>0</v>
      </c>
      <c r="BV76" s="16">
        <v>0</v>
      </c>
      <c r="BW76" s="16">
        <v>0</v>
      </c>
      <c r="BX76" s="16">
        <v>2415</v>
      </c>
      <c r="BY76" s="16">
        <v>14490</v>
      </c>
    </row>
    <row r="77" spans="2:77">
      <c r="L77" s="16">
        <v>22</v>
      </c>
      <c r="M77" s="17">
        <f>基础状态预期!$C88</f>
        <v>155</v>
      </c>
      <c r="N77" s="17">
        <f>IF(基础状态预期!I88=0,0,求节点($C$67:$C$72,D$67:D$72,基础状态预期!M88))</f>
        <v>0</v>
      </c>
      <c r="O77" s="17">
        <f>IF(基础状态预期!J88=0,0,求节点($C$67:$C$72,E$67:E$72,基础状态预期!N88))</f>
        <v>0</v>
      </c>
      <c r="P77" s="17">
        <f>IF(基础状态预期!K88=0,0,求节点($C$67:$C$72,F$67:F$72,基础状态预期!O88))</f>
        <v>0</v>
      </c>
      <c r="Q77" s="17">
        <f>IF(基础状态预期!L88=0,0,求节点($C$67:$C$72,G$67:G$72,基础状态预期!P88))</f>
        <v>6</v>
      </c>
      <c r="R77" s="17">
        <f>IF(基础状态预期!I88=0,0,求节点($C$79:$C$84,D$79:D$84,基础状态预期!M88))</f>
        <v>0</v>
      </c>
      <c r="S77" s="17">
        <f>IF(基础状态预期!J88=0,0,求节点($C$79:$C$84,E$79:E$84,基础状态预期!N88))</f>
        <v>0</v>
      </c>
      <c r="T77" s="17">
        <f>IF(基础状态预期!K88=0,0,求节点($C$79:$C$84,F$79:F$84,基础状态预期!O88))</f>
        <v>0</v>
      </c>
      <c r="U77" s="17">
        <f>IF(基础状态预期!L88=0,0,求节点($C$79:$C$84,G$79:G$84,基础状态预期!P88))</f>
        <v>5040</v>
      </c>
      <c r="V77" s="17">
        <f>MAX(SUMPRODUCT(R77:U77,基础状态预期!I88:L88),V76)</f>
        <v>30240</v>
      </c>
      <c r="W77" s="17">
        <f>求节点($C$55:$C$60,D$55:D$60,基础状态预期!M88)</f>
        <v>0.02</v>
      </c>
      <c r="X77" s="17">
        <f>求节点($C$55:$C$60,E$55:E$60,基础状态预期!N88)</f>
        <v>0.12</v>
      </c>
      <c r="Y77" s="17">
        <f>求节点($C$55:$C$60,F$55:F$60,基础状态预期!O88)</f>
        <v>0.36000000000000004</v>
      </c>
      <c r="Z77" s="17">
        <f>求节点($C$55:$C$60,G$55:G$60,基础状态预期!P88)</f>
        <v>0.56000000000000005</v>
      </c>
      <c r="AA77" s="17">
        <f>MAX(SUMPRODUCT(W77:Z77,基础状态预期!I88:L88)/6,AA76)</f>
        <v>0.56000000000000005</v>
      </c>
      <c r="AE77" s="16">
        <v>72</v>
      </c>
      <c r="AF77" s="16">
        <f t="shared" si="40"/>
        <v>9.6991827351260343E-2</v>
      </c>
      <c r="AG77" s="16">
        <f t="shared" si="41"/>
        <v>9.6331823970993269E-2</v>
      </c>
      <c r="AH77" s="16">
        <f t="shared" si="42"/>
        <v>0.12739801977331905</v>
      </c>
      <c r="AI77" s="16">
        <f t="shared" si="43"/>
        <v>0.23763316587481811</v>
      </c>
      <c r="AJ77" s="16">
        <f t="shared" si="44"/>
        <v>0.31684069078848753</v>
      </c>
      <c r="AM77" s="16">
        <v>31</v>
      </c>
      <c r="BU77" s="16">
        <v>0</v>
      </c>
      <c r="BV77" s="16">
        <v>0</v>
      </c>
      <c r="BW77" s="16">
        <v>0</v>
      </c>
      <c r="BX77" s="16">
        <v>2415</v>
      </c>
      <c r="BY77" s="16">
        <v>14490</v>
      </c>
    </row>
    <row r="78" spans="2:77">
      <c r="B78" s="175" t="s">
        <v>433</v>
      </c>
      <c r="C78" s="17" t="s">
        <v>223</v>
      </c>
      <c r="D78" s="17" t="s">
        <v>1</v>
      </c>
      <c r="E78" s="17" t="s">
        <v>2</v>
      </c>
      <c r="F78" s="17" t="s">
        <v>0</v>
      </c>
      <c r="G78" s="17" t="s">
        <v>205</v>
      </c>
      <c r="H78" s="17" t="s">
        <v>29</v>
      </c>
      <c r="L78" s="16">
        <v>23</v>
      </c>
      <c r="M78" s="17">
        <f>基础状态预期!$C89</f>
        <v>160</v>
      </c>
      <c r="N78" s="17">
        <f>IF(基础状态预期!I89=0,0,求节点($C$67:$C$72,D$67:D$72,基础状态预期!M89))</f>
        <v>0</v>
      </c>
      <c r="O78" s="17">
        <f>IF(基础状态预期!J89=0,0,求节点($C$67:$C$72,E$67:E$72,基础状态预期!N89))</f>
        <v>0</v>
      </c>
      <c r="P78" s="17">
        <f>IF(基础状态预期!K89=0,0,求节点($C$67:$C$72,F$67:F$72,基础状态预期!O89))</f>
        <v>0</v>
      </c>
      <c r="Q78" s="17">
        <f>IF(基础状态预期!L89=0,0,求节点($C$67:$C$72,G$67:G$72,基础状态预期!P89))</f>
        <v>6</v>
      </c>
      <c r="R78" s="17">
        <f>IF(基础状态预期!I89=0,0,求节点($C$79:$C$84,D$79:D$84,基础状态预期!M89))</f>
        <v>0</v>
      </c>
      <c r="S78" s="17">
        <f>IF(基础状态预期!J89=0,0,求节点($C$79:$C$84,E$79:E$84,基础状态预期!N89))</f>
        <v>0</v>
      </c>
      <c r="T78" s="17">
        <f>IF(基础状态预期!K89=0,0,求节点($C$79:$C$84,F$79:F$84,基础状态预期!O89))</f>
        <v>0</v>
      </c>
      <c r="U78" s="17">
        <f>IF(基础状态预期!L89=0,0,求节点($C$79:$C$84,G$79:G$84,基础状态预期!P89))</f>
        <v>5040</v>
      </c>
      <c r="V78" s="17">
        <f>MAX(SUMPRODUCT(R78:U78,基础状态预期!I89:L89),V77)</f>
        <v>30240</v>
      </c>
      <c r="W78" s="17">
        <f>求节点($C$55:$C$60,D$55:D$60,基础状态预期!M89)</f>
        <v>0.02</v>
      </c>
      <c r="X78" s="17">
        <f>求节点($C$55:$C$60,E$55:E$60,基础状态预期!N89)</f>
        <v>0.12</v>
      </c>
      <c r="Y78" s="17">
        <f>求节点($C$55:$C$60,F$55:F$60,基础状态预期!O89)</f>
        <v>0.36000000000000004</v>
      </c>
      <c r="Z78" s="17">
        <f>求节点($C$55:$C$60,G$55:G$60,基础状态预期!P89)</f>
        <v>0.56000000000000005</v>
      </c>
      <c r="AA78" s="17">
        <f>MAX(SUMPRODUCT(W78:Z78,基础状态预期!I89:L89)/6,AA77)</f>
        <v>0.56000000000000005</v>
      </c>
      <c r="AE78" s="16">
        <v>73</v>
      </c>
      <c r="AF78" s="16">
        <f t="shared" si="40"/>
        <v>9.7661446298849305E-2</v>
      </c>
      <c r="AG78" s="16">
        <f t="shared" si="41"/>
        <v>9.6331823970993269E-2</v>
      </c>
      <c r="AH78" s="16">
        <f t="shared" si="42"/>
        <v>0.12805213761436818</v>
      </c>
      <c r="AI78" s="16">
        <f t="shared" si="43"/>
        <v>0.24161345195505832</v>
      </c>
      <c r="AJ78" s="16">
        <f t="shared" si="44"/>
        <v>0.31882203732671793</v>
      </c>
      <c r="AM78" s="16">
        <v>32</v>
      </c>
      <c r="BU78" s="16">
        <v>0</v>
      </c>
      <c r="BV78" s="16">
        <v>0</v>
      </c>
      <c r="BW78" s="16">
        <v>0</v>
      </c>
      <c r="BX78" s="16">
        <v>2415</v>
      </c>
      <c r="BY78" s="16">
        <v>14490</v>
      </c>
    </row>
    <row r="79" spans="2:77">
      <c r="B79" s="176"/>
      <c r="C79" s="17">
        <v>0</v>
      </c>
      <c r="D79" s="17">
        <f>SUM(D$18:D18)</f>
        <v>0</v>
      </c>
      <c r="E79" s="17">
        <f>SUM(E$18:E18)</f>
        <v>0</v>
      </c>
      <c r="F79" s="17">
        <f>SUM(F$18:F18)</f>
        <v>0</v>
      </c>
      <c r="G79" s="17">
        <f>SUM(G$18:G18)</f>
        <v>0</v>
      </c>
      <c r="H79" s="17">
        <f>SUM(H$18:H18)</f>
        <v>0</v>
      </c>
      <c r="L79" s="16">
        <v>24</v>
      </c>
      <c r="AE79" s="16">
        <v>74</v>
      </c>
      <c r="AF79" s="16">
        <f t="shared" si="40"/>
        <v>9.8331065246438268E-2</v>
      </c>
      <c r="AG79" s="16">
        <f t="shared" si="41"/>
        <v>9.6331823970993269E-2</v>
      </c>
      <c r="AH79" s="16">
        <f t="shared" si="42"/>
        <v>0.12870625545541728</v>
      </c>
      <c r="AI79" s="16">
        <f t="shared" si="43"/>
        <v>0.24559373803529855</v>
      </c>
      <c r="AJ79" s="16">
        <f t="shared" si="44"/>
        <v>0.32080338386494839</v>
      </c>
      <c r="AM79" s="16">
        <v>33</v>
      </c>
    </row>
    <row r="80" spans="2:77">
      <c r="B80" s="176"/>
      <c r="C80" s="17">
        <v>1</v>
      </c>
      <c r="D80" s="17">
        <f>SUM(D$18:D19)</f>
        <v>0</v>
      </c>
      <c r="E80" s="17">
        <f>SUM(E$18:E19)</f>
        <v>15</v>
      </c>
      <c r="F80" s="17">
        <f>SUM(F$18:F19)</f>
        <v>20</v>
      </c>
      <c r="G80" s="17">
        <f>SUM(G$18:G19)</f>
        <v>20</v>
      </c>
      <c r="H80" s="17">
        <f>SUM(H$18:H19)</f>
        <v>30</v>
      </c>
      <c r="L80" s="16">
        <v>25</v>
      </c>
      <c r="AE80" s="16">
        <v>75</v>
      </c>
      <c r="AF80" s="16">
        <f t="shared" si="40"/>
        <v>9.900068419402723E-2</v>
      </c>
      <c r="AG80" s="16">
        <f t="shared" si="41"/>
        <v>9.6331823970993269E-2</v>
      </c>
      <c r="AH80" s="16">
        <f t="shared" si="42"/>
        <v>0.12936037329646641</v>
      </c>
      <c r="AI80" s="16">
        <f t="shared" si="43"/>
        <v>0.24957402411553878</v>
      </c>
      <c r="AJ80" s="16">
        <f t="shared" si="44"/>
        <v>0.32278473040317884</v>
      </c>
      <c r="AM80" s="16">
        <v>34</v>
      </c>
      <c r="AU80" s="16" t="s">
        <v>257</v>
      </c>
      <c r="AV80" s="174" t="s">
        <v>419</v>
      </c>
    </row>
    <row r="81" spans="2:77">
      <c r="B81" s="176"/>
      <c r="C81" s="17">
        <v>2</v>
      </c>
      <c r="D81" s="17">
        <f>SUM(D$18:D20)</f>
        <v>0</v>
      </c>
      <c r="E81" s="17">
        <f>SUM(E$18:E20)</f>
        <v>90</v>
      </c>
      <c r="F81" s="17">
        <f>SUM(F$18:F20)</f>
        <v>120</v>
      </c>
      <c r="G81" s="17">
        <f>SUM(G$18:G20)</f>
        <v>120</v>
      </c>
      <c r="H81" s="17">
        <f>SUM(H$18:H20)</f>
        <v>180</v>
      </c>
      <c r="L81" s="16">
        <v>26</v>
      </c>
      <c r="AE81" s="16">
        <v>76</v>
      </c>
      <c r="AF81" s="16">
        <f t="shared" si="40"/>
        <v>9.900068419402723E-2</v>
      </c>
      <c r="AG81" s="16">
        <f t="shared" si="41"/>
        <v>9.8693476433612634E-2</v>
      </c>
      <c r="AH81" s="16">
        <f t="shared" si="42"/>
        <v>0.13467726856117321</v>
      </c>
      <c r="AI81" s="16">
        <f t="shared" si="43"/>
        <v>0.2618585196620532</v>
      </c>
      <c r="AJ81" s="16">
        <f t="shared" si="44"/>
        <v>0.34292994791763703</v>
      </c>
      <c r="AM81" s="16">
        <v>35</v>
      </c>
      <c r="AU81" s="16" t="s">
        <v>161</v>
      </c>
      <c r="AV81" s="174"/>
    </row>
    <row r="82" spans="2:77">
      <c r="B82" s="176"/>
      <c r="C82" s="17">
        <v>3</v>
      </c>
      <c r="D82" s="17">
        <f>SUM(D$18:D21)</f>
        <v>0</v>
      </c>
      <c r="E82" s="17">
        <f>SUM(E$18:E21)</f>
        <v>375</v>
      </c>
      <c r="F82" s="17">
        <f>SUM(F$18:F21)</f>
        <v>500</v>
      </c>
      <c r="G82" s="17">
        <f>SUM(G$18:G21)</f>
        <v>500</v>
      </c>
      <c r="H82" s="17">
        <f>SUM(H$18:H21)</f>
        <v>750</v>
      </c>
      <c r="L82" s="16">
        <v>1</v>
      </c>
      <c r="M82" s="69" t="s">
        <v>250</v>
      </c>
      <c r="N82" s="171" t="s">
        <v>404</v>
      </c>
      <c r="O82" s="173"/>
      <c r="P82" s="173"/>
      <c r="Q82" s="172"/>
      <c r="R82" s="171" t="s">
        <v>455</v>
      </c>
      <c r="S82" s="173"/>
      <c r="T82" s="173"/>
      <c r="U82" s="173"/>
      <c r="V82" s="172"/>
      <c r="W82" s="170" t="s">
        <v>252</v>
      </c>
      <c r="X82" s="170"/>
      <c r="Y82" s="170"/>
      <c r="Z82" s="170"/>
      <c r="AA82" s="170"/>
      <c r="AE82" s="16">
        <v>77</v>
      </c>
      <c r="AF82" s="16">
        <f t="shared" si="40"/>
        <v>9.900068419402723E-2</v>
      </c>
      <c r="AG82" s="16">
        <f t="shared" si="41"/>
        <v>0.101055128896232</v>
      </c>
      <c r="AH82" s="16">
        <f t="shared" si="42"/>
        <v>0.13999416382588001</v>
      </c>
      <c r="AI82" s="16">
        <f t="shared" si="43"/>
        <v>0.27414301520856765</v>
      </c>
      <c r="AJ82" s="16">
        <f t="shared" si="44"/>
        <v>0.36307516543209517</v>
      </c>
      <c r="AM82" s="16">
        <v>36</v>
      </c>
      <c r="AU82" s="16">
        <v>50</v>
      </c>
      <c r="AV82" s="16">
        <f>投放验证!$Q95</f>
        <v>132695.14482121472</v>
      </c>
      <c r="BU82" s="16" t="s">
        <v>466</v>
      </c>
    </row>
    <row r="83" spans="2:77">
      <c r="B83" s="176"/>
      <c r="C83" s="17">
        <v>4</v>
      </c>
      <c r="D83" s="17">
        <f>SUM(D$18:D22)</f>
        <v>0</v>
      </c>
      <c r="E83" s="17">
        <f>SUM(E$18:E22)</f>
        <v>1290</v>
      </c>
      <c r="F83" s="17">
        <f>SUM(F$18:F22)</f>
        <v>1720</v>
      </c>
      <c r="G83" s="17">
        <f>SUM(G$18:G22)</f>
        <v>1720</v>
      </c>
      <c r="H83" s="17">
        <f>SUM(H$18:H22)</f>
        <v>2580</v>
      </c>
      <c r="L83" s="16">
        <v>2</v>
      </c>
      <c r="M83" s="17" t="s">
        <v>161</v>
      </c>
      <c r="N83" s="17" t="s">
        <v>1</v>
      </c>
      <c r="O83" s="17" t="s">
        <v>2</v>
      </c>
      <c r="P83" s="17" t="s">
        <v>0</v>
      </c>
      <c r="Q83" s="17" t="s">
        <v>205</v>
      </c>
      <c r="R83" s="17" t="s">
        <v>1</v>
      </c>
      <c r="S83" s="17" t="s">
        <v>2</v>
      </c>
      <c r="T83" s="17" t="s">
        <v>0</v>
      </c>
      <c r="U83" s="17" t="s">
        <v>205</v>
      </c>
      <c r="V83" s="17" t="s">
        <v>443</v>
      </c>
      <c r="W83" s="17" t="s">
        <v>1</v>
      </c>
      <c r="X83" s="17" t="s">
        <v>2</v>
      </c>
      <c r="Y83" s="17" t="s">
        <v>0</v>
      </c>
      <c r="Z83" s="17" t="s">
        <v>205</v>
      </c>
      <c r="AA83" s="71" t="s">
        <v>373</v>
      </c>
      <c r="AE83" s="16">
        <v>78</v>
      </c>
      <c r="AF83" s="16">
        <f t="shared" si="40"/>
        <v>9.900068419402723E-2</v>
      </c>
      <c r="AG83" s="16">
        <f t="shared" si="41"/>
        <v>0.10341678135885138</v>
      </c>
      <c r="AH83" s="16">
        <f t="shared" si="42"/>
        <v>0.14531105909058681</v>
      </c>
      <c r="AI83" s="16">
        <f t="shared" si="43"/>
        <v>0.2864275107550821</v>
      </c>
      <c r="AJ83" s="16">
        <f t="shared" si="44"/>
        <v>0.38322038294655336</v>
      </c>
      <c r="AM83" s="16">
        <v>37</v>
      </c>
      <c r="AU83" s="16">
        <v>60</v>
      </c>
      <c r="AV83" s="16">
        <f>投放验证!$Q96</f>
        <v>241685.59403821771</v>
      </c>
      <c r="BU83" s="16" t="s">
        <v>79</v>
      </c>
      <c r="BV83" s="16" t="s">
        <v>80</v>
      </c>
      <c r="BW83" s="16" t="s">
        <v>81</v>
      </c>
      <c r="BX83" s="16" t="s">
        <v>205</v>
      </c>
      <c r="BY83" s="16" t="s">
        <v>465</v>
      </c>
    </row>
    <row r="84" spans="2:77">
      <c r="B84" s="176"/>
      <c r="C84" s="17">
        <v>5</v>
      </c>
      <c r="D84" s="17">
        <f>SUM(D$18:D23)</f>
        <v>0</v>
      </c>
      <c r="E84" s="17">
        <f>SUM(E$18:E23)</f>
        <v>3780</v>
      </c>
      <c r="F84" s="17">
        <f>SUM(F$18:F23)</f>
        <v>5040</v>
      </c>
      <c r="G84" s="17">
        <f>SUM(G$18:G23)</f>
        <v>5040</v>
      </c>
      <c r="H84" s="17">
        <f>SUM(H$18:H23)</f>
        <v>7560</v>
      </c>
      <c r="L84" s="16">
        <v>3</v>
      </c>
      <c r="M84" s="17">
        <f>基础状态预期!$C95</f>
        <v>50</v>
      </c>
      <c r="N84" s="17">
        <f>IF(基础状态预期!I95=0,0,求节点($C$67:$C$72,D$67:D$72,基础状态预期!M95))</f>
        <v>0</v>
      </c>
      <c r="O84" s="17">
        <f>IF(基础状态预期!J95=0,0,求节点($C$67:$C$72,E$67:E$72,基础状态预期!N95))</f>
        <v>0</v>
      </c>
      <c r="P84" s="17">
        <f>IF(基础状态预期!K95=0,0,求节点($C$67:$C$72,F$67:F$72,基础状态预期!O95))</f>
        <v>0</v>
      </c>
      <c r="Q84" s="17">
        <f>IF(基础状态预期!L95=0,0,求节点($C$67:$C$72,G$67:G$72,基础状态预期!P95))</f>
        <v>0</v>
      </c>
      <c r="R84" s="17">
        <f>IF(基础状态预期!I95=0,0,求节点($C$79:$C$84,D$79:D$84,基础状态预期!M95))</f>
        <v>0</v>
      </c>
      <c r="S84" s="17">
        <f>IF(基础状态预期!J95=0,0,求节点($C$79:$C$84,E$79:E$84,基础状态预期!N95))</f>
        <v>0</v>
      </c>
      <c r="T84" s="17">
        <f>IF(基础状态预期!K95=0,0,求节点($C$79:$C$84,F$79:F$84,基础状态预期!O95))</f>
        <v>0</v>
      </c>
      <c r="U84" s="17">
        <f>IF(基础状态预期!L95=0,0,求节点($C$79:$C$84,G$79:G$84,基础状态预期!P95))</f>
        <v>0</v>
      </c>
      <c r="V84" s="51">
        <f>SUMPRODUCT(R84:U84,基础状态预期!I95:L95)</f>
        <v>0</v>
      </c>
      <c r="W84" s="17">
        <f>求节点($C$55:$C$60,D$55:D$60,基础状态预期!M95)</f>
        <v>0.02</v>
      </c>
      <c r="X84" s="17">
        <f>求节点($C$55:$C$60,E$55:E$60,基础状态预期!N95)</f>
        <v>0.03</v>
      </c>
      <c r="Y84" s="17">
        <f>求节点($C$55:$C$60,F$55:F$60,基础状态预期!O95)</f>
        <v>0.06</v>
      </c>
      <c r="Z84" s="17">
        <f>求节点($C$55:$C$60,G$55:G$60,基础状态预期!P95)</f>
        <v>0.09</v>
      </c>
      <c r="AA84" s="51">
        <f>SUMPRODUCT(W84:Z84,基础状态预期!I95:L95)/6</f>
        <v>0</v>
      </c>
      <c r="AE84" s="16">
        <v>79</v>
      </c>
      <c r="AF84" s="16">
        <f t="shared" si="40"/>
        <v>9.900068419402723E-2</v>
      </c>
      <c r="AG84" s="16">
        <f t="shared" si="41"/>
        <v>0.10577843382147074</v>
      </c>
      <c r="AH84" s="16">
        <f t="shared" si="42"/>
        <v>0.15062795435529361</v>
      </c>
      <c r="AI84" s="16">
        <f t="shared" si="43"/>
        <v>0.29871200630159656</v>
      </c>
      <c r="AJ84" s="16">
        <f t="shared" si="44"/>
        <v>0.40336560046101155</v>
      </c>
      <c r="AM84" s="16">
        <v>38</v>
      </c>
      <c r="AU84" s="16">
        <v>70</v>
      </c>
      <c r="AV84" s="16">
        <f>投放验证!$Q97</f>
        <v>472429.12018195319</v>
      </c>
      <c r="BU84" s="16">
        <v>0</v>
      </c>
      <c r="BV84" s="16">
        <v>0</v>
      </c>
      <c r="BW84" s="16">
        <v>0</v>
      </c>
      <c r="BX84" s="16">
        <v>0</v>
      </c>
      <c r="BY84" s="16">
        <v>0</v>
      </c>
    </row>
    <row r="85" spans="2:77">
      <c r="B85" s="176"/>
      <c r="C85" s="17"/>
      <c r="D85" s="17"/>
      <c r="E85" s="17"/>
      <c r="F85" s="17"/>
      <c r="G85" s="17"/>
      <c r="H85" s="17"/>
      <c r="L85" s="16">
        <v>4</v>
      </c>
      <c r="M85" s="17">
        <f>基础状态预期!$C96</f>
        <v>60</v>
      </c>
      <c r="N85" s="17">
        <f>IF(基础状态预期!I96=0,0,求节点($C$67:$C$72,D$67:D$72,基础状态预期!M96))</f>
        <v>0</v>
      </c>
      <c r="O85" s="17">
        <f>IF(基础状态预期!J96=0,0,求节点($C$67:$C$72,E$67:E$72,基础状态预期!N96))</f>
        <v>0</v>
      </c>
      <c r="P85" s="17">
        <f>IF(基础状态预期!K96=0,0,求节点($C$67:$C$72,F$67:F$72,基础状态预期!O96))</f>
        <v>2.1252516037348101</v>
      </c>
      <c r="Q85" s="17">
        <f>IF(基础状态预期!L96=0,0,求节点($C$67:$C$72,G$67:G$72,基础状态预期!P96))</f>
        <v>2.4654700205772984</v>
      </c>
      <c r="R85" s="17">
        <f>IF(基础状态预期!I96=0,0,求节点($C$79:$C$84,D$79:D$84,基础状态预期!M96))</f>
        <v>0</v>
      </c>
      <c r="S85" s="17">
        <f>IF(基础状态预期!J96=0,0,求节点($C$79:$C$84,E$79:E$84,基础状态预期!N96))</f>
        <v>0</v>
      </c>
      <c r="T85" s="17">
        <f>IF(基础状态预期!K96=0,0,求节点($C$79:$C$84,F$79:F$84,基础状态预期!O96))</f>
        <v>32.525160373481015</v>
      </c>
      <c r="U85" s="17">
        <f>IF(基础状态预期!L96=0,0,求节点($C$79:$C$84,G$79:G$84,基础状态预期!P96))</f>
        <v>66.547002057729827</v>
      </c>
      <c r="V85" s="17">
        <f>MAX(SUMPRODUCT(R85:U85,基础状态预期!I96:L96),V84)</f>
        <v>270.94868907210179</v>
      </c>
      <c r="W85" s="17">
        <f>求节点($C$55:$C$60,D$55:D$60,基础状态预期!M96)</f>
        <v>0.02</v>
      </c>
      <c r="X85" s="17">
        <f>求节点($C$55:$C$60,E$55:E$60,基础状态预期!N96)</f>
        <v>0.12</v>
      </c>
      <c r="Y85" s="17">
        <f>求节点($C$55:$C$60,F$55:F$60,基础状态预期!O96)</f>
        <v>0.1275150962240886</v>
      </c>
      <c r="Z85" s="17">
        <f>求节点($C$55:$C$60,G$55:G$60,基础状态预期!P96)</f>
        <v>0.22189230185195685</v>
      </c>
      <c r="AA85" s="17">
        <f>MAX(SUMPRODUCT(W85:Z85,基础状态预期!I96:L96)/6,AA84)</f>
        <v>0.16255914095700763</v>
      </c>
      <c r="AE85" s="16">
        <v>80</v>
      </c>
      <c r="AF85" s="16">
        <f t="shared" si="40"/>
        <v>9.900068419402723E-2</v>
      </c>
      <c r="AG85" s="16">
        <f t="shared" si="41"/>
        <v>0.10814008628409011</v>
      </c>
      <c r="AH85" s="16">
        <f t="shared" si="42"/>
        <v>0.15594484962000041</v>
      </c>
      <c r="AI85" s="16">
        <f t="shared" si="43"/>
        <v>0.31099650184811101</v>
      </c>
      <c r="AJ85" s="16">
        <f t="shared" si="44"/>
        <v>0.42351081797546969</v>
      </c>
      <c r="AM85" s="16">
        <v>39</v>
      </c>
      <c r="AU85" s="16">
        <v>75</v>
      </c>
      <c r="AV85" s="16">
        <f>投放验证!$Q98</f>
        <v>661207.03549184185</v>
      </c>
      <c r="BU85" s="16">
        <v>0</v>
      </c>
      <c r="BV85" s="16">
        <v>0</v>
      </c>
      <c r="BW85" s="16">
        <v>1610</v>
      </c>
      <c r="BX85" s="16">
        <v>47.404265602048866</v>
      </c>
      <c r="BY85" s="16">
        <v>6178.6715721402634</v>
      </c>
    </row>
    <row r="86" spans="2:77">
      <c r="B86" s="176"/>
      <c r="C86" s="17"/>
      <c r="D86" s="17"/>
      <c r="E86" s="17"/>
      <c r="F86" s="17"/>
      <c r="G86" s="17"/>
      <c r="H86" s="17"/>
      <c r="L86" s="16">
        <v>5</v>
      </c>
      <c r="M86" s="17">
        <f>基础状态预期!$C97</f>
        <v>70</v>
      </c>
      <c r="N86" s="17">
        <f>IF(基础状态预期!I97=0,0,求节点($C$67:$C$72,D$67:D$72,基础状态预期!M97))</f>
        <v>0</v>
      </c>
      <c r="O86" s="17">
        <f>IF(基础状态预期!J97=0,0,求节点($C$67:$C$72,E$67:E$72,基础状态预期!N97))</f>
        <v>0</v>
      </c>
      <c r="P86" s="17">
        <f>IF(基础状态预期!K97=0,0,求节点($C$67:$C$72,F$67:F$72,基础状态预期!O97))</f>
        <v>4.1911616470052833</v>
      </c>
      <c r="Q86" s="17">
        <f>IF(基础状态预期!L97=0,0,求节点($C$67:$C$72,G$67:G$72,基础状态预期!P97))</f>
        <v>2.4654700205772984</v>
      </c>
      <c r="R86" s="17">
        <f>IF(基础状态预期!I97=0,0,求节点($C$79:$C$84,D$79:D$84,基础状态预期!M97))</f>
        <v>0</v>
      </c>
      <c r="S86" s="17">
        <f>IF(基础状态预期!J97=0,0,求节点($C$79:$C$84,E$79:E$84,基础状态预期!N97))</f>
        <v>0</v>
      </c>
      <c r="T86" s="17">
        <f>IF(基础状态预期!K97=0,0,求节点($C$79:$C$84,F$79:F$84,基础状态预期!O97))</f>
        <v>733.21720934644554</v>
      </c>
      <c r="U86" s="17">
        <f>IF(基础状态预期!L97=0,0,求节点($C$79:$C$84,G$79:G$84,基础状态预期!P97))</f>
        <v>66.547002057729827</v>
      </c>
      <c r="V86" s="17">
        <f>MAX(SUMPRODUCT(R86:U86,基础状态预期!I97:L97),V85)</f>
        <v>1451.4818649991396</v>
      </c>
      <c r="W86" s="17">
        <f>求节点($C$55:$C$60,D$55:D$60,基础状态预期!M97)</f>
        <v>0.02</v>
      </c>
      <c r="X86" s="17">
        <f>求节点($C$55:$C$60,E$55:E$60,基础状态预期!N97)</f>
        <v>0.12</v>
      </c>
      <c r="Y86" s="17">
        <f>求节点($C$55:$C$60,F$55:F$60,基础状态预期!O97)</f>
        <v>0.251469698820317</v>
      </c>
      <c r="Z86" s="17">
        <f>求节点($C$55:$C$60,G$55:G$60,基础状态预期!P97)</f>
        <v>0.22189230185195685</v>
      </c>
      <c r="AA86" s="17">
        <f>MAX(SUMPRODUCT(W86:Z86,基础状态预期!I97:L97)/6,AA85)</f>
        <v>0.22967259371433765</v>
      </c>
      <c r="AE86" s="16">
        <v>81</v>
      </c>
      <c r="AF86" s="16">
        <f t="shared" si="40"/>
        <v>0.1016416547848672</v>
      </c>
      <c r="AG86" s="16">
        <f t="shared" si="41"/>
        <v>0.11550223312532901</v>
      </c>
      <c r="AH86" s="16">
        <f t="shared" si="42"/>
        <v>0.16698661600832648</v>
      </c>
      <c r="AI86" s="16">
        <f t="shared" si="43"/>
        <v>0.3366234560255229</v>
      </c>
      <c r="AJ86" s="16">
        <f t="shared" si="44"/>
        <v>0.45080865438037576</v>
      </c>
      <c r="AM86" s="16">
        <v>40</v>
      </c>
      <c r="AU86" s="16">
        <v>80</v>
      </c>
      <c r="AV86" s="16">
        <f>投放验证!$Q99</f>
        <v>912256.4054211257</v>
      </c>
      <c r="BU86" s="16">
        <v>0</v>
      </c>
      <c r="BV86" s="16">
        <v>0</v>
      </c>
      <c r="BW86" s="16">
        <v>1610</v>
      </c>
      <c r="BX86" s="16">
        <v>47.749800596592216</v>
      </c>
      <c r="BY86" s="16">
        <v>6178.6715721402634</v>
      </c>
    </row>
    <row r="87" spans="2:77">
      <c r="B87" s="177"/>
      <c r="C87" s="17"/>
      <c r="D87" s="17"/>
      <c r="E87" s="17"/>
      <c r="F87" s="17"/>
      <c r="G87" s="17"/>
      <c r="H87" s="17"/>
      <c r="L87" s="16">
        <v>6</v>
      </c>
      <c r="M87" s="17">
        <f>基础状态预期!$C98</f>
        <v>75</v>
      </c>
      <c r="N87" s="17">
        <f>IF(基础状态预期!I98=0,0,求节点($C$67:$C$72,D$67:D$72,基础状态预期!M98))</f>
        <v>0</v>
      </c>
      <c r="O87" s="17">
        <f>IF(基础状态预期!J98=0,0,求节点($C$67:$C$72,E$67:E$72,基础状态预期!N98))</f>
        <v>0</v>
      </c>
      <c r="P87" s="17">
        <f>IF(基础状态预期!K98=0,0,求节点($C$67:$C$72,F$67:F$72,基础状态预期!O98))</f>
        <v>5.8819292708226376</v>
      </c>
      <c r="Q87" s="17">
        <f>IF(基础状态预期!L98=0,0,求节点($C$67:$C$72,G$67:G$72,基础状态预期!P98))</f>
        <v>2.6886518530918333</v>
      </c>
      <c r="R87" s="17">
        <f>IF(基础状态预期!I98=0,0,求节点($C$79:$C$84,D$79:D$84,基础状态预期!M98))</f>
        <v>0</v>
      </c>
      <c r="S87" s="17">
        <f>IF(基础状态预期!J98=0,0,求节点($C$79:$C$84,E$79:E$84,基础状态预期!N98))</f>
        <v>0</v>
      </c>
      <c r="T87" s="17">
        <f>IF(基础状态预期!K98=0,0,求节点($C$79:$C$84,F$79:F$84,基础状态预期!O98))</f>
        <v>4648.0051791311571</v>
      </c>
      <c r="U87" s="17">
        <f>IF(基础状态预期!L98=0,0,求节点($C$79:$C$84,G$79:G$84,基础状态预期!P98))</f>
        <v>88.865185309183332</v>
      </c>
      <c r="V87" s="17">
        <f>MAX(SUMPRODUCT(R87:U87,基础状态预期!I98:L98),V86)</f>
        <v>2406.0524372510831</v>
      </c>
      <c r="W87" s="17">
        <f>求节点($C$55:$C$60,D$55:D$60,基础状态预期!M98)</f>
        <v>0.02</v>
      </c>
      <c r="X87" s="17">
        <f>求节点($C$55:$C$60,E$55:E$60,基础状态预期!N98)</f>
        <v>0.12</v>
      </c>
      <c r="Y87" s="17">
        <f>求节点($C$55:$C$60,F$55:F$60,基础状态预期!O98)</f>
        <v>0.35291575624935828</v>
      </c>
      <c r="Z87" s="17">
        <f>求节点($C$55:$C$60,G$55:G$60,基础状态预期!P98)</f>
        <v>0.24197866677826502</v>
      </c>
      <c r="AA87" s="17">
        <f>MAX(SUMPRODUCT(W87:Z87,基础状态预期!I98:L98)/6,AA86)</f>
        <v>0.24957402411553878</v>
      </c>
      <c r="AE87" s="16">
        <v>82</v>
      </c>
      <c r="AF87" s="16">
        <f t="shared" si="40"/>
        <v>0.10428262537570716</v>
      </c>
      <c r="AG87" s="16">
        <f t="shared" si="41"/>
        <v>0.12286437996656789</v>
      </c>
      <c r="AH87" s="16">
        <f t="shared" si="42"/>
        <v>0.17802838239665256</v>
      </c>
      <c r="AI87" s="16">
        <f t="shared" si="43"/>
        <v>0.36225041020293486</v>
      </c>
      <c r="AJ87" s="16">
        <f t="shared" si="44"/>
        <v>0.47810649078528183</v>
      </c>
      <c r="AM87" s="16">
        <v>41</v>
      </c>
      <c r="AU87" s="16">
        <v>85</v>
      </c>
      <c r="AV87" s="16">
        <f>投放验证!$Q100</f>
        <v>1264906.5600208507</v>
      </c>
      <c r="BU87" s="16">
        <v>0</v>
      </c>
      <c r="BV87" s="16">
        <v>0</v>
      </c>
      <c r="BW87" s="16">
        <v>1610</v>
      </c>
      <c r="BX87" s="16">
        <v>65.032729068461066</v>
      </c>
      <c r="BY87" s="16">
        <v>6178.6715721402634</v>
      </c>
    </row>
    <row r="88" spans="2:77">
      <c r="B88" s="170" t="s">
        <v>224</v>
      </c>
      <c r="C88" s="170"/>
      <c r="D88" s="17">
        <f>COUNTA(D80:D87)</f>
        <v>5</v>
      </c>
      <c r="E88" s="17">
        <f>COUNTA(E80:E87)</f>
        <v>5</v>
      </c>
      <c r="F88" s="17">
        <f>COUNTA(F80:F87)</f>
        <v>5</v>
      </c>
      <c r="G88" s="17">
        <f>COUNTA(G80:G87)</f>
        <v>5</v>
      </c>
      <c r="H88" s="17">
        <f>COUNTA(H80:H87)</f>
        <v>5</v>
      </c>
      <c r="L88" s="16">
        <v>7</v>
      </c>
      <c r="M88" s="17">
        <f>基础状态预期!$C99</f>
        <v>80</v>
      </c>
      <c r="N88" s="17">
        <f>IF(基础状态预期!I99=0,0,求节点($C$67:$C$72,D$67:D$72,基础状态预期!M99))</f>
        <v>0</v>
      </c>
      <c r="O88" s="17">
        <f>IF(基础状态预期!J99=0,0,求节点($C$67:$C$72,E$67:E$72,基础状态预期!N99))</f>
        <v>0</v>
      </c>
      <c r="P88" s="17">
        <f>IF(基础状态预期!K99=0,0,求节点($C$67:$C$72,F$67:F$72,基础状态预期!O99))</f>
        <v>0</v>
      </c>
      <c r="Q88" s="17">
        <f>IF(基础状态预期!L99=0,0,求节点($C$67:$C$72,G$67:G$72,基础状态预期!P99))</f>
        <v>3.4555166872012335</v>
      </c>
      <c r="R88" s="17">
        <f>IF(基础状态预期!I99=0,0,求节点($C$79:$C$84,D$79:D$84,基础状态预期!M99))</f>
        <v>0</v>
      </c>
      <c r="S88" s="17">
        <f>IF(基础状态预期!J99=0,0,求节点($C$79:$C$84,E$79:E$84,基础状态预期!N99))</f>
        <v>0</v>
      </c>
      <c r="T88" s="17">
        <f>IF(基础状态预期!K99=0,0,求节点($C$79:$C$84,F$79:F$84,基础状态预期!O99))</f>
        <v>0</v>
      </c>
      <c r="U88" s="17">
        <f>IF(基础状态预期!L99=0,0,求节点($C$79:$C$84,G$79:G$84,基础状态预期!P99))</f>
        <v>293.09634113646871</v>
      </c>
      <c r="V88" s="17">
        <f>MAX(SUMPRODUCT(R88:U88,基础状态预期!I99:L99),V87)</f>
        <v>2406.0524372510831</v>
      </c>
      <c r="W88" s="17">
        <f>求节点($C$55:$C$60,D$55:D$60,基础状态预期!M99)</f>
        <v>0.02</v>
      </c>
      <c r="X88" s="17">
        <f>求节点($C$55:$C$60,E$55:E$60,基础状态预期!N99)</f>
        <v>0.12</v>
      </c>
      <c r="Y88" s="17">
        <f>求节点($C$55:$C$60,F$55:F$60,基础状态预期!O99)</f>
        <v>0.36000000000000004</v>
      </c>
      <c r="Z88" s="17">
        <f>求节点($C$55:$C$60,G$55:G$60,基础状态预期!P99)</f>
        <v>0.31099650184811101</v>
      </c>
      <c r="AA88" s="17">
        <f>MAX(SUMPRODUCT(W88:Z88,基础状态预期!I99:L99)/6,AA87)</f>
        <v>0.31099650184811101</v>
      </c>
      <c r="AE88" s="16">
        <v>83</v>
      </c>
      <c r="AF88" s="16">
        <f t="shared" si="40"/>
        <v>0.10692359596654713</v>
      </c>
      <c r="AG88" s="16">
        <f t="shared" si="41"/>
        <v>0.13022652680780678</v>
      </c>
      <c r="AH88" s="16">
        <f t="shared" si="42"/>
        <v>0.18907014878497863</v>
      </c>
      <c r="AI88" s="16">
        <f t="shared" si="43"/>
        <v>0.38787736438034676</v>
      </c>
      <c r="AJ88" s="16">
        <f t="shared" si="44"/>
        <v>0.50540432719018791</v>
      </c>
      <c r="AM88" s="16">
        <v>42</v>
      </c>
      <c r="AU88" s="16">
        <v>90</v>
      </c>
      <c r="AV88" s="16">
        <f>投放验证!$Q101</f>
        <v>1710239.516269526</v>
      </c>
      <c r="BU88" s="16">
        <v>0</v>
      </c>
      <c r="BV88" s="16">
        <v>0</v>
      </c>
      <c r="BW88" s="16">
        <v>0</v>
      </c>
      <c r="BX88" s="16">
        <v>193.76520782080962</v>
      </c>
      <c r="BY88" s="16">
        <v>6178.6715721402634</v>
      </c>
    </row>
    <row r="89" spans="2:77">
      <c r="L89" s="16">
        <v>8</v>
      </c>
      <c r="M89" s="17">
        <f>基础状态预期!$C100</f>
        <v>85</v>
      </c>
      <c r="N89" s="17">
        <f>IF(基础状态预期!I100=0,0,求节点($C$67:$C$72,D$67:D$72,基础状态预期!M100))</f>
        <v>0</v>
      </c>
      <c r="O89" s="17">
        <f>IF(基础状态预期!J100=0,0,求节点($C$67:$C$72,E$67:E$72,基础状态预期!N100))</f>
        <v>0</v>
      </c>
      <c r="P89" s="17">
        <f>IF(基础状态预期!K100=0,0,求节点($C$67:$C$72,F$67:F$72,基础状态预期!O100))</f>
        <v>0</v>
      </c>
      <c r="Q89" s="17">
        <f>IF(基础状态预期!L100=0,0,求节点($C$67:$C$72,G$67:G$72,基础状态预期!P100))</f>
        <v>4.7913127273517064</v>
      </c>
      <c r="R89" s="17">
        <f>IF(基础状态预期!I100=0,0,求节点($C$79:$C$84,D$79:D$84,基础状态预期!M100))</f>
        <v>0</v>
      </c>
      <c r="S89" s="17">
        <f>IF(基础状态预期!J100=0,0,求节点($C$79:$C$84,E$79:E$84,基础状态预期!N100))</f>
        <v>0</v>
      </c>
      <c r="T89" s="17">
        <f>IF(基础状态预期!K100=0,0,求节点($C$79:$C$84,F$79:F$84,基础状态预期!O100))</f>
        <v>0</v>
      </c>
      <c r="U89" s="17">
        <f>IF(基础状态预期!L100=0,0,求节点($C$79:$C$84,G$79:G$84,基础状态预期!P100))</f>
        <v>1465.4015273690818</v>
      </c>
      <c r="V89" s="17">
        <f>MAX(SUMPRODUCT(R89:U89,基础状态预期!I100:L100),V88)</f>
        <v>8792.4091642144904</v>
      </c>
      <c r="W89" s="17">
        <f>求节点($C$55:$C$60,D$55:D$60,基础状态预期!M100)</f>
        <v>0.02</v>
      </c>
      <c r="X89" s="17">
        <f>求节点($C$55:$C$60,E$55:E$60,基础状态预期!N100)</f>
        <v>0.12</v>
      </c>
      <c r="Y89" s="17">
        <f>求节点($C$55:$C$60,F$55:F$60,基础状态预期!O100)</f>
        <v>0.36000000000000004</v>
      </c>
      <c r="Z89" s="17">
        <f>求节点($C$55:$C$60,G$55:G$60,基础状态预期!P100)</f>
        <v>0.43913127273517061</v>
      </c>
      <c r="AA89" s="17">
        <f>MAX(SUMPRODUCT(W89:Z89,基础状态预期!I100:L100)/6,AA88)</f>
        <v>0.43913127273517061</v>
      </c>
      <c r="AE89" s="16">
        <v>84</v>
      </c>
      <c r="AF89" s="16">
        <f t="shared" si="40"/>
        <v>0.10956456655738711</v>
      </c>
      <c r="AG89" s="16">
        <f t="shared" si="41"/>
        <v>0.13758867364904567</v>
      </c>
      <c r="AH89" s="16">
        <f t="shared" si="42"/>
        <v>0.20011191517330468</v>
      </c>
      <c r="AI89" s="16">
        <f t="shared" si="43"/>
        <v>0.41350431855775871</v>
      </c>
      <c r="AJ89" s="16">
        <f t="shared" si="44"/>
        <v>0.53270216359509392</v>
      </c>
      <c r="AM89" s="16">
        <v>43</v>
      </c>
      <c r="AU89" s="16">
        <v>95</v>
      </c>
      <c r="AV89" s="16">
        <f>投放验证!$Q102</f>
        <v>2355985.0034490922</v>
      </c>
      <c r="BU89" s="16">
        <v>0</v>
      </c>
      <c r="BV89" s="16">
        <v>0</v>
      </c>
      <c r="BW89" s="16">
        <v>0</v>
      </c>
      <c r="BX89" s="16">
        <v>957.40537487883955</v>
      </c>
      <c r="BY89" s="16">
        <v>6178.6715721402634</v>
      </c>
    </row>
    <row r="90" spans="2:77">
      <c r="L90" s="16">
        <v>9</v>
      </c>
      <c r="M90" s="17">
        <f>基础状态预期!$C101</f>
        <v>90</v>
      </c>
      <c r="N90" s="17">
        <f>IF(基础状态预期!I101=0,0,求节点($C$67:$C$72,D$67:D$72,基础状态预期!M101))</f>
        <v>0</v>
      </c>
      <c r="O90" s="17">
        <f>IF(基础状态预期!J101=0,0,求节点($C$67:$C$72,E$67:E$72,基础状态预期!N101))</f>
        <v>0</v>
      </c>
      <c r="P90" s="17">
        <f>IF(基础状态预期!K101=0,0,求节点($C$67:$C$72,F$67:F$72,基础状态预期!O101))</f>
        <v>0</v>
      </c>
      <c r="Q90" s="17">
        <f>IF(基础状态预期!L101=0,0,求节点($C$67:$C$72,G$67:G$72,基础状态预期!P101))</f>
        <v>6</v>
      </c>
      <c r="R90" s="17">
        <f>IF(基础状态预期!I101=0,0,求节点($C$79:$C$84,D$79:D$84,基础状态预期!M101))</f>
        <v>0</v>
      </c>
      <c r="S90" s="17">
        <f>IF(基础状态预期!J101=0,0,求节点($C$79:$C$84,E$79:E$84,基础状态预期!N101))</f>
        <v>0</v>
      </c>
      <c r="T90" s="17">
        <f>IF(基础状态预期!K101=0,0,求节点($C$79:$C$84,F$79:F$84,基础状态预期!O101))</f>
        <v>0</v>
      </c>
      <c r="U90" s="17">
        <f>IF(基础状态预期!L101=0,0,求节点($C$79:$C$84,G$79:G$84,基础状态预期!P101))</f>
        <v>5040</v>
      </c>
      <c r="V90" s="17">
        <f>MAX(SUMPRODUCT(R90:U90,基础状态预期!I101:L101),V89)</f>
        <v>30240</v>
      </c>
      <c r="W90" s="17">
        <f>求节点($C$55:$C$60,D$55:D$60,基础状态预期!M101)</f>
        <v>0.02</v>
      </c>
      <c r="X90" s="17">
        <f>求节点($C$55:$C$60,E$55:E$60,基础状态预期!N101)</f>
        <v>0.12</v>
      </c>
      <c r="Y90" s="17">
        <f>求节点($C$55:$C$60,F$55:F$60,基础状态预期!O101)</f>
        <v>0.36000000000000004</v>
      </c>
      <c r="Z90" s="17">
        <f>求节点($C$55:$C$60,G$55:G$60,基础状态预期!P101)</f>
        <v>0.56000000000000005</v>
      </c>
      <c r="AA90" s="17">
        <f>MAX(SUMPRODUCT(W90:Z90,基础状态预期!I101:L101)/6,AA89)</f>
        <v>0.56000000000000005</v>
      </c>
      <c r="AE90" s="16">
        <v>85</v>
      </c>
      <c r="AF90" s="16">
        <f t="shared" si="40"/>
        <v>0.11220553714822708</v>
      </c>
      <c r="AG90" s="16">
        <f t="shared" si="41"/>
        <v>0.14495082049028457</v>
      </c>
      <c r="AH90" s="16">
        <f t="shared" si="42"/>
        <v>0.21115368156163075</v>
      </c>
      <c r="AI90" s="16">
        <f t="shared" si="43"/>
        <v>0.43913127273517061</v>
      </c>
      <c r="AJ90" s="16">
        <f t="shared" si="44"/>
        <v>0.56000000000000005</v>
      </c>
      <c r="AM90" s="16">
        <v>44</v>
      </c>
      <c r="AU90" s="16">
        <v>100</v>
      </c>
      <c r="AV90" s="16">
        <f>投放验证!$Q103</f>
        <v>3324012.3497677837</v>
      </c>
      <c r="BU90" s="16">
        <v>0</v>
      </c>
      <c r="BV90" s="16">
        <v>0</v>
      </c>
      <c r="BW90" s="16">
        <v>0</v>
      </c>
      <c r="BX90" s="16">
        <v>2415</v>
      </c>
      <c r="BY90" s="16">
        <v>14490</v>
      </c>
    </row>
    <row r="91" spans="2:77">
      <c r="B91" s="175" t="s">
        <v>366</v>
      </c>
      <c r="C91" s="17" t="s">
        <v>223</v>
      </c>
      <c r="D91" s="17" t="s">
        <v>1</v>
      </c>
      <c r="E91" s="17" t="s">
        <v>2</v>
      </c>
      <c r="F91" s="17" t="s">
        <v>0</v>
      </c>
      <c r="G91" s="17" t="s">
        <v>205</v>
      </c>
      <c r="H91" s="17" t="s">
        <v>29</v>
      </c>
      <c r="L91" s="16">
        <v>10</v>
      </c>
      <c r="M91" s="17">
        <f>基础状态预期!$C102</f>
        <v>95</v>
      </c>
      <c r="N91" s="17">
        <f>IF(基础状态预期!I102=0,0,求节点($C$67:$C$72,D$67:D$72,基础状态预期!M102))</f>
        <v>0</v>
      </c>
      <c r="O91" s="17">
        <f>IF(基础状态预期!J102=0,0,求节点($C$67:$C$72,E$67:E$72,基础状态预期!N102))</f>
        <v>0</v>
      </c>
      <c r="P91" s="17">
        <f>IF(基础状态预期!K102=0,0,求节点($C$67:$C$72,F$67:F$72,基础状态预期!O102))</f>
        <v>0</v>
      </c>
      <c r="Q91" s="17">
        <f>IF(基础状态预期!L102=0,0,求节点($C$67:$C$72,G$67:G$72,基础状态预期!P102))</f>
        <v>6</v>
      </c>
      <c r="R91" s="17">
        <f>IF(基础状态预期!I102=0,0,求节点($C$79:$C$84,D$79:D$84,基础状态预期!M102))</f>
        <v>0</v>
      </c>
      <c r="S91" s="17">
        <f>IF(基础状态预期!J102=0,0,求节点($C$79:$C$84,E$79:E$84,基础状态预期!N102))</f>
        <v>0</v>
      </c>
      <c r="T91" s="17">
        <f>IF(基础状态预期!K102=0,0,求节点($C$79:$C$84,F$79:F$84,基础状态预期!O102))</f>
        <v>0</v>
      </c>
      <c r="U91" s="17">
        <f>IF(基础状态预期!L102=0,0,求节点($C$79:$C$84,G$79:G$84,基础状态预期!P102))</f>
        <v>5040</v>
      </c>
      <c r="V91" s="17">
        <f>MAX(SUMPRODUCT(R91:U91,基础状态预期!I102:L102),V90)</f>
        <v>30240</v>
      </c>
      <c r="W91" s="17">
        <f>求节点($C$55:$C$60,D$55:D$60,基础状态预期!M102)</f>
        <v>0.02</v>
      </c>
      <c r="X91" s="17">
        <f>求节点($C$55:$C$60,E$55:E$60,基础状态预期!N102)</f>
        <v>0.12</v>
      </c>
      <c r="Y91" s="17">
        <f>求节点($C$55:$C$60,F$55:F$60,基础状态预期!O102)</f>
        <v>0.36000000000000004</v>
      </c>
      <c r="Z91" s="17">
        <f>求节点($C$55:$C$60,G$55:G$60,基础状态预期!P102)</f>
        <v>0.56000000000000005</v>
      </c>
      <c r="AA91" s="17">
        <f>MAX(SUMPRODUCT(W91:Z91,基础状态预期!I102:L102)/6,AA90)</f>
        <v>0.56000000000000005</v>
      </c>
      <c r="AE91" s="16">
        <v>86</v>
      </c>
      <c r="AF91" s="16">
        <f t="shared" si="40"/>
        <v>0.11943438408083548</v>
      </c>
      <c r="AG91" s="16">
        <f t="shared" si="41"/>
        <v>0.15480528873492896</v>
      </c>
      <c r="AH91" s="16">
        <f t="shared" si="42"/>
        <v>0.22619033745607223</v>
      </c>
      <c r="AI91" s="16">
        <f t="shared" si="43"/>
        <v>0.46330501818813652</v>
      </c>
      <c r="AJ91" s="16">
        <f t="shared" si="44"/>
        <v>0.56000000000000005</v>
      </c>
      <c r="AM91" s="16">
        <v>45</v>
      </c>
      <c r="AU91" s="16">
        <v>105</v>
      </c>
      <c r="AV91" s="16">
        <f>投放验证!$Q104</f>
        <v>4624186.0891007129</v>
      </c>
      <c r="BU91" s="16">
        <v>0</v>
      </c>
      <c r="BV91" s="16">
        <v>0</v>
      </c>
      <c r="BW91" s="16">
        <v>0</v>
      </c>
      <c r="BX91" s="16">
        <v>2415</v>
      </c>
      <c r="BY91" s="16">
        <v>14490</v>
      </c>
    </row>
    <row r="92" spans="2:77">
      <c r="B92" s="176"/>
      <c r="C92" s="17">
        <v>0</v>
      </c>
      <c r="D92" s="33">
        <f>100%/6*($C92+1)</f>
        <v>0.16666666666666666</v>
      </c>
      <c r="E92" s="33">
        <f>D92</f>
        <v>0.16666666666666666</v>
      </c>
      <c r="F92" s="33">
        <f t="shared" ref="F92:H92" si="45">E92</f>
        <v>0.16666666666666666</v>
      </c>
      <c r="G92" s="33">
        <f t="shared" si="45"/>
        <v>0.16666666666666666</v>
      </c>
      <c r="H92" s="33">
        <f t="shared" si="45"/>
        <v>0.16666666666666666</v>
      </c>
      <c r="L92" s="16">
        <v>11</v>
      </c>
      <c r="M92" s="17">
        <f>基础状态预期!$C103</f>
        <v>100</v>
      </c>
      <c r="N92" s="17">
        <f>IF(基础状态预期!I103=0,0,求节点($C$67:$C$72,D$67:D$72,基础状态预期!M103))</f>
        <v>0</v>
      </c>
      <c r="O92" s="17">
        <f>IF(基础状态预期!J103=0,0,求节点($C$67:$C$72,E$67:E$72,基础状态预期!N103))</f>
        <v>0</v>
      </c>
      <c r="P92" s="17">
        <f>IF(基础状态预期!K103=0,0,求节点($C$67:$C$72,F$67:F$72,基础状态预期!O103))</f>
        <v>0</v>
      </c>
      <c r="Q92" s="17">
        <f>IF(基础状态预期!L103=0,0,求节点($C$67:$C$72,G$67:G$72,基础状态预期!P103))</f>
        <v>6</v>
      </c>
      <c r="R92" s="17">
        <f>IF(基础状态预期!I103=0,0,求节点($C$79:$C$84,D$79:D$84,基础状态预期!M103))</f>
        <v>0</v>
      </c>
      <c r="S92" s="17">
        <f>IF(基础状态预期!J103=0,0,求节点($C$79:$C$84,E$79:E$84,基础状态预期!N103))</f>
        <v>0</v>
      </c>
      <c r="T92" s="17">
        <f>IF(基础状态预期!K103=0,0,求节点($C$79:$C$84,F$79:F$84,基础状态预期!O103))</f>
        <v>0</v>
      </c>
      <c r="U92" s="17">
        <f>IF(基础状态预期!L103=0,0,求节点($C$79:$C$84,G$79:G$84,基础状态预期!P103))</f>
        <v>5040</v>
      </c>
      <c r="V92" s="17">
        <f>MAX(SUMPRODUCT(R92:U92,基础状态预期!I103:L103),V91)</f>
        <v>30240</v>
      </c>
      <c r="W92" s="17">
        <f>求节点($C$55:$C$60,D$55:D$60,基础状态预期!M103)</f>
        <v>0.02</v>
      </c>
      <c r="X92" s="17">
        <f>求节点($C$55:$C$60,E$55:E$60,基础状态预期!N103)</f>
        <v>0.12</v>
      </c>
      <c r="Y92" s="17">
        <f>求节点($C$55:$C$60,F$55:F$60,基础状态预期!O103)</f>
        <v>0.36000000000000004</v>
      </c>
      <c r="Z92" s="17">
        <f>求节点($C$55:$C$60,G$55:G$60,基础状态预期!P103)</f>
        <v>0.56000000000000005</v>
      </c>
      <c r="AA92" s="17">
        <f>MAX(SUMPRODUCT(W92:Z92,基础状态预期!I103:L103)/6,AA91)</f>
        <v>0.56000000000000005</v>
      </c>
      <c r="AE92" s="16">
        <v>87</v>
      </c>
      <c r="AF92" s="16">
        <f t="shared" si="40"/>
        <v>0.1266632310134439</v>
      </c>
      <c r="AG92" s="16">
        <f t="shared" si="41"/>
        <v>0.16465975697957339</v>
      </c>
      <c r="AH92" s="16">
        <f t="shared" si="42"/>
        <v>0.2412269933505137</v>
      </c>
      <c r="AI92" s="16">
        <f t="shared" si="43"/>
        <v>0.48747876364110238</v>
      </c>
      <c r="AJ92" s="16">
        <f t="shared" si="44"/>
        <v>0.56000000000000005</v>
      </c>
      <c r="AM92" s="16">
        <v>1</v>
      </c>
      <c r="AN92" s="17" t="s">
        <v>76</v>
      </c>
      <c r="AO92" s="70" t="s">
        <v>54</v>
      </c>
      <c r="AP92" s="170" t="s">
        <v>414</v>
      </c>
      <c r="AQ92" s="170"/>
      <c r="AU92" s="16">
        <v>110</v>
      </c>
      <c r="AV92" s="16">
        <f>投放验证!$Q105</f>
        <v>6426020.2026207894</v>
      </c>
      <c r="AY92" s="17" t="s">
        <v>76</v>
      </c>
      <c r="AZ92" s="17" t="s">
        <v>418</v>
      </c>
      <c r="BU92" s="16">
        <v>0</v>
      </c>
      <c r="BV92" s="16">
        <v>0</v>
      </c>
      <c r="BW92" s="16">
        <v>0</v>
      </c>
      <c r="BX92" s="16">
        <v>2415</v>
      </c>
      <c r="BY92" s="16">
        <v>14490</v>
      </c>
    </row>
    <row r="93" spans="2:77">
      <c r="B93" s="176"/>
      <c r="C93" s="17">
        <v>1</v>
      </c>
      <c r="D93" s="33">
        <f t="shared" ref="D93:D97" si="46">100%/6*($C93+1)</f>
        <v>0.33333333333333331</v>
      </c>
      <c r="E93" s="33">
        <f t="shared" ref="E93:H93" si="47">D93</f>
        <v>0.33333333333333331</v>
      </c>
      <c r="F93" s="33">
        <f t="shared" si="47"/>
        <v>0.33333333333333331</v>
      </c>
      <c r="G93" s="33">
        <f t="shared" si="47"/>
        <v>0.33333333333333331</v>
      </c>
      <c r="H93" s="33">
        <f t="shared" si="47"/>
        <v>0.33333333333333331</v>
      </c>
      <c r="L93" s="16">
        <v>12</v>
      </c>
      <c r="M93" s="17">
        <f>基础状态预期!$C104</f>
        <v>105</v>
      </c>
      <c r="N93" s="17">
        <f>IF(基础状态预期!I104=0,0,求节点($C$67:$C$72,D$67:D$72,基础状态预期!M104))</f>
        <v>0</v>
      </c>
      <c r="O93" s="17">
        <f>IF(基础状态预期!J104=0,0,求节点($C$67:$C$72,E$67:E$72,基础状态预期!N104))</f>
        <v>0</v>
      </c>
      <c r="P93" s="17">
        <f>IF(基础状态预期!K104=0,0,求节点($C$67:$C$72,F$67:F$72,基础状态预期!O104))</f>
        <v>0</v>
      </c>
      <c r="Q93" s="17">
        <f>IF(基础状态预期!L104=0,0,求节点($C$67:$C$72,G$67:G$72,基础状态预期!P104))</f>
        <v>6</v>
      </c>
      <c r="R93" s="17">
        <f>IF(基础状态预期!I104=0,0,求节点($C$79:$C$84,D$79:D$84,基础状态预期!M104))</f>
        <v>0</v>
      </c>
      <c r="S93" s="17">
        <f>IF(基础状态预期!J104=0,0,求节点($C$79:$C$84,E$79:E$84,基础状态预期!N104))</f>
        <v>0</v>
      </c>
      <c r="T93" s="17">
        <f>IF(基础状态预期!K104=0,0,求节点($C$79:$C$84,F$79:F$84,基础状态预期!O104))</f>
        <v>0</v>
      </c>
      <c r="U93" s="17">
        <f>IF(基础状态预期!L104=0,0,求节点($C$79:$C$84,G$79:G$84,基础状态预期!P104))</f>
        <v>5040</v>
      </c>
      <c r="V93" s="17">
        <f>MAX(SUMPRODUCT(R93:U93,基础状态预期!I104:L104),V92)</f>
        <v>30240</v>
      </c>
      <c r="W93" s="17">
        <f>求节点($C$55:$C$60,D$55:D$60,基础状态预期!M104)</f>
        <v>0.02</v>
      </c>
      <c r="X93" s="17">
        <f>求节点($C$55:$C$60,E$55:E$60,基础状态预期!N104)</f>
        <v>0.12</v>
      </c>
      <c r="Y93" s="17">
        <f>求节点($C$55:$C$60,F$55:F$60,基础状态预期!O104)</f>
        <v>0.36000000000000004</v>
      </c>
      <c r="Z93" s="17">
        <f>求节点($C$55:$C$60,G$55:G$60,基础状态预期!P104)</f>
        <v>0.56000000000000005</v>
      </c>
      <c r="AA93" s="17">
        <f>MAX(SUMPRODUCT(W93:Z93,基础状态预期!I104:L104)/6,AA92)</f>
        <v>0.56000000000000005</v>
      </c>
      <c r="AE93" s="16">
        <v>88</v>
      </c>
      <c r="AF93" s="16">
        <f t="shared" si="40"/>
        <v>0.13389207794605229</v>
      </c>
      <c r="AG93" s="16">
        <f t="shared" si="41"/>
        <v>0.17451422522421778</v>
      </c>
      <c r="AH93" s="16">
        <f t="shared" si="42"/>
        <v>0.25626364924495521</v>
      </c>
      <c r="AI93" s="16">
        <f t="shared" si="43"/>
        <v>0.51165250909406823</v>
      </c>
      <c r="AJ93" s="16">
        <f t="shared" si="44"/>
        <v>0.56000000000000005</v>
      </c>
      <c r="AM93" s="16">
        <v>2</v>
      </c>
      <c r="AN93" s="17" t="s">
        <v>161</v>
      </c>
      <c r="AO93" s="17" t="s">
        <v>412</v>
      </c>
      <c r="AP93" s="17" t="s">
        <v>412</v>
      </c>
      <c r="AQ93" s="17" t="s">
        <v>413</v>
      </c>
      <c r="AU93" s="16">
        <v>115</v>
      </c>
      <c r="AV93" s="16">
        <f>投放验证!$Q106</f>
        <v>8965514.3817026485</v>
      </c>
      <c r="AY93" s="17" t="s">
        <v>161</v>
      </c>
      <c r="AZ93" s="17" t="s">
        <v>416</v>
      </c>
      <c r="BA93" s="17" t="s">
        <v>192</v>
      </c>
      <c r="BU93" s="16">
        <v>0</v>
      </c>
      <c r="BV93" s="16">
        <v>0</v>
      </c>
      <c r="BW93" s="16">
        <v>0</v>
      </c>
      <c r="BX93" s="16">
        <v>2415</v>
      </c>
      <c r="BY93" s="16">
        <v>14490</v>
      </c>
    </row>
    <row r="94" spans="2:77">
      <c r="B94" s="176"/>
      <c r="C94" s="17">
        <v>2</v>
      </c>
      <c r="D94" s="33">
        <f t="shared" si="46"/>
        <v>0.5</v>
      </c>
      <c r="E94" s="33">
        <f t="shared" ref="E94:H94" si="48">D94</f>
        <v>0.5</v>
      </c>
      <c r="F94" s="33">
        <f t="shared" si="48"/>
        <v>0.5</v>
      </c>
      <c r="G94" s="33">
        <f t="shared" si="48"/>
        <v>0.5</v>
      </c>
      <c r="H94" s="33">
        <f t="shared" si="48"/>
        <v>0.5</v>
      </c>
      <c r="L94" s="16">
        <v>13</v>
      </c>
      <c r="M94" s="17">
        <f>基础状态预期!$C105</f>
        <v>110</v>
      </c>
      <c r="N94" s="17">
        <f>IF(基础状态预期!I105=0,0,求节点($C$67:$C$72,D$67:D$72,基础状态预期!M105))</f>
        <v>0</v>
      </c>
      <c r="O94" s="17">
        <f>IF(基础状态预期!J105=0,0,求节点($C$67:$C$72,E$67:E$72,基础状态预期!N105))</f>
        <v>0</v>
      </c>
      <c r="P94" s="17">
        <f>IF(基础状态预期!K105=0,0,求节点($C$67:$C$72,F$67:F$72,基础状态预期!O105))</f>
        <v>0</v>
      </c>
      <c r="Q94" s="17">
        <f>IF(基础状态预期!L105=0,0,求节点($C$67:$C$72,G$67:G$72,基础状态预期!P105))</f>
        <v>6</v>
      </c>
      <c r="R94" s="17">
        <f>IF(基础状态预期!I105=0,0,求节点($C$79:$C$84,D$79:D$84,基础状态预期!M105))</f>
        <v>0</v>
      </c>
      <c r="S94" s="17">
        <f>IF(基础状态预期!J105=0,0,求节点($C$79:$C$84,E$79:E$84,基础状态预期!N105))</f>
        <v>0</v>
      </c>
      <c r="T94" s="17">
        <f>IF(基础状态预期!K105=0,0,求节点($C$79:$C$84,F$79:F$84,基础状态预期!O105))</f>
        <v>0</v>
      </c>
      <c r="U94" s="17">
        <f>IF(基础状态预期!L105=0,0,求节点($C$79:$C$84,G$79:G$84,基础状态预期!P105))</f>
        <v>5040</v>
      </c>
      <c r="V94" s="17">
        <f>MAX(SUMPRODUCT(R94:U94,基础状态预期!I105:L105),V93)</f>
        <v>30240</v>
      </c>
      <c r="W94" s="17">
        <f>求节点($C$55:$C$60,D$55:D$60,基础状态预期!M105)</f>
        <v>0.02</v>
      </c>
      <c r="X94" s="17">
        <f>求节点($C$55:$C$60,E$55:E$60,基础状态预期!N105)</f>
        <v>0.12</v>
      </c>
      <c r="Y94" s="17">
        <f>求节点($C$55:$C$60,F$55:F$60,基础状态预期!O105)</f>
        <v>0.36000000000000004</v>
      </c>
      <c r="Z94" s="17">
        <f>求节点($C$55:$C$60,G$55:G$60,基础状态预期!P105)</f>
        <v>0.56000000000000005</v>
      </c>
      <c r="AA94" s="17">
        <f>MAX(SUMPRODUCT(W94:Z94,基础状态预期!I105:L105)/6,AA93)</f>
        <v>0.56000000000000005</v>
      </c>
      <c r="AE94" s="16">
        <v>89</v>
      </c>
      <c r="AF94" s="16">
        <f t="shared" si="40"/>
        <v>0.14112092487866071</v>
      </c>
      <c r="AG94" s="16">
        <f t="shared" si="41"/>
        <v>0.1843686934688622</v>
      </c>
      <c r="AH94" s="16">
        <f t="shared" si="42"/>
        <v>0.27130030513939668</v>
      </c>
      <c r="AI94" s="16">
        <f t="shared" si="43"/>
        <v>0.53582625454703414</v>
      </c>
      <c r="AJ94" s="16">
        <f t="shared" si="44"/>
        <v>0.56000000000000005</v>
      </c>
      <c r="AM94" s="16">
        <v>3</v>
      </c>
      <c r="AN94" s="17">
        <v>10</v>
      </c>
      <c r="AO94" s="17">
        <f>求节点($AE$6:$AE$165,$AH$6:$AH$165,$AN94)</f>
        <v>0</v>
      </c>
      <c r="AP94" s="51">
        <f>AO94*(INDEX([3]中r将兵属性验证!$AC$7:$AC$166,$AN94,1)*[3]战法技能效用!$AH$4+INDEX([3]中r将兵属性验证!$AX$7:$AX$166,$AN94,1)*[3]战法技能效用!$AI$4)</f>
        <v>0</v>
      </c>
      <c r="AQ94" s="17">
        <f t="shared" ref="AQ94:AQ109" si="49">SUM(AP94:AP94)</f>
        <v>0</v>
      </c>
      <c r="AU94" s="16">
        <v>120</v>
      </c>
      <c r="AV94" s="16">
        <f>投放验证!$Q107</f>
        <v>12576938.515448799</v>
      </c>
      <c r="AY94" s="17">
        <v>10</v>
      </c>
      <c r="AZ94" s="17">
        <f>求节点($AU$56:$AU$76,AV$56:AV$76,$AY94)</f>
        <v>13462.477702573</v>
      </c>
      <c r="BA94" s="17">
        <f t="shared" ref="BA94:BA109" si="50">SUM(AZ94:AZ94)</f>
        <v>13462.477702573</v>
      </c>
      <c r="BB94" s="16">
        <f>AQ94/BA94</f>
        <v>0</v>
      </c>
      <c r="BU94" s="16">
        <v>0</v>
      </c>
      <c r="BV94" s="16">
        <v>0</v>
      </c>
      <c r="BW94" s="16">
        <v>0</v>
      </c>
      <c r="BX94" s="16">
        <v>2415</v>
      </c>
      <c r="BY94" s="16">
        <v>14490</v>
      </c>
    </row>
    <row r="95" spans="2:77">
      <c r="B95" s="176"/>
      <c r="C95" s="17">
        <v>3</v>
      </c>
      <c r="D95" s="33">
        <f t="shared" si="46"/>
        <v>0.66666666666666663</v>
      </c>
      <c r="E95" s="33">
        <f t="shared" ref="E95:H95" si="51">D95</f>
        <v>0.66666666666666663</v>
      </c>
      <c r="F95" s="33">
        <f t="shared" si="51"/>
        <v>0.66666666666666663</v>
      </c>
      <c r="G95" s="33">
        <f t="shared" si="51"/>
        <v>0.66666666666666663</v>
      </c>
      <c r="H95" s="33">
        <f t="shared" si="51"/>
        <v>0.66666666666666663</v>
      </c>
      <c r="L95" s="16">
        <v>14</v>
      </c>
      <c r="M95" s="17">
        <f>基础状态预期!$C106</f>
        <v>115</v>
      </c>
      <c r="N95" s="17">
        <f>IF(基础状态预期!I106=0,0,求节点($C$67:$C$72,D$67:D$72,基础状态预期!M106))</f>
        <v>0</v>
      </c>
      <c r="O95" s="17">
        <f>IF(基础状态预期!J106=0,0,求节点($C$67:$C$72,E$67:E$72,基础状态预期!N106))</f>
        <v>0</v>
      </c>
      <c r="P95" s="17">
        <f>IF(基础状态预期!K106=0,0,求节点($C$67:$C$72,F$67:F$72,基础状态预期!O106))</f>
        <v>0</v>
      </c>
      <c r="Q95" s="17">
        <f>IF(基础状态预期!L106=0,0,求节点($C$67:$C$72,G$67:G$72,基础状态预期!P106))</f>
        <v>6</v>
      </c>
      <c r="R95" s="17">
        <f>IF(基础状态预期!I106=0,0,求节点($C$79:$C$84,D$79:D$84,基础状态预期!M106))</f>
        <v>0</v>
      </c>
      <c r="S95" s="17">
        <f>IF(基础状态预期!J106=0,0,求节点($C$79:$C$84,E$79:E$84,基础状态预期!N106))</f>
        <v>0</v>
      </c>
      <c r="T95" s="17">
        <f>IF(基础状态预期!K106=0,0,求节点($C$79:$C$84,F$79:F$84,基础状态预期!O106))</f>
        <v>0</v>
      </c>
      <c r="U95" s="17">
        <f>IF(基础状态预期!L106=0,0,求节点($C$79:$C$84,G$79:G$84,基础状态预期!P106))</f>
        <v>5040</v>
      </c>
      <c r="V95" s="17">
        <f>MAX(SUMPRODUCT(R95:U95,基础状态预期!I106:L106),V94)</f>
        <v>30240</v>
      </c>
      <c r="W95" s="17">
        <f>求节点($C$55:$C$60,D$55:D$60,基础状态预期!M106)</f>
        <v>0.02</v>
      </c>
      <c r="X95" s="17">
        <f>求节点($C$55:$C$60,E$55:E$60,基础状态预期!N106)</f>
        <v>0.12</v>
      </c>
      <c r="Y95" s="17">
        <f>求节点($C$55:$C$60,F$55:F$60,基础状态预期!O106)</f>
        <v>0.36000000000000004</v>
      </c>
      <c r="Z95" s="17">
        <f>求节点($C$55:$C$60,G$55:G$60,基础状态预期!P106)</f>
        <v>0.56000000000000005</v>
      </c>
      <c r="AA95" s="17">
        <f>MAX(SUMPRODUCT(W95:Z95,基础状态预期!I106:L106)/6,AA94)</f>
        <v>0.56000000000000005</v>
      </c>
      <c r="AE95" s="16">
        <v>90</v>
      </c>
      <c r="AF95" s="16">
        <f t="shared" si="40"/>
        <v>0.14834977181126913</v>
      </c>
      <c r="AG95" s="16">
        <f t="shared" si="41"/>
        <v>0.19422316171350659</v>
      </c>
      <c r="AH95" s="16">
        <f t="shared" si="42"/>
        <v>0.28633696103383816</v>
      </c>
      <c r="AI95" s="16">
        <f t="shared" si="43"/>
        <v>0.56000000000000005</v>
      </c>
      <c r="AJ95" s="16">
        <f t="shared" si="44"/>
        <v>0.56000000000000005</v>
      </c>
      <c r="AM95" s="16">
        <v>4</v>
      </c>
      <c r="AN95" s="17">
        <v>20</v>
      </c>
      <c r="AO95" s="17">
        <f t="shared" ref="AO95:AO109" si="52">求节点($AE$6:$AE$165,$AH$6:$AH$165,$AN95)</f>
        <v>0</v>
      </c>
      <c r="AP95" s="17">
        <f>(AO95-AO94)*(INDEX([3]中r将兵属性验证!$AC$7:$AC$166,$AN95,1)*[3]战法技能效用!$AH$4+INDEX([3]中r将兵属性验证!$AX$7:$AX$166,$AN95,1)*[3]战法技能效用!$AI$4)+AP94</f>
        <v>0</v>
      </c>
      <c r="AQ95" s="17">
        <f t="shared" si="49"/>
        <v>0</v>
      </c>
      <c r="AU95" s="16">
        <v>125</v>
      </c>
      <c r="AV95" s="16">
        <f>投放验证!$Q108</f>
        <v>17717255.261147659</v>
      </c>
      <c r="AY95" s="17">
        <v>20</v>
      </c>
      <c r="AZ95" s="17">
        <f t="shared" ref="AZ95:AZ109" si="53">求节点($AU$56:$AU$76,AV$56:AV$76,$AY95)</f>
        <v>26924.955405146</v>
      </c>
      <c r="BA95" s="17">
        <f t="shared" si="50"/>
        <v>26924.955405146</v>
      </c>
      <c r="BB95" s="16">
        <f t="shared" ref="BB95:BB109" si="54">AQ95/BA95</f>
        <v>0</v>
      </c>
      <c r="BU95" s="16">
        <v>0</v>
      </c>
      <c r="BV95" s="16">
        <v>0</v>
      </c>
      <c r="BW95" s="16">
        <v>0</v>
      </c>
      <c r="BX95" s="16">
        <v>2415</v>
      </c>
      <c r="BY95" s="16">
        <v>14490</v>
      </c>
    </row>
    <row r="96" spans="2:77">
      <c r="B96" s="176"/>
      <c r="C96" s="17">
        <v>4</v>
      </c>
      <c r="D96" s="33">
        <f t="shared" si="46"/>
        <v>0.83333333333333326</v>
      </c>
      <c r="E96" s="33">
        <f t="shared" ref="E96:H96" si="55">D96</f>
        <v>0.83333333333333326</v>
      </c>
      <c r="F96" s="33">
        <f t="shared" si="55"/>
        <v>0.83333333333333326</v>
      </c>
      <c r="G96" s="33">
        <f t="shared" si="55"/>
        <v>0.83333333333333326</v>
      </c>
      <c r="H96" s="33">
        <f t="shared" si="55"/>
        <v>0.83333333333333326</v>
      </c>
      <c r="L96" s="16">
        <v>15</v>
      </c>
      <c r="M96" s="17">
        <f>基础状态预期!$C107</f>
        <v>120</v>
      </c>
      <c r="N96" s="17">
        <f>IF(基础状态预期!I107=0,0,求节点($C$67:$C$72,D$67:D$72,基础状态预期!M107))</f>
        <v>0</v>
      </c>
      <c r="O96" s="17">
        <f>IF(基础状态预期!J107=0,0,求节点($C$67:$C$72,E$67:E$72,基础状态预期!N107))</f>
        <v>0</v>
      </c>
      <c r="P96" s="17">
        <f>IF(基础状态预期!K107=0,0,求节点($C$67:$C$72,F$67:F$72,基础状态预期!O107))</f>
        <v>0</v>
      </c>
      <c r="Q96" s="17">
        <f>IF(基础状态预期!L107=0,0,求节点($C$67:$C$72,G$67:G$72,基础状态预期!P107))</f>
        <v>6</v>
      </c>
      <c r="R96" s="17">
        <f>IF(基础状态预期!I107=0,0,求节点($C$79:$C$84,D$79:D$84,基础状态预期!M107))</f>
        <v>0</v>
      </c>
      <c r="S96" s="17">
        <f>IF(基础状态预期!J107=0,0,求节点($C$79:$C$84,E$79:E$84,基础状态预期!N107))</f>
        <v>0</v>
      </c>
      <c r="T96" s="17">
        <f>IF(基础状态预期!K107=0,0,求节点($C$79:$C$84,F$79:F$84,基础状态预期!O107))</f>
        <v>0</v>
      </c>
      <c r="U96" s="17">
        <f>IF(基础状态预期!L107=0,0,求节点($C$79:$C$84,G$79:G$84,基础状态预期!P107))</f>
        <v>5040</v>
      </c>
      <c r="V96" s="17">
        <f>MAX(SUMPRODUCT(R96:U96,基础状态预期!I107:L107),V95)</f>
        <v>30240</v>
      </c>
      <c r="W96" s="17">
        <f>求节点($C$55:$C$60,D$55:D$60,基础状态预期!M107)</f>
        <v>0.02</v>
      </c>
      <c r="X96" s="17">
        <f>求节点($C$55:$C$60,E$55:E$60,基础状态预期!N107)</f>
        <v>0.12</v>
      </c>
      <c r="Y96" s="17">
        <f>求节点($C$55:$C$60,F$55:F$60,基础状态预期!O107)</f>
        <v>0.36000000000000004</v>
      </c>
      <c r="Z96" s="17">
        <f>求节点($C$55:$C$60,G$55:G$60,基础状态预期!P107)</f>
        <v>0.56000000000000005</v>
      </c>
      <c r="AA96" s="17">
        <f>MAX(SUMPRODUCT(W96:Z96,基础状态预期!I107:L107)/6,AA95)</f>
        <v>0.56000000000000005</v>
      </c>
      <c r="AE96" s="16">
        <v>91</v>
      </c>
      <c r="AF96" s="16">
        <f t="shared" si="40"/>
        <v>0.15856156848715999</v>
      </c>
      <c r="AG96" s="16">
        <f t="shared" si="41"/>
        <v>0.20789341895510377</v>
      </c>
      <c r="AH96" s="16">
        <f t="shared" si="42"/>
        <v>0.30746907074082097</v>
      </c>
      <c r="AI96" s="16">
        <f t="shared" si="43"/>
        <v>0.56000000000000005</v>
      </c>
      <c r="AJ96" s="16">
        <f t="shared" si="44"/>
        <v>0.56000000000000005</v>
      </c>
      <c r="AM96" s="16">
        <v>5</v>
      </c>
      <c r="AN96" s="17">
        <v>30</v>
      </c>
      <c r="AO96" s="17">
        <f t="shared" si="52"/>
        <v>0</v>
      </c>
      <c r="AP96" s="17">
        <f>(AO96-AO95)*(INDEX([3]中r将兵属性验证!$AC$7:$AC$166,$AN96,1)*[3]战法技能效用!$AH$4+INDEX([3]中r将兵属性验证!$AX$7:$AX$166,$AN96,1)*[3]战法技能效用!$AI$4)+AP95</f>
        <v>0</v>
      </c>
      <c r="AQ96" s="17">
        <f t="shared" si="49"/>
        <v>0</v>
      </c>
      <c r="AU96" s="16">
        <v>130</v>
      </c>
      <c r="AV96" s="16">
        <f>投放验证!$Q109</f>
        <v>24723129.022692617</v>
      </c>
      <c r="AY96" s="17">
        <v>30</v>
      </c>
      <c r="AZ96" s="17">
        <f t="shared" si="53"/>
        <v>40387.433107719</v>
      </c>
      <c r="BA96" s="17">
        <f t="shared" si="50"/>
        <v>40387.433107719</v>
      </c>
      <c r="BB96" s="16">
        <f t="shared" si="54"/>
        <v>0</v>
      </c>
      <c r="BU96" s="16">
        <v>0</v>
      </c>
      <c r="BV96" s="16">
        <v>0</v>
      </c>
      <c r="BW96" s="16">
        <v>0</v>
      </c>
      <c r="BX96" s="16">
        <v>2415</v>
      </c>
      <c r="BY96" s="16">
        <v>14490</v>
      </c>
    </row>
    <row r="97" spans="2:77">
      <c r="B97" s="176"/>
      <c r="C97" s="17">
        <v>5</v>
      </c>
      <c r="D97" s="33">
        <f t="shared" si="46"/>
        <v>1</v>
      </c>
      <c r="E97" s="33">
        <f t="shared" ref="E97:H97" si="56">D97</f>
        <v>1</v>
      </c>
      <c r="F97" s="33">
        <f t="shared" si="56"/>
        <v>1</v>
      </c>
      <c r="G97" s="33">
        <f t="shared" si="56"/>
        <v>1</v>
      </c>
      <c r="H97" s="33">
        <f t="shared" si="56"/>
        <v>1</v>
      </c>
      <c r="L97" s="16">
        <v>16</v>
      </c>
      <c r="M97" s="17">
        <f>基础状态预期!$C108</f>
        <v>125</v>
      </c>
      <c r="N97" s="17">
        <f>IF(基础状态预期!I108=0,0,求节点($C$67:$C$72,D$67:D$72,基础状态预期!M108))</f>
        <v>0</v>
      </c>
      <c r="O97" s="17">
        <f>IF(基础状态预期!J108=0,0,求节点($C$67:$C$72,E$67:E$72,基础状态预期!N108))</f>
        <v>0</v>
      </c>
      <c r="P97" s="17">
        <f>IF(基础状态预期!K108=0,0,求节点($C$67:$C$72,F$67:F$72,基础状态预期!O108))</f>
        <v>0</v>
      </c>
      <c r="Q97" s="17">
        <f>IF(基础状态预期!L108=0,0,求节点($C$67:$C$72,G$67:G$72,基础状态预期!P108))</f>
        <v>6</v>
      </c>
      <c r="R97" s="17">
        <f>IF(基础状态预期!I108=0,0,求节点($C$79:$C$84,D$79:D$84,基础状态预期!M108))</f>
        <v>0</v>
      </c>
      <c r="S97" s="17">
        <f>IF(基础状态预期!J108=0,0,求节点($C$79:$C$84,E$79:E$84,基础状态预期!N108))</f>
        <v>0</v>
      </c>
      <c r="T97" s="17">
        <f>IF(基础状态预期!K108=0,0,求节点($C$79:$C$84,F$79:F$84,基础状态预期!O108))</f>
        <v>0</v>
      </c>
      <c r="U97" s="17">
        <f>IF(基础状态预期!L108=0,0,求节点($C$79:$C$84,G$79:G$84,基础状态预期!P108))</f>
        <v>5040</v>
      </c>
      <c r="V97" s="17">
        <f>MAX(SUMPRODUCT(R97:U97,基础状态预期!I108:L108),V96)</f>
        <v>30240</v>
      </c>
      <c r="W97" s="17">
        <f>求节点($C$55:$C$60,D$55:D$60,基础状态预期!M108)</f>
        <v>0.02</v>
      </c>
      <c r="X97" s="17">
        <f>求节点($C$55:$C$60,E$55:E$60,基础状态预期!N108)</f>
        <v>0.12</v>
      </c>
      <c r="Y97" s="17">
        <f>求节点($C$55:$C$60,F$55:F$60,基础状态预期!O108)</f>
        <v>0.36000000000000004</v>
      </c>
      <c r="Z97" s="17">
        <f>求节点($C$55:$C$60,G$55:G$60,基础状态预期!P108)</f>
        <v>0.56000000000000005</v>
      </c>
      <c r="AA97" s="17">
        <f>MAX(SUMPRODUCT(W97:Z97,基础状态预期!I108:L108)/6,AA96)</f>
        <v>0.56000000000000005</v>
      </c>
      <c r="AE97" s="16">
        <v>92</v>
      </c>
      <c r="AF97" s="16">
        <f t="shared" si="40"/>
        <v>0.16877336516305083</v>
      </c>
      <c r="AG97" s="16">
        <f t="shared" si="41"/>
        <v>0.22156367619670098</v>
      </c>
      <c r="AH97" s="16">
        <f t="shared" si="42"/>
        <v>0.32860118044780379</v>
      </c>
      <c r="AI97" s="16">
        <f t="shared" si="43"/>
        <v>0.56000000000000005</v>
      </c>
      <c r="AJ97" s="16">
        <f t="shared" si="44"/>
        <v>0.56000000000000005</v>
      </c>
      <c r="AM97" s="16">
        <v>6</v>
      </c>
      <c r="AN97" s="17">
        <v>40</v>
      </c>
      <c r="AO97" s="17">
        <f t="shared" si="52"/>
        <v>0</v>
      </c>
      <c r="AP97" s="17">
        <f>(AO97-AO96)*(INDEX([3]中r将兵属性验证!$AC$7:$AC$166,$AN97,1)*[3]战法技能效用!$AH$4+INDEX([3]中r将兵属性验证!$AX$7:$AX$166,$AN97,1)*[3]战法技能效用!$AI$4)+AP96</f>
        <v>0</v>
      </c>
      <c r="AQ97" s="17">
        <f t="shared" si="49"/>
        <v>0</v>
      </c>
      <c r="AU97" s="16">
        <v>135</v>
      </c>
      <c r="AV97" s="16">
        <f>投放验证!$Q110</f>
        <v>34581632.335050635</v>
      </c>
      <c r="AY97" s="17">
        <v>40</v>
      </c>
      <c r="AZ97" s="17">
        <f t="shared" si="53"/>
        <v>53849.910810292</v>
      </c>
      <c r="BA97" s="17">
        <f t="shared" si="50"/>
        <v>53849.910810292</v>
      </c>
      <c r="BB97" s="16">
        <f t="shared" si="54"/>
        <v>0</v>
      </c>
      <c r="BU97" s="16">
        <v>0</v>
      </c>
      <c r="BV97" s="16">
        <v>0</v>
      </c>
      <c r="BW97" s="16">
        <v>0</v>
      </c>
      <c r="BX97" s="16">
        <v>2415</v>
      </c>
      <c r="BY97" s="16">
        <v>14490</v>
      </c>
    </row>
    <row r="98" spans="2:77">
      <c r="B98" s="176"/>
      <c r="C98" s="17"/>
      <c r="D98" s="31"/>
      <c r="E98" s="31"/>
      <c r="F98" s="31"/>
      <c r="G98" s="31"/>
      <c r="H98" s="31"/>
      <c r="L98" s="16">
        <v>17</v>
      </c>
      <c r="M98" s="17">
        <f>基础状态预期!$C109</f>
        <v>130</v>
      </c>
      <c r="N98" s="17">
        <f>IF(基础状态预期!I109=0,0,求节点($C$67:$C$72,D$67:D$72,基础状态预期!M109))</f>
        <v>0</v>
      </c>
      <c r="O98" s="17">
        <f>IF(基础状态预期!J109=0,0,求节点($C$67:$C$72,E$67:E$72,基础状态预期!N109))</f>
        <v>0</v>
      </c>
      <c r="P98" s="17">
        <f>IF(基础状态预期!K109=0,0,求节点($C$67:$C$72,F$67:F$72,基础状态预期!O109))</f>
        <v>0</v>
      </c>
      <c r="Q98" s="17">
        <f>IF(基础状态预期!L109=0,0,求节点($C$67:$C$72,G$67:G$72,基础状态预期!P109))</f>
        <v>6</v>
      </c>
      <c r="R98" s="17">
        <f>IF(基础状态预期!I109=0,0,求节点($C$79:$C$84,D$79:D$84,基础状态预期!M109))</f>
        <v>0</v>
      </c>
      <c r="S98" s="17">
        <f>IF(基础状态预期!J109=0,0,求节点($C$79:$C$84,E$79:E$84,基础状态预期!N109))</f>
        <v>0</v>
      </c>
      <c r="T98" s="17">
        <f>IF(基础状态预期!K109=0,0,求节点($C$79:$C$84,F$79:F$84,基础状态预期!O109))</f>
        <v>0</v>
      </c>
      <c r="U98" s="17">
        <f>IF(基础状态预期!L109=0,0,求节点($C$79:$C$84,G$79:G$84,基础状态预期!P109))</f>
        <v>5040</v>
      </c>
      <c r="V98" s="17">
        <f>MAX(SUMPRODUCT(R98:U98,基础状态预期!I109:L109),V97)</f>
        <v>30240</v>
      </c>
      <c r="W98" s="17">
        <f>求节点($C$55:$C$60,D$55:D$60,基础状态预期!M109)</f>
        <v>0.02</v>
      </c>
      <c r="X98" s="17">
        <f>求节点($C$55:$C$60,E$55:E$60,基础状态预期!N109)</f>
        <v>0.12</v>
      </c>
      <c r="Y98" s="17">
        <f>求节点($C$55:$C$60,F$55:F$60,基础状态预期!O109)</f>
        <v>0.36000000000000004</v>
      </c>
      <c r="Z98" s="17">
        <f>求节点($C$55:$C$60,G$55:G$60,基础状态预期!P109)</f>
        <v>0.56000000000000005</v>
      </c>
      <c r="AA98" s="17">
        <f>MAX(SUMPRODUCT(W98:Z98,基础状态预期!I109:L109)/6,AA97)</f>
        <v>0.56000000000000005</v>
      </c>
      <c r="AE98" s="16">
        <v>93</v>
      </c>
      <c r="AF98" s="16">
        <f t="shared" si="40"/>
        <v>0.1789851618389417</v>
      </c>
      <c r="AG98" s="16">
        <f t="shared" si="41"/>
        <v>0.23523393343829815</v>
      </c>
      <c r="AH98" s="16">
        <f t="shared" si="42"/>
        <v>0.3497332901547866</v>
      </c>
      <c r="AI98" s="16">
        <f t="shared" si="43"/>
        <v>0.56000000000000005</v>
      </c>
      <c r="AJ98" s="16">
        <f t="shared" si="44"/>
        <v>0.56000000000000005</v>
      </c>
      <c r="AM98" s="16">
        <v>7</v>
      </c>
      <c r="AN98" s="17">
        <v>50</v>
      </c>
      <c r="AO98" s="17">
        <f t="shared" si="52"/>
        <v>0</v>
      </c>
      <c r="AP98" s="17">
        <f>(AO98-AO97)*(INDEX([3]中r将兵属性验证!$AC$7:$AC$166,$AN98,1)*[3]战法技能效用!$AH$4+INDEX([3]中r将兵属性验证!$AX$7:$AX$166,$AN98,1)*[3]战法技能效用!$AI$4)+AP97</f>
        <v>0</v>
      </c>
      <c r="AQ98" s="17">
        <f t="shared" si="49"/>
        <v>0</v>
      </c>
      <c r="AU98" s="16">
        <v>140</v>
      </c>
      <c r="AV98" s="16">
        <f>投放验证!$Q111</f>
        <v>48587153.689521983</v>
      </c>
      <c r="AY98" s="17">
        <v>50</v>
      </c>
      <c r="AZ98" s="17">
        <f t="shared" si="53"/>
        <v>67312.388512865</v>
      </c>
      <c r="BA98" s="17">
        <f t="shared" si="50"/>
        <v>67312.388512865</v>
      </c>
      <c r="BB98" s="16">
        <f t="shared" si="54"/>
        <v>0</v>
      </c>
      <c r="BU98" s="16">
        <v>0</v>
      </c>
      <c r="BV98" s="16">
        <v>0</v>
      </c>
      <c r="BW98" s="16">
        <v>0</v>
      </c>
      <c r="BX98" s="16">
        <v>2415</v>
      </c>
      <c r="BY98" s="16">
        <v>14490</v>
      </c>
    </row>
    <row r="99" spans="2:77">
      <c r="B99" s="176"/>
      <c r="C99" s="17"/>
      <c r="D99" s="31"/>
      <c r="E99" s="31"/>
      <c r="F99" s="31"/>
      <c r="G99" s="31"/>
      <c r="H99" s="31"/>
      <c r="L99" s="16">
        <v>18</v>
      </c>
      <c r="M99" s="17">
        <f>基础状态预期!$C110</f>
        <v>135</v>
      </c>
      <c r="N99" s="17">
        <f>IF(基础状态预期!I110=0,0,求节点($C$67:$C$72,D$67:D$72,基础状态预期!M110))</f>
        <v>0</v>
      </c>
      <c r="O99" s="17">
        <f>IF(基础状态预期!J110=0,0,求节点($C$67:$C$72,E$67:E$72,基础状态预期!N110))</f>
        <v>0</v>
      </c>
      <c r="P99" s="17">
        <f>IF(基础状态预期!K110=0,0,求节点($C$67:$C$72,F$67:F$72,基础状态预期!O110))</f>
        <v>0</v>
      </c>
      <c r="Q99" s="17">
        <f>IF(基础状态预期!L110=0,0,求节点($C$67:$C$72,G$67:G$72,基础状态预期!P110))</f>
        <v>6</v>
      </c>
      <c r="R99" s="17">
        <f>IF(基础状态预期!I110=0,0,求节点($C$79:$C$84,D$79:D$84,基础状态预期!M110))</f>
        <v>0</v>
      </c>
      <c r="S99" s="17">
        <f>IF(基础状态预期!J110=0,0,求节点($C$79:$C$84,E$79:E$84,基础状态预期!N110))</f>
        <v>0</v>
      </c>
      <c r="T99" s="17">
        <f>IF(基础状态预期!K110=0,0,求节点($C$79:$C$84,F$79:F$84,基础状态预期!O110))</f>
        <v>0</v>
      </c>
      <c r="U99" s="17">
        <f>IF(基础状态预期!L110=0,0,求节点($C$79:$C$84,G$79:G$84,基础状态预期!P110))</f>
        <v>5040</v>
      </c>
      <c r="V99" s="17">
        <f>MAX(SUMPRODUCT(R99:U99,基础状态预期!I110:L110),V98)</f>
        <v>30240</v>
      </c>
      <c r="W99" s="17">
        <f>求节点($C$55:$C$60,D$55:D$60,基础状态预期!M110)</f>
        <v>0.02</v>
      </c>
      <c r="X99" s="17">
        <f>求节点($C$55:$C$60,E$55:E$60,基础状态预期!N110)</f>
        <v>0.12</v>
      </c>
      <c r="Y99" s="17">
        <f>求节点($C$55:$C$60,F$55:F$60,基础状态预期!O110)</f>
        <v>0.36000000000000004</v>
      </c>
      <c r="Z99" s="17">
        <f>求节点($C$55:$C$60,G$55:G$60,基础状态预期!P110)</f>
        <v>0.56000000000000005</v>
      </c>
      <c r="AA99" s="17">
        <f>MAX(SUMPRODUCT(W99:Z99,基础状态预期!I110:L110)/6,AA98)</f>
        <v>0.56000000000000005</v>
      </c>
      <c r="AE99" s="16">
        <v>94</v>
      </c>
      <c r="AF99" s="16">
        <f t="shared" si="40"/>
        <v>0.18919695851483254</v>
      </c>
      <c r="AG99" s="16">
        <f t="shared" si="41"/>
        <v>0.24890419067989533</v>
      </c>
      <c r="AH99" s="16">
        <f t="shared" si="42"/>
        <v>0.37086539986176936</v>
      </c>
      <c r="AI99" s="16">
        <f t="shared" si="43"/>
        <v>0.56000000000000005</v>
      </c>
      <c r="AJ99" s="16">
        <f t="shared" si="44"/>
        <v>0.56000000000000005</v>
      </c>
      <c r="AM99" s="16">
        <v>8</v>
      </c>
      <c r="AN99" s="17">
        <v>60</v>
      </c>
      <c r="AO99" s="17">
        <f t="shared" si="52"/>
        <v>8.8235649808400152E-2</v>
      </c>
      <c r="AP99" s="17">
        <f>(AO99-AO98)*(INDEX([3]中r将兵属性验证!$AC$7:$AC$166,$AN99,1)*[3]战法技能效用!$AH$4+INDEX([3]中r将兵属性验证!$AX$7:$AX$166,$AN99,1)*[3]战法技能效用!$AI$4)+AP98</f>
        <v>476806909.11561191</v>
      </c>
      <c r="AQ99" s="17">
        <f t="shared" si="49"/>
        <v>476806909.11561191</v>
      </c>
      <c r="AU99" s="16">
        <v>145</v>
      </c>
      <c r="AV99" s="16">
        <f>投放验证!$Q112</f>
        <v>68719802.974371672</v>
      </c>
      <c r="AY99" s="17">
        <v>60</v>
      </c>
      <c r="AZ99" s="17">
        <f t="shared" si="53"/>
        <v>126907.00346152461</v>
      </c>
      <c r="BA99" s="17">
        <f t="shared" si="50"/>
        <v>126907.00346152461</v>
      </c>
      <c r="BB99" s="16">
        <f t="shared" si="54"/>
        <v>3757.1362975264733</v>
      </c>
      <c r="BU99" s="16">
        <v>0</v>
      </c>
      <c r="BV99" s="16">
        <v>0</v>
      </c>
      <c r="BW99" s="16">
        <v>0</v>
      </c>
      <c r="BX99" s="16">
        <v>2415</v>
      </c>
      <c r="BY99" s="16">
        <v>14490</v>
      </c>
    </row>
    <row r="100" spans="2:77">
      <c r="B100" s="177"/>
      <c r="C100" s="17"/>
      <c r="D100" s="31"/>
      <c r="E100" s="31"/>
      <c r="F100" s="31"/>
      <c r="G100" s="31"/>
      <c r="H100" s="31"/>
      <c r="L100" s="16">
        <v>19</v>
      </c>
      <c r="M100" s="17">
        <f>基础状态预期!$C111</f>
        <v>140</v>
      </c>
      <c r="N100" s="17">
        <f>IF(基础状态预期!I111=0,0,求节点($C$67:$C$72,D$67:D$72,基础状态预期!M111))</f>
        <v>0</v>
      </c>
      <c r="O100" s="17">
        <f>IF(基础状态预期!J111=0,0,求节点($C$67:$C$72,E$67:E$72,基础状态预期!N111))</f>
        <v>0</v>
      </c>
      <c r="P100" s="17">
        <f>IF(基础状态预期!K111=0,0,求节点($C$67:$C$72,F$67:F$72,基础状态预期!O111))</f>
        <v>0</v>
      </c>
      <c r="Q100" s="17">
        <f>IF(基础状态预期!L111=0,0,求节点($C$67:$C$72,G$67:G$72,基础状态预期!P111))</f>
        <v>6</v>
      </c>
      <c r="R100" s="17">
        <f>IF(基础状态预期!I111=0,0,求节点($C$79:$C$84,D$79:D$84,基础状态预期!M111))</f>
        <v>0</v>
      </c>
      <c r="S100" s="17">
        <f>IF(基础状态预期!J111=0,0,求节点($C$79:$C$84,E$79:E$84,基础状态预期!N111))</f>
        <v>0</v>
      </c>
      <c r="T100" s="17">
        <f>IF(基础状态预期!K111=0,0,求节点($C$79:$C$84,F$79:F$84,基础状态预期!O111))</f>
        <v>0</v>
      </c>
      <c r="U100" s="17">
        <f>IF(基础状态预期!L111=0,0,求节点($C$79:$C$84,G$79:G$84,基础状态预期!P111))</f>
        <v>5040</v>
      </c>
      <c r="V100" s="17">
        <f>MAX(SUMPRODUCT(R100:U100,基础状态预期!I111:L111),V99)</f>
        <v>30240</v>
      </c>
      <c r="W100" s="17">
        <f>求节点($C$55:$C$60,D$55:D$60,基础状态预期!M111)</f>
        <v>0.02</v>
      </c>
      <c r="X100" s="17">
        <f>求节点($C$55:$C$60,E$55:E$60,基础状态预期!N111)</f>
        <v>0.12</v>
      </c>
      <c r="Y100" s="17">
        <f>求节点($C$55:$C$60,F$55:F$60,基础状态预期!O111)</f>
        <v>0.36000000000000004</v>
      </c>
      <c r="Z100" s="17">
        <f>求节点($C$55:$C$60,G$55:G$60,基础状态预期!P111)</f>
        <v>0.56000000000000005</v>
      </c>
      <c r="AA100" s="17">
        <f>MAX(SUMPRODUCT(W100:Z100,基础状态预期!I111:L111)/6,AA99)</f>
        <v>0.56000000000000005</v>
      </c>
      <c r="AE100" s="16">
        <v>95</v>
      </c>
      <c r="AF100" s="16">
        <f t="shared" si="40"/>
        <v>0.1994087551907234</v>
      </c>
      <c r="AG100" s="16">
        <f t="shared" si="41"/>
        <v>0.26257444792149254</v>
      </c>
      <c r="AH100" s="16">
        <f t="shared" si="42"/>
        <v>0.39199750956875218</v>
      </c>
      <c r="AI100" s="16">
        <f t="shared" si="43"/>
        <v>0.56000000000000005</v>
      </c>
      <c r="AJ100" s="16">
        <f t="shared" si="44"/>
        <v>0.56000000000000005</v>
      </c>
      <c r="AM100" s="16">
        <v>9</v>
      </c>
      <c r="AN100" s="17">
        <v>70</v>
      </c>
      <c r="AO100" s="17">
        <f>求节点($AE$6:$AE$165,$AH$6:$AH$165,$AN100)</f>
        <v>0.12608978409122082</v>
      </c>
      <c r="AP100" s="17">
        <f>(AO100-AO99)*(INDEX([3]中r将兵属性验证!$AC$7:$AC$166,$AN100,1)*[3]战法技能效用!$AH$4+INDEX([3]中r将兵属性验证!$AX$7:$AX$166,$AN100,1)*[3]战法技能效用!$AI$4)+AP99</f>
        <v>1207433103.9506316</v>
      </c>
      <c r="AQ100" s="17">
        <f t="shared" si="49"/>
        <v>1207433103.9506316</v>
      </c>
      <c r="AU100" s="16">
        <v>150</v>
      </c>
      <c r="AV100" s="16">
        <f>投放验证!$Q113</f>
        <v>96267935.353511468</v>
      </c>
      <c r="AY100" s="17">
        <v>70</v>
      </c>
      <c r="AZ100" s="17">
        <f t="shared" si="53"/>
        <v>249164.07252925762</v>
      </c>
      <c r="BA100" s="17">
        <f t="shared" si="50"/>
        <v>249164.07252925762</v>
      </c>
      <c r="BB100" s="16">
        <f t="shared" si="54"/>
        <v>4845.9358192937352</v>
      </c>
      <c r="BU100" s="16">
        <v>0</v>
      </c>
      <c r="BV100" s="16">
        <v>0</v>
      </c>
      <c r="BW100" s="16">
        <v>0</v>
      </c>
      <c r="BX100" s="16">
        <v>2415</v>
      </c>
      <c r="BY100" s="16">
        <v>14490</v>
      </c>
    </row>
    <row r="101" spans="2:77">
      <c r="L101" s="16">
        <v>20</v>
      </c>
      <c r="M101" s="17">
        <f>基础状态预期!$C112</f>
        <v>145</v>
      </c>
      <c r="N101" s="17">
        <f>IF(基础状态预期!I112=0,0,求节点($C$67:$C$72,D$67:D$72,基础状态预期!M112))</f>
        <v>0</v>
      </c>
      <c r="O101" s="17">
        <f>IF(基础状态预期!J112=0,0,求节点($C$67:$C$72,E$67:E$72,基础状态预期!N112))</f>
        <v>0</v>
      </c>
      <c r="P101" s="17">
        <f>IF(基础状态预期!K112=0,0,求节点($C$67:$C$72,F$67:F$72,基础状态预期!O112))</f>
        <v>0</v>
      </c>
      <c r="Q101" s="17">
        <f>IF(基础状态预期!L112=0,0,求节点($C$67:$C$72,G$67:G$72,基础状态预期!P112))</f>
        <v>6</v>
      </c>
      <c r="R101" s="17">
        <f>IF(基础状态预期!I112=0,0,求节点($C$79:$C$84,D$79:D$84,基础状态预期!M112))</f>
        <v>0</v>
      </c>
      <c r="S101" s="17">
        <f>IF(基础状态预期!J112=0,0,求节点($C$79:$C$84,E$79:E$84,基础状态预期!N112))</f>
        <v>0</v>
      </c>
      <c r="T101" s="17">
        <f>IF(基础状态预期!K112=0,0,求节点($C$79:$C$84,F$79:F$84,基础状态预期!O112))</f>
        <v>0</v>
      </c>
      <c r="U101" s="17">
        <f>IF(基础状态预期!L112=0,0,求节点($C$79:$C$84,G$79:G$84,基础状态预期!P112))</f>
        <v>5040</v>
      </c>
      <c r="V101" s="17">
        <f>MAX(SUMPRODUCT(R101:U101,基础状态预期!I112:L112),V100)</f>
        <v>30240</v>
      </c>
      <c r="W101" s="17">
        <f>求节点($C$55:$C$60,D$55:D$60,基础状态预期!M112)</f>
        <v>0.02</v>
      </c>
      <c r="X101" s="17">
        <f>求节点($C$55:$C$60,E$55:E$60,基础状态预期!N112)</f>
        <v>0.12</v>
      </c>
      <c r="Y101" s="17">
        <f>求节点($C$55:$C$60,F$55:F$60,基础状态预期!O112)</f>
        <v>0.36000000000000004</v>
      </c>
      <c r="Z101" s="17">
        <f>求节点($C$55:$C$60,G$55:G$60,基础状态预期!P112)</f>
        <v>0.56000000000000005</v>
      </c>
      <c r="AA101" s="17">
        <f>MAX(SUMPRODUCT(W101:Z101,基础状态预期!I112:L112)/6,AA100)</f>
        <v>0.56000000000000005</v>
      </c>
      <c r="AE101" s="16">
        <v>96</v>
      </c>
      <c r="AF101" s="16">
        <f t="shared" si="40"/>
        <v>0.21276155723884271</v>
      </c>
      <c r="AG101" s="16">
        <f t="shared" si="41"/>
        <v>0.28147678993585062</v>
      </c>
      <c r="AH101" s="16">
        <f t="shared" si="42"/>
        <v>0.42559800765500178</v>
      </c>
      <c r="AI101" s="16">
        <f t="shared" si="43"/>
        <v>0.56000000000000005</v>
      </c>
      <c r="AJ101" s="16">
        <f t="shared" si="44"/>
        <v>0.56000000000000005</v>
      </c>
      <c r="AM101" s="16">
        <v>10</v>
      </c>
      <c r="AN101" s="17">
        <v>80</v>
      </c>
      <c r="AO101" s="17">
        <f t="shared" si="52"/>
        <v>0.15594484962000041</v>
      </c>
      <c r="AP101" s="17">
        <f>(AO101-AO100)*(INDEX([3]中r将兵属性验证!$AC$7:$AC$166,$AN101,1)*[3]战法技能效用!$AH$4+INDEX([3]中r将兵属性验证!$AX$7:$AX$166,$AN101,1)*[3]战法技能效用!$AI$4)+AP100</f>
        <v>2771062371.3584681</v>
      </c>
      <c r="AQ101" s="17">
        <f t="shared" si="49"/>
        <v>2771062371.3584681</v>
      </c>
      <c r="AU101" s="16">
        <v>155</v>
      </c>
      <c r="AV101" s="16">
        <f>投放验证!$Q114</f>
        <v>272235331.54018372</v>
      </c>
      <c r="AY101" s="17">
        <v>80</v>
      </c>
      <c r="AZ101" s="17">
        <f t="shared" si="53"/>
        <v>457438.22555200127</v>
      </c>
      <c r="BA101" s="17">
        <f t="shared" si="50"/>
        <v>457438.22555200127</v>
      </c>
      <c r="BB101" s="16">
        <f t="shared" si="54"/>
        <v>6057.7848910955418</v>
      </c>
      <c r="BU101" s="16">
        <v>0</v>
      </c>
      <c r="BV101" s="16">
        <v>0</v>
      </c>
      <c r="BW101" s="16">
        <v>0</v>
      </c>
      <c r="BX101" s="16">
        <v>2415</v>
      </c>
      <c r="BY101" s="16">
        <v>14490</v>
      </c>
    </row>
    <row r="102" spans="2:77">
      <c r="L102" s="16">
        <v>21</v>
      </c>
      <c r="M102" s="17">
        <f>基础状态预期!$C113</f>
        <v>150</v>
      </c>
      <c r="N102" s="17">
        <f>IF(基础状态预期!I113=0,0,求节点($C$67:$C$72,D$67:D$72,基础状态预期!M113))</f>
        <v>0</v>
      </c>
      <c r="O102" s="17">
        <f>IF(基础状态预期!J113=0,0,求节点($C$67:$C$72,E$67:E$72,基础状态预期!N113))</f>
        <v>0</v>
      </c>
      <c r="P102" s="17">
        <f>IF(基础状态预期!K113=0,0,求节点($C$67:$C$72,F$67:F$72,基础状态预期!O113))</f>
        <v>0</v>
      </c>
      <c r="Q102" s="17">
        <f>IF(基础状态预期!L113=0,0,求节点($C$67:$C$72,G$67:G$72,基础状态预期!P113))</f>
        <v>6</v>
      </c>
      <c r="R102" s="17">
        <f>IF(基础状态预期!I113=0,0,求节点($C$79:$C$84,D$79:D$84,基础状态预期!M113))</f>
        <v>0</v>
      </c>
      <c r="S102" s="17">
        <f>IF(基础状态预期!J113=0,0,求节点($C$79:$C$84,E$79:E$84,基础状态预期!N113))</f>
        <v>0</v>
      </c>
      <c r="T102" s="17">
        <f>IF(基础状态预期!K113=0,0,求节点($C$79:$C$84,F$79:F$84,基础状态预期!O113))</f>
        <v>0</v>
      </c>
      <c r="U102" s="17">
        <f>IF(基础状态预期!L113=0,0,求节点($C$79:$C$84,G$79:G$84,基础状态预期!P113))</f>
        <v>5040</v>
      </c>
      <c r="V102" s="17">
        <f>MAX(SUMPRODUCT(R102:U102,基础状态预期!I113:L113),V101)</f>
        <v>30240</v>
      </c>
      <c r="W102" s="17">
        <f>求节点($C$55:$C$60,D$55:D$60,基础状态预期!M113)</f>
        <v>0.02</v>
      </c>
      <c r="X102" s="17">
        <f>求节点($C$55:$C$60,E$55:E$60,基础状态预期!N113)</f>
        <v>0.12</v>
      </c>
      <c r="Y102" s="17">
        <f>求节点($C$55:$C$60,F$55:F$60,基础状态预期!O113)</f>
        <v>0.36000000000000004</v>
      </c>
      <c r="Z102" s="17">
        <f>求节点($C$55:$C$60,G$55:G$60,基础状态预期!P113)</f>
        <v>0.56000000000000005</v>
      </c>
      <c r="AA102" s="17">
        <f>MAX(SUMPRODUCT(W102:Z102,基础状态预期!I113:L113)/6,AA101)</f>
        <v>0.56000000000000005</v>
      </c>
      <c r="AE102" s="16">
        <v>97</v>
      </c>
      <c r="AF102" s="16">
        <f t="shared" ref="AF102:AF133" si="57">求节点($M$6:$M$26,$AA$6:$AA$26,$AE102)</f>
        <v>0.22611435928696202</v>
      </c>
      <c r="AG102" s="16">
        <f t="shared" ref="AG102:AG133" si="58">求节点($M$32:$M$52,$AA$32:$AA$52,$AE102)</f>
        <v>0.30037913195020871</v>
      </c>
      <c r="AH102" s="16">
        <f t="shared" ref="AH102:AH133" si="59">求节点($M$58:$M$78,$AA$58:$AA$78,$AE102)</f>
        <v>0.45919850574125132</v>
      </c>
      <c r="AI102" s="16">
        <f t="shared" ref="AI102:AI133" si="60">求节点($M$84:$M$104,$AA$84:$AA$104,$AE102)</f>
        <v>0.56000000000000005</v>
      </c>
      <c r="AJ102" s="16">
        <f t="shared" ref="AJ102:AJ133" si="61">求节点($M$110:$M$130,$AA$110:$AA$130,$AE102)</f>
        <v>0.56000000000000005</v>
      </c>
      <c r="AM102" s="16">
        <v>11</v>
      </c>
      <c r="AN102" s="17">
        <v>90</v>
      </c>
      <c r="AO102" s="17">
        <f t="shared" si="52"/>
        <v>0.28633696103383816</v>
      </c>
      <c r="AP102" s="17">
        <f>(AO102-AO101)*(INDEX([3]中r将兵属性验证!$AC$7:$AC$166,$AN102,1)*[3]战法技能效用!$AH$4+INDEX([3]中r将兵属性验证!$AX$7:$AX$166,$AN102,1)*[3]战法技能效用!$AI$4)+AP101</f>
        <v>19751322134.891102</v>
      </c>
      <c r="AQ102" s="17">
        <f t="shared" si="49"/>
        <v>19751322134.891102</v>
      </c>
      <c r="AU102" s="16">
        <v>160</v>
      </c>
      <c r="AV102" s="16">
        <f>投放验证!$Q115</f>
        <v>404994976.39271975</v>
      </c>
      <c r="AY102" s="17">
        <v>90</v>
      </c>
      <c r="AZ102" s="17">
        <f t="shared" si="53"/>
        <v>839921.75236592523</v>
      </c>
      <c r="BA102" s="17">
        <f t="shared" si="50"/>
        <v>839921.75236592523</v>
      </c>
      <c r="BB102" s="16">
        <f t="shared" si="54"/>
        <v>23515.669262350671</v>
      </c>
      <c r="BU102" s="16">
        <v>0</v>
      </c>
      <c r="BV102" s="16">
        <v>0</v>
      </c>
      <c r="BW102" s="16">
        <v>0</v>
      </c>
      <c r="BX102" s="16">
        <v>2415</v>
      </c>
      <c r="BY102" s="16">
        <v>14490</v>
      </c>
    </row>
    <row r="103" spans="2:77">
      <c r="L103" s="16">
        <v>22</v>
      </c>
      <c r="M103" s="17">
        <f>基础状态预期!$C114</f>
        <v>155</v>
      </c>
      <c r="N103" s="17">
        <f>IF(基础状态预期!I114=0,0,求节点($C$67:$C$72,D$67:D$72,基础状态预期!M114))</f>
        <v>0</v>
      </c>
      <c r="O103" s="17">
        <f>IF(基础状态预期!J114=0,0,求节点($C$67:$C$72,E$67:E$72,基础状态预期!N114))</f>
        <v>0</v>
      </c>
      <c r="P103" s="17">
        <f>IF(基础状态预期!K114=0,0,求节点($C$67:$C$72,F$67:F$72,基础状态预期!O114))</f>
        <v>0</v>
      </c>
      <c r="Q103" s="17">
        <f>IF(基础状态预期!L114=0,0,求节点($C$67:$C$72,G$67:G$72,基础状态预期!P114))</f>
        <v>6</v>
      </c>
      <c r="R103" s="17">
        <f>IF(基础状态预期!I114=0,0,求节点($C$79:$C$84,D$79:D$84,基础状态预期!M114))</f>
        <v>0</v>
      </c>
      <c r="S103" s="17">
        <f>IF(基础状态预期!J114=0,0,求节点($C$79:$C$84,E$79:E$84,基础状态预期!N114))</f>
        <v>0</v>
      </c>
      <c r="T103" s="17">
        <f>IF(基础状态预期!K114=0,0,求节点($C$79:$C$84,F$79:F$84,基础状态预期!O114))</f>
        <v>0</v>
      </c>
      <c r="U103" s="17">
        <f>IF(基础状态预期!L114=0,0,求节点($C$79:$C$84,G$79:G$84,基础状态预期!P114))</f>
        <v>5040</v>
      </c>
      <c r="V103" s="17">
        <f>MAX(SUMPRODUCT(R103:U103,基础状态预期!I114:L114),V102)</f>
        <v>30240</v>
      </c>
      <c r="W103" s="17">
        <f>求节点($C$55:$C$60,D$55:D$60,基础状态预期!M114)</f>
        <v>0.02</v>
      </c>
      <c r="X103" s="17">
        <f>求节点($C$55:$C$60,E$55:E$60,基础状态预期!N114)</f>
        <v>0.12</v>
      </c>
      <c r="Y103" s="17">
        <f>求节点($C$55:$C$60,F$55:F$60,基础状态预期!O114)</f>
        <v>0.36000000000000004</v>
      </c>
      <c r="Z103" s="17">
        <f>求节点($C$55:$C$60,G$55:G$60,基础状态预期!P114)</f>
        <v>0.56000000000000005</v>
      </c>
      <c r="AA103" s="17">
        <f>MAX(SUMPRODUCT(W103:Z103,基础状态预期!I114:L114)/6,AA102)</f>
        <v>0.56000000000000005</v>
      </c>
      <c r="AE103" s="16">
        <v>98</v>
      </c>
      <c r="AF103" s="16">
        <f t="shared" si="57"/>
        <v>0.23946716133508134</v>
      </c>
      <c r="AG103" s="16">
        <f t="shared" si="58"/>
        <v>0.3192814739645668</v>
      </c>
      <c r="AH103" s="16">
        <f t="shared" si="59"/>
        <v>0.49279900382750091</v>
      </c>
      <c r="AI103" s="16">
        <f t="shared" si="60"/>
        <v>0.56000000000000005</v>
      </c>
      <c r="AJ103" s="16">
        <f t="shared" si="61"/>
        <v>0.56000000000000005</v>
      </c>
      <c r="AM103" s="16">
        <v>12</v>
      </c>
      <c r="AN103" s="17">
        <v>100</v>
      </c>
      <c r="AO103" s="17">
        <f t="shared" si="52"/>
        <v>0.56000000000000005</v>
      </c>
      <c r="AP103" s="17">
        <f>(AO103-AO102)*(INDEX([3]中r将兵属性验证!$AC$7:$AC$166,$AN103,1)*[3]战法技能效用!$AH$4+INDEX([3]中r将兵属性验证!$AX$7:$AX$166,$AN103,1)*[3]战法技能效用!$AI$4)+AP102</f>
        <v>95825582549.995636</v>
      </c>
      <c r="AQ103" s="17">
        <f t="shared" si="49"/>
        <v>95825582549.995636</v>
      </c>
      <c r="AY103" s="17">
        <v>100</v>
      </c>
      <c r="AZ103" s="17">
        <f t="shared" si="53"/>
        <v>1586266.4076766092</v>
      </c>
      <c r="BA103" s="17">
        <f t="shared" si="50"/>
        <v>1586266.4076766092</v>
      </c>
      <c r="BB103" s="16">
        <f t="shared" si="54"/>
        <v>60409.513866179987</v>
      </c>
      <c r="BU103" s="16">
        <v>0</v>
      </c>
      <c r="BV103" s="16">
        <v>0</v>
      </c>
      <c r="BW103" s="16">
        <v>0</v>
      </c>
      <c r="BX103" s="16">
        <v>2415</v>
      </c>
      <c r="BY103" s="16">
        <v>14490</v>
      </c>
    </row>
    <row r="104" spans="2:77">
      <c r="L104" s="16">
        <v>23</v>
      </c>
      <c r="M104" s="17">
        <f>基础状态预期!$C115</f>
        <v>160</v>
      </c>
      <c r="N104" s="17">
        <f>IF(基础状态预期!I115=0,0,求节点($C$67:$C$72,D$67:D$72,基础状态预期!M115))</f>
        <v>0</v>
      </c>
      <c r="O104" s="17">
        <f>IF(基础状态预期!J115=0,0,求节点($C$67:$C$72,E$67:E$72,基础状态预期!N115))</f>
        <v>0</v>
      </c>
      <c r="P104" s="17">
        <f>IF(基础状态预期!K115=0,0,求节点($C$67:$C$72,F$67:F$72,基础状态预期!O115))</f>
        <v>0</v>
      </c>
      <c r="Q104" s="17">
        <f>IF(基础状态预期!L115=0,0,求节点($C$67:$C$72,G$67:G$72,基础状态预期!P115))</f>
        <v>6</v>
      </c>
      <c r="R104" s="17">
        <f>IF(基础状态预期!I115=0,0,求节点($C$79:$C$84,D$79:D$84,基础状态预期!M115))</f>
        <v>0</v>
      </c>
      <c r="S104" s="17">
        <f>IF(基础状态预期!J115=0,0,求节点($C$79:$C$84,E$79:E$84,基础状态预期!N115))</f>
        <v>0</v>
      </c>
      <c r="T104" s="17">
        <f>IF(基础状态预期!K115=0,0,求节点($C$79:$C$84,F$79:F$84,基础状态预期!O115))</f>
        <v>0</v>
      </c>
      <c r="U104" s="17">
        <f>IF(基础状态预期!L115=0,0,求节点($C$79:$C$84,G$79:G$84,基础状态预期!P115))</f>
        <v>5040</v>
      </c>
      <c r="V104" s="17">
        <f>MAX(SUMPRODUCT(R104:U104,基础状态预期!I115:L115),V103)</f>
        <v>30240</v>
      </c>
      <c r="W104" s="17">
        <f>求节点($C$55:$C$60,D$55:D$60,基础状态预期!M115)</f>
        <v>0.02</v>
      </c>
      <c r="X104" s="17">
        <f>求节点($C$55:$C$60,E$55:E$60,基础状态预期!N115)</f>
        <v>0.12</v>
      </c>
      <c r="Y104" s="17">
        <f>求节点($C$55:$C$60,F$55:F$60,基础状态预期!O115)</f>
        <v>0.36000000000000004</v>
      </c>
      <c r="Z104" s="17">
        <f>求节点($C$55:$C$60,G$55:G$60,基础状态预期!P115)</f>
        <v>0.56000000000000005</v>
      </c>
      <c r="AA104" s="17">
        <f>MAX(SUMPRODUCT(W104:Z104,基础状态预期!I115:L115)/6,AA103)</f>
        <v>0.56000000000000005</v>
      </c>
      <c r="AE104" s="16">
        <v>99</v>
      </c>
      <c r="AF104" s="16">
        <f t="shared" si="57"/>
        <v>0.25281996338320067</v>
      </c>
      <c r="AG104" s="16">
        <f t="shared" si="58"/>
        <v>0.33818381597892488</v>
      </c>
      <c r="AH104" s="16">
        <f t="shared" si="59"/>
        <v>0.52639950191375051</v>
      </c>
      <c r="AI104" s="16">
        <f t="shared" si="60"/>
        <v>0.56000000000000005</v>
      </c>
      <c r="AJ104" s="16">
        <f t="shared" si="61"/>
        <v>0.56000000000000005</v>
      </c>
      <c r="AM104" s="16">
        <v>13</v>
      </c>
      <c r="AN104" s="17">
        <v>110</v>
      </c>
      <c r="AO104" s="17">
        <f t="shared" si="52"/>
        <v>0.56000000000000005</v>
      </c>
      <c r="AP104" s="17">
        <f>(AO104-AO103)*(INDEX([3]中r将兵属性验证!$AC$7:$AC$166,$AN104,1)*[3]战法技能效用!$AH$4+INDEX([3]中r将兵属性验证!$AX$7:$AX$166,$AN104,1)*[3]战法技能效用!$AI$4)+AP103</f>
        <v>95825582549.995636</v>
      </c>
      <c r="AQ104" s="17">
        <f t="shared" si="49"/>
        <v>95825582549.995636</v>
      </c>
      <c r="AY104" s="17">
        <v>110</v>
      </c>
      <c r="AZ104" s="17">
        <f t="shared" si="53"/>
        <v>3002920.3549717944</v>
      </c>
      <c r="BA104" s="17">
        <f t="shared" si="50"/>
        <v>3002920.3549717944</v>
      </c>
      <c r="BB104" s="16">
        <f t="shared" si="54"/>
        <v>31910.797231548851</v>
      </c>
      <c r="BU104" s="16">
        <v>0</v>
      </c>
      <c r="BV104" s="16">
        <v>0</v>
      </c>
      <c r="BW104" s="16">
        <v>0</v>
      </c>
      <c r="BX104" s="16">
        <v>2415</v>
      </c>
      <c r="BY104" s="16">
        <v>14490</v>
      </c>
    </row>
    <row r="105" spans="2:77">
      <c r="L105" s="16">
        <v>24</v>
      </c>
      <c r="AE105" s="16">
        <v>100</v>
      </c>
      <c r="AF105" s="16">
        <f t="shared" si="57"/>
        <v>0.26617276543131996</v>
      </c>
      <c r="AG105" s="16">
        <f t="shared" si="58"/>
        <v>0.35708615799328297</v>
      </c>
      <c r="AH105" s="16">
        <f t="shared" si="59"/>
        <v>0.56000000000000005</v>
      </c>
      <c r="AI105" s="16">
        <f t="shared" si="60"/>
        <v>0.56000000000000005</v>
      </c>
      <c r="AJ105" s="16">
        <f t="shared" si="61"/>
        <v>0.56000000000000005</v>
      </c>
      <c r="AM105" s="16">
        <v>14</v>
      </c>
      <c r="AN105" s="17">
        <v>120</v>
      </c>
      <c r="AO105" s="17">
        <f t="shared" si="52"/>
        <v>0.56000000000000005</v>
      </c>
      <c r="AP105" s="17">
        <f>(AO105-AO104)*(INDEX([3]中r将兵属性验证!$AC$7:$AC$166,$AN105,1)*[3]战法技能效用!$AH$4+INDEX([3]中r将兵属性验证!$AX$7:$AX$166,$AN105,1)*[3]战法技能效用!$AI$4)+AP104</f>
        <v>95825582549.995636</v>
      </c>
      <c r="AQ105" s="17">
        <f t="shared" si="49"/>
        <v>95825582549.995636</v>
      </c>
      <c r="AY105" s="17">
        <v>120</v>
      </c>
      <c r="AZ105" s="17">
        <f t="shared" si="53"/>
        <v>5800116.7299608961</v>
      </c>
      <c r="BA105" s="17">
        <f t="shared" si="50"/>
        <v>5800116.7299608961</v>
      </c>
      <c r="BB105" s="16">
        <f t="shared" si="54"/>
        <v>16521.319658103101</v>
      </c>
    </row>
    <row r="106" spans="2:77">
      <c r="L106" s="16">
        <v>25</v>
      </c>
      <c r="AE106" s="16">
        <v>101</v>
      </c>
      <c r="AF106" s="16">
        <f t="shared" si="57"/>
        <v>0.28504906085443898</v>
      </c>
      <c r="AG106" s="16">
        <f t="shared" si="58"/>
        <v>0.38573235064619005</v>
      </c>
      <c r="AH106" s="16">
        <f t="shared" si="59"/>
        <v>0.56000000000000005</v>
      </c>
      <c r="AI106" s="16">
        <f t="shared" si="60"/>
        <v>0.56000000000000005</v>
      </c>
      <c r="AJ106" s="16">
        <f t="shared" si="61"/>
        <v>0.56000000000000005</v>
      </c>
      <c r="AM106" s="16">
        <v>15</v>
      </c>
      <c r="AN106" s="17">
        <v>130</v>
      </c>
      <c r="AO106" s="17">
        <f t="shared" si="52"/>
        <v>0.56000000000000005</v>
      </c>
      <c r="AP106" s="17">
        <f>(AO106-AO105)*(INDEX([3]中r将兵属性验证!$AC$7:$AC$166,$AN106,1)*[3]战法技能效用!$AH$4+INDEX([3]中r将兵属性验证!$AX$7:$AX$166,$AN106,1)*[3]战法技能效用!$AI$4)+AP105</f>
        <v>95825582549.995636</v>
      </c>
      <c r="AQ106" s="17">
        <f t="shared" si="49"/>
        <v>95825582549.995636</v>
      </c>
      <c r="AU106" s="16" t="s">
        <v>258</v>
      </c>
      <c r="AV106" s="174" t="s">
        <v>419</v>
      </c>
      <c r="AY106" s="17">
        <v>130</v>
      </c>
      <c r="AZ106" s="17">
        <f t="shared" si="53"/>
        <v>11221139.672132218</v>
      </c>
      <c r="BA106" s="17">
        <f t="shared" si="50"/>
        <v>11221139.672132218</v>
      </c>
      <c r="BB106" s="16">
        <f t="shared" si="54"/>
        <v>8539.7370810720022</v>
      </c>
    </row>
    <row r="107" spans="2:77">
      <c r="L107" s="16">
        <v>26</v>
      </c>
      <c r="AE107" s="16">
        <v>102</v>
      </c>
      <c r="AF107" s="16">
        <f t="shared" si="57"/>
        <v>0.30392535627755801</v>
      </c>
      <c r="AG107" s="16">
        <f t="shared" si="58"/>
        <v>0.41437854329909712</v>
      </c>
      <c r="AH107" s="16">
        <f t="shared" si="59"/>
        <v>0.56000000000000005</v>
      </c>
      <c r="AI107" s="16">
        <f t="shared" si="60"/>
        <v>0.56000000000000005</v>
      </c>
      <c r="AJ107" s="16">
        <f t="shared" si="61"/>
        <v>0.56000000000000005</v>
      </c>
      <c r="AM107" s="16">
        <v>16</v>
      </c>
      <c r="AN107" s="17">
        <v>140</v>
      </c>
      <c r="AO107" s="17">
        <f t="shared" si="52"/>
        <v>0.56000000000000005</v>
      </c>
      <c r="AP107" s="17">
        <f>(AO107-AO106)*(INDEX([3]中r将兵属性验证!$AC$7:$AC$166,$AN107,1)*[3]战法技能效用!$AH$4+INDEX([3]中r将兵属性验证!$AX$7:$AX$166,$AN107,1)*[3]战法技能效用!$AI$4)+AP106</f>
        <v>95825582549.995636</v>
      </c>
      <c r="AQ107" s="17">
        <f t="shared" si="49"/>
        <v>95825582549.995636</v>
      </c>
      <c r="AU107" s="16" t="s">
        <v>161</v>
      </c>
      <c r="AV107" s="174"/>
      <c r="AY107" s="17">
        <v>140</v>
      </c>
      <c r="AZ107" s="17">
        <f t="shared" si="53"/>
        <v>21912378.218354762</v>
      </c>
      <c r="BA107" s="17">
        <f t="shared" si="50"/>
        <v>21912378.218354762</v>
      </c>
      <c r="BB107" s="16">
        <f t="shared" si="54"/>
        <v>4373.1256185477832</v>
      </c>
    </row>
    <row r="108" spans="2:77">
      <c r="L108" s="16">
        <v>1</v>
      </c>
      <c r="M108" s="69" t="s">
        <v>251</v>
      </c>
      <c r="N108" s="171" t="s">
        <v>404</v>
      </c>
      <c r="O108" s="173"/>
      <c r="P108" s="173"/>
      <c r="Q108" s="172"/>
      <c r="R108" s="171" t="s">
        <v>455</v>
      </c>
      <c r="S108" s="173"/>
      <c r="T108" s="173"/>
      <c r="U108" s="173"/>
      <c r="V108" s="172"/>
      <c r="W108" s="170" t="s">
        <v>252</v>
      </c>
      <c r="X108" s="170"/>
      <c r="Y108" s="170"/>
      <c r="Z108" s="170"/>
      <c r="AA108" s="170"/>
      <c r="AE108" s="16">
        <v>103</v>
      </c>
      <c r="AF108" s="16">
        <f t="shared" si="57"/>
        <v>0.32280165170067698</v>
      </c>
      <c r="AG108" s="16">
        <f t="shared" si="58"/>
        <v>0.4430247359520042</v>
      </c>
      <c r="AH108" s="16">
        <f t="shared" si="59"/>
        <v>0.56000000000000005</v>
      </c>
      <c r="AI108" s="16">
        <f t="shared" si="60"/>
        <v>0.56000000000000005</v>
      </c>
      <c r="AJ108" s="16">
        <f t="shared" si="61"/>
        <v>0.56000000000000005</v>
      </c>
      <c r="AM108" s="16">
        <v>17</v>
      </c>
      <c r="AN108" s="17">
        <v>150</v>
      </c>
      <c r="AO108" s="17">
        <f t="shared" si="52"/>
        <v>0.56000000000000005</v>
      </c>
      <c r="AP108" s="17">
        <f>(AO108-AO107)*(INDEX([3]中r将兵属性验证!$AC$7:$AC$166,$AN108,1)*[3]战法技能效用!$AH$4+INDEX([3]中r将兵属性验证!$AX$7:$AX$166,$AN108,1)*[3]战法技能效用!$AI$4)+AP107</f>
        <v>95825582549.995636</v>
      </c>
      <c r="AQ108" s="17">
        <f t="shared" si="49"/>
        <v>95825582549.995636</v>
      </c>
      <c r="AU108" s="16">
        <v>50</v>
      </c>
      <c r="AV108" s="16">
        <f>投放验证!$Q121</f>
        <v>189645.58578683806</v>
      </c>
      <c r="AY108" s="17">
        <v>150</v>
      </c>
      <c r="AZ108" s="17">
        <f t="shared" si="53"/>
        <v>43021997.385201767</v>
      </c>
      <c r="BA108" s="17">
        <f t="shared" si="50"/>
        <v>43021997.385201767</v>
      </c>
      <c r="BB108" s="16">
        <f t="shared" si="54"/>
        <v>2227.3624744107456</v>
      </c>
      <c r="BU108" s="16" t="s">
        <v>466</v>
      </c>
    </row>
    <row r="109" spans="2:77">
      <c r="L109" s="16">
        <v>2</v>
      </c>
      <c r="M109" s="17" t="s">
        <v>161</v>
      </c>
      <c r="N109" s="17" t="s">
        <v>1</v>
      </c>
      <c r="O109" s="17" t="s">
        <v>2</v>
      </c>
      <c r="P109" s="17" t="s">
        <v>0</v>
      </c>
      <c r="Q109" s="17" t="s">
        <v>205</v>
      </c>
      <c r="R109" s="17" t="s">
        <v>1</v>
      </c>
      <c r="S109" s="17" t="s">
        <v>2</v>
      </c>
      <c r="T109" s="17" t="s">
        <v>0</v>
      </c>
      <c r="U109" s="17" t="s">
        <v>205</v>
      </c>
      <c r="V109" s="17" t="s">
        <v>443</v>
      </c>
      <c r="W109" s="17" t="s">
        <v>1</v>
      </c>
      <c r="X109" s="17" t="s">
        <v>2</v>
      </c>
      <c r="Y109" s="17" t="s">
        <v>0</v>
      </c>
      <c r="Z109" s="17" t="s">
        <v>205</v>
      </c>
      <c r="AA109" s="71" t="s">
        <v>373</v>
      </c>
      <c r="AE109" s="16">
        <v>104</v>
      </c>
      <c r="AF109" s="16">
        <f t="shared" si="57"/>
        <v>0.34167794712379601</v>
      </c>
      <c r="AG109" s="16">
        <f t="shared" si="58"/>
        <v>0.47167092860491128</v>
      </c>
      <c r="AH109" s="16">
        <f t="shared" si="59"/>
        <v>0.56000000000000005</v>
      </c>
      <c r="AI109" s="16">
        <f t="shared" si="60"/>
        <v>0.56000000000000005</v>
      </c>
      <c r="AJ109" s="16">
        <f t="shared" si="61"/>
        <v>0.56000000000000005</v>
      </c>
      <c r="AM109" s="16">
        <v>18</v>
      </c>
      <c r="AN109" s="17">
        <v>160</v>
      </c>
      <c r="AO109" s="17">
        <f t="shared" si="52"/>
        <v>0.56000000000000005</v>
      </c>
      <c r="AP109" s="17">
        <f>(AO109-AO108)*(INDEX([3]中r将兵属性验证!$AC$7:$AC$166,$AN109,1)*[3]战法技能效用!$AH$4+INDEX([3]中r将兵属性验证!$AX$7:$AX$166,$AN109,1)*[3]战法技能效用!$AI$4)+AP108</f>
        <v>95825582549.995636</v>
      </c>
      <c r="AQ109" s="17">
        <f t="shared" si="49"/>
        <v>95825582549.995636</v>
      </c>
      <c r="AU109" s="16">
        <v>60</v>
      </c>
      <c r="AV109" s="16">
        <f>投放验证!$Q122</f>
        <v>339501.32883234549</v>
      </c>
      <c r="AY109" s="17">
        <v>160</v>
      </c>
      <c r="AZ109" s="17">
        <f t="shared" si="53"/>
        <v>127238917.26610886</v>
      </c>
      <c r="BA109" s="17">
        <f t="shared" si="50"/>
        <v>127238917.26610886</v>
      </c>
      <c r="BB109" s="16">
        <f t="shared" si="54"/>
        <v>753.11535659789502</v>
      </c>
      <c r="BU109" s="16" t="s">
        <v>79</v>
      </c>
      <c r="BV109" s="16" t="s">
        <v>80</v>
      </c>
      <c r="BW109" s="16" t="s">
        <v>81</v>
      </c>
      <c r="BX109" s="16" t="s">
        <v>205</v>
      </c>
      <c r="BY109" s="16" t="s">
        <v>465</v>
      </c>
    </row>
    <row r="110" spans="2:77">
      <c r="L110" s="16">
        <v>3</v>
      </c>
      <c r="M110" s="17">
        <f>基础状态预期!$C121</f>
        <v>50</v>
      </c>
      <c r="N110" s="17">
        <f>IF(基础状态预期!I121=0,0,求节点($C$67:$C$72,D$67:D$72,基础状态预期!M121))</f>
        <v>0</v>
      </c>
      <c r="O110" s="17">
        <f>IF(基础状态预期!J121=0,0,求节点($C$67:$C$72,E$67:E$72,基础状态预期!N121))</f>
        <v>0</v>
      </c>
      <c r="P110" s="17">
        <f>IF(基础状态预期!K121=0,0,求节点($C$67:$C$72,F$67:F$72,基础状态预期!O121))</f>
        <v>0</v>
      </c>
      <c r="Q110" s="17">
        <f>IF(基础状态预期!L121=0,0,求节点($C$67:$C$72,G$67:G$72,基础状态预期!P121))</f>
        <v>0</v>
      </c>
      <c r="R110" s="17">
        <f>IF(基础状态预期!I121=0,0,求节点($C$79:$C$84,D$79:D$84,基础状态预期!M121))</f>
        <v>0</v>
      </c>
      <c r="S110" s="17">
        <f>IF(基础状态预期!J121=0,0,求节点($C$79:$C$84,E$79:E$84,基础状态预期!N121))</f>
        <v>0</v>
      </c>
      <c r="T110" s="17">
        <f>IF(基础状态预期!K121=0,0,求节点($C$79:$C$84,F$79:F$84,基础状态预期!O121))</f>
        <v>0</v>
      </c>
      <c r="U110" s="17">
        <f>IF(基础状态预期!L121=0,0,求节点($C$79:$C$84,G$79:G$84,基础状态预期!P121))</f>
        <v>0</v>
      </c>
      <c r="V110" s="51">
        <f>SUMPRODUCT(R110:U110,基础状态预期!I121:L121)</f>
        <v>0</v>
      </c>
      <c r="W110" s="17">
        <f>求节点($C$55:$C$60,D$55:D$60,基础状态预期!M121)</f>
        <v>0.02</v>
      </c>
      <c r="X110" s="17">
        <f>求节点($C$55:$C$60,E$55:E$60,基础状态预期!N121)</f>
        <v>0.03</v>
      </c>
      <c r="Y110" s="17">
        <f>求节点($C$55:$C$60,F$55:F$60,基础状态预期!O121)</f>
        <v>0.06</v>
      </c>
      <c r="Z110" s="17">
        <f>求节点($C$55:$C$60,G$55:G$60,基础状态预期!P121)</f>
        <v>0.09</v>
      </c>
      <c r="AA110" s="51">
        <f>SUMPRODUCT(W110:Z110,基础状态预期!I121:L121)/6</f>
        <v>0</v>
      </c>
      <c r="AE110" s="16">
        <v>105</v>
      </c>
      <c r="AF110" s="16">
        <f t="shared" si="57"/>
        <v>0.36055424254691504</v>
      </c>
      <c r="AG110" s="16">
        <f t="shared" si="58"/>
        <v>0.50031712125781835</v>
      </c>
      <c r="AH110" s="16">
        <f t="shared" si="59"/>
        <v>0.56000000000000005</v>
      </c>
      <c r="AI110" s="16">
        <f t="shared" si="60"/>
        <v>0.56000000000000005</v>
      </c>
      <c r="AJ110" s="16">
        <f t="shared" si="61"/>
        <v>0.56000000000000005</v>
      </c>
      <c r="AM110" s="16">
        <v>19</v>
      </c>
      <c r="AU110" s="16">
        <v>70</v>
      </c>
      <c r="AV110" s="16">
        <f>投放验证!$Q123</f>
        <v>627428.43633939838</v>
      </c>
      <c r="BU110" s="16">
        <v>0</v>
      </c>
      <c r="BV110" s="16">
        <v>0</v>
      </c>
      <c r="BW110" s="16">
        <v>0</v>
      </c>
      <c r="BX110" s="16">
        <v>0</v>
      </c>
      <c r="BY110" s="16">
        <v>0</v>
      </c>
    </row>
    <row r="111" spans="2:77">
      <c r="L111" s="16">
        <v>4</v>
      </c>
      <c r="M111" s="17">
        <f>基础状态预期!$C122</f>
        <v>60</v>
      </c>
      <c r="N111" s="17">
        <f>IF(基础状态预期!I122=0,0,求节点($C$67:$C$72,D$67:D$72,基础状态预期!M122))</f>
        <v>0</v>
      </c>
      <c r="O111" s="17">
        <f>IF(基础状态预期!J122=0,0,求节点($C$67:$C$72,E$67:E$72,基础状态预期!N122))</f>
        <v>0</v>
      </c>
      <c r="P111" s="17">
        <f>IF(基础状态预期!K122=0,0,求节点($C$67:$C$72,F$67:F$72,基础状态预期!O122))</f>
        <v>2.9303061343665813</v>
      </c>
      <c r="Q111" s="17">
        <f>IF(基础状态预期!L122=0,0,求节点($C$67:$C$72,G$67:G$72,基础状态预期!P122))</f>
        <v>3.4246234279861913</v>
      </c>
      <c r="R111" s="17">
        <f>IF(基础状态预期!I122=0,0,求节点($C$79:$C$84,D$79:D$84,基础状态预期!M122))</f>
        <v>0</v>
      </c>
      <c r="S111" s="17">
        <f>IF(基础状态预期!J122=0,0,求节点($C$79:$C$84,E$79:E$84,基础状态预期!N122))</f>
        <v>0</v>
      </c>
      <c r="T111" s="17">
        <f>IF(基础状态预期!K122=0,0,求节点($C$79:$C$84,F$79:F$84,基础状态预期!O122))</f>
        <v>113.03061343665813</v>
      </c>
      <c r="U111" s="17">
        <f>IF(基础状态预期!L122=0,0,求节点($C$79:$C$84,G$79:G$84,基础状态预期!P122))</f>
        <v>281.35690263475271</v>
      </c>
      <c r="V111" s="17">
        <f>MAX(SUMPRODUCT(R111:U111,基础状态预期!I122:L122),V110)</f>
        <v>1057.4357227646194</v>
      </c>
      <c r="W111" s="17">
        <f>求节点($C$55:$C$60,D$55:D$60,基础状态预期!M122)</f>
        <v>0.02</v>
      </c>
      <c r="X111" s="17">
        <f>求节点($C$55:$C$60,E$55:E$60,基础状态预期!N122)</f>
        <v>0.12</v>
      </c>
      <c r="Y111" s="17">
        <f>求节点($C$55:$C$60,F$55:F$60,基础状态预期!O122)</f>
        <v>0.17581836806199486</v>
      </c>
      <c r="Z111" s="17">
        <f>求节点($C$55:$C$60,G$55:G$60,基础状态预期!P122)</f>
        <v>0.30821610851875725</v>
      </c>
      <c r="AA111" s="17">
        <f>MAX(SUMPRODUCT(W111:Z111,基础状态预期!I122:L122)/6,AA110)</f>
        <v>0.22553541234424115</v>
      </c>
      <c r="AE111" s="16">
        <v>106</v>
      </c>
      <c r="AF111" s="16">
        <f t="shared" si="57"/>
        <v>0.38850347266542523</v>
      </c>
      <c r="AG111" s="16">
        <f t="shared" si="58"/>
        <v>0.51225369700625467</v>
      </c>
      <c r="AH111" s="16">
        <f t="shared" si="59"/>
        <v>0.56000000000000005</v>
      </c>
      <c r="AI111" s="16">
        <f t="shared" si="60"/>
        <v>0.56000000000000005</v>
      </c>
      <c r="AJ111" s="16">
        <f t="shared" si="61"/>
        <v>0.56000000000000005</v>
      </c>
      <c r="AM111" s="16">
        <v>20</v>
      </c>
      <c r="AU111" s="16">
        <v>75</v>
      </c>
      <c r="AV111" s="16">
        <f>投放验证!$Q124</f>
        <v>878167.07331317558</v>
      </c>
      <c r="BU111" s="16">
        <v>0</v>
      </c>
      <c r="BV111" s="16">
        <v>0</v>
      </c>
      <c r="BW111" s="16">
        <v>1610</v>
      </c>
      <c r="BX111" s="16">
        <v>162.24687748139701</v>
      </c>
      <c r="BY111" s="16">
        <v>6398.1011554865372</v>
      </c>
    </row>
    <row r="112" spans="2:77">
      <c r="L112" s="16">
        <v>5</v>
      </c>
      <c r="M112" s="17">
        <f>基础状态预期!$C123</f>
        <v>70</v>
      </c>
      <c r="N112" s="17">
        <f>IF(基础状态预期!I123=0,0,求节点($C$67:$C$72,D$67:D$72,基础状态预期!M123))</f>
        <v>0</v>
      </c>
      <c r="O112" s="17">
        <f>IF(基础状态预期!J123=0,0,求节点($C$67:$C$72,E$67:E$72,基础状态预期!N123))</f>
        <v>0</v>
      </c>
      <c r="P112" s="17">
        <f>IF(基础状态预期!K123=0,0,求节点($C$67:$C$72,F$67:F$72,基础状态预期!O123))</f>
        <v>5.4389008460744188</v>
      </c>
      <c r="Q112" s="17">
        <f>IF(基础状态预期!L123=0,0,求节点($C$67:$C$72,G$67:G$72,基础状态预期!P123))</f>
        <v>3.4246234279861913</v>
      </c>
      <c r="R112" s="17">
        <f>IF(基础状态预期!I123=0,0,求节点($C$79:$C$84,D$79:D$84,基础状态预期!M123))</f>
        <v>0</v>
      </c>
      <c r="S112" s="17">
        <f>IF(基础状态预期!J123=0,0,求节点($C$79:$C$84,E$79:E$84,基础状态预期!N123))</f>
        <v>0</v>
      </c>
      <c r="T112" s="17">
        <f>IF(基础状态预期!K123=0,0,求节点($C$79:$C$84,F$79:F$84,基础状态预期!O123))</f>
        <v>3177.1508089670706</v>
      </c>
      <c r="U112" s="17">
        <f>IF(基础状态预期!L123=0,0,求节点($C$79:$C$84,G$79:G$84,基础状态预期!P123))</f>
        <v>281.35690263475271</v>
      </c>
      <c r="V112" s="17">
        <f>MAX(SUMPRODUCT(R112:U112,基础状态预期!I123:L123),V111)</f>
        <v>6158.8048503596738</v>
      </c>
      <c r="W112" s="17">
        <f>求节点($C$55:$C$60,D$55:D$60,基础状态预期!M123)</f>
        <v>0.02</v>
      </c>
      <c r="X112" s="17">
        <f>求节点($C$55:$C$60,E$55:E$60,基础状态预期!N123)</f>
        <v>0.12</v>
      </c>
      <c r="Y112" s="17">
        <f>求节点($C$55:$C$60,F$55:F$60,基础状态预期!O123)</f>
        <v>0.3263340507644652</v>
      </c>
      <c r="Z112" s="17">
        <f>求节点($C$55:$C$60,G$55:G$60,基础状态预期!P123)</f>
        <v>0.30821610851875725</v>
      </c>
      <c r="AA112" s="17">
        <f>MAX(SUMPRODUCT(W112:Z112,基础状态预期!I123:L123)/6,AA111)</f>
        <v>0.31287799771202662</v>
      </c>
      <c r="AE112" s="16">
        <v>107</v>
      </c>
      <c r="AF112" s="16">
        <f t="shared" si="57"/>
        <v>0.41645270278393542</v>
      </c>
      <c r="AG112" s="16">
        <f t="shared" si="58"/>
        <v>0.52419027275469099</v>
      </c>
      <c r="AH112" s="16">
        <f t="shared" si="59"/>
        <v>0.56000000000000005</v>
      </c>
      <c r="AI112" s="16">
        <f t="shared" si="60"/>
        <v>0.56000000000000005</v>
      </c>
      <c r="AJ112" s="16">
        <f t="shared" si="61"/>
        <v>0.56000000000000005</v>
      </c>
      <c r="AM112" s="16">
        <v>21</v>
      </c>
      <c r="AU112" s="16">
        <v>80</v>
      </c>
      <c r="AV112" s="16">
        <f>投放验证!$Q125</f>
        <v>1223668.5594552399</v>
      </c>
      <c r="BU112" s="16">
        <v>0</v>
      </c>
      <c r="BV112" s="16">
        <v>0</v>
      </c>
      <c r="BW112" s="16">
        <v>1610</v>
      </c>
      <c r="BX112" s="16">
        <v>162.24687748139701</v>
      </c>
      <c r="BY112" s="16">
        <v>6398.1011554865372</v>
      </c>
    </row>
    <row r="113" spans="12:77">
      <c r="L113" s="16">
        <v>6</v>
      </c>
      <c r="M113" s="17">
        <f>基础状态预期!$C124</f>
        <v>75</v>
      </c>
      <c r="N113" s="17">
        <f>IF(基础状态预期!I124=0,0,求节点($C$67:$C$72,D$67:D$72,基础状态预期!M124))</f>
        <v>0</v>
      </c>
      <c r="O113" s="17">
        <f>IF(基础状态预期!J124=0,0,求节点($C$67:$C$72,E$67:E$72,基础状态预期!N124))</f>
        <v>0</v>
      </c>
      <c r="P113" s="17">
        <f>IF(基础状态预期!K124=0,0,求节点($C$67:$C$72,F$67:F$72,基础状态预期!O124))</f>
        <v>6</v>
      </c>
      <c r="Q113" s="17">
        <f>IF(基础状态预期!L124=0,0,求节点($C$67:$C$72,G$67:G$72,基础状态预期!P124))</f>
        <v>3.5577382042117049</v>
      </c>
      <c r="R113" s="17">
        <f>IF(基础状态预期!I124=0,0,求节点($C$79:$C$84,D$79:D$84,基础状态预期!M124))</f>
        <v>0</v>
      </c>
      <c r="S113" s="17">
        <f>IF(基础状态预期!J124=0,0,求节点($C$79:$C$84,E$79:E$84,基础状态预期!N124))</f>
        <v>0</v>
      </c>
      <c r="T113" s="17">
        <f>IF(基础状态预期!K124=0,0,求节点($C$79:$C$84,F$79:F$84,基础状态预期!O124))</f>
        <v>5040</v>
      </c>
      <c r="U113" s="17">
        <f>IF(基础状态预期!L124=0,0,求节点($C$79:$C$84,G$79:G$84,基础状态预期!P124))</f>
        <v>331.94051760044789</v>
      </c>
      <c r="V113" s="17">
        <f>MAX(SUMPRODUCT(R113:U113,基础状态预期!I124:L124),V112)</f>
        <v>6158.8048503596738</v>
      </c>
      <c r="W113" s="17">
        <f>求节点($C$55:$C$60,D$55:D$60,基础状态预期!M124)</f>
        <v>0.02</v>
      </c>
      <c r="X113" s="17">
        <f>求节点($C$55:$C$60,E$55:E$60,基础状态预期!N124)</f>
        <v>0.12</v>
      </c>
      <c r="Y113" s="17">
        <f>求节点($C$55:$C$60,F$55:F$60,基础状态预期!O124)</f>
        <v>0.36000000000000004</v>
      </c>
      <c r="Z113" s="17">
        <f>求节点($C$55:$C$60,G$55:G$60,基础状态预期!P124)</f>
        <v>0.32019643837905343</v>
      </c>
      <c r="AA113" s="17">
        <f>MAX(SUMPRODUCT(W113:Z113,基础状态预期!I124:L124)/6,AA112)</f>
        <v>0.32278473040317884</v>
      </c>
      <c r="AE113" s="16">
        <v>108</v>
      </c>
      <c r="AF113" s="16">
        <f t="shared" si="57"/>
        <v>0.44440193290244567</v>
      </c>
      <c r="AG113" s="16">
        <f t="shared" si="58"/>
        <v>0.53612684850312742</v>
      </c>
      <c r="AH113" s="16">
        <f t="shared" si="59"/>
        <v>0.56000000000000005</v>
      </c>
      <c r="AI113" s="16">
        <f t="shared" si="60"/>
        <v>0.56000000000000005</v>
      </c>
      <c r="AJ113" s="16">
        <f t="shared" si="61"/>
        <v>0.56000000000000005</v>
      </c>
      <c r="AM113" s="16">
        <v>22</v>
      </c>
      <c r="AU113" s="16">
        <v>85</v>
      </c>
      <c r="AV113" s="16">
        <f>投放验证!$Q126</f>
        <v>1706909.9307341028</v>
      </c>
      <c r="BU113" s="16">
        <v>0</v>
      </c>
      <c r="BV113" s="16">
        <v>0</v>
      </c>
      <c r="BW113" s="16">
        <v>1610</v>
      </c>
      <c r="BX113" s="16">
        <v>192.57853010871438</v>
      </c>
      <c r="BY113" s="16">
        <v>6398.1011554865372</v>
      </c>
    </row>
    <row r="114" spans="12:77">
      <c r="L114" s="16">
        <v>7</v>
      </c>
      <c r="M114" s="17">
        <f>基础状态预期!$C125</f>
        <v>80</v>
      </c>
      <c r="N114" s="17">
        <f>IF(基础状态预期!I125=0,0,求节点($C$67:$C$72,D$67:D$72,基础状态预期!M125))</f>
        <v>0</v>
      </c>
      <c r="O114" s="17">
        <f>IF(基础状态预期!J125=0,0,求节点($C$67:$C$72,E$67:E$72,基础状态预期!N125))</f>
        <v>0</v>
      </c>
      <c r="P114" s="17">
        <f>IF(基础状态预期!K125=0,0,求节点($C$67:$C$72,F$67:F$72,基础状态预期!O125))</f>
        <v>0</v>
      </c>
      <c r="Q114" s="17">
        <f>IF(基础状态预期!L125=0,0,求节点($C$67:$C$72,G$67:G$72,基础状态预期!P125))</f>
        <v>4.6351081797546971</v>
      </c>
      <c r="R114" s="17">
        <f>IF(基础状态预期!I125=0,0,求节点($C$79:$C$84,D$79:D$84,基础状态预期!M125))</f>
        <v>0</v>
      </c>
      <c r="S114" s="17">
        <f>IF(基础状态预期!J125=0,0,求节点($C$79:$C$84,E$79:E$84,基础状态预期!N125))</f>
        <v>0</v>
      </c>
      <c r="T114" s="17">
        <f>IF(基础状态预期!K125=0,0,求节点($C$79:$C$84,F$79:F$84,基础状态预期!O125))</f>
        <v>0</v>
      </c>
      <c r="U114" s="17">
        <f>IF(基础状态预期!L125=0,0,求节点($C$79:$C$84,G$79:G$84,基础状态预期!P125))</f>
        <v>1274.8319793007304</v>
      </c>
      <c r="V114" s="17">
        <f>MAX(SUMPRODUCT(R114:U114,基础状态预期!I125:L125),V113)</f>
        <v>7648.9918758043823</v>
      </c>
      <c r="W114" s="17">
        <f>求节点($C$55:$C$60,D$55:D$60,基础状态预期!M125)</f>
        <v>0.02</v>
      </c>
      <c r="X114" s="17">
        <f>求节点($C$55:$C$60,E$55:E$60,基础状态预期!N125)</f>
        <v>0.12</v>
      </c>
      <c r="Y114" s="17">
        <f>求节点($C$55:$C$60,F$55:F$60,基础状态预期!O125)</f>
        <v>0.36000000000000004</v>
      </c>
      <c r="Z114" s="17">
        <f>求节点($C$55:$C$60,G$55:G$60,基础状态预期!P125)</f>
        <v>0.42351081797546969</v>
      </c>
      <c r="AA114" s="17">
        <f>MAX(SUMPRODUCT(W114:Z114,基础状态预期!I125:L125)/6,AA113)</f>
        <v>0.42351081797546969</v>
      </c>
      <c r="AE114" s="16">
        <v>109</v>
      </c>
      <c r="AF114" s="16">
        <f t="shared" si="57"/>
        <v>0.47235116302095587</v>
      </c>
      <c r="AG114" s="16">
        <f t="shared" si="58"/>
        <v>0.54806342425156374</v>
      </c>
      <c r="AH114" s="16">
        <f t="shared" si="59"/>
        <v>0.56000000000000005</v>
      </c>
      <c r="AI114" s="16">
        <f t="shared" si="60"/>
        <v>0.56000000000000005</v>
      </c>
      <c r="AJ114" s="16">
        <f t="shared" si="61"/>
        <v>0.56000000000000005</v>
      </c>
      <c r="AM114" s="16">
        <v>23</v>
      </c>
      <c r="AU114" s="16">
        <v>90</v>
      </c>
      <c r="AV114" s="16">
        <f>投放验证!$Q127</f>
        <v>2280928.0622581658</v>
      </c>
      <c r="BU114" s="16">
        <v>0</v>
      </c>
      <c r="BV114" s="16">
        <v>0</v>
      </c>
      <c r="BW114" s="16">
        <v>0</v>
      </c>
      <c r="BX114" s="16">
        <v>668.7723688242736</v>
      </c>
      <c r="BY114" s="16">
        <v>6398.1011554865372</v>
      </c>
    </row>
    <row r="115" spans="12:77">
      <c r="L115" s="16">
        <v>8</v>
      </c>
      <c r="M115" s="17">
        <f>基础状态预期!$C126</f>
        <v>85</v>
      </c>
      <c r="N115" s="17">
        <f>IF(基础状态预期!I126=0,0,求节点($C$67:$C$72,D$67:D$72,基础状态预期!M126))</f>
        <v>0</v>
      </c>
      <c r="O115" s="17">
        <f>IF(基础状态预期!J126=0,0,求节点($C$67:$C$72,E$67:E$72,基础状态预期!N126))</f>
        <v>0</v>
      </c>
      <c r="P115" s="17">
        <f>IF(基础状态预期!K126=0,0,求节点($C$67:$C$72,F$67:F$72,基础状态预期!O126))</f>
        <v>0</v>
      </c>
      <c r="Q115" s="17">
        <f>IF(基础状态预期!L126=0,0,求节点($C$67:$C$72,G$67:G$72,基础状态预期!P126))</f>
        <v>6</v>
      </c>
      <c r="R115" s="17">
        <f>IF(基础状态预期!I126=0,0,求节点($C$79:$C$84,D$79:D$84,基础状态预期!M126))</f>
        <v>0</v>
      </c>
      <c r="S115" s="17">
        <f>IF(基础状态预期!J126=0,0,求节点($C$79:$C$84,E$79:E$84,基础状态预期!N126))</f>
        <v>0</v>
      </c>
      <c r="T115" s="17">
        <f>IF(基础状态预期!K126=0,0,求节点($C$79:$C$84,F$79:F$84,基础状态预期!O126))</f>
        <v>0</v>
      </c>
      <c r="U115" s="17">
        <f>IF(基础状态预期!L126=0,0,求节点($C$79:$C$84,G$79:G$84,基础状态预期!P126))</f>
        <v>5040</v>
      </c>
      <c r="V115" s="17">
        <f>MAX(SUMPRODUCT(R115:U115,基础状态预期!I126:L126),V114)</f>
        <v>30240</v>
      </c>
      <c r="W115" s="17">
        <f>求节点($C$55:$C$60,D$55:D$60,基础状态预期!M126)</f>
        <v>0.02</v>
      </c>
      <c r="X115" s="17">
        <f>求节点($C$55:$C$60,E$55:E$60,基础状态预期!N126)</f>
        <v>0.12</v>
      </c>
      <c r="Y115" s="17">
        <f>求节点($C$55:$C$60,F$55:F$60,基础状态预期!O126)</f>
        <v>0.36000000000000004</v>
      </c>
      <c r="Z115" s="17">
        <f>求节点($C$55:$C$60,G$55:G$60,基础状态预期!P126)</f>
        <v>0.56000000000000005</v>
      </c>
      <c r="AA115" s="17">
        <f>MAX(SUMPRODUCT(W115:Z115,基础状态预期!I126:L126)/6,AA114)</f>
        <v>0.56000000000000005</v>
      </c>
      <c r="AE115" s="16">
        <v>110</v>
      </c>
      <c r="AF115" s="16">
        <f t="shared" si="57"/>
        <v>0.50030039313946606</v>
      </c>
      <c r="AG115" s="16">
        <f t="shared" si="58"/>
        <v>0.56000000000000005</v>
      </c>
      <c r="AH115" s="16">
        <f t="shared" si="59"/>
        <v>0.56000000000000005</v>
      </c>
      <c r="AI115" s="16">
        <f t="shared" si="60"/>
        <v>0.56000000000000005</v>
      </c>
      <c r="AJ115" s="16">
        <f t="shared" si="61"/>
        <v>0.56000000000000005</v>
      </c>
      <c r="AM115" s="16">
        <v>24</v>
      </c>
      <c r="AU115" s="16">
        <v>95</v>
      </c>
      <c r="AV115" s="16">
        <f>投放验证!$Q128</f>
        <v>3147381.2593638944</v>
      </c>
      <c r="BU115" s="16">
        <v>0</v>
      </c>
      <c r="BV115" s="16">
        <v>0</v>
      </c>
      <c r="BW115" s="16">
        <v>0</v>
      </c>
      <c r="BX115" s="16">
        <v>2415</v>
      </c>
      <c r="BY115" s="16">
        <v>14490</v>
      </c>
    </row>
    <row r="116" spans="12:77">
      <c r="L116" s="16">
        <v>9</v>
      </c>
      <c r="M116" s="17">
        <f>基础状态预期!$C127</f>
        <v>90</v>
      </c>
      <c r="N116" s="17">
        <f>IF(基础状态预期!I127=0,0,求节点($C$67:$C$72,D$67:D$72,基础状态预期!M127))</f>
        <v>0</v>
      </c>
      <c r="O116" s="17">
        <f>IF(基础状态预期!J127=0,0,求节点($C$67:$C$72,E$67:E$72,基础状态预期!N127))</f>
        <v>0</v>
      </c>
      <c r="P116" s="17">
        <f>IF(基础状态预期!K127=0,0,求节点($C$67:$C$72,F$67:F$72,基础状态预期!O127))</f>
        <v>0</v>
      </c>
      <c r="Q116" s="17">
        <f>IF(基础状态预期!L127=0,0,求节点($C$67:$C$72,G$67:G$72,基础状态预期!P127))</f>
        <v>6</v>
      </c>
      <c r="R116" s="17">
        <f>IF(基础状态预期!I127=0,0,求节点($C$79:$C$84,D$79:D$84,基础状态预期!M127))</f>
        <v>0</v>
      </c>
      <c r="S116" s="17">
        <f>IF(基础状态预期!J127=0,0,求节点($C$79:$C$84,E$79:E$84,基础状态预期!N127))</f>
        <v>0</v>
      </c>
      <c r="T116" s="17">
        <f>IF(基础状态预期!K127=0,0,求节点($C$79:$C$84,F$79:F$84,基础状态预期!O127))</f>
        <v>0</v>
      </c>
      <c r="U116" s="17">
        <f>IF(基础状态预期!L127=0,0,求节点($C$79:$C$84,G$79:G$84,基础状态预期!P127))</f>
        <v>5040</v>
      </c>
      <c r="V116" s="17">
        <f>MAX(SUMPRODUCT(R116:U116,基础状态预期!I127:L127),V115)</f>
        <v>30240</v>
      </c>
      <c r="W116" s="17">
        <f>求节点($C$55:$C$60,D$55:D$60,基础状态预期!M127)</f>
        <v>0.02</v>
      </c>
      <c r="X116" s="17">
        <f>求节点($C$55:$C$60,E$55:E$60,基础状态预期!N127)</f>
        <v>0.12</v>
      </c>
      <c r="Y116" s="17">
        <f>求节点($C$55:$C$60,F$55:F$60,基础状态预期!O127)</f>
        <v>0.36000000000000004</v>
      </c>
      <c r="Z116" s="17">
        <f>求节点($C$55:$C$60,G$55:G$60,基础状态预期!P127)</f>
        <v>0.56000000000000005</v>
      </c>
      <c r="AA116" s="17">
        <f>MAX(SUMPRODUCT(W116:Z116,基础状态预期!I127:L127)/6,AA115)</f>
        <v>0.56000000000000005</v>
      </c>
      <c r="AE116" s="16">
        <v>111</v>
      </c>
      <c r="AF116" s="16">
        <f t="shared" si="57"/>
        <v>0.51224031451157281</v>
      </c>
      <c r="AG116" s="16">
        <f t="shared" si="58"/>
        <v>0.56000000000000005</v>
      </c>
      <c r="AH116" s="16">
        <f t="shared" si="59"/>
        <v>0.56000000000000005</v>
      </c>
      <c r="AI116" s="16">
        <f t="shared" si="60"/>
        <v>0.56000000000000005</v>
      </c>
      <c r="AJ116" s="16">
        <f t="shared" si="61"/>
        <v>0.56000000000000005</v>
      </c>
      <c r="AM116" s="16">
        <v>25</v>
      </c>
      <c r="AU116" s="16">
        <v>100</v>
      </c>
      <c r="AV116" s="16">
        <f>投放验证!$Q129</f>
        <v>4445074.882443889</v>
      </c>
      <c r="BU116" s="16">
        <v>0</v>
      </c>
      <c r="BV116" s="16">
        <v>0</v>
      </c>
      <c r="BW116" s="16">
        <v>0</v>
      </c>
      <c r="BX116" s="16">
        <v>2415</v>
      </c>
      <c r="BY116" s="16">
        <v>14490</v>
      </c>
    </row>
    <row r="117" spans="12:77">
      <c r="L117" s="16">
        <v>10</v>
      </c>
      <c r="M117" s="17">
        <f>基础状态预期!$C128</f>
        <v>95</v>
      </c>
      <c r="N117" s="17">
        <f>IF(基础状态预期!I128=0,0,求节点($C$67:$C$72,D$67:D$72,基础状态预期!M128))</f>
        <v>0</v>
      </c>
      <c r="O117" s="17">
        <f>IF(基础状态预期!J128=0,0,求节点($C$67:$C$72,E$67:E$72,基础状态预期!N128))</f>
        <v>0</v>
      </c>
      <c r="P117" s="17">
        <f>IF(基础状态预期!K128=0,0,求节点($C$67:$C$72,F$67:F$72,基础状态预期!O128))</f>
        <v>0</v>
      </c>
      <c r="Q117" s="17">
        <f>IF(基础状态预期!L128=0,0,求节点($C$67:$C$72,G$67:G$72,基础状态预期!P128))</f>
        <v>6</v>
      </c>
      <c r="R117" s="17">
        <f>IF(基础状态预期!I128=0,0,求节点($C$79:$C$84,D$79:D$84,基础状态预期!M128))</f>
        <v>0</v>
      </c>
      <c r="S117" s="17">
        <f>IF(基础状态预期!J128=0,0,求节点($C$79:$C$84,E$79:E$84,基础状态预期!N128))</f>
        <v>0</v>
      </c>
      <c r="T117" s="17">
        <f>IF(基础状态预期!K128=0,0,求节点($C$79:$C$84,F$79:F$84,基础状态预期!O128))</f>
        <v>0</v>
      </c>
      <c r="U117" s="17">
        <f>IF(基础状态预期!L128=0,0,求节点($C$79:$C$84,G$79:G$84,基础状态预期!P128))</f>
        <v>5040</v>
      </c>
      <c r="V117" s="17">
        <f>MAX(SUMPRODUCT(R117:U117,基础状态预期!I128:L128),V116)</f>
        <v>30240</v>
      </c>
      <c r="W117" s="17">
        <f>求节点($C$55:$C$60,D$55:D$60,基础状态预期!M128)</f>
        <v>0.02</v>
      </c>
      <c r="X117" s="17">
        <f>求节点($C$55:$C$60,E$55:E$60,基础状态预期!N128)</f>
        <v>0.12</v>
      </c>
      <c r="Y117" s="17">
        <f>求节点($C$55:$C$60,F$55:F$60,基础状态预期!O128)</f>
        <v>0.36000000000000004</v>
      </c>
      <c r="Z117" s="17">
        <f>求节点($C$55:$C$60,G$55:G$60,基础状态预期!P128)</f>
        <v>0.56000000000000005</v>
      </c>
      <c r="AA117" s="17">
        <f>MAX(SUMPRODUCT(W117:Z117,基础状态预期!I128:L128)/6,AA116)</f>
        <v>0.56000000000000005</v>
      </c>
      <c r="AE117" s="16">
        <v>112</v>
      </c>
      <c r="AF117" s="16">
        <f t="shared" si="57"/>
        <v>0.52418023588367968</v>
      </c>
      <c r="AG117" s="16">
        <f t="shared" si="58"/>
        <v>0.56000000000000005</v>
      </c>
      <c r="AH117" s="16">
        <f t="shared" si="59"/>
        <v>0.56000000000000005</v>
      </c>
      <c r="AI117" s="16">
        <f t="shared" si="60"/>
        <v>0.56000000000000005</v>
      </c>
      <c r="AJ117" s="16">
        <f t="shared" si="61"/>
        <v>0.56000000000000005</v>
      </c>
      <c r="AM117" s="16">
        <v>26</v>
      </c>
      <c r="AU117" s="16">
        <v>105</v>
      </c>
      <c r="AV117" s="16">
        <f>投放验证!$Q130</f>
        <v>6210117.8590345941</v>
      </c>
      <c r="BU117" s="16">
        <v>0</v>
      </c>
      <c r="BV117" s="16">
        <v>0</v>
      </c>
      <c r="BW117" s="16">
        <v>0</v>
      </c>
      <c r="BX117" s="16">
        <v>2415</v>
      </c>
      <c r="BY117" s="16">
        <v>14490</v>
      </c>
    </row>
    <row r="118" spans="12:77">
      <c r="L118" s="16">
        <v>11</v>
      </c>
      <c r="M118" s="17">
        <f>基础状态预期!$C129</f>
        <v>100</v>
      </c>
      <c r="N118" s="17">
        <f>IF(基础状态预期!I129=0,0,求节点($C$67:$C$72,D$67:D$72,基础状态预期!M129))</f>
        <v>0</v>
      </c>
      <c r="O118" s="17">
        <f>IF(基础状态预期!J129=0,0,求节点($C$67:$C$72,E$67:E$72,基础状态预期!N129))</f>
        <v>0</v>
      </c>
      <c r="P118" s="17">
        <f>IF(基础状态预期!K129=0,0,求节点($C$67:$C$72,F$67:F$72,基础状态预期!O129))</f>
        <v>0</v>
      </c>
      <c r="Q118" s="17">
        <f>IF(基础状态预期!L129=0,0,求节点($C$67:$C$72,G$67:G$72,基础状态预期!P129))</f>
        <v>6</v>
      </c>
      <c r="R118" s="17">
        <f>IF(基础状态预期!I129=0,0,求节点($C$79:$C$84,D$79:D$84,基础状态预期!M129))</f>
        <v>0</v>
      </c>
      <c r="S118" s="17">
        <f>IF(基础状态预期!J129=0,0,求节点($C$79:$C$84,E$79:E$84,基础状态预期!N129))</f>
        <v>0</v>
      </c>
      <c r="T118" s="17">
        <f>IF(基础状态预期!K129=0,0,求节点($C$79:$C$84,F$79:F$84,基础状态预期!O129))</f>
        <v>0</v>
      </c>
      <c r="U118" s="17">
        <f>IF(基础状态预期!L129=0,0,求节点($C$79:$C$84,G$79:G$84,基础状态预期!P129))</f>
        <v>5040</v>
      </c>
      <c r="V118" s="17">
        <f>MAX(SUMPRODUCT(R118:U118,基础状态预期!I129:L129),V117)</f>
        <v>30240</v>
      </c>
      <c r="W118" s="17">
        <f>求节点($C$55:$C$60,D$55:D$60,基础状态预期!M129)</f>
        <v>0.02</v>
      </c>
      <c r="X118" s="17">
        <f>求节点($C$55:$C$60,E$55:E$60,基础状态预期!N129)</f>
        <v>0.12</v>
      </c>
      <c r="Y118" s="17">
        <f>求节点($C$55:$C$60,F$55:F$60,基础状态预期!O129)</f>
        <v>0.36000000000000004</v>
      </c>
      <c r="Z118" s="17">
        <f>求节点($C$55:$C$60,G$55:G$60,基础状态预期!P129)</f>
        <v>0.56000000000000005</v>
      </c>
      <c r="AA118" s="17">
        <f>MAX(SUMPRODUCT(W118:Z118,基础状态预期!I129:L129)/6,AA117)</f>
        <v>0.56000000000000005</v>
      </c>
      <c r="AE118" s="16">
        <v>113</v>
      </c>
      <c r="AF118" s="16">
        <f t="shared" si="57"/>
        <v>0.53612015725578643</v>
      </c>
      <c r="AG118" s="16">
        <f t="shared" si="58"/>
        <v>0.56000000000000005</v>
      </c>
      <c r="AH118" s="16">
        <f t="shared" si="59"/>
        <v>0.56000000000000005</v>
      </c>
      <c r="AI118" s="16">
        <f t="shared" si="60"/>
        <v>0.56000000000000005</v>
      </c>
      <c r="AJ118" s="16">
        <f t="shared" si="61"/>
        <v>0.56000000000000005</v>
      </c>
      <c r="AM118" s="16">
        <v>27</v>
      </c>
      <c r="AU118" s="16">
        <v>110</v>
      </c>
      <c r="AV118" s="16">
        <f>投放验证!$Q131</f>
        <v>8659373.1072727777</v>
      </c>
      <c r="BU118" s="16">
        <v>0</v>
      </c>
      <c r="BV118" s="16">
        <v>0</v>
      </c>
      <c r="BW118" s="16">
        <v>0</v>
      </c>
      <c r="BX118" s="16">
        <v>2415</v>
      </c>
      <c r="BY118" s="16">
        <v>14490</v>
      </c>
    </row>
    <row r="119" spans="12:77">
      <c r="L119" s="16">
        <v>12</v>
      </c>
      <c r="M119" s="17">
        <f>基础状态预期!$C130</f>
        <v>105</v>
      </c>
      <c r="N119" s="17">
        <f>IF(基础状态预期!I130=0,0,求节点($C$67:$C$72,D$67:D$72,基础状态预期!M130))</f>
        <v>0</v>
      </c>
      <c r="O119" s="17">
        <f>IF(基础状态预期!J130=0,0,求节点($C$67:$C$72,E$67:E$72,基础状态预期!N130))</f>
        <v>0</v>
      </c>
      <c r="P119" s="17">
        <f>IF(基础状态预期!K130=0,0,求节点($C$67:$C$72,F$67:F$72,基础状态预期!O130))</f>
        <v>0</v>
      </c>
      <c r="Q119" s="17">
        <f>IF(基础状态预期!L130=0,0,求节点($C$67:$C$72,G$67:G$72,基础状态预期!P130))</f>
        <v>6</v>
      </c>
      <c r="R119" s="17">
        <f>IF(基础状态预期!I130=0,0,求节点($C$79:$C$84,D$79:D$84,基础状态预期!M130))</f>
        <v>0</v>
      </c>
      <c r="S119" s="17">
        <f>IF(基础状态预期!J130=0,0,求节点($C$79:$C$84,E$79:E$84,基础状态预期!N130))</f>
        <v>0</v>
      </c>
      <c r="T119" s="17">
        <f>IF(基础状态预期!K130=0,0,求节点($C$79:$C$84,F$79:F$84,基础状态预期!O130))</f>
        <v>0</v>
      </c>
      <c r="U119" s="17">
        <f>IF(基础状态预期!L130=0,0,求节点($C$79:$C$84,G$79:G$84,基础状态预期!P130))</f>
        <v>5040</v>
      </c>
      <c r="V119" s="17">
        <f>MAX(SUMPRODUCT(R119:U119,基础状态预期!I130:L130),V118)</f>
        <v>30240</v>
      </c>
      <c r="W119" s="17">
        <f>求节点($C$55:$C$60,D$55:D$60,基础状态预期!M130)</f>
        <v>0.02</v>
      </c>
      <c r="X119" s="17">
        <f>求节点($C$55:$C$60,E$55:E$60,基础状态预期!N130)</f>
        <v>0.12</v>
      </c>
      <c r="Y119" s="17">
        <f>求节点($C$55:$C$60,F$55:F$60,基础状态预期!O130)</f>
        <v>0.36000000000000004</v>
      </c>
      <c r="Z119" s="17">
        <f>求节点($C$55:$C$60,G$55:G$60,基础状态预期!P130)</f>
        <v>0.56000000000000005</v>
      </c>
      <c r="AA119" s="17">
        <f>MAX(SUMPRODUCT(W119:Z119,基础状态预期!I130:L130)/6,AA118)</f>
        <v>0.56000000000000005</v>
      </c>
      <c r="AE119" s="16">
        <v>114</v>
      </c>
      <c r="AF119" s="16">
        <f t="shared" si="57"/>
        <v>0.5480600786278933</v>
      </c>
      <c r="AG119" s="16">
        <f t="shared" si="58"/>
        <v>0.56000000000000005</v>
      </c>
      <c r="AH119" s="16">
        <f t="shared" si="59"/>
        <v>0.56000000000000005</v>
      </c>
      <c r="AI119" s="16">
        <f t="shared" si="60"/>
        <v>0.56000000000000005</v>
      </c>
      <c r="AJ119" s="16">
        <f t="shared" si="61"/>
        <v>0.56000000000000005</v>
      </c>
      <c r="AM119" s="16">
        <v>28</v>
      </c>
      <c r="AU119" s="16">
        <v>115</v>
      </c>
      <c r="AV119" s="16">
        <f>投放验证!$Q132</f>
        <v>12067909.450244062</v>
      </c>
      <c r="BU119" s="16">
        <v>0</v>
      </c>
      <c r="BV119" s="16">
        <v>0</v>
      </c>
      <c r="BW119" s="16">
        <v>0</v>
      </c>
      <c r="BX119" s="16">
        <v>2415</v>
      </c>
      <c r="BY119" s="16">
        <v>14490</v>
      </c>
    </row>
    <row r="120" spans="12:77">
      <c r="L120" s="16">
        <v>13</v>
      </c>
      <c r="M120" s="17">
        <f>基础状态预期!$C131</f>
        <v>110</v>
      </c>
      <c r="N120" s="17">
        <f>IF(基础状态预期!I131=0,0,求节点($C$67:$C$72,D$67:D$72,基础状态预期!M131))</f>
        <v>0</v>
      </c>
      <c r="O120" s="17">
        <f>IF(基础状态预期!J131=0,0,求节点($C$67:$C$72,E$67:E$72,基础状态预期!N131))</f>
        <v>0</v>
      </c>
      <c r="P120" s="17">
        <f>IF(基础状态预期!K131=0,0,求节点($C$67:$C$72,F$67:F$72,基础状态预期!O131))</f>
        <v>0</v>
      </c>
      <c r="Q120" s="17">
        <f>IF(基础状态预期!L131=0,0,求节点($C$67:$C$72,G$67:G$72,基础状态预期!P131))</f>
        <v>6</v>
      </c>
      <c r="R120" s="17">
        <f>IF(基础状态预期!I131=0,0,求节点($C$79:$C$84,D$79:D$84,基础状态预期!M131))</f>
        <v>0</v>
      </c>
      <c r="S120" s="17">
        <f>IF(基础状态预期!J131=0,0,求节点($C$79:$C$84,E$79:E$84,基础状态预期!N131))</f>
        <v>0</v>
      </c>
      <c r="T120" s="17">
        <f>IF(基础状态预期!K131=0,0,求节点($C$79:$C$84,F$79:F$84,基础状态预期!O131))</f>
        <v>0</v>
      </c>
      <c r="U120" s="17">
        <f>IF(基础状态预期!L131=0,0,求节点($C$79:$C$84,G$79:G$84,基础状态预期!P131))</f>
        <v>5040</v>
      </c>
      <c r="V120" s="17">
        <f>MAX(SUMPRODUCT(R120:U120,基础状态预期!I131:L131),V119)</f>
        <v>30240</v>
      </c>
      <c r="W120" s="17">
        <f>求节点($C$55:$C$60,D$55:D$60,基础状态预期!M131)</f>
        <v>0.02</v>
      </c>
      <c r="X120" s="17">
        <f>求节点($C$55:$C$60,E$55:E$60,基础状态预期!N131)</f>
        <v>0.12</v>
      </c>
      <c r="Y120" s="17">
        <f>求节点($C$55:$C$60,F$55:F$60,基础状态预期!O131)</f>
        <v>0.36000000000000004</v>
      </c>
      <c r="Z120" s="17">
        <f>求节点($C$55:$C$60,G$55:G$60,基础状态预期!P131)</f>
        <v>0.56000000000000005</v>
      </c>
      <c r="AA120" s="17">
        <f>MAX(SUMPRODUCT(W120:Z120,基础状态预期!I131:L131)/6,AA119)</f>
        <v>0.56000000000000005</v>
      </c>
      <c r="AE120" s="16">
        <v>115</v>
      </c>
      <c r="AF120" s="16">
        <f t="shared" si="57"/>
        <v>0.56000000000000005</v>
      </c>
      <c r="AG120" s="16">
        <f t="shared" si="58"/>
        <v>0.56000000000000005</v>
      </c>
      <c r="AH120" s="16">
        <f t="shared" si="59"/>
        <v>0.56000000000000005</v>
      </c>
      <c r="AI120" s="16">
        <f t="shared" si="60"/>
        <v>0.56000000000000005</v>
      </c>
      <c r="AJ120" s="16">
        <f t="shared" si="61"/>
        <v>0.56000000000000005</v>
      </c>
      <c r="AM120" s="16">
        <v>29</v>
      </c>
      <c r="AU120" s="16">
        <v>120</v>
      </c>
      <c r="AV120" s="16">
        <f>投放验证!$Q133</f>
        <v>16907425.390583932</v>
      </c>
      <c r="BU120" s="16">
        <v>0</v>
      </c>
      <c r="BV120" s="16">
        <v>0</v>
      </c>
      <c r="BW120" s="16">
        <v>0</v>
      </c>
      <c r="BX120" s="16">
        <v>2415</v>
      </c>
      <c r="BY120" s="16">
        <v>14490</v>
      </c>
    </row>
    <row r="121" spans="12:77">
      <c r="L121" s="16">
        <v>14</v>
      </c>
      <c r="M121" s="17">
        <f>基础状态预期!$C132</f>
        <v>115</v>
      </c>
      <c r="N121" s="17">
        <f>IF(基础状态预期!I132=0,0,求节点($C$67:$C$72,D$67:D$72,基础状态预期!M132))</f>
        <v>0</v>
      </c>
      <c r="O121" s="17">
        <f>IF(基础状态预期!J132=0,0,求节点($C$67:$C$72,E$67:E$72,基础状态预期!N132))</f>
        <v>0</v>
      </c>
      <c r="P121" s="17">
        <f>IF(基础状态预期!K132=0,0,求节点($C$67:$C$72,F$67:F$72,基础状态预期!O132))</f>
        <v>0</v>
      </c>
      <c r="Q121" s="17">
        <f>IF(基础状态预期!L132=0,0,求节点($C$67:$C$72,G$67:G$72,基础状态预期!P132))</f>
        <v>6</v>
      </c>
      <c r="R121" s="17">
        <f>IF(基础状态预期!I132=0,0,求节点($C$79:$C$84,D$79:D$84,基础状态预期!M132))</f>
        <v>0</v>
      </c>
      <c r="S121" s="17">
        <f>IF(基础状态预期!J132=0,0,求节点($C$79:$C$84,E$79:E$84,基础状态预期!N132))</f>
        <v>0</v>
      </c>
      <c r="T121" s="17">
        <f>IF(基础状态预期!K132=0,0,求节点($C$79:$C$84,F$79:F$84,基础状态预期!O132))</f>
        <v>0</v>
      </c>
      <c r="U121" s="17">
        <f>IF(基础状态预期!L132=0,0,求节点($C$79:$C$84,G$79:G$84,基础状态预期!P132))</f>
        <v>5040</v>
      </c>
      <c r="V121" s="17">
        <f>MAX(SUMPRODUCT(R121:U121,基础状态预期!I132:L132),V120)</f>
        <v>30240</v>
      </c>
      <c r="W121" s="17">
        <f>求节点($C$55:$C$60,D$55:D$60,基础状态预期!M132)</f>
        <v>0.02</v>
      </c>
      <c r="X121" s="17">
        <f>求节点($C$55:$C$60,E$55:E$60,基础状态预期!N132)</f>
        <v>0.12</v>
      </c>
      <c r="Y121" s="17">
        <f>求节点($C$55:$C$60,F$55:F$60,基础状态预期!O132)</f>
        <v>0.36000000000000004</v>
      </c>
      <c r="Z121" s="17">
        <f>求节点($C$55:$C$60,G$55:G$60,基础状态预期!P132)</f>
        <v>0.56000000000000005</v>
      </c>
      <c r="AA121" s="17">
        <f>MAX(SUMPRODUCT(W121:Z121,基础状态预期!I132:L132)/6,AA120)</f>
        <v>0.56000000000000005</v>
      </c>
      <c r="AE121" s="16">
        <v>116</v>
      </c>
      <c r="AF121" s="16">
        <f t="shared" si="57"/>
        <v>0.56000000000000005</v>
      </c>
      <c r="AG121" s="16">
        <f t="shared" si="58"/>
        <v>0.56000000000000005</v>
      </c>
      <c r="AH121" s="16">
        <f t="shared" si="59"/>
        <v>0.56000000000000005</v>
      </c>
      <c r="AI121" s="16">
        <f t="shared" si="60"/>
        <v>0.56000000000000005</v>
      </c>
      <c r="AJ121" s="16">
        <f t="shared" si="61"/>
        <v>0.56000000000000005</v>
      </c>
      <c r="AM121" s="16">
        <v>30</v>
      </c>
      <c r="AU121" s="16">
        <v>125</v>
      </c>
      <c r="AV121" s="16">
        <f>投放验证!$Q134</f>
        <v>23821923.044583607</v>
      </c>
      <c r="BU121" s="16">
        <v>0</v>
      </c>
      <c r="BV121" s="16">
        <v>0</v>
      </c>
      <c r="BW121" s="16">
        <v>0</v>
      </c>
      <c r="BX121" s="16">
        <v>2415</v>
      </c>
      <c r="BY121" s="16">
        <v>14490</v>
      </c>
    </row>
    <row r="122" spans="12:77">
      <c r="L122" s="16">
        <v>15</v>
      </c>
      <c r="M122" s="17">
        <f>基础状态预期!$C133</f>
        <v>120</v>
      </c>
      <c r="N122" s="17">
        <f>IF(基础状态预期!I133=0,0,求节点($C$67:$C$72,D$67:D$72,基础状态预期!M133))</f>
        <v>0</v>
      </c>
      <c r="O122" s="17">
        <f>IF(基础状态预期!J133=0,0,求节点($C$67:$C$72,E$67:E$72,基础状态预期!N133))</f>
        <v>0</v>
      </c>
      <c r="P122" s="17">
        <f>IF(基础状态预期!K133=0,0,求节点($C$67:$C$72,F$67:F$72,基础状态预期!O133))</f>
        <v>0</v>
      </c>
      <c r="Q122" s="17">
        <f>IF(基础状态预期!L133=0,0,求节点($C$67:$C$72,G$67:G$72,基础状态预期!P133))</f>
        <v>6</v>
      </c>
      <c r="R122" s="17">
        <f>IF(基础状态预期!I133=0,0,求节点($C$79:$C$84,D$79:D$84,基础状态预期!M133))</f>
        <v>0</v>
      </c>
      <c r="S122" s="17">
        <f>IF(基础状态预期!J133=0,0,求节点($C$79:$C$84,E$79:E$84,基础状态预期!N133))</f>
        <v>0</v>
      </c>
      <c r="T122" s="17">
        <f>IF(基础状态预期!K133=0,0,求节点($C$79:$C$84,F$79:F$84,基础状态预期!O133))</f>
        <v>0</v>
      </c>
      <c r="U122" s="17">
        <f>IF(基础状态预期!L133=0,0,求节点($C$79:$C$84,G$79:G$84,基础状态预期!P133))</f>
        <v>5040</v>
      </c>
      <c r="V122" s="17">
        <f>MAX(SUMPRODUCT(R122:U122,基础状态预期!I133:L133),V121)</f>
        <v>30240</v>
      </c>
      <c r="W122" s="17">
        <f>求节点($C$55:$C$60,D$55:D$60,基础状态预期!M133)</f>
        <v>0.02</v>
      </c>
      <c r="X122" s="17">
        <f>求节点($C$55:$C$60,E$55:E$60,基础状态预期!N133)</f>
        <v>0.12</v>
      </c>
      <c r="Y122" s="17">
        <f>求节点($C$55:$C$60,F$55:F$60,基础状态预期!O133)</f>
        <v>0.36000000000000004</v>
      </c>
      <c r="Z122" s="17">
        <f>求节点($C$55:$C$60,G$55:G$60,基础状态预期!P133)</f>
        <v>0.56000000000000005</v>
      </c>
      <c r="AA122" s="17">
        <f>MAX(SUMPRODUCT(W122:Z122,基础状态预期!I133:L133)/6,AA121)</f>
        <v>0.56000000000000005</v>
      </c>
      <c r="AE122" s="16">
        <v>117</v>
      </c>
      <c r="AF122" s="16">
        <f t="shared" si="57"/>
        <v>0.56000000000000005</v>
      </c>
      <c r="AG122" s="16">
        <f t="shared" si="58"/>
        <v>0.56000000000000005</v>
      </c>
      <c r="AH122" s="16">
        <f t="shared" si="59"/>
        <v>0.56000000000000005</v>
      </c>
      <c r="AI122" s="16">
        <f t="shared" si="60"/>
        <v>0.56000000000000005</v>
      </c>
      <c r="AJ122" s="16">
        <f t="shared" si="61"/>
        <v>0.56000000000000005</v>
      </c>
      <c r="AM122" s="16">
        <v>31</v>
      </c>
      <c r="AU122" s="16">
        <v>130</v>
      </c>
      <c r="AV122" s="16">
        <f>投放验证!$Q135</f>
        <v>33414197.794896483</v>
      </c>
      <c r="BU122" s="16">
        <v>0</v>
      </c>
      <c r="BV122" s="16">
        <v>0</v>
      </c>
      <c r="BW122" s="16">
        <v>0</v>
      </c>
      <c r="BX122" s="16">
        <v>2415</v>
      </c>
      <c r="BY122" s="16">
        <v>14490</v>
      </c>
    </row>
    <row r="123" spans="12:77">
      <c r="L123" s="16">
        <v>16</v>
      </c>
      <c r="M123" s="17">
        <f>基础状态预期!$C134</f>
        <v>125</v>
      </c>
      <c r="N123" s="17">
        <f>IF(基础状态预期!I134=0,0,求节点($C$67:$C$72,D$67:D$72,基础状态预期!M134))</f>
        <v>0</v>
      </c>
      <c r="O123" s="17">
        <f>IF(基础状态预期!J134=0,0,求节点($C$67:$C$72,E$67:E$72,基础状态预期!N134))</f>
        <v>0</v>
      </c>
      <c r="P123" s="17">
        <f>IF(基础状态预期!K134=0,0,求节点($C$67:$C$72,F$67:F$72,基础状态预期!O134))</f>
        <v>0</v>
      </c>
      <c r="Q123" s="17">
        <f>IF(基础状态预期!L134=0,0,求节点($C$67:$C$72,G$67:G$72,基础状态预期!P134))</f>
        <v>6</v>
      </c>
      <c r="R123" s="17">
        <f>IF(基础状态预期!I134=0,0,求节点($C$79:$C$84,D$79:D$84,基础状态预期!M134))</f>
        <v>0</v>
      </c>
      <c r="S123" s="17">
        <f>IF(基础状态预期!J134=0,0,求节点($C$79:$C$84,E$79:E$84,基础状态预期!N134))</f>
        <v>0</v>
      </c>
      <c r="T123" s="17">
        <f>IF(基础状态预期!K134=0,0,求节点($C$79:$C$84,F$79:F$84,基础状态预期!O134))</f>
        <v>0</v>
      </c>
      <c r="U123" s="17">
        <f>IF(基础状态预期!L134=0,0,求节点($C$79:$C$84,G$79:G$84,基础状态预期!P134))</f>
        <v>5040</v>
      </c>
      <c r="V123" s="17">
        <f>MAX(SUMPRODUCT(R123:U123,基础状态预期!I134:L134),V122)</f>
        <v>30240</v>
      </c>
      <c r="W123" s="17">
        <f>求节点($C$55:$C$60,D$55:D$60,基础状态预期!M134)</f>
        <v>0.02</v>
      </c>
      <c r="X123" s="17">
        <f>求节点($C$55:$C$60,E$55:E$60,基础状态预期!N134)</f>
        <v>0.12</v>
      </c>
      <c r="Y123" s="17">
        <f>求节点($C$55:$C$60,F$55:F$60,基础状态预期!O134)</f>
        <v>0.36000000000000004</v>
      </c>
      <c r="Z123" s="17">
        <f>求节点($C$55:$C$60,G$55:G$60,基础状态预期!P134)</f>
        <v>0.56000000000000005</v>
      </c>
      <c r="AA123" s="17">
        <f>MAX(SUMPRODUCT(W123:Z123,基础状态预期!I134:L134)/6,AA122)</f>
        <v>0.56000000000000005</v>
      </c>
      <c r="AE123" s="16">
        <v>118</v>
      </c>
      <c r="AF123" s="16">
        <f t="shared" si="57"/>
        <v>0.56000000000000005</v>
      </c>
      <c r="AG123" s="16">
        <f t="shared" si="58"/>
        <v>0.56000000000000005</v>
      </c>
      <c r="AH123" s="16">
        <f t="shared" si="59"/>
        <v>0.56000000000000005</v>
      </c>
      <c r="AI123" s="16">
        <f t="shared" si="60"/>
        <v>0.56000000000000005</v>
      </c>
      <c r="AJ123" s="16">
        <f t="shared" si="61"/>
        <v>0.56000000000000005</v>
      </c>
      <c r="AM123" s="16">
        <v>32</v>
      </c>
      <c r="AU123" s="16">
        <v>135</v>
      </c>
      <c r="AV123" s="16">
        <f>投放验证!$Q136</f>
        <v>46744151.44341331</v>
      </c>
      <c r="BU123" s="16">
        <v>0</v>
      </c>
      <c r="BV123" s="16">
        <v>0</v>
      </c>
      <c r="BW123" s="16">
        <v>0</v>
      </c>
      <c r="BX123" s="16">
        <v>2415</v>
      </c>
      <c r="BY123" s="16">
        <v>14490</v>
      </c>
    </row>
    <row r="124" spans="12:77">
      <c r="L124" s="16">
        <v>17</v>
      </c>
      <c r="M124" s="17">
        <f>基础状态预期!$C135</f>
        <v>130</v>
      </c>
      <c r="N124" s="17">
        <f>IF(基础状态预期!I135=0,0,求节点($C$67:$C$72,D$67:D$72,基础状态预期!M135))</f>
        <v>0</v>
      </c>
      <c r="O124" s="17">
        <f>IF(基础状态预期!J135=0,0,求节点($C$67:$C$72,E$67:E$72,基础状态预期!N135))</f>
        <v>0</v>
      </c>
      <c r="P124" s="17">
        <f>IF(基础状态预期!K135=0,0,求节点($C$67:$C$72,F$67:F$72,基础状态预期!O135))</f>
        <v>0</v>
      </c>
      <c r="Q124" s="17">
        <f>IF(基础状态预期!L135=0,0,求节点($C$67:$C$72,G$67:G$72,基础状态预期!P135))</f>
        <v>6</v>
      </c>
      <c r="R124" s="17">
        <f>IF(基础状态预期!I135=0,0,求节点($C$79:$C$84,D$79:D$84,基础状态预期!M135))</f>
        <v>0</v>
      </c>
      <c r="S124" s="17">
        <f>IF(基础状态预期!J135=0,0,求节点($C$79:$C$84,E$79:E$84,基础状态预期!N135))</f>
        <v>0</v>
      </c>
      <c r="T124" s="17">
        <f>IF(基础状态预期!K135=0,0,求节点($C$79:$C$84,F$79:F$84,基础状态预期!O135))</f>
        <v>0</v>
      </c>
      <c r="U124" s="17">
        <f>IF(基础状态预期!L135=0,0,求节点($C$79:$C$84,G$79:G$84,基础状态预期!P135))</f>
        <v>5040</v>
      </c>
      <c r="V124" s="17">
        <f>MAX(SUMPRODUCT(R124:U124,基础状态预期!I135:L135),V123)</f>
        <v>30240</v>
      </c>
      <c r="W124" s="17">
        <f>求节点($C$55:$C$60,D$55:D$60,基础状态预期!M135)</f>
        <v>0.02</v>
      </c>
      <c r="X124" s="17">
        <f>求节点($C$55:$C$60,E$55:E$60,基础状态预期!N135)</f>
        <v>0.12</v>
      </c>
      <c r="Y124" s="17">
        <f>求节点($C$55:$C$60,F$55:F$60,基础状态预期!O135)</f>
        <v>0.36000000000000004</v>
      </c>
      <c r="Z124" s="17">
        <f>求节点($C$55:$C$60,G$55:G$60,基础状态预期!P135)</f>
        <v>0.56000000000000005</v>
      </c>
      <c r="AA124" s="17">
        <f>MAX(SUMPRODUCT(W124:Z124,基础状态预期!I135:L135)/6,AA123)</f>
        <v>0.56000000000000005</v>
      </c>
      <c r="AE124" s="16">
        <v>119</v>
      </c>
      <c r="AF124" s="16">
        <f t="shared" si="57"/>
        <v>0.56000000000000005</v>
      </c>
      <c r="AG124" s="16">
        <f t="shared" si="58"/>
        <v>0.56000000000000005</v>
      </c>
      <c r="AH124" s="16">
        <f t="shared" si="59"/>
        <v>0.56000000000000005</v>
      </c>
      <c r="AI124" s="16">
        <f t="shared" si="60"/>
        <v>0.56000000000000005</v>
      </c>
      <c r="AJ124" s="16">
        <f t="shared" si="61"/>
        <v>0.56000000000000005</v>
      </c>
      <c r="AM124" s="16">
        <v>33</v>
      </c>
      <c r="AU124" s="16">
        <v>140</v>
      </c>
      <c r="AV124" s="16">
        <f>投放验证!$Q137</f>
        <v>65616683.267624833</v>
      </c>
      <c r="BU124" s="16">
        <v>0</v>
      </c>
      <c r="BV124" s="16">
        <v>0</v>
      </c>
      <c r="BW124" s="16">
        <v>0</v>
      </c>
      <c r="BX124" s="16">
        <v>2415</v>
      </c>
      <c r="BY124" s="16">
        <v>14490</v>
      </c>
    </row>
    <row r="125" spans="12:77">
      <c r="L125" s="16">
        <v>18</v>
      </c>
      <c r="M125" s="17">
        <f>基础状态预期!$C136</f>
        <v>135</v>
      </c>
      <c r="N125" s="17">
        <f>IF(基础状态预期!I136=0,0,求节点($C$67:$C$72,D$67:D$72,基础状态预期!M136))</f>
        <v>0</v>
      </c>
      <c r="O125" s="17">
        <f>IF(基础状态预期!J136=0,0,求节点($C$67:$C$72,E$67:E$72,基础状态预期!N136))</f>
        <v>0</v>
      </c>
      <c r="P125" s="17">
        <f>IF(基础状态预期!K136=0,0,求节点($C$67:$C$72,F$67:F$72,基础状态预期!O136))</f>
        <v>0</v>
      </c>
      <c r="Q125" s="17">
        <f>IF(基础状态预期!L136=0,0,求节点($C$67:$C$72,G$67:G$72,基础状态预期!P136))</f>
        <v>6</v>
      </c>
      <c r="R125" s="17">
        <f>IF(基础状态预期!I136=0,0,求节点($C$79:$C$84,D$79:D$84,基础状态预期!M136))</f>
        <v>0</v>
      </c>
      <c r="S125" s="17">
        <f>IF(基础状态预期!J136=0,0,求节点($C$79:$C$84,E$79:E$84,基础状态预期!N136))</f>
        <v>0</v>
      </c>
      <c r="T125" s="17">
        <f>IF(基础状态预期!K136=0,0,求节点($C$79:$C$84,F$79:F$84,基础状态预期!O136))</f>
        <v>0</v>
      </c>
      <c r="U125" s="17">
        <f>IF(基础状态预期!L136=0,0,求节点($C$79:$C$84,G$79:G$84,基础状态预期!P136))</f>
        <v>5040</v>
      </c>
      <c r="V125" s="17">
        <f>MAX(SUMPRODUCT(R125:U125,基础状态预期!I136:L136),V124)</f>
        <v>30240</v>
      </c>
      <c r="W125" s="17">
        <f>求节点($C$55:$C$60,D$55:D$60,基础状态预期!M136)</f>
        <v>0.02</v>
      </c>
      <c r="X125" s="17">
        <f>求节点($C$55:$C$60,E$55:E$60,基础状态预期!N136)</f>
        <v>0.12</v>
      </c>
      <c r="Y125" s="17">
        <f>求节点($C$55:$C$60,F$55:F$60,基础状态预期!O136)</f>
        <v>0.36000000000000004</v>
      </c>
      <c r="Z125" s="17">
        <f>求节点($C$55:$C$60,G$55:G$60,基础状态预期!P136)</f>
        <v>0.56000000000000005</v>
      </c>
      <c r="AA125" s="17">
        <f>MAX(SUMPRODUCT(W125:Z125,基础状态预期!I136:L136)/6,AA124)</f>
        <v>0.56000000000000005</v>
      </c>
      <c r="AE125" s="16">
        <v>120</v>
      </c>
      <c r="AF125" s="16">
        <f t="shared" si="57"/>
        <v>0.56000000000000005</v>
      </c>
      <c r="AG125" s="16">
        <f t="shared" si="58"/>
        <v>0.56000000000000005</v>
      </c>
      <c r="AH125" s="16">
        <f t="shared" si="59"/>
        <v>0.56000000000000005</v>
      </c>
      <c r="AI125" s="16">
        <f t="shared" si="60"/>
        <v>0.56000000000000005</v>
      </c>
      <c r="AJ125" s="16">
        <f t="shared" si="61"/>
        <v>0.56000000000000005</v>
      </c>
      <c r="AM125" s="16">
        <v>34</v>
      </c>
      <c r="AU125" s="16">
        <v>145</v>
      </c>
      <c r="AV125" s="16">
        <f>投放验证!$Q138</f>
        <v>92596629.355490267</v>
      </c>
      <c r="BU125" s="16">
        <v>0</v>
      </c>
      <c r="BV125" s="16">
        <v>0</v>
      </c>
      <c r="BW125" s="16">
        <v>0</v>
      </c>
      <c r="BX125" s="16">
        <v>2415</v>
      </c>
      <c r="BY125" s="16">
        <v>14490</v>
      </c>
    </row>
    <row r="126" spans="12:77">
      <c r="L126" s="16">
        <v>19</v>
      </c>
      <c r="M126" s="17">
        <f>基础状态预期!$C137</f>
        <v>140</v>
      </c>
      <c r="N126" s="17">
        <f>IF(基础状态预期!I137=0,0,求节点($C$67:$C$72,D$67:D$72,基础状态预期!M137))</f>
        <v>0</v>
      </c>
      <c r="O126" s="17">
        <f>IF(基础状态预期!J137=0,0,求节点($C$67:$C$72,E$67:E$72,基础状态预期!N137))</f>
        <v>0</v>
      </c>
      <c r="P126" s="17">
        <f>IF(基础状态预期!K137=0,0,求节点($C$67:$C$72,F$67:F$72,基础状态预期!O137))</f>
        <v>0</v>
      </c>
      <c r="Q126" s="17">
        <f>IF(基础状态预期!L137=0,0,求节点($C$67:$C$72,G$67:G$72,基础状态预期!P137))</f>
        <v>6</v>
      </c>
      <c r="R126" s="17">
        <f>IF(基础状态预期!I137=0,0,求节点($C$79:$C$84,D$79:D$84,基础状态预期!M137))</f>
        <v>0</v>
      </c>
      <c r="S126" s="17">
        <f>IF(基础状态预期!J137=0,0,求节点($C$79:$C$84,E$79:E$84,基础状态预期!N137))</f>
        <v>0</v>
      </c>
      <c r="T126" s="17">
        <f>IF(基础状态预期!K137=0,0,求节点($C$79:$C$84,F$79:F$84,基础状态预期!O137))</f>
        <v>0</v>
      </c>
      <c r="U126" s="17">
        <f>IF(基础状态预期!L137=0,0,求节点($C$79:$C$84,G$79:G$84,基础状态预期!P137))</f>
        <v>5040</v>
      </c>
      <c r="V126" s="17">
        <f>MAX(SUMPRODUCT(R126:U126,基础状态预期!I137:L137),V125)</f>
        <v>30240</v>
      </c>
      <c r="W126" s="17">
        <f>求节点($C$55:$C$60,D$55:D$60,基础状态预期!M137)</f>
        <v>0.02</v>
      </c>
      <c r="X126" s="17">
        <f>求节点($C$55:$C$60,E$55:E$60,基础状态预期!N137)</f>
        <v>0.12</v>
      </c>
      <c r="Y126" s="17">
        <f>求节点($C$55:$C$60,F$55:F$60,基础状态预期!O137)</f>
        <v>0.36000000000000004</v>
      </c>
      <c r="Z126" s="17">
        <f>求节点($C$55:$C$60,G$55:G$60,基础状态预期!P137)</f>
        <v>0.56000000000000005</v>
      </c>
      <c r="AA126" s="17">
        <f>MAX(SUMPRODUCT(W126:Z126,基础状态预期!I137:L137)/6,AA125)</f>
        <v>0.56000000000000005</v>
      </c>
      <c r="AE126" s="16">
        <v>121</v>
      </c>
      <c r="AF126" s="16">
        <f t="shared" si="57"/>
        <v>0.56000000000000005</v>
      </c>
      <c r="AG126" s="16">
        <f t="shared" si="58"/>
        <v>0.56000000000000005</v>
      </c>
      <c r="AH126" s="16">
        <f t="shared" si="59"/>
        <v>0.56000000000000005</v>
      </c>
      <c r="AI126" s="16">
        <f t="shared" si="60"/>
        <v>0.56000000000000005</v>
      </c>
      <c r="AJ126" s="16">
        <f t="shared" si="61"/>
        <v>0.56000000000000005</v>
      </c>
      <c r="AM126" s="16">
        <v>35</v>
      </c>
      <c r="AU126" s="16">
        <v>150</v>
      </c>
      <c r="AV126" s="16">
        <f>投放验证!$Q139</f>
        <v>130312280.56422526</v>
      </c>
      <c r="BU126" s="16">
        <v>0</v>
      </c>
      <c r="BV126" s="16">
        <v>0</v>
      </c>
      <c r="BW126" s="16">
        <v>0</v>
      </c>
      <c r="BX126" s="16">
        <v>2415</v>
      </c>
      <c r="BY126" s="16">
        <v>14490</v>
      </c>
    </row>
    <row r="127" spans="12:77">
      <c r="L127" s="16">
        <v>20</v>
      </c>
      <c r="M127" s="17">
        <f>基础状态预期!$C138</f>
        <v>145</v>
      </c>
      <c r="N127" s="17">
        <f>IF(基础状态预期!I138=0,0,求节点($C$67:$C$72,D$67:D$72,基础状态预期!M138))</f>
        <v>0</v>
      </c>
      <c r="O127" s="17">
        <f>IF(基础状态预期!J138=0,0,求节点($C$67:$C$72,E$67:E$72,基础状态预期!N138))</f>
        <v>0</v>
      </c>
      <c r="P127" s="17">
        <f>IF(基础状态预期!K138=0,0,求节点($C$67:$C$72,F$67:F$72,基础状态预期!O138))</f>
        <v>0</v>
      </c>
      <c r="Q127" s="17">
        <f>IF(基础状态预期!L138=0,0,求节点($C$67:$C$72,G$67:G$72,基础状态预期!P138))</f>
        <v>6</v>
      </c>
      <c r="R127" s="17">
        <f>IF(基础状态预期!I138=0,0,求节点($C$79:$C$84,D$79:D$84,基础状态预期!M138))</f>
        <v>0</v>
      </c>
      <c r="S127" s="17">
        <f>IF(基础状态预期!J138=0,0,求节点($C$79:$C$84,E$79:E$84,基础状态预期!N138))</f>
        <v>0</v>
      </c>
      <c r="T127" s="17">
        <f>IF(基础状态预期!K138=0,0,求节点($C$79:$C$84,F$79:F$84,基础状态预期!O138))</f>
        <v>0</v>
      </c>
      <c r="U127" s="17">
        <f>IF(基础状态预期!L138=0,0,求节点($C$79:$C$84,G$79:G$84,基础状态预期!P138))</f>
        <v>5040</v>
      </c>
      <c r="V127" s="17">
        <f>MAX(SUMPRODUCT(R127:U127,基础状态预期!I138:L138),V126)</f>
        <v>30240</v>
      </c>
      <c r="W127" s="17">
        <f>求节点($C$55:$C$60,D$55:D$60,基础状态预期!M138)</f>
        <v>0.02</v>
      </c>
      <c r="X127" s="17">
        <f>求节点($C$55:$C$60,E$55:E$60,基础状态预期!N138)</f>
        <v>0.12</v>
      </c>
      <c r="Y127" s="17">
        <f>求节点($C$55:$C$60,F$55:F$60,基础状态预期!O138)</f>
        <v>0.36000000000000004</v>
      </c>
      <c r="Z127" s="17">
        <f>求节点($C$55:$C$60,G$55:G$60,基础状态预期!P138)</f>
        <v>0.56000000000000005</v>
      </c>
      <c r="AA127" s="17">
        <f>MAX(SUMPRODUCT(W127:Z127,基础状态预期!I138:L138)/6,AA126)</f>
        <v>0.56000000000000005</v>
      </c>
      <c r="AE127" s="16">
        <v>122</v>
      </c>
      <c r="AF127" s="16">
        <f t="shared" si="57"/>
        <v>0.56000000000000005</v>
      </c>
      <c r="AG127" s="16">
        <f t="shared" si="58"/>
        <v>0.56000000000000005</v>
      </c>
      <c r="AH127" s="16">
        <f t="shared" si="59"/>
        <v>0.56000000000000005</v>
      </c>
      <c r="AI127" s="16">
        <f t="shared" si="60"/>
        <v>0.56000000000000005</v>
      </c>
      <c r="AJ127" s="16">
        <f t="shared" si="61"/>
        <v>0.56000000000000005</v>
      </c>
      <c r="AM127" s="16">
        <v>36</v>
      </c>
      <c r="AU127" s="16">
        <v>155</v>
      </c>
      <c r="AV127" s="16">
        <f>投放验证!$Q140</f>
        <v>691083298.53878927</v>
      </c>
      <c r="BU127" s="16">
        <v>0</v>
      </c>
      <c r="BV127" s="16">
        <v>0</v>
      </c>
      <c r="BW127" s="16">
        <v>0</v>
      </c>
      <c r="BX127" s="16">
        <v>2415</v>
      </c>
      <c r="BY127" s="16">
        <v>14490</v>
      </c>
    </row>
    <row r="128" spans="12:77">
      <c r="L128" s="16">
        <v>21</v>
      </c>
      <c r="M128" s="17">
        <f>基础状态预期!$C139</f>
        <v>150</v>
      </c>
      <c r="N128" s="17">
        <f>IF(基础状态预期!I139=0,0,求节点($C$67:$C$72,D$67:D$72,基础状态预期!M139))</f>
        <v>0</v>
      </c>
      <c r="O128" s="17">
        <f>IF(基础状态预期!J139=0,0,求节点($C$67:$C$72,E$67:E$72,基础状态预期!N139))</f>
        <v>0</v>
      </c>
      <c r="P128" s="17">
        <f>IF(基础状态预期!K139=0,0,求节点($C$67:$C$72,F$67:F$72,基础状态预期!O139))</f>
        <v>0</v>
      </c>
      <c r="Q128" s="17">
        <f>IF(基础状态预期!L139=0,0,求节点($C$67:$C$72,G$67:G$72,基础状态预期!P139))</f>
        <v>6</v>
      </c>
      <c r="R128" s="17">
        <f>IF(基础状态预期!I139=0,0,求节点($C$79:$C$84,D$79:D$84,基础状态预期!M139))</f>
        <v>0</v>
      </c>
      <c r="S128" s="17">
        <f>IF(基础状态预期!J139=0,0,求节点($C$79:$C$84,E$79:E$84,基础状态预期!N139))</f>
        <v>0</v>
      </c>
      <c r="T128" s="17">
        <f>IF(基础状态预期!K139=0,0,求节点($C$79:$C$84,F$79:F$84,基础状态预期!O139))</f>
        <v>0</v>
      </c>
      <c r="U128" s="17">
        <f>IF(基础状态预期!L139=0,0,求节点($C$79:$C$84,G$79:G$84,基础状态预期!P139))</f>
        <v>5040</v>
      </c>
      <c r="V128" s="17">
        <f>MAX(SUMPRODUCT(R128:U128,基础状态预期!I139:L139),V127)</f>
        <v>30240</v>
      </c>
      <c r="W128" s="17">
        <f>求节点($C$55:$C$60,D$55:D$60,基础状态预期!M139)</f>
        <v>0.02</v>
      </c>
      <c r="X128" s="17">
        <f>求节点($C$55:$C$60,E$55:E$60,基础状态预期!N139)</f>
        <v>0.12</v>
      </c>
      <c r="Y128" s="17">
        <f>求节点($C$55:$C$60,F$55:F$60,基础状态预期!O139)</f>
        <v>0.36000000000000004</v>
      </c>
      <c r="Z128" s="17">
        <f>求节点($C$55:$C$60,G$55:G$60,基础状态预期!P139)</f>
        <v>0.56000000000000005</v>
      </c>
      <c r="AA128" s="17">
        <f>MAX(SUMPRODUCT(W128:Z128,基础状态预期!I139:L139)/6,AA127)</f>
        <v>0.56000000000000005</v>
      </c>
      <c r="AE128" s="16">
        <v>123</v>
      </c>
      <c r="AF128" s="16">
        <f t="shared" si="57"/>
        <v>0.56000000000000005</v>
      </c>
      <c r="AG128" s="16">
        <f t="shared" si="58"/>
        <v>0.56000000000000005</v>
      </c>
      <c r="AH128" s="16">
        <f t="shared" si="59"/>
        <v>0.56000000000000005</v>
      </c>
      <c r="AI128" s="16">
        <f t="shared" si="60"/>
        <v>0.56000000000000005</v>
      </c>
      <c r="AJ128" s="16">
        <f t="shared" si="61"/>
        <v>0.56000000000000005</v>
      </c>
      <c r="AM128" s="16">
        <v>37</v>
      </c>
      <c r="AU128" s="16">
        <v>160</v>
      </c>
      <c r="AV128" s="16">
        <f>投放验证!$Q141</f>
        <v>1026063190.3819916</v>
      </c>
      <c r="BU128" s="16">
        <v>0</v>
      </c>
      <c r="BV128" s="16">
        <v>0</v>
      </c>
      <c r="BW128" s="16">
        <v>0</v>
      </c>
      <c r="BX128" s="16">
        <v>2415</v>
      </c>
      <c r="BY128" s="16">
        <v>14490</v>
      </c>
    </row>
    <row r="129" spans="12:77">
      <c r="L129" s="16">
        <v>22</v>
      </c>
      <c r="M129" s="17">
        <f>基础状态预期!$C140</f>
        <v>155</v>
      </c>
      <c r="N129" s="17">
        <f>IF(基础状态预期!I140=0,0,求节点($C$67:$C$72,D$67:D$72,基础状态预期!M140))</f>
        <v>0</v>
      </c>
      <c r="O129" s="17">
        <f>IF(基础状态预期!J140=0,0,求节点($C$67:$C$72,E$67:E$72,基础状态预期!N140))</f>
        <v>0</v>
      </c>
      <c r="P129" s="17">
        <f>IF(基础状态预期!K140=0,0,求节点($C$67:$C$72,F$67:F$72,基础状态预期!O140))</f>
        <v>0</v>
      </c>
      <c r="Q129" s="17">
        <f>IF(基础状态预期!L140=0,0,求节点($C$67:$C$72,G$67:G$72,基础状态预期!P140))</f>
        <v>6</v>
      </c>
      <c r="R129" s="17">
        <f>IF(基础状态预期!I140=0,0,求节点($C$79:$C$84,D$79:D$84,基础状态预期!M140))</f>
        <v>0</v>
      </c>
      <c r="S129" s="17">
        <f>IF(基础状态预期!J140=0,0,求节点($C$79:$C$84,E$79:E$84,基础状态预期!N140))</f>
        <v>0</v>
      </c>
      <c r="T129" s="17">
        <f>IF(基础状态预期!K140=0,0,求节点($C$79:$C$84,F$79:F$84,基础状态预期!O140))</f>
        <v>0</v>
      </c>
      <c r="U129" s="17">
        <f>IF(基础状态预期!L140=0,0,求节点($C$79:$C$84,G$79:G$84,基础状态预期!P140))</f>
        <v>5040</v>
      </c>
      <c r="V129" s="17">
        <f>MAX(SUMPRODUCT(R129:U129,基础状态预期!I140:L140),V128)</f>
        <v>30240</v>
      </c>
      <c r="W129" s="17">
        <f>求节点($C$55:$C$60,D$55:D$60,基础状态预期!M140)</f>
        <v>0.02</v>
      </c>
      <c r="X129" s="17">
        <f>求节点($C$55:$C$60,E$55:E$60,基础状态预期!N140)</f>
        <v>0.12</v>
      </c>
      <c r="Y129" s="17">
        <f>求节点($C$55:$C$60,F$55:F$60,基础状态预期!O140)</f>
        <v>0.36000000000000004</v>
      </c>
      <c r="Z129" s="17">
        <f>求节点($C$55:$C$60,G$55:G$60,基础状态预期!P140)</f>
        <v>0.56000000000000005</v>
      </c>
      <c r="AA129" s="17">
        <f>MAX(SUMPRODUCT(W129:Z129,基础状态预期!I140:L140)/6,AA128)</f>
        <v>0.56000000000000005</v>
      </c>
      <c r="AE129" s="16">
        <v>124</v>
      </c>
      <c r="AF129" s="16">
        <f t="shared" si="57"/>
        <v>0.56000000000000005</v>
      </c>
      <c r="AG129" s="16">
        <f t="shared" si="58"/>
        <v>0.56000000000000005</v>
      </c>
      <c r="AH129" s="16">
        <f t="shared" si="59"/>
        <v>0.56000000000000005</v>
      </c>
      <c r="AI129" s="16">
        <f t="shared" si="60"/>
        <v>0.56000000000000005</v>
      </c>
      <c r="AJ129" s="16">
        <f t="shared" si="61"/>
        <v>0.56000000000000005</v>
      </c>
      <c r="AM129" s="16">
        <v>38</v>
      </c>
      <c r="BU129" s="16">
        <v>0</v>
      </c>
      <c r="BV129" s="16">
        <v>0</v>
      </c>
      <c r="BW129" s="16">
        <v>0</v>
      </c>
      <c r="BX129" s="16">
        <v>2415</v>
      </c>
      <c r="BY129" s="16">
        <v>14490</v>
      </c>
    </row>
    <row r="130" spans="12:77">
      <c r="L130" s="16">
        <v>23</v>
      </c>
      <c r="M130" s="17">
        <f>基础状态预期!$C141</f>
        <v>160</v>
      </c>
      <c r="N130" s="17">
        <f>IF(基础状态预期!I141=0,0,求节点($C$67:$C$72,D$67:D$72,基础状态预期!M141))</f>
        <v>0</v>
      </c>
      <c r="O130" s="17">
        <f>IF(基础状态预期!J141=0,0,求节点($C$67:$C$72,E$67:E$72,基础状态预期!N141))</f>
        <v>0</v>
      </c>
      <c r="P130" s="17">
        <f>IF(基础状态预期!K141=0,0,求节点($C$67:$C$72,F$67:F$72,基础状态预期!O141))</f>
        <v>0</v>
      </c>
      <c r="Q130" s="17">
        <f>IF(基础状态预期!L141=0,0,求节点($C$67:$C$72,G$67:G$72,基础状态预期!P141))</f>
        <v>6</v>
      </c>
      <c r="R130" s="17">
        <f>IF(基础状态预期!I141=0,0,求节点($C$79:$C$84,D$79:D$84,基础状态预期!M141))</f>
        <v>0</v>
      </c>
      <c r="S130" s="17">
        <f>IF(基础状态预期!J141=0,0,求节点($C$79:$C$84,E$79:E$84,基础状态预期!N141))</f>
        <v>0</v>
      </c>
      <c r="T130" s="17">
        <f>IF(基础状态预期!K141=0,0,求节点($C$79:$C$84,F$79:F$84,基础状态预期!O141))</f>
        <v>0</v>
      </c>
      <c r="U130" s="17">
        <f>IF(基础状态预期!L141=0,0,求节点($C$79:$C$84,G$79:G$84,基础状态预期!P141))</f>
        <v>5040</v>
      </c>
      <c r="V130" s="17">
        <f>MAX(SUMPRODUCT(R130:U130,基础状态预期!I141:L141),V129)</f>
        <v>30240</v>
      </c>
      <c r="W130" s="17">
        <f>求节点($C$55:$C$60,D$55:D$60,基础状态预期!M141)</f>
        <v>0.02</v>
      </c>
      <c r="X130" s="17">
        <f>求节点($C$55:$C$60,E$55:E$60,基础状态预期!N141)</f>
        <v>0.12</v>
      </c>
      <c r="Y130" s="17">
        <f>求节点($C$55:$C$60,F$55:F$60,基础状态预期!O141)</f>
        <v>0.36000000000000004</v>
      </c>
      <c r="Z130" s="17">
        <f>求节点($C$55:$C$60,G$55:G$60,基础状态预期!P141)</f>
        <v>0.56000000000000005</v>
      </c>
      <c r="AA130" s="17">
        <f>MAX(SUMPRODUCT(W130:Z130,基础状态预期!I141:L141)/6,AA129)</f>
        <v>0.56000000000000005</v>
      </c>
      <c r="AE130" s="16">
        <v>125</v>
      </c>
      <c r="AF130" s="16">
        <f t="shared" si="57"/>
        <v>0.56000000000000005</v>
      </c>
      <c r="AG130" s="16">
        <f t="shared" si="58"/>
        <v>0.56000000000000005</v>
      </c>
      <c r="AH130" s="16">
        <f t="shared" si="59"/>
        <v>0.56000000000000005</v>
      </c>
      <c r="AI130" s="16">
        <f t="shared" si="60"/>
        <v>0.56000000000000005</v>
      </c>
      <c r="AJ130" s="16">
        <f t="shared" si="61"/>
        <v>0.56000000000000005</v>
      </c>
      <c r="AM130" s="16">
        <v>39</v>
      </c>
      <c r="BU130" s="16">
        <v>0</v>
      </c>
      <c r="BV130" s="16">
        <v>0</v>
      </c>
      <c r="BW130" s="16">
        <v>0</v>
      </c>
      <c r="BX130" s="16">
        <v>2415</v>
      </c>
      <c r="BY130" s="16">
        <v>14490</v>
      </c>
    </row>
    <row r="131" spans="12:77">
      <c r="L131" s="16">
        <v>24</v>
      </c>
      <c r="AE131" s="16">
        <v>126</v>
      </c>
      <c r="AF131" s="16">
        <f t="shared" si="57"/>
        <v>0.56000000000000005</v>
      </c>
      <c r="AG131" s="16">
        <f t="shared" si="58"/>
        <v>0.56000000000000005</v>
      </c>
      <c r="AH131" s="16">
        <f t="shared" si="59"/>
        <v>0.56000000000000005</v>
      </c>
      <c r="AI131" s="16">
        <f t="shared" si="60"/>
        <v>0.56000000000000005</v>
      </c>
      <c r="AJ131" s="16">
        <f t="shared" si="61"/>
        <v>0.56000000000000005</v>
      </c>
      <c r="AM131" s="16">
        <v>40</v>
      </c>
    </row>
    <row r="132" spans="12:77">
      <c r="L132" s="16">
        <v>25</v>
      </c>
      <c r="AE132" s="16">
        <v>127</v>
      </c>
      <c r="AF132" s="16">
        <f t="shared" si="57"/>
        <v>0.56000000000000005</v>
      </c>
      <c r="AG132" s="16">
        <f t="shared" si="58"/>
        <v>0.56000000000000005</v>
      </c>
      <c r="AH132" s="16">
        <f t="shared" si="59"/>
        <v>0.56000000000000005</v>
      </c>
      <c r="AI132" s="16">
        <f t="shared" si="60"/>
        <v>0.56000000000000005</v>
      </c>
      <c r="AJ132" s="16">
        <f t="shared" si="61"/>
        <v>0.56000000000000005</v>
      </c>
      <c r="AM132" s="16">
        <v>41</v>
      </c>
    </row>
    <row r="133" spans="12:77">
      <c r="L133" s="16">
        <v>26</v>
      </c>
      <c r="AE133" s="16">
        <v>128</v>
      </c>
      <c r="AF133" s="16">
        <f t="shared" si="57"/>
        <v>0.56000000000000005</v>
      </c>
      <c r="AG133" s="16">
        <f t="shared" si="58"/>
        <v>0.56000000000000005</v>
      </c>
      <c r="AH133" s="16">
        <f t="shared" si="59"/>
        <v>0.56000000000000005</v>
      </c>
      <c r="AI133" s="16">
        <f t="shared" si="60"/>
        <v>0.56000000000000005</v>
      </c>
      <c r="AJ133" s="16">
        <f t="shared" si="61"/>
        <v>0.56000000000000005</v>
      </c>
      <c r="AM133" s="16">
        <v>42</v>
      </c>
    </row>
    <row r="134" spans="12:77">
      <c r="AE134" s="16">
        <v>129</v>
      </c>
      <c r="AF134" s="16">
        <f t="shared" ref="AF134:AF165" si="62">求节点($M$6:$M$26,$AA$6:$AA$26,$AE134)</f>
        <v>0.56000000000000005</v>
      </c>
      <c r="AG134" s="16">
        <f t="shared" ref="AG134:AG165" si="63">求节点($M$32:$M$52,$AA$32:$AA$52,$AE134)</f>
        <v>0.56000000000000005</v>
      </c>
      <c r="AH134" s="16">
        <f t="shared" ref="AH134:AH165" si="64">求节点($M$58:$M$78,$AA$58:$AA$78,$AE134)</f>
        <v>0.56000000000000005</v>
      </c>
      <c r="AI134" s="16">
        <f t="shared" ref="AI134:AI165" si="65">求节点($M$84:$M$104,$AA$84:$AA$104,$AE134)</f>
        <v>0.56000000000000005</v>
      </c>
      <c r="AJ134" s="16">
        <f t="shared" ref="AJ134:AJ165" si="66">求节点($M$110:$M$130,$AA$110:$AA$130,$AE134)</f>
        <v>0.56000000000000005</v>
      </c>
      <c r="AM134" s="16">
        <v>43</v>
      </c>
    </row>
    <row r="135" spans="12:77">
      <c r="AE135" s="16">
        <v>130</v>
      </c>
      <c r="AF135" s="16">
        <f t="shared" si="62"/>
        <v>0.56000000000000005</v>
      </c>
      <c r="AG135" s="16">
        <f t="shared" si="63"/>
        <v>0.56000000000000005</v>
      </c>
      <c r="AH135" s="16">
        <f t="shared" si="64"/>
        <v>0.56000000000000005</v>
      </c>
      <c r="AI135" s="16">
        <f t="shared" si="65"/>
        <v>0.56000000000000005</v>
      </c>
      <c r="AJ135" s="16">
        <f t="shared" si="66"/>
        <v>0.56000000000000005</v>
      </c>
      <c r="AM135" s="16">
        <v>44</v>
      </c>
    </row>
    <row r="136" spans="12:77">
      <c r="AE136" s="16">
        <v>131</v>
      </c>
      <c r="AF136" s="16">
        <f t="shared" si="62"/>
        <v>0.56000000000000005</v>
      </c>
      <c r="AG136" s="16">
        <f t="shared" si="63"/>
        <v>0.56000000000000005</v>
      </c>
      <c r="AH136" s="16">
        <f t="shared" si="64"/>
        <v>0.56000000000000005</v>
      </c>
      <c r="AI136" s="16">
        <f t="shared" si="65"/>
        <v>0.56000000000000005</v>
      </c>
      <c r="AJ136" s="16">
        <f t="shared" si="66"/>
        <v>0.56000000000000005</v>
      </c>
      <c r="AM136" s="16">
        <v>45</v>
      </c>
    </row>
    <row r="137" spans="12:77">
      <c r="AE137" s="16">
        <v>132</v>
      </c>
      <c r="AF137" s="16">
        <f t="shared" si="62"/>
        <v>0.56000000000000005</v>
      </c>
      <c r="AG137" s="16">
        <f t="shared" si="63"/>
        <v>0.56000000000000005</v>
      </c>
      <c r="AH137" s="16">
        <f t="shared" si="64"/>
        <v>0.56000000000000005</v>
      </c>
      <c r="AI137" s="16">
        <f t="shared" si="65"/>
        <v>0.56000000000000005</v>
      </c>
      <c r="AJ137" s="16">
        <f t="shared" si="66"/>
        <v>0.56000000000000005</v>
      </c>
      <c r="AM137" s="16">
        <v>1</v>
      </c>
      <c r="AN137" s="17" t="s">
        <v>77</v>
      </c>
      <c r="AO137" s="70" t="s">
        <v>54</v>
      </c>
      <c r="AP137" s="170" t="s">
        <v>414</v>
      </c>
      <c r="AQ137" s="170"/>
      <c r="AY137" s="17" t="s">
        <v>77</v>
      </c>
      <c r="AZ137" s="17" t="s">
        <v>418</v>
      </c>
    </row>
    <row r="138" spans="12:77">
      <c r="AE138" s="16">
        <v>133</v>
      </c>
      <c r="AF138" s="16">
        <f t="shared" si="62"/>
        <v>0.56000000000000005</v>
      </c>
      <c r="AG138" s="16">
        <f t="shared" si="63"/>
        <v>0.56000000000000005</v>
      </c>
      <c r="AH138" s="16">
        <f t="shared" si="64"/>
        <v>0.56000000000000005</v>
      </c>
      <c r="AI138" s="16">
        <f t="shared" si="65"/>
        <v>0.56000000000000005</v>
      </c>
      <c r="AJ138" s="16">
        <f t="shared" si="66"/>
        <v>0.56000000000000005</v>
      </c>
      <c r="AM138" s="16">
        <v>2</v>
      </c>
      <c r="AN138" s="17" t="s">
        <v>161</v>
      </c>
      <c r="AO138" s="17" t="s">
        <v>412</v>
      </c>
      <c r="AP138" s="17" t="s">
        <v>412</v>
      </c>
      <c r="AQ138" s="17" t="s">
        <v>413</v>
      </c>
      <c r="AY138" s="17" t="s">
        <v>161</v>
      </c>
      <c r="AZ138" s="17" t="s">
        <v>416</v>
      </c>
      <c r="BA138" s="17" t="s">
        <v>192</v>
      </c>
    </row>
    <row r="139" spans="12:77">
      <c r="AE139" s="16">
        <v>134</v>
      </c>
      <c r="AF139" s="16">
        <f t="shared" si="62"/>
        <v>0.56000000000000005</v>
      </c>
      <c r="AG139" s="16">
        <f t="shared" si="63"/>
        <v>0.56000000000000005</v>
      </c>
      <c r="AH139" s="16">
        <f t="shared" si="64"/>
        <v>0.56000000000000005</v>
      </c>
      <c r="AI139" s="16">
        <f t="shared" si="65"/>
        <v>0.56000000000000005</v>
      </c>
      <c r="AJ139" s="16">
        <f t="shared" si="66"/>
        <v>0.56000000000000005</v>
      </c>
      <c r="AM139" s="16">
        <v>3</v>
      </c>
      <c r="AN139" s="17">
        <v>10</v>
      </c>
      <c r="AO139" s="17">
        <f>求节点($AE$6:$AE$165,$AI$6:$AI$165,$AN139)</f>
        <v>0</v>
      </c>
      <c r="AP139" s="51">
        <f>AO139*(INDEX([3]大r将兵属性验证!$AC$7:$AC$166,$AN139,1)*[3]战法技能效用!$AH$4+INDEX([3]大r将兵属性验证!$AX$7:$AX$166,$AN139,1)*[3]战法技能效用!$AI$4)</f>
        <v>0</v>
      </c>
      <c r="AQ139" s="17">
        <f t="shared" ref="AQ139:AQ154" si="67">SUM(AP139:AP139)</f>
        <v>0</v>
      </c>
      <c r="AY139" s="17">
        <v>10</v>
      </c>
      <c r="AZ139" s="17">
        <f>求节点($AU$82:$AU$102,AV$82:AV$102,$AY139)</f>
        <v>26539.028964242956</v>
      </c>
      <c r="BA139" s="17">
        <f t="shared" ref="BA139:BA154" si="68">SUM(AZ139:AZ139)</f>
        <v>26539.028964242956</v>
      </c>
      <c r="BB139" s="16">
        <f>AQ139/BA139</f>
        <v>0</v>
      </c>
    </row>
    <row r="140" spans="12:77">
      <c r="AE140" s="16">
        <v>135</v>
      </c>
      <c r="AF140" s="16">
        <f t="shared" si="62"/>
        <v>0.56000000000000005</v>
      </c>
      <c r="AG140" s="16">
        <f t="shared" si="63"/>
        <v>0.56000000000000005</v>
      </c>
      <c r="AH140" s="16">
        <f t="shared" si="64"/>
        <v>0.56000000000000005</v>
      </c>
      <c r="AI140" s="16">
        <f t="shared" si="65"/>
        <v>0.56000000000000005</v>
      </c>
      <c r="AJ140" s="16">
        <f t="shared" si="66"/>
        <v>0.56000000000000005</v>
      </c>
      <c r="AM140" s="16">
        <v>4</v>
      </c>
      <c r="AN140" s="17">
        <v>20</v>
      </c>
      <c r="AO140" s="17">
        <f t="shared" ref="AO140:AO154" si="69">求节点($AE$6:$AE$165,$AI$6:$AI$165,$AN140)</f>
        <v>0</v>
      </c>
      <c r="AP140" s="17">
        <f>(AO140-AO139)*(INDEX([3]大r将兵属性验证!$AC$7:$AC$166,$AN140,1)*[3]战法技能效用!$AH$4+INDEX([3]大r将兵属性验证!$AX$7:$AX$166,$AN140,1)*[3]战法技能效用!$AI$4)+AP139</f>
        <v>0</v>
      </c>
      <c r="AQ140" s="17">
        <f t="shared" si="67"/>
        <v>0</v>
      </c>
      <c r="AY140" s="17">
        <v>20</v>
      </c>
      <c r="AZ140" s="17">
        <f t="shared" ref="AZ140:AZ154" si="70">求节点($AU$82:$AU$102,AV$82:AV$102,$AY140)</f>
        <v>53078.057928485898</v>
      </c>
      <c r="BA140" s="17">
        <f t="shared" si="68"/>
        <v>53078.057928485898</v>
      </c>
      <c r="BB140" s="16">
        <f t="shared" ref="BB140:BB154" si="71">AQ140/BA140</f>
        <v>0</v>
      </c>
    </row>
    <row r="141" spans="12:77">
      <c r="AE141" s="16">
        <v>136</v>
      </c>
      <c r="AF141" s="16">
        <f t="shared" si="62"/>
        <v>0.56000000000000005</v>
      </c>
      <c r="AG141" s="16">
        <f t="shared" si="63"/>
        <v>0.56000000000000005</v>
      </c>
      <c r="AH141" s="16">
        <f t="shared" si="64"/>
        <v>0.56000000000000005</v>
      </c>
      <c r="AI141" s="16">
        <f t="shared" si="65"/>
        <v>0.56000000000000005</v>
      </c>
      <c r="AJ141" s="16">
        <f t="shared" si="66"/>
        <v>0.56000000000000005</v>
      </c>
      <c r="AM141" s="16">
        <v>5</v>
      </c>
      <c r="AN141" s="17">
        <v>30</v>
      </c>
      <c r="AO141" s="17">
        <f t="shared" si="69"/>
        <v>0</v>
      </c>
      <c r="AP141" s="17">
        <f>(AO141-AO140)*(INDEX([3]大r将兵属性验证!$AC$7:$AC$166,$AN141,1)*[3]战法技能效用!$AH$4+INDEX([3]大r将兵属性验证!$AX$7:$AX$166,$AN141,1)*[3]战法技能效用!$AI$4)+AP140</f>
        <v>0</v>
      </c>
      <c r="AQ141" s="17">
        <f t="shared" si="67"/>
        <v>0</v>
      </c>
      <c r="AY141" s="17">
        <v>30</v>
      </c>
      <c r="AZ141" s="17">
        <f t="shared" si="70"/>
        <v>79617.086892728839</v>
      </c>
      <c r="BA141" s="17">
        <f t="shared" si="68"/>
        <v>79617.086892728839</v>
      </c>
      <c r="BB141" s="16">
        <f t="shared" si="71"/>
        <v>0</v>
      </c>
    </row>
    <row r="142" spans="12:77">
      <c r="AE142" s="16">
        <v>137</v>
      </c>
      <c r="AF142" s="16">
        <f t="shared" si="62"/>
        <v>0.56000000000000005</v>
      </c>
      <c r="AG142" s="16">
        <f t="shared" si="63"/>
        <v>0.56000000000000005</v>
      </c>
      <c r="AH142" s="16">
        <f t="shared" si="64"/>
        <v>0.56000000000000005</v>
      </c>
      <c r="AI142" s="16">
        <f t="shared" si="65"/>
        <v>0.56000000000000005</v>
      </c>
      <c r="AJ142" s="16">
        <f t="shared" si="66"/>
        <v>0.56000000000000005</v>
      </c>
      <c r="AM142" s="16">
        <v>6</v>
      </c>
      <c r="AN142" s="17">
        <v>40</v>
      </c>
      <c r="AO142" s="17">
        <f t="shared" si="69"/>
        <v>0</v>
      </c>
      <c r="AP142" s="17">
        <f>(AO142-AO141)*(INDEX([3]大r将兵属性验证!$AC$7:$AC$166,$AN142,1)*[3]战法技能效用!$AH$4+INDEX([3]大r将兵属性验证!$AX$7:$AX$166,$AN142,1)*[3]战法技能效用!$AI$4)+AP141</f>
        <v>0</v>
      </c>
      <c r="AQ142" s="17">
        <f t="shared" si="67"/>
        <v>0</v>
      </c>
      <c r="AY142" s="17">
        <v>40</v>
      </c>
      <c r="AZ142" s="17">
        <f t="shared" si="70"/>
        <v>106156.11585697178</v>
      </c>
      <c r="BA142" s="17">
        <f t="shared" si="68"/>
        <v>106156.11585697178</v>
      </c>
      <c r="BB142" s="16">
        <f t="shared" si="71"/>
        <v>0</v>
      </c>
    </row>
    <row r="143" spans="12:77">
      <c r="AE143" s="16">
        <v>138</v>
      </c>
      <c r="AF143" s="16">
        <f t="shared" si="62"/>
        <v>0.56000000000000005</v>
      </c>
      <c r="AG143" s="16">
        <f t="shared" si="63"/>
        <v>0.56000000000000005</v>
      </c>
      <c r="AH143" s="16">
        <f t="shared" si="64"/>
        <v>0.56000000000000005</v>
      </c>
      <c r="AI143" s="16">
        <f t="shared" si="65"/>
        <v>0.56000000000000005</v>
      </c>
      <c r="AJ143" s="16">
        <f t="shared" si="66"/>
        <v>0.56000000000000005</v>
      </c>
      <c r="AM143" s="16">
        <v>7</v>
      </c>
      <c r="AN143" s="17">
        <v>50</v>
      </c>
      <c r="AO143" s="17">
        <f t="shared" si="69"/>
        <v>0</v>
      </c>
      <c r="AP143" s="17">
        <f>(AO143-AO142)*(INDEX([3]大r将兵属性验证!$AC$7:$AC$166,$AN143,1)*[3]战法技能效用!$AH$4+INDEX([3]大r将兵属性验证!$AX$7:$AX$166,$AN143,1)*[3]战法技能效用!$AI$4)+AP142</f>
        <v>0</v>
      </c>
      <c r="AQ143" s="17">
        <f t="shared" si="67"/>
        <v>0</v>
      </c>
      <c r="AY143" s="17">
        <v>50</v>
      </c>
      <c r="AZ143" s="17">
        <f t="shared" si="70"/>
        <v>132695.14482121472</v>
      </c>
      <c r="BA143" s="17">
        <f t="shared" si="68"/>
        <v>132695.14482121472</v>
      </c>
      <c r="BB143" s="16">
        <f t="shared" si="71"/>
        <v>0</v>
      </c>
    </row>
    <row r="144" spans="12:77">
      <c r="AE144" s="16">
        <v>139</v>
      </c>
      <c r="AF144" s="16">
        <f t="shared" si="62"/>
        <v>0.56000000000000005</v>
      </c>
      <c r="AG144" s="16">
        <f t="shared" si="63"/>
        <v>0.56000000000000005</v>
      </c>
      <c r="AH144" s="16">
        <f t="shared" si="64"/>
        <v>0.56000000000000005</v>
      </c>
      <c r="AI144" s="16">
        <f t="shared" si="65"/>
        <v>0.56000000000000005</v>
      </c>
      <c r="AJ144" s="16">
        <f t="shared" si="66"/>
        <v>0.56000000000000005</v>
      </c>
      <c r="AM144" s="16">
        <v>8</v>
      </c>
      <c r="AN144" s="17">
        <v>60</v>
      </c>
      <c r="AO144" s="17">
        <f t="shared" si="69"/>
        <v>0.16255914095700763</v>
      </c>
      <c r="AP144" s="17">
        <f>(AO144-AO143)*(INDEX([3]大r将兵属性验证!$AC$7:$AC$166,$AN144,1)*[3]战法技能效用!$AH$4+INDEX([3]大r将兵属性验证!$AX$7:$AX$166,$AN144,1)*[3]战法技能效用!$AI$4)+AP143</f>
        <v>1259596352.0749309</v>
      </c>
      <c r="AQ144" s="17">
        <f t="shared" si="67"/>
        <v>1259596352.0749309</v>
      </c>
      <c r="AY144" s="17">
        <v>60</v>
      </c>
      <c r="AZ144" s="17">
        <f t="shared" si="70"/>
        <v>241685.59403821771</v>
      </c>
      <c r="BA144" s="17">
        <f t="shared" si="68"/>
        <v>241685.59403821771</v>
      </c>
      <c r="BB144" s="16">
        <f t="shared" si="71"/>
        <v>5211.7146538562456</v>
      </c>
    </row>
    <row r="145" spans="31:54">
      <c r="AE145" s="16">
        <v>140</v>
      </c>
      <c r="AF145" s="16">
        <f t="shared" si="62"/>
        <v>0.56000000000000005</v>
      </c>
      <c r="AG145" s="16">
        <f t="shared" si="63"/>
        <v>0.56000000000000005</v>
      </c>
      <c r="AH145" s="16">
        <f t="shared" si="64"/>
        <v>0.56000000000000005</v>
      </c>
      <c r="AI145" s="16">
        <f t="shared" si="65"/>
        <v>0.56000000000000005</v>
      </c>
      <c r="AJ145" s="16">
        <f t="shared" si="66"/>
        <v>0.56000000000000005</v>
      </c>
      <c r="AM145" s="16">
        <v>9</v>
      </c>
      <c r="AN145" s="17">
        <v>70</v>
      </c>
      <c r="AO145" s="17">
        <f t="shared" si="69"/>
        <v>0.22967259371433765</v>
      </c>
      <c r="AP145" s="17">
        <f>(AO145-AO144)*(INDEX([3]大r将兵属性验证!$AC$7:$AC$166,$AN145,1)*[3]战法技能效用!$AH$4+INDEX([3]大r将兵属性验证!$AX$7:$AX$166,$AN145,1)*[3]战法技能效用!$AI$4)+AP144</f>
        <v>3012213940.8748035</v>
      </c>
      <c r="AQ145" s="17">
        <f t="shared" si="67"/>
        <v>3012213940.8748035</v>
      </c>
      <c r="AY145" s="17">
        <v>70</v>
      </c>
      <c r="AZ145" s="17">
        <f t="shared" si="70"/>
        <v>472429.12018195319</v>
      </c>
      <c r="BA145" s="17">
        <f t="shared" si="68"/>
        <v>472429.12018195319</v>
      </c>
      <c r="BB145" s="16">
        <f t="shared" si="71"/>
        <v>6376.012426403071</v>
      </c>
    </row>
    <row r="146" spans="31:54">
      <c r="AE146" s="16">
        <v>141</v>
      </c>
      <c r="AF146" s="16">
        <f t="shared" si="62"/>
        <v>0.56000000000000005</v>
      </c>
      <c r="AG146" s="16">
        <f t="shared" si="63"/>
        <v>0.56000000000000005</v>
      </c>
      <c r="AH146" s="16">
        <f t="shared" si="64"/>
        <v>0.56000000000000005</v>
      </c>
      <c r="AI146" s="16">
        <f t="shared" si="65"/>
        <v>0.56000000000000005</v>
      </c>
      <c r="AJ146" s="16">
        <f t="shared" si="66"/>
        <v>0.56000000000000005</v>
      </c>
      <c r="AM146" s="16">
        <v>10</v>
      </c>
      <c r="AN146" s="17">
        <v>80</v>
      </c>
      <c r="AO146" s="17">
        <f t="shared" si="69"/>
        <v>0.31099650184811101</v>
      </c>
      <c r="AP146" s="17">
        <f>(AO146-AO145)*(INDEX([3]大r将兵属性验证!$AC$7:$AC$166,$AN146,1)*[3]战法技能效用!$AH$4+INDEX([3]大r将兵属性验证!$AX$7:$AX$166,$AN146,1)*[3]战法技能效用!$AI$4)+AP145</f>
        <v>8998623902.988327</v>
      </c>
      <c r="AQ146" s="17">
        <f t="shared" si="67"/>
        <v>8998623902.988327</v>
      </c>
      <c r="AY146" s="17">
        <v>80</v>
      </c>
      <c r="AZ146" s="17">
        <f t="shared" si="70"/>
        <v>912256.4054211257</v>
      </c>
      <c r="BA146" s="17">
        <f t="shared" si="68"/>
        <v>912256.4054211257</v>
      </c>
      <c r="BB146" s="16">
        <f t="shared" si="71"/>
        <v>9864.138908220968</v>
      </c>
    </row>
    <row r="147" spans="31:54">
      <c r="AE147" s="16">
        <v>142</v>
      </c>
      <c r="AF147" s="16">
        <f t="shared" si="62"/>
        <v>0.56000000000000005</v>
      </c>
      <c r="AG147" s="16">
        <f t="shared" si="63"/>
        <v>0.56000000000000005</v>
      </c>
      <c r="AH147" s="16">
        <f t="shared" si="64"/>
        <v>0.56000000000000005</v>
      </c>
      <c r="AI147" s="16">
        <f t="shared" si="65"/>
        <v>0.56000000000000005</v>
      </c>
      <c r="AJ147" s="16">
        <f t="shared" si="66"/>
        <v>0.56000000000000005</v>
      </c>
      <c r="AM147" s="16">
        <v>11</v>
      </c>
      <c r="AN147" s="17">
        <v>90</v>
      </c>
      <c r="AO147" s="17">
        <f t="shared" si="69"/>
        <v>0.56000000000000005</v>
      </c>
      <c r="AP147" s="17">
        <f>(AO147-AO146)*(INDEX([3]大r将兵属性验证!$AC$7:$AC$166,$AN147,1)*[3]战法技能效用!$AH$4+INDEX([3]大r将兵属性验证!$AX$7:$AX$166,$AN147,1)*[3]战法技能效用!$AI$4)+AP146</f>
        <v>54514704094.247925</v>
      </c>
      <c r="AQ147" s="17">
        <f t="shared" si="67"/>
        <v>54514704094.247925</v>
      </c>
      <c r="AY147" s="17">
        <v>90</v>
      </c>
      <c r="AZ147" s="17">
        <f t="shared" si="70"/>
        <v>1710239.516269526</v>
      </c>
      <c r="BA147" s="17">
        <f t="shared" si="68"/>
        <v>1710239.516269526</v>
      </c>
      <c r="BB147" s="16">
        <f t="shared" si="71"/>
        <v>31875.479180342278</v>
      </c>
    </row>
    <row r="148" spans="31:54">
      <c r="AE148" s="16">
        <v>143</v>
      </c>
      <c r="AF148" s="16">
        <f t="shared" si="62"/>
        <v>0.56000000000000005</v>
      </c>
      <c r="AG148" s="16">
        <f t="shared" si="63"/>
        <v>0.56000000000000005</v>
      </c>
      <c r="AH148" s="16">
        <f t="shared" si="64"/>
        <v>0.56000000000000005</v>
      </c>
      <c r="AI148" s="16">
        <f t="shared" si="65"/>
        <v>0.56000000000000005</v>
      </c>
      <c r="AJ148" s="16">
        <f t="shared" si="66"/>
        <v>0.56000000000000005</v>
      </c>
      <c r="AM148" s="16">
        <v>12</v>
      </c>
      <c r="AN148" s="17">
        <v>100</v>
      </c>
      <c r="AO148" s="17">
        <f t="shared" si="69"/>
        <v>0.56000000000000005</v>
      </c>
      <c r="AP148" s="17">
        <f>(AO148-AO147)*(INDEX([3]大r将兵属性验证!$AC$7:$AC$166,$AN148,1)*[3]战法技能效用!$AH$4+INDEX([3]大r将兵属性验证!$AX$7:$AX$166,$AN148,1)*[3]战法技能效用!$AI$4)+AP147</f>
        <v>54514704094.247925</v>
      </c>
      <c r="AQ148" s="17">
        <f t="shared" si="67"/>
        <v>54514704094.247925</v>
      </c>
      <c r="AY148" s="17">
        <v>100</v>
      </c>
      <c r="AZ148" s="17">
        <f t="shared" si="70"/>
        <v>3324012.3497677837</v>
      </c>
      <c r="BA148" s="17">
        <f t="shared" si="68"/>
        <v>3324012.3497677837</v>
      </c>
      <c r="BB148" s="16">
        <f t="shared" si="71"/>
        <v>16400.271225844372</v>
      </c>
    </row>
    <row r="149" spans="31:54">
      <c r="AE149" s="16">
        <v>144</v>
      </c>
      <c r="AF149" s="16">
        <f t="shared" si="62"/>
        <v>0.56000000000000005</v>
      </c>
      <c r="AG149" s="16">
        <f t="shared" si="63"/>
        <v>0.56000000000000005</v>
      </c>
      <c r="AH149" s="16">
        <f t="shared" si="64"/>
        <v>0.56000000000000005</v>
      </c>
      <c r="AI149" s="16">
        <f t="shared" si="65"/>
        <v>0.56000000000000005</v>
      </c>
      <c r="AJ149" s="16">
        <f t="shared" si="66"/>
        <v>0.56000000000000005</v>
      </c>
      <c r="AM149" s="16">
        <v>13</v>
      </c>
      <c r="AN149" s="17">
        <v>110</v>
      </c>
      <c r="AO149" s="17">
        <f t="shared" si="69"/>
        <v>0.56000000000000005</v>
      </c>
      <c r="AP149" s="17">
        <f>(AO149-AO148)*(INDEX([3]大r将兵属性验证!$AC$7:$AC$166,$AN149,1)*[3]战法技能效用!$AH$4+INDEX([3]大r将兵属性验证!$AX$7:$AX$166,$AN149,1)*[3]战法技能效用!$AI$4)+AP148</f>
        <v>54514704094.247925</v>
      </c>
      <c r="AQ149" s="17">
        <f t="shared" si="67"/>
        <v>54514704094.247925</v>
      </c>
      <c r="AY149" s="17">
        <v>110</v>
      </c>
      <c r="AZ149" s="17">
        <f t="shared" si="70"/>
        <v>6426020.2026207894</v>
      </c>
      <c r="BA149" s="17">
        <f t="shared" si="68"/>
        <v>6426020.2026207894</v>
      </c>
      <c r="BB149" s="16">
        <f t="shared" si="71"/>
        <v>8483.4317937585438</v>
      </c>
    </row>
    <row r="150" spans="31:54">
      <c r="AE150" s="16">
        <v>145</v>
      </c>
      <c r="AF150" s="16">
        <f t="shared" si="62"/>
        <v>0.56000000000000005</v>
      </c>
      <c r="AG150" s="16">
        <f t="shared" si="63"/>
        <v>0.56000000000000005</v>
      </c>
      <c r="AH150" s="16">
        <f t="shared" si="64"/>
        <v>0.56000000000000005</v>
      </c>
      <c r="AI150" s="16">
        <f t="shared" si="65"/>
        <v>0.56000000000000005</v>
      </c>
      <c r="AJ150" s="16">
        <f t="shared" si="66"/>
        <v>0.56000000000000005</v>
      </c>
      <c r="AM150" s="16">
        <v>14</v>
      </c>
      <c r="AN150" s="17">
        <v>120</v>
      </c>
      <c r="AO150" s="17">
        <f t="shared" si="69"/>
        <v>0.56000000000000005</v>
      </c>
      <c r="AP150" s="17">
        <f>(AO150-AO149)*(INDEX([3]大r将兵属性验证!$AC$7:$AC$166,$AN150,1)*[3]战法技能效用!$AH$4+INDEX([3]大r将兵属性验证!$AX$7:$AX$166,$AN150,1)*[3]战法技能效用!$AI$4)+AP149</f>
        <v>54514704094.247925</v>
      </c>
      <c r="AQ150" s="17">
        <f t="shared" si="67"/>
        <v>54514704094.247925</v>
      </c>
      <c r="AY150" s="17">
        <v>120</v>
      </c>
      <c r="AZ150" s="17">
        <f t="shared" si="70"/>
        <v>12576938.515448799</v>
      </c>
      <c r="BA150" s="17">
        <f t="shared" si="68"/>
        <v>12576938.515448799</v>
      </c>
      <c r="BB150" s="16">
        <f t="shared" si="71"/>
        <v>4334.4971454925335</v>
      </c>
    </row>
    <row r="151" spans="31:54">
      <c r="AE151" s="16">
        <v>146</v>
      </c>
      <c r="AF151" s="16">
        <f t="shared" si="62"/>
        <v>0.56000000000000005</v>
      </c>
      <c r="AG151" s="16">
        <f t="shared" si="63"/>
        <v>0.56000000000000005</v>
      </c>
      <c r="AH151" s="16">
        <f t="shared" si="64"/>
        <v>0.56000000000000005</v>
      </c>
      <c r="AI151" s="16">
        <f t="shared" si="65"/>
        <v>0.56000000000000005</v>
      </c>
      <c r="AJ151" s="16">
        <f t="shared" si="66"/>
        <v>0.56000000000000005</v>
      </c>
      <c r="AM151" s="16">
        <v>15</v>
      </c>
      <c r="AN151" s="17">
        <v>130</v>
      </c>
      <c r="AO151" s="17">
        <f t="shared" si="69"/>
        <v>0.56000000000000005</v>
      </c>
      <c r="AP151" s="17">
        <f>(AO151-AO150)*(INDEX([3]大r将兵属性验证!$AC$7:$AC$166,$AN151,1)*[3]战法技能效用!$AH$4+INDEX([3]大r将兵属性验证!$AX$7:$AX$166,$AN151,1)*[3]战法技能效用!$AI$4)+AP150</f>
        <v>54514704094.247925</v>
      </c>
      <c r="AQ151" s="17">
        <f t="shared" si="67"/>
        <v>54514704094.247925</v>
      </c>
      <c r="AY151" s="17">
        <v>130</v>
      </c>
      <c r="AZ151" s="17">
        <f t="shared" si="70"/>
        <v>24723129.022692617</v>
      </c>
      <c r="BA151" s="17">
        <f t="shared" si="68"/>
        <v>24723129.022692617</v>
      </c>
      <c r="BB151" s="16">
        <f t="shared" si="71"/>
        <v>2205.0082756195834</v>
      </c>
    </row>
    <row r="152" spans="31:54">
      <c r="AE152" s="16">
        <v>147</v>
      </c>
      <c r="AF152" s="16">
        <f t="shared" si="62"/>
        <v>0.56000000000000005</v>
      </c>
      <c r="AG152" s="16">
        <f t="shared" si="63"/>
        <v>0.56000000000000005</v>
      </c>
      <c r="AH152" s="16">
        <f t="shared" si="64"/>
        <v>0.56000000000000005</v>
      </c>
      <c r="AI152" s="16">
        <f t="shared" si="65"/>
        <v>0.56000000000000005</v>
      </c>
      <c r="AJ152" s="16">
        <f t="shared" si="66"/>
        <v>0.56000000000000005</v>
      </c>
      <c r="AM152" s="16">
        <v>16</v>
      </c>
      <c r="AN152" s="17">
        <v>140</v>
      </c>
      <c r="AO152" s="17">
        <f t="shared" si="69"/>
        <v>0.56000000000000005</v>
      </c>
      <c r="AP152" s="17">
        <f>(AO152-AO151)*(INDEX([3]大r将兵属性验证!$AC$7:$AC$166,$AN152,1)*[3]战法技能效用!$AH$4+INDEX([3]大r将兵属性验证!$AX$7:$AX$166,$AN152,1)*[3]战法技能效用!$AI$4)+AP151</f>
        <v>54514704094.247925</v>
      </c>
      <c r="AQ152" s="17">
        <f t="shared" si="67"/>
        <v>54514704094.247925</v>
      </c>
      <c r="AY152" s="17">
        <v>140</v>
      </c>
      <c r="AZ152" s="17">
        <f t="shared" si="70"/>
        <v>48587153.689521983</v>
      </c>
      <c r="BA152" s="17">
        <f t="shared" si="68"/>
        <v>48587153.689521983</v>
      </c>
      <c r="BB152" s="16">
        <f t="shared" si="71"/>
        <v>1121.9983052023119</v>
      </c>
    </row>
    <row r="153" spans="31:54">
      <c r="AE153" s="16">
        <v>148</v>
      </c>
      <c r="AF153" s="16">
        <f t="shared" si="62"/>
        <v>0.56000000000000005</v>
      </c>
      <c r="AG153" s="16">
        <f t="shared" si="63"/>
        <v>0.56000000000000005</v>
      </c>
      <c r="AH153" s="16">
        <f t="shared" si="64"/>
        <v>0.56000000000000005</v>
      </c>
      <c r="AI153" s="16">
        <f t="shared" si="65"/>
        <v>0.56000000000000005</v>
      </c>
      <c r="AJ153" s="16">
        <f t="shared" si="66"/>
        <v>0.56000000000000005</v>
      </c>
      <c r="AM153" s="16">
        <v>17</v>
      </c>
      <c r="AN153" s="17">
        <v>150</v>
      </c>
      <c r="AO153" s="17">
        <f t="shared" si="69"/>
        <v>0.56000000000000005</v>
      </c>
      <c r="AP153" s="17">
        <f>(AO153-AO152)*(INDEX([3]大r将兵属性验证!$AC$7:$AC$166,$AN153,1)*[3]战法技能效用!$AH$4+INDEX([3]大r将兵属性验证!$AX$7:$AX$166,$AN153,1)*[3]战法技能效用!$AI$4)+AP152</f>
        <v>54514704094.247925</v>
      </c>
      <c r="AQ153" s="17">
        <f t="shared" si="67"/>
        <v>54514704094.247925</v>
      </c>
      <c r="AY153" s="17">
        <v>150</v>
      </c>
      <c r="AZ153" s="17">
        <f t="shared" si="70"/>
        <v>96267935.353511468</v>
      </c>
      <c r="BA153" s="17">
        <f t="shared" si="68"/>
        <v>96267935.353511468</v>
      </c>
      <c r="BB153" s="16">
        <f t="shared" si="71"/>
        <v>566.28101448380596</v>
      </c>
    </row>
    <row r="154" spans="31:54">
      <c r="AE154" s="16">
        <v>149</v>
      </c>
      <c r="AF154" s="16">
        <f t="shared" si="62"/>
        <v>0.56000000000000005</v>
      </c>
      <c r="AG154" s="16">
        <f t="shared" si="63"/>
        <v>0.56000000000000005</v>
      </c>
      <c r="AH154" s="16">
        <f t="shared" si="64"/>
        <v>0.56000000000000005</v>
      </c>
      <c r="AI154" s="16">
        <f t="shared" si="65"/>
        <v>0.56000000000000005</v>
      </c>
      <c r="AJ154" s="16">
        <f t="shared" si="66"/>
        <v>0.56000000000000005</v>
      </c>
      <c r="AM154" s="16">
        <v>18</v>
      </c>
      <c r="AN154" s="17">
        <v>160</v>
      </c>
      <c r="AO154" s="17">
        <f t="shared" si="69"/>
        <v>0.56000000000000005</v>
      </c>
      <c r="AP154" s="17">
        <f>(AO154-AO153)*(INDEX([3]大r将兵属性验证!$AC$7:$AC$166,$AN154,1)*[3]战法技能效用!$AH$4+INDEX([3]大r将兵属性验证!$AX$7:$AX$166,$AN154,1)*[3]战法技能效用!$AI$4)+AP153</f>
        <v>54514704094.247925</v>
      </c>
      <c r="AQ154" s="17">
        <f t="shared" si="67"/>
        <v>54514704094.247925</v>
      </c>
      <c r="AY154" s="17">
        <v>160</v>
      </c>
      <c r="AZ154" s="17">
        <f t="shared" si="70"/>
        <v>404994976.39271975</v>
      </c>
      <c r="BA154" s="17">
        <f t="shared" si="68"/>
        <v>404994976.39271975</v>
      </c>
      <c r="BB154" s="16">
        <f t="shared" si="71"/>
        <v>134.60587728719267</v>
      </c>
    </row>
    <row r="155" spans="31:54">
      <c r="AE155" s="16">
        <v>150</v>
      </c>
      <c r="AF155" s="16">
        <f t="shared" si="62"/>
        <v>0.56000000000000005</v>
      </c>
      <c r="AG155" s="16">
        <f t="shared" si="63"/>
        <v>0.56000000000000005</v>
      </c>
      <c r="AH155" s="16">
        <f t="shared" si="64"/>
        <v>0.56000000000000005</v>
      </c>
      <c r="AI155" s="16">
        <f t="shared" si="65"/>
        <v>0.56000000000000005</v>
      </c>
      <c r="AJ155" s="16">
        <f t="shared" si="66"/>
        <v>0.56000000000000005</v>
      </c>
      <c r="AM155" s="16">
        <v>19</v>
      </c>
    </row>
    <row r="156" spans="31:54">
      <c r="AE156" s="16">
        <v>151</v>
      </c>
      <c r="AF156" s="16">
        <f t="shared" si="62"/>
        <v>0.56000000000000005</v>
      </c>
      <c r="AG156" s="16">
        <f t="shared" si="63"/>
        <v>0.56000000000000005</v>
      </c>
      <c r="AH156" s="16">
        <f t="shared" si="64"/>
        <v>0.56000000000000005</v>
      </c>
      <c r="AI156" s="16">
        <f t="shared" si="65"/>
        <v>0.56000000000000005</v>
      </c>
      <c r="AJ156" s="16">
        <f t="shared" si="66"/>
        <v>0.56000000000000005</v>
      </c>
      <c r="AM156" s="16">
        <v>20</v>
      </c>
    </row>
    <row r="157" spans="31:54">
      <c r="AE157" s="16">
        <v>152</v>
      </c>
      <c r="AF157" s="16">
        <f t="shared" si="62"/>
        <v>0.56000000000000005</v>
      </c>
      <c r="AG157" s="16">
        <f t="shared" si="63"/>
        <v>0.56000000000000005</v>
      </c>
      <c r="AH157" s="16">
        <f t="shared" si="64"/>
        <v>0.56000000000000005</v>
      </c>
      <c r="AI157" s="16">
        <f t="shared" si="65"/>
        <v>0.56000000000000005</v>
      </c>
      <c r="AJ157" s="16">
        <f t="shared" si="66"/>
        <v>0.56000000000000005</v>
      </c>
      <c r="AM157" s="16">
        <v>21</v>
      </c>
    </row>
    <row r="158" spans="31:54">
      <c r="AE158" s="16">
        <v>153</v>
      </c>
      <c r="AF158" s="16">
        <f t="shared" si="62"/>
        <v>0.56000000000000005</v>
      </c>
      <c r="AG158" s="16">
        <f t="shared" si="63"/>
        <v>0.56000000000000005</v>
      </c>
      <c r="AH158" s="16">
        <f t="shared" si="64"/>
        <v>0.56000000000000005</v>
      </c>
      <c r="AI158" s="16">
        <f t="shared" si="65"/>
        <v>0.56000000000000005</v>
      </c>
      <c r="AJ158" s="16">
        <f t="shared" si="66"/>
        <v>0.56000000000000005</v>
      </c>
      <c r="AM158" s="16">
        <v>22</v>
      </c>
    </row>
    <row r="159" spans="31:54">
      <c r="AE159" s="16">
        <v>154</v>
      </c>
      <c r="AF159" s="16">
        <f t="shared" si="62"/>
        <v>0.56000000000000005</v>
      </c>
      <c r="AG159" s="16">
        <f t="shared" si="63"/>
        <v>0.56000000000000005</v>
      </c>
      <c r="AH159" s="16">
        <f t="shared" si="64"/>
        <v>0.56000000000000005</v>
      </c>
      <c r="AI159" s="16">
        <f t="shared" si="65"/>
        <v>0.56000000000000005</v>
      </c>
      <c r="AJ159" s="16">
        <f t="shared" si="66"/>
        <v>0.56000000000000005</v>
      </c>
      <c r="AM159" s="16">
        <v>23</v>
      </c>
    </row>
    <row r="160" spans="31:54">
      <c r="AE160" s="16">
        <v>155</v>
      </c>
      <c r="AF160" s="16">
        <f t="shared" si="62"/>
        <v>0.56000000000000005</v>
      </c>
      <c r="AG160" s="16">
        <f t="shared" si="63"/>
        <v>0.56000000000000005</v>
      </c>
      <c r="AH160" s="16">
        <f t="shared" si="64"/>
        <v>0.56000000000000005</v>
      </c>
      <c r="AI160" s="16">
        <f t="shared" si="65"/>
        <v>0.56000000000000005</v>
      </c>
      <c r="AJ160" s="16">
        <f t="shared" si="66"/>
        <v>0.56000000000000005</v>
      </c>
      <c r="AM160" s="16">
        <v>24</v>
      </c>
    </row>
    <row r="161" spans="31:39">
      <c r="AE161" s="16">
        <v>156</v>
      </c>
      <c r="AF161" s="16">
        <f t="shared" si="62"/>
        <v>0.56000000000000005</v>
      </c>
      <c r="AG161" s="16">
        <f t="shared" si="63"/>
        <v>0.56000000000000005</v>
      </c>
      <c r="AH161" s="16">
        <f t="shared" si="64"/>
        <v>0.56000000000000005</v>
      </c>
      <c r="AI161" s="16">
        <f t="shared" si="65"/>
        <v>0.56000000000000005</v>
      </c>
      <c r="AJ161" s="16">
        <f t="shared" si="66"/>
        <v>0.56000000000000005</v>
      </c>
      <c r="AM161" s="16">
        <v>25</v>
      </c>
    </row>
    <row r="162" spans="31:39">
      <c r="AE162" s="16">
        <v>157</v>
      </c>
      <c r="AF162" s="16">
        <f t="shared" si="62"/>
        <v>0.56000000000000005</v>
      </c>
      <c r="AG162" s="16">
        <f t="shared" si="63"/>
        <v>0.56000000000000005</v>
      </c>
      <c r="AH162" s="16">
        <f t="shared" si="64"/>
        <v>0.56000000000000005</v>
      </c>
      <c r="AI162" s="16">
        <f t="shared" si="65"/>
        <v>0.56000000000000005</v>
      </c>
      <c r="AJ162" s="16">
        <f t="shared" si="66"/>
        <v>0.56000000000000005</v>
      </c>
      <c r="AM162" s="16">
        <v>26</v>
      </c>
    </row>
    <row r="163" spans="31:39">
      <c r="AE163" s="16">
        <v>158</v>
      </c>
      <c r="AF163" s="16">
        <f t="shared" si="62"/>
        <v>0.56000000000000005</v>
      </c>
      <c r="AG163" s="16">
        <f t="shared" si="63"/>
        <v>0.56000000000000005</v>
      </c>
      <c r="AH163" s="16">
        <f t="shared" si="64"/>
        <v>0.56000000000000005</v>
      </c>
      <c r="AI163" s="16">
        <f t="shared" si="65"/>
        <v>0.56000000000000005</v>
      </c>
      <c r="AJ163" s="16">
        <f t="shared" si="66"/>
        <v>0.56000000000000005</v>
      </c>
      <c r="AM163" s="16">
        <v>27</v>
      </c>
    </row>
    <row r="164" spans="31:39">
      <c r="AE164" s="16">
        <v>159</v>
      </c>
      <c r="AF164" s="16">
        <f t="shared" si="62"/>
        <v>0.56000000000000005</v>
      </c>
      <c r="AG164" s="16">
        <f t="shared" si="63"/>
        <v>0.56000000000000005</v>
      </c>
      <c r="AH164" s="16">
        <f t="shared" si="64"/>
        <v>0.56000000000000005</v>
      </c>
      <c r="AI164" s="16">
        <f t="shared" si="65"/>
        <v>0.56000000000000005</v>
      </c>
      <c r="AJ164" s="16">
        <f t="shared" si="66"/>
        <v>0.56000000000000005</v>
      </c>
      <c r="AM164" s="16">
        <v>28</v>
      </c>
    </row>
    <row r="165" spans="31:39">
      <c r="AE165" s="16">
        <v>160</v>
      </c>
      <c r="AF165" s="16">
        <f t="shared" si="62"/>
        <v>0.56000000000000005</v>
      </c>
      <c r="AG165" s="16">
        <f t="shared" si="63"/>
        <v>0.56000000000000005</v>
      </c>
      <c r="AH165" s="16">
        <f t="shared" si="64"/>
        <v>0.56000000000000005</v>
      </c>
      <c r="AI165" s="16">
        <f t="shared" si="65"/>
        <v>0.56000000000000005</v>
      </c>
      <c r="AJ165" s="16">
        <f t="shared" si="66"/>
        <v>0.56000000000000005</v>
      </c>
      <c r="AM165" s="16">
        <v>29</v>
      </c>
    </row>
    <row r="166" spans="31:39">
      <c r="AM166" s="16">
        <v>30</v>
      </c>
    </row>
    <row r="167" spans="31:39">
      <c r="AM167" s="16">
        <v>31</v>
      </c>
    </row>
    <row r="168" spans="31:39">
      <c r="AM168" s="16">
        <v>32</v>
      </c>
    </row>
    <row r="169" spans="31:39">
      <c r="AM169" s="16">
        <v>33</v>
      </c>
    </row>
    <row r="170" spans="31:39">
      <c r="AM170" s="16">
        <v>34</v>
      </c>
    </row>
    <row r="171" spans="31:39">
      <c r="AM171" s="16">
        <v>35</v>
      </c>
    </row>
    <row r="172" spans="31:39">
      <c r="AM172" s="16">
        <v>36</v>
      </c>
    </row>
    <row r="173" spans="31:39">
      <c r="AM173" s="16">
        <v>37</v>
      </c>
    </row>
    <row r="174" spans="31:39">
      <c r="AM174" s="16">
        <v>38</v>
      </c>
    </row>
    <row r="175" spans="31:39">
      <c r="AM175" s="16">
        <v>39</v>
      </c>
    </row>
    <row r="176" spans="31:39">
      <c r="AM176" s="16">
        <v>40</v>
      </c>
    </row>
    <row r="177" spans="39:54">
      <c r="AM177" s="16">
        <v>41</v>
      </c>
    </row>
    <row r="178" spans="39:54">
      <c r="AM178" s="16">
        <v>42</v>
      </c>
    </row>
    <row r="179" spans="39:54">
      <c r="AM179" s="16">
        <v>43</v>
      </c>
    </row>
    <row r="180" spans="39:54">
      <c r="AM180" s="16">
        <v>44</v>
      </c>
    </row>
    <row r="181" spans="39:54">
      <c r="AM181" s="16">
        <v>45</v>
      </c>
    </row>
    <row r="182" spans="39:54">
      <c r="AM182" s="16">
        <v>1</v>
      </c>
      <c r="AN182" s="17" t="s">
        <v>78</v>
      </c>
      <c r="AO182" s="70" t="s">
        <v>54</v>
      </c>
      <c r="AP182" s="170" t="s">
        <v>414</v>
      </c>
      <c r="AQ182" s="170"/>
      <c r="AY182" s="17" t="s">
        <v>78</v>
      </c>
      <c r="AZ182" s="17" t="s">
        <v>418</v>
      </c>
    </row>
    <row r="183" spans="39:54">
      <c r="AM183" s="16">
        <v>2</v>
      </c>
      <c r="AN183" s="17" t="s">
        <v>161</v>
      </c>
      <c r="AO183" s="17" t="s">
        <v>412</v>
      </c>
      <c r="AP183" s="17" t="s">
        <v>412</v>
      </c>
      <c r="AQ183" s="17" t="s">
        <v>413</v>
      </c>
      <c r="AY183" s="17" t="s">
        <v>161</v>
      </c>
      <c r="AZ183" s="17" t="s">
        <v>416</v>
      </c>
      <c r="BA183" s="17" t="s">
        <v>192</v>
      </c>
    </row>
    <row r="184" spans="39:54">
      <c r="AM184" s="16">
        <v>3</v>
      </c>
      <c r="AN184" s="17">
        <v>10</v>
      </c>
      <c r="AO184" s="17">
        <f>求节点($AE$6:$AE$165,$AJ$6:$AJ$165,$AN184)</f>
        <v>0</v>
      </c>
      <c r="AP184" s="51">
        <f>AO184*(INDEX([3]超r将兵属性验证!$AC$7:$AC$166,$AN184,1)*[3]战法技能效用!$AH$4+INDEX([3]超r将兵属性验证!$AX$7:$AX$166,$AN184,1)*[3]战法技能效用!$AI$4)</f>
        <v>0</v>
      </c>
      <c r="AQ184" s="17">
        <f t="shared" ref="AQ184:AQ199" si="72">SUM(AP184:AP184)</f>
        <v>0</v>
      </c>
      <c r="AY184" s="17">
        <v>10</v>
      </c>
      <c r="AZ184" s="17">
        <f>求节点($AU$108:$AU$128,AV$108:AV$128,$AY184)</f>
        <v>37929.117157367611</v>
      </c>
      <c r="BA184" s="17">
        <f t="shared" ref="BA184:BA199" si="73">SUM(AZ184:AZ184)</f>
        <v>37929.117157367611</v>
      </c>
      <c r="BB184" s="16">
        <f>AQ184/BA184</f>
        <v>0</v>
      </c>
    </row>
    <row r="185" spans="39:54">
      <c r="AM185" s="16">
        <v>4</v>
      </c>
      <c r="AN185" s="17">
        <v>20</v>
      </c>
      <c r="AO185" s="17">
        <f t="shared" ref="AO185:AO199" si="74">求节点($AE$6:$AE$165,$AJ$6:$AJ$165,$AN185)</f>
        <v>0</v>
      </c>
      <c r="AP185" s="17">
        <f>(AO185-AO184)*(INDEX([3]超r将兵属性验证!$AC$7:$AC$166,$AN185,1)*[3]战法技能效用!$AH$4+INDEX([3]超r将兵属性验证!$AX$7:$AX$166,$AN185,1)*[3]战法技能效用!$AI$4)+AP184</f>
        <v>0</v>
      </c>
      <c r="AQ185" s="17">
        <f t="shared" si="72"/>
        <v>0</v>
      </c>
      <c r="AY185" s="17">
        <v>20</v>
      </c>
      <c r="AZ185" s="17">
        <f t="shared" ref="AZ185:AZ199" si="75">求节点($AU$108:$AU$128,AV$108:AV$128,$AY185)</f>
        <v>75858.234314735222</v>
      </c>
      <c r="BA185" s="17">
        <f t="shared" si="73"/>
        <v>75858.234314735222</v>
      </c>
      <c r="BB185" s="16">
        <f t="shared" ref="BB185:BB199" si="76">AQ185/BA185</f>
        <v>0</v>
      </c>
    </row>
    <row r="186" spans="39:54">
      <c r="AM186" s="16">
        <v>5</v>
      </c>
      <c r="AN186" s="17">
        <v>30</v>
      </c>
      <c r="AO186" s="17">
        <f t="shared" si="74"/>
        <v>0</v>
      </c>
      <c r="AP186" s="17">
        <f>(AO186-AO185)*(INDEX([3]超r将兵属性验证!$AC$7:$AC$166,$AN186,1)*[3]战法技能效用!$AH$4+INDEX([3]超r将兵属性验证!$AX$7:$AX$166,$AN186,1)*[3]战法技能效用!$AI$4)+AP185</f>
        <v>0</v>
      </c>
      <c r="AQ186" s="17">
        <f t="shared" si="72"/>
        <v>0</v>
      </c>
      <c r="AY186" s="17">
        <v>30</v>
      </c>
      <c r="AZ186" s="17">
        <f t="shared" si="75"/>
        <v>113787.35147210283</v>
      </c>
      <c r="BA186" s="17">
        <f t="shared" si="73"/>
        <v>113787.35147210283</v>
      </c>
      <c r="BB186" s="16">
        <f t="shared" si="76"/>
        <v>0</v>
      </c>
    </row>
    <row r="187" spans="39:54">
      <c r="AM187" s="16">
        <v>6</v>
      </c>
      <c r="AN187" s="17">
        <v>40</v>
      </c>
      <c r="AO187" s="17">
        <f t="shared" si="74"/>
        <v>0</v>
      </c>
      <c r="AP187" s="17">
        <f>(AO187-AO186)*(INDEX([3]超r将兵属性验证!$AC$7:$AC$166,$AN187,1)*[3]战法技能效用!$AH$4+INDEX([3]超r将兵属性验证!$AX$7:$AX$166,$AN187,1)*[3]战法技能效用!$AI$4)+AP186</f>
        <v>0</v>
      </c>
      <c r="AQ187" s="17">
        <f t="shared" si="72"/>
        <v>0</v>
      </c>
      <c r="AY187" s="17">
        <v>40</v>
      </c>
      <c r="AZ187" s="17">
        <f t="shared" si="75"/>
        <v>151716.46862947044</v>
      </c>
      <c r="BA187" s="17">
        <f t="shared" si="73"/>
        <v>151716.46862947044</v>
      </c>
      <c r="BB187" s="16">
        <f t="shared" si="76"/>
        <v>0</v>
      </c>
    </row>
    <row r="188" spans="39:54">
      <c r="AM188" s="16">
        <v>7</v>
      </c>
      <c r="AN188" s="17">
        <v>50</v>
      </c>
      <c r="AO188" s="17">
        <f t="shared" si="74"/>
        <v>0</v>
      </c>
      <c r="AP188" s="17">
        <f>(AO188-AO187)*(INDEX([3]超r将兵属性验证!$AC$7:$AC$166,$AN188,1)*[3]战法技能效用!$AH$4+INDEX([3]超r将兵属性验证!$AX$7:$AX$166,$AN188,1)*[3]战法技能效用!$AI$4)+AP187</f>
        <v>0</v>
      </c>
      <c r="AQ188" s="17">
        <f t="shared" si="72"/>
        <v>0</v>
      </c>
      <c r="AY188" s="17">
        <v>50</v>
      </c>
      <c r="AZ188" s="17">
        <f t="shared" si="75"/>
        <v>189645.58578683806</v>
      </c>
      <c r="BA188" s="17">
        <f t="shared" si="73"/>
        <v>189645.58578683806</v>
      </c>
      <c r="BB188" s="16">
        <f t="shared" si="76"/>
        <v>0</v>
      </c>
    </row>
    <row r="189" spans="39:54">
      <c r="AM189" s="16">
        <v>8</v>
      </c>
      <c r="AN189" s="17">
        <v>60</v>
      </c>
      <c r="AO189" s="17">
        <f t="shared" si="74"/>
        <v>0.22553541234424115</v>
      </c>
      <c r="AP189" s="17">
        <f>(AO189-AO188)*(INDEX([3]超r将兵属性验证!$AC$7:$AC$166,$AN189,1)*[3]战法技能效用!$AH$4+INDEX([3]超r将兵属性验证!$AX$7:$AX$166,$AN189,1)*[3]战法技能效用!$AI$4)+AP188</f>
        <v>2112992974.6861079</v>
      </c>
      <c r="AQ189" s="17">
        <f t="shared" si="72"/>
        <v>2112992974.6861079</v>
      </c>
      <c r="AY189" s="17">
        <v>60</v>
      </c>
      <c r="AZ189" s="17">
        <f t="shared" si="75"/>
        <v>339501.32883234549</v>
      </c>
      <c r="BA189" s="17">
        <f t="shared" si="73"/>
        <v>339501.32883234549</v>
      </c>
      <c r="BB189" s="16">
        <f t="shared" si="76"/>
        <v>6223.8135619479663</v>
      </c>
    </row>
    <row r="190" spans="39:54">
      <c r="AM190" s="16">
        <v>9</v>
      </c>
      <c r="AN190" s="17">
        <v>70</v>
      </c>
      <c r="AO190" s="17">
        <f t="shared" si="74"/>
        <v>0.31287799771202662</v>
      </c>
      <c r="AP190" s="17">
        <f>(AO190-AO189)*(INDEX([3]超r将兵属性验证!$AC$7:$AC$166,$AN190,1)*[3]战法技能效用!$AH$4+INDEX([3]超r将兵属性验证!$AX$7:$AX$166,$AN190,1)*[3]战法技能效用!$AI$4)+AP189</f>
        <v>4709803914.3761034</v>
      </c>
      <c r="AQ190" s="17">
        <f t="shared" si="72"/>
        <v>4709803914.3761034</v>
      </c>
      <c r="AY190" s="17">
        <v>70</v>
      </c>
      <c r="AZ190" s="17">
        <f t="shared" si="75"/>
        <v>627428.43633939838</v>
      </c>
      <c r="BA190" s="17">
        <f t="shared" si="73"/>
        <v>627428.43633939838</v>
      </c>
      <c r="BB190" s="16">
        <f t="shared" si="76"/>
        <v>7506.5196946674614</v>
      </c>
    </row>
    <row r="191" spans="39:54">
      <c r="AM191" s="16">
        <v>10</v>
      </c>
      <c r="AN191" s="17">
        <v>80</v>
      </c>
      <c r="AO191" s="17">
        <f t="shared" si="74"/>
        <v>0.42351081797546969</v>
      </c>
      <c r="AP191" s="17">
        <f>(AO191-AO190)*(INDEX([3]超r将兵属性验证!$AC$7:$AC$166,$AN191,1)*[3]战法技能效用!$AH$4+INDEX([3]超r将兵属性验证!$AX$7:$AX$166,$AN191,1)*[3]战法技能效用!$AI$4)+AP190</f>
        <v>14356823784.973621</v>
      </c>
      <c r="AQ191" s="17">
        <f t="shared" si="72"/>
        <v>14356823784.973621</v>
      </c>
      <c r="AY191" s="17">
        <v>80</v>
      </c>
      <c r="AZ191" s="17">
        <f t="shared" si="75"/>
        <v>1223668.5594552399</v>
      </c>
      <c r="BA191" s="17">
        <f t="shared" si="73"/>
        <v>1223668.5594552399</v>
      </c>
      <c r="BB191" s="16">
        <f t="shared" si="76"/>
        <v>11732.608208357562</v>
      </c>
    </row>
    <row r="192" spans="39:54">
      <c r="AM192" s="16">
        <v>11</v>
      </c>
      <c r="AN192" s="17">
        <v>90</v>
      </c>
      <c r="AO192" s="17">
        <f t="shared" si="74"/>
        <v>0.56000000000000005</v>
      </c>
      <c r="AP192" s="17">
        <f>(AO192-AO191)*(INDEX([3]超r将兵属性验证!$AC$7:$AC$166,$AN192,1)*[3]战法技能效用!$AH$4+INDEX([3]超r将兵属性验证!$AX$7:$AX$166,$AN192,1)*[3]战法技能效用!$AI$4)+AP191</f>
        <v>42121576464.039955</v>
      </c>
      <c r="AQ192" s="17">
        <f t="shared" si="72"/>
        <v>42121576464.039955</v>
      </c>
      <c r="AY192" s="17">
        <v>90</v>
      </c>
      <c r="AZ192" s="17">
        <f t="shared" si="75"/>
        <v>2280928.0622581658</v>
      </c>
      <c r="BA192" s="17">
        <f t="shared" si="73"/>
        <v>2280928.0622581658</v>
      </c>
      <c r="BB192" s="16">
        <f t="shared" si="76"/>
        <v>18466.858802350271</v>
      </c>
    </row>
    <row r="193" spans="39:54">
      <c r="AM193" s="16">
        <v>12</v>
      </c>
      <c r="AN193" s="17">
        <v>100</v>
      </c>
      <c r="AO193" s="17">
        <f t="shared" si="74"/>
        <v>0.56000000000000005</v>
      </c>
      <c r="AP193" s="17">
        <f>(AO193-AO192)*(INDEX([3]超r将兵属性验证!$AC$7:$AC$166,$AN193,1)*[3]战法技能效用!$AH$4+INDEX([3]超r将兵属性验证!$AX$7:$AX$166,$AN193,1)*[3]战法技能效用!$AI$4)+AP192</f>
        <v>42121576464.039955</v>
      </c>
      <c r="AQ193" s="17">
        <f t="shared" si="72"/>
        <v>42121576464.039955</v>
      </c>
      <c r="AY193" s="17">
        <v>100</v>
      </c>
      <c r="AZ193" s="17">
        <f t="shared" si="75"/>
        <v>4445074.882443889</v>
      </c>
      <c r="BA193" s="17">
        <f t="shared" si="73"/>
        <v>4445074.882443889</v>
      </c>
      <c r="BB193" s="16">
        <f t="shared" si="76"/>
        <v>9476.010546054431</v>
      </c>
    </row>
    <row r="194" spans="39:54">
      <c r="AM194" s="16">
        <v>13</v>
      </c>
      <c r="AN194" s="17">
        <v>110</v>
      </c>
      <c r="AO194" s="17">
        <f t="shared" si="74"/>
        <v>0.56000000000000005</v>
      </c>
      <c r="AP194" s="17">
        <f>(AO194-AO193)*(INDEX([3]超r将兵属性验证!$AC$7:$AC$166,$AN194,1)*[3]战法技能效用!$AH$4+INDEX([3]超r将兵属性验证!$AX$7:$AX$166,$AN194,1)*[3]战法技能效用!$AI$4)+AP193</f>
        <v>42121576464.039955</v>
      </c>
      <c r="AQ194" s="17">
        <f t="shared" si="72"/>
        <v>42121576464.039955</v>
      </c>
      <c r="AY194" s="17">
        <v>110</v>
      </c>
      <c r="AZ194" s="17">
        <f t="shared" si="75"/>
        <v>8659373.1072727777</v>
      </c>
      <c r="BA194" s="17">
        <f t="shared" si="73"/>
        <v>8659373.1072727777</v>
      </c>
      <c r="BB194" s="16">
        <f t="shared" si="76"/>
        <v>4864.275501498274</v>
      </c>
    </row>
    <row r="195" spans="39:54">
      <c r="AM195" s="16">
        <v>14</v>
      </c>
      <c r="AN195" s="17">
        <v>120</v>
      </c>
      <c r="AO195" s="17">
        <f t="shared" si="74"/>
        <v>0.56000000000000005</v>
      </c>
      <c r="AP195" s="17">
        <f>(AO195-AO194)*(INDEX([3]超r将兵属性验证!$AC$7:$AC$166,$AN195,1)*[3]战法技能效用!$AH$4+INDEX([3]超r将兵属性验证!$AX$7:$AX$166,$AN195,1)*[3]战法技能效用!$AI$4)+AP194</f>
        <v>42121576464.039955</v>
      </c>
      <c r="AQ195" s="17">
        <f t="shared" si="72"/>
        <v>42121576464.039955</v>
      </c>
      <c r="AY195" s="17">
        <v>120</v>
      </c>
      <c r="AZ195" s="17">
        <f t="shared" si="75"/>
        <v>16907425.390583932</v>
      </c>
      <c r="BA195" s="17">
        <f t="shared" si="73"/>
        <v>16907425.390583932</v>
      </c>
      <c r="BB195" s="16">
        <f t="shared" si="76"/>
        <v>2491.3063633862471</v>
      </c>
    </row>
    <row r="196" spans="39:54">
      <c r="AM196" s="16">
        <v>15</v>
      </c>
      <c r="AN196" s="17">
        <v>130</v>
      </c>
      <c r="AO196" s="17">
        <f t="shared" si="74"/>
        <v>0.56000000000000005</v>
      </c>
      <c r="AP196" s="17">
        <f>(AO196-AO195)*(INDEX([3]超r将兵属性验证!$AC$7:$AC$166,$AN196,1)*[3]战法技能效用!$AH$4+INDEX([3]超r将兵属性验证!$AX$7:$AX$166,$AN196,1)*[3]战法技能效用!$AI$4)+AP195</f>
        <v>42121576464.039955</v>
      </c>
      <c r="AQ196" s="17">
        <f t="shared" si="72"/>
        <v>42121576464.039955</v>
      </c>
      <c r="AY196" s="17">
        <v>130</v>
      </c>
      <c r="AZ196" s="17">
        <f t="shared" si="75"/>
        <v>33414197.794896483</v>
      </c>
      <c r="BA196" s="17">
        <f t="shared" si="73"/>
        <v>33414197.794896483</v>
      </c>
      <c r="BB196" s="16">
        <f t="shared" si="76"/>
        <v>1260.5891879431381</v>
      </c>
    </row>
    <row r="197" spans="39:54">
      <c r="AM197" s="16">
        <v>16</v>
      </c>
      <c r="AN197" s="17">
        <v>140</v>
      </c>
      <c r="AO197" s="17">
        <f t="shared" si="74"/>
        <v>0.56000000000000005</v>
      </c>
      <c r="AP197" s="17">
        <f>(AO197-AO196)*(INDEX([3]超r将兵属性验证!$AC$7:$AC$166,$AN197,1)*[3]战法技能效用!$AH$4+INDEX([3]超r将兵属性验证!$AX$7:$AX$166,$AN197,1)*[3]战法技能效用!$AI$4)+AP196</f>
        <v>42121576464.039955</v>
      </c>
      <c r="AQ197" s="17">
        <f t="shared" si="72"/>
        <v>42121576464.039955</v>
      </c>
      <c r="AY197" s="17">
        <v>140</v>
      </c>
      <c r="AZ197" s="17">
        <f t="shared" si="75"/>
        <v>65616683.267624833</v>
      </c>
      <c r="BA197" s="17">
        <f t="shared" si="73"/>
        <v>65616683.267624833</v>
      </c>
      <c r="BB197" s="16">
        <f t="shared" si="76"/>
        <v>641.93394677147103</v>
      </c>
    </row>
    <row r="198" spans="39:54">
      <c r="AM198" s="16">
        <v>17</v>
      </c>
      <c r="AN198" s="17">
        <v>150</v>
      </c>
      <c r="AO198" s="17">
        <f t="shared" si="74"/>
        <v>0.56000000000000005</v>
      </c>
      <c r="AP198" s="17">
        <f>(AO198-AO197)*(INDEX([3]超r将兵属性验证!$AC$7:$AC$166,$AN198,1)*[3]战法技能效用!$AH$4+INDEX([3]超r将兵属性验证!$AX$7:$AX$166,$AN198,1)*[3]战法技能效用!$AI$4)+AP197</f>
        <v>42121576464.039955</v>
      </c>
      <c r="AQ198" s="17">
        <f t="shared" si="72"/>
        <v>42121576464.039955</v>
      </c>
      <c r="AY198" s="17">
        <v>150</v>
      </c>
      <c r="AZ198" s="17">
        <f t="shared" si="75"/>
        <v>130312280.56422526</v>
      </c>
      <c r="BA198" s="17">
        <f t="shared" si="73"/>
        <v>130312280.56422526</v>
      </c>
      <c r="BB198" s="16">
        <f t="shared" si="76"/>
        <v>323.23566345138181</v>
      </c>
    </row>
    <row r="199" spans="39:54">
      <c r="AM199" s="16">
        <v>18</v>
      </c>
      <c r="AN199" s="17">
        <v>160</v>
      </c>
      <c r="AO199" s="17">
        <f t="shared" si="74"/>
        <v>0.56000000000000005</v>
      </c>
      <c r="AP199" s="17">
        <f>(AO199-AO198)*(INDEX([3]超r将兵属性验证!$AC$7:$AC$166,$AN199,1)*[3]战法技能效用!$AH$4+INDEX([3]超r将兵属性验证!$AX$7:$AX$166,$AN199,1)*[3]战法技能效用!$AI$4)+AP198</f>
        <v>42121576464.039955</v>
      </c>
      <c r="AQ199" s="17">
        <f t="shared" si="72"/>
        <v>42121576464.039955</v>
      </c>
      <c r="AY199" s="17">
        <v>160</v>
      </c>
      <c r="AZ199" s="17">
        <f t="shared" si="75"/>
        <v>1026063190.3819916</v>
      </c>
      <c r="BA199" s="17">
        <f t="shared" si="73"/>
        <v>1026063190.3819916</v>
      </c>
      <c r="BB199" s="16">
        <f t="shared" si="76"/>
        <v>41.051639761444491</v>
      </c>
    </row>
    <row r="200" spans="39:54">
      <c r="AM200" s="16">
        <v>19</v>
      </c>
    </row>
    <row r="201" spans="39:54">
      <c r="AM201" s="16">
        <v>20</v>
      </c>
    </row>
    <row r="202" spans="39:54">
      <c r="AM202" s="16">
        <v>21</v>
      </c>
    </row>
    <row r="203" spans="39:54">
      <c r="AM203" s="16">
        <v>22</v>
      </c>
    </row>
    <row r="204" spans="39:54">
      <c r="AM204" s="16">
        <v>23</v>
      </c>
    </row>
    <row r="205" spans="39:54">
      <c r="AM205" s="16">
        <v>24</v>
      </c>
    </row>
    <row r="206" spans="39:54">
      <c r="AM206" s="16">
        <v>25</v>
      </c>
    </row>
    <row r="207" spans="39:54">
      <c r="AM207" s="16">
        <v>26</v>
      </c>
    </row>
    <row r="208" spans="39:54">
      <c r="AM208" s="16">
        <v>27</v>
      </c>
    </row>
    <row r="209" spans="39:39">
      <c r="AM209" s="16">
        <v>28</v>
      </c>
    </row>
    <row r="210" spans="39:39">
      <c r="AM210" s="16">
        <v>29</v>
      </c>
    </row>
    <row r="211" spans="39:39">
      <c r="AM211" s="16">
        <v>30</v>
      </c>
    </row>
    <row r="212" spans="39:39">
      <c r="AM212" s="16">
        <v>31</v>
      </c>
    </row>
    <row r="213" spans="39:39">
      <c r="AM213" s="16">
        <v>32</v>
      </c>
    </row>
    <row r="214" spans="39:39">
      <c r="AM214" s="16">
        <v>33</v>
      </c>
    </row>
    <row r="215" spans="39:39">
      <c r="AM215" s="16">
        <v>34</v>
      </c>
    </row>
    <row r="216" spans="39:39">
      <c r="AM216" s="16">
        <v>35</v>
      </c>
    </row>
    <row r="217" spans="39:39">
      <c r="AM217" s="16">
        <v>36</v>
      </c>
    </row>
    <row r="218" spans="39:39">
      <c r="AM218" s="16">
        <v>37</v>
      </c>
    </row>
    <row r="219" spans="39:39">
      <c r="AM219" s="16">
        <v>38</v>
      </c>
    </row>
    <row r="220" spans="39:39">
      <c r="AM220" s="16">
        <v>39</v>
      </c>
    </row>
    <row r="221" spans="39:39">
      <c r="AM221" s="16">
        <v>40</v>
      </c>
    </row>
    <row r="222" spans="39:39">
      <c r="AM222" s="16">
        <v>41</v>
      </c>
    </row>
    <row r="223" spans="39:39">
      <c r="AM223" s="16">
        <v>42</v>
      </c>
    </row>
    <row r="224" spans="39:39">
      <c r="AM224" s="16">
        <v>43</v>
      </c>
    </row>
    <row r="225" spans="39:39">
      <c r="AM225" s="16">
        <v>44</v>
      </c>
    </row>
    <row r="226" spans="39:39">
      <c r="AM226" s="16">
        <v>45</v>
      </c>
    </row>
  </sheetData>
  <mergeCells count="40">
    <mergeCell ref="N108:Q108"/>
    <mergeCell ref="W4:AA4"/>
    <mergeCell ref="W30:AA30"/>
    <mergeCell ref="W56:AA56"/>
    <mergeCell ref="W82:AA82"/>
    <mergeCell ref="W108:AA108"/>
    <mergeCell ref="R82:V82"/>
    <mergeCell ref="R108:V108"/>
    <mergeCell ref="B66:B75"/>
    <mergeCell ref="B30:B39"/>
    <mergeCell ref="B91:B100"/>
    <mergeCell ref="N4:Q4"/>
    <mergeCell ref="N30:Q30"/>
    <mergeCell ref="N56:Q56"/>
    <mergeCell ref="N82:Q82"/>
    <mergeCell ref="B78:B87"/>
    <mergeCell ref="B88:C88"/>
    <mergeCell ref="AF4:AJ4"/>
    <mergeCell ref="B4:B13"/>
    <mergeCell ref="B14:C14"/>
    <mergeCell ref="B54:B63"/>
    <mergeCell ref="B42:B51"/>
    <mergeCell ref="B17:B26"/>
    <mergeCell ref="B27:C27"/>
    <mergeCell ref="R4:V4"/>
    <mergeCell ref="R30:V30"/>
    <mergeCell ref="R56:V56"/>
    <mergeCell ref="BG3:BK3"/>
    <mergeCell ref="BL3:BP3"/>
    <mergeCell ref="AP182:AQ182"/>
    <mergeCell ref="AZ2:BA2"/>
    <mergeCell ref="AV2:AV3"/>
    <mergeCell ref="AV28:AV29"/>
    <mergeCell ref="AV54:AV55"/>
    <mergeCell ref="AV80:AV81"/>
    <mergeCell ref="AV106:AV107"/>
    <mergeCell ref="AP2:AQ2"/>
    <mergeCell ref="AP47:AQ47"/>
    <mergeCell ref="AP92:AQ92"/>
    <mergeCell ref="AP137:AQ137"/>
  </mergeCells>
  <phoneticPr fontId="1" type="noConversion"/>
  <pageMargins left="0.7" right="0.7" top="0.75" bottom="0.75" header="0.3" footer="0.3"/>
  <pageSetup paperSize="9" orientation="portrait" horizontalDpi="360" verticalDpi="36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851B6-8AE1-4568-AF6D-8F03B3574F0D}">
  <dimension ref="B2:AS226"/>
  <sheetViews>
    <sheetView workbookViewId="0">
      <selection activeCell="A4" sqref="A4"/>
    </sheetView>
  </sheetViews>
  <sheetFormatPr defaultColWidth="6.625" defaultRowHeight="11.25"/>
  <cols>
    <col min="1" max="9" width="6.625" style="16"/>
    <col min="10" max="10" width="6.625" style="13"/>
    <col min="11" max="11" width="6.625" style="16"/>
    <col min="12" max="18" width="6.75" style="16" customWidth="1"/>
    <col min="19" max="19" width="6.625" style="16"/>
    <col min="20" max="20" width="6.625" style="13"/>
    <col min="21" max="21" width="6.625" style="16"/>
    <col min="22" max="27" width="6.75" style="16" customWidth="1"/>
    <col min="28" max="28" width="6.625" style="16"/>
    <col min="29" max="29" width="6.625" style="13"/>
    <col min="30" max="30" width="6.625" style="16"/>
    <col min="31" max="32" width="6.75" style="16" customWidth="1"/>
    <col min="33" max="33" width="10.375" style="16" customWidth="1"/>
    <col min="34" max="34" width="9.75" style="16" customWidth="1"/>
    <col min="35" max="35" width="6.625" style="16"/>
    <col min="36" max="36" width="6.625" style="13"/>
    <col min="37" max="37" width="6.625" style="16"/>
    <col min="38" max="38" width="6.75" style="16" customWidth="1"/>
    <col min="39" max="39" width="9" style="16" customWidth="1"/>
    <col min="40" max="41" width="6.625" style="16"/>
    <col min="42" max="44" width="6.75" style="16" customWidth="1"/>
    <col min="45" max="16384" width="6.625" style="16"/>
  </cols>
  <sheetData>
    <row r="2" spans="2:45">
      <c r="AD2" s="16">
        <v>1</v>
      </c>
      <c r="AE2" s="17" t="s">
        <v>74</v>
      </c>
      <c r="AF2" s="70" t="s">
        <v>54</v>
      </c>
      <c r="AG2" s="170" t="s">
        <v>414</v>
      </c>
      <c r="AH2" s="170"/>
      <c r="AL2" s="16" t="s">
        <v>254</v>
      </c>
      <c r="AM2" s="174" t="s">
        <v>419</v>
      </c>
      <c r="AP2" s="17" t="s">
        <v>74</v>
      </c>
      <c r="AQ2" s="170" t="s">
        <v>415</v>
      </c>
      <c r="AR2" s="170"/>
    </row>
    <row r="3" spans="2:45">
      <c r="AD3" s="16">
        <v>2</v>
      </c>
      <c r="AE3" s="17" t="s">
        <v>161</v>
      </c>
      <c r="AF3" s="17" t="s">
        <v>412</v>
      </c>
      <c r="AG3" s="17" t="s">
        <v>412</v>
      </c>
      <c r="AH3" s="17" t="s">
        <v>413</v>
      </c>
      <c r="AL3" s="16" t="s">
        <v>161</v>
      </c>
      <c r="AM3" s="174"/>
      <c r="AP3" s="17" t="s">
        <v>161</v>
      </c>
      <c r="AQ3" s="17" t="s">
        <v>416</v>
      </c>
      <c r="AR3" s="17" t="s">
        <v>192</v>
      </c>
    </row>
    <row r="4" spans="2:45">
      <c r="B4" s="175" t="s">
        <v>222</v>
      </c>
      <c r="C4" s="17" t="s">
        <v>223</v>
      </c>
      <c r="D4" s="17" t="s">
        <v>1</v>
      </c>
      <c r="E4" s="17" t="s">
        <v>2</v>
      </c>
      <c r="F4" s="17" t="s">
        <v>0</v>
      </c>
      <c r="G4" s="17" t="s">
        <v>205</v>
      </c>
      <c r="H4" s="17" t="s">
        <v>29</v>
      </c>
      <c r="L4" s="16">
        <v>1</v>
      </c>
      <c r="M4" s="69" t="s">
        <v>74</v>
      </c>
      <c r="N4" s="170" t="s">
        <v>252</v>
      </c>
      <c r="O4" s="170"/>
      <c r="P4" s="170"/>
      <c r="Q4" s="170"/>
      <c r="R4" s="170"/>
      <c r="W4" s="164" t="s">
        <v>259</v>
      </c>
      <c r="X4" s="164"/>
      <c r="Y4" s="164"/>
      <c r="Z4" s="164"/>
      <c r="AA4" s="164"/>
      <c r="AD4" s="16">
        <v>3</v>
      </c>
      <c r="AE4" s="17">
        <v>10</v>
      </c>
      <c r="AF4" s="17">
        <f>求节点($V$6:$V$165,$W$6:$W$165,$AE4)</f>
        <v>0</v>
      </c>
      <c r="AG4" s="51">
        <f>AF4*(INDEX([3]非r将兵属性验证!$AC$7:$AC$166,$AE4,1)*[3]战法技能效用!$AH$4+INDEX([3]非r将兵属性验证!$AX$7:$AX$166,$AE4,1)*[3]战法技能效用!$AI$4)</f>
        <v>0</v>
      </c>
      <c r="AH4" s="17">
        <f t="shared" ref="AH4:AH19" si="0">SUM(AG4:AG4)</f>
        <v>0</v>
      </c>
      <c r="AK4" s="16">
        <v>50</v>
      </c>
      <c r="AL4" s="16">
        <v>50</v>
      </c>
      <c r="AM4" s="16">
        <f>投放验证!$Q17*2</f>
        <v>80985.633642268862</v>
      </c>
      <c r="AP4" s="17">
        <v>10</v>
      </c>
      <c r="AQ4" s="17">
        <f>求节点($AL$4:$AL$24,AM$4:AM$24,AP4)</f>
        <v>16197.126728453775</v>
      </c>
      <c r="AR4" s="17">
        <f t="shared" ref="AR4:AR19" si="1">SUM(AQ4:AQ4)</f>
        <v>16197.126728453775</v>
      </c>
      <c r="AS4" s="16">
        <f>AH4/AR4</f>
        <v>0</v>
      </c>
    </row>
    <row r="5" spans="2:45">
      <c r="B5" s="176"/>
      <c r="C5" s="17">
        <v>0</v>
      </c>
      <c r="D5" s="17"/>
      <c r="E5" s="17"/>
      <c r="F5" s="17"/>
      <c r="G5" s="17">
        <v>0</v>
      </c>
      <c r="H5" s="17">
        <v>0</v>
      </c>
      <c r="L5" s="16">
        <v>2</v>
      </c>
      <c r="M5" s="17" t="s">
        <v>161</v>
      </c>
      <c r="N5" s="17" t="s">
        <v>1</v>
      </c>
      <c r="O5" s="17" t="s">
        <v>2</v>
      </c>
      <c r="P5" s="17" t="s">
        <v>0</v>
      </c>
      <c r="Q5" s="17" t="s">
        <v>205</v>
      </c>
      <c r="R5" s="71" t="s">
        <v>373</v>
      </c>
      <c r="V5" s="16" t="s">
        <v>161</v>
      </c>
      <c r="W5" s="16" t="s">
        <v>254</v>
      </c>
      <c r="X5" s="16" t="s">
        <v>255</v>
      </c>
      <c r="Y5" s="16" t="s">
        <v>256</v>
      </c>
      <c r="Z5" s="16" t="s">
        <v>257</v>
      </c>
      <c r="AA5" s="16" t="s">
        <v>258</v>
      </c>
      <c r="AD5" s="16">
        <v>4</v>
      </c>
      <c r="AE5" s="17">
        <v>20</v>
      </c>
      <c r="AF5" s="17">
        <f t="shared" ref="AF5:AF19" si="2">求节点($V$6:$V$165,$W$6:$W$165,$AE5)</f>
        <v>0</v>
      </c>
      <c r="AG5" s="17">
        <f>(AF5-AF4)*(INDEX([3]非r将兵属性验证!$AC$7:$AC$166,$AE5,1)*[3]战法技能效用!$AH$4+INDEX([3]非r将兵属性验证!$AX$7:$AX$166,$AE5,1)*[3]战法技能效用!$AI$4)+AG4</f>
        <v>0</v>
      </c>
      <c r="AH5" s="17">
        <f t="shared" si="0"/>
        <v>0</v>
      </c>
      <c r="AK5" s="16">
        <v>60</v>
      </c>
      <c r="AL5" s="16">
        <v>60</v>
      </c>
      <c r="AM5" s="16">
        <f>投放验证!$Q18*2</f>
        <v>156856.7779890052</v>
      </c>
      <c r="AP5" s="17">
        <v>20</v>
      </c>
      <c r="AQ5" s="17">
        <f t="shared" ref="AQ5:AQ19" si="3">求节点($AL$4:$AL$24,AM$4:AM$24,AP5)</f>
        <v>32394.253456907543</v>
      </c>
      <c r="AR5" s="17">
        <f t="shared" si="1"/>
        <v>32394.253456907543</v>
      </c>
      <c r="AS5" s="16">
        <f t="shared" ref="AS5:AS19" si="4">AH5/AR5</f>
        <v>0</v>
      </c>
    </row>
    <row r="6" spans="2:45">
      <c r="B6" s="176"/>
      <c r="C6" s="17">
        <v>1</v>
      </c>
      <c r="D6" s="17"/>
      <c r="E6" s="17"/>
      <c r="F6" s="17"/>
      <c r="G6" s="17">
        <v>2</v>
      </c>
      <c r="H6" s="17">
        <v>2</v>
      </c>
      <c r="L6" s="16">
        <v>3</v>
      </c>
      <c r="M6" s="17">
        <f>基础状态预期!$C17</f>
        <v>50</v>
      </c>
      <c r="N6" s="17">
        <f>求节点($C$17:$C$22,D$17:D$22,基础状态预期!M17)</f>
        <v>0</v>
      </c>
      <c r="O6" s="17">
        <f>求节点($C$17:$C$22,E$17:E$22,基础状态预期!N17)</f>
        <v>0</v>
      </c>
      <c r="P6" s="17">
        <f>求节点($C$17:$C$22,F$17:F$22,基础状态预期!O17)</f>
        <v>0</v>
      </c>
      <c r="Q6" s="17">
        <f>求节点($C$17:$C$22,G$17:G$22,基础状态预期!P17)</f>
        <v>0.03</v>
      </c>
      <c r="R6" s="51">
        <f>SUMPRODUCT(N6:Q6,基础状态预期!I17:L17)/6</f>
        <v>0</v>
      </c>
      <c r="V6" s="16">
        <v>1</v>
      </c>
      <c r="W6" s="16">
        <f t="shared" ref="W6:W37" si="5">求节点($M$6:$M$26,$R$6:$R$26,$V6)</f>
        <v>0</v>
      </c>
      <c r="X6" s="16">
        <f t="shared" ref="X6:X37" si="6">求节点($M$32:$M$52,$R$32:$R$52,$V6)</f>
        <v>0</v>
      </c>
      <c r="Y6" s="16">
        <f t="shared" ref="Y6:Y37" si="7">求节点($M$58:$M$78,$R$58:$R$78,$V6)</f>
        <v>0</v>
      </c>
      <c r="Z6" s="16">
        <f t="shared" ref="Z6:Z37" si="8">求节点($M$84:$M$104,$R$84:$R$104,$V6)</f>
        <v>0</v>
      </c>
      <c r="AA6" s="16">
        <f t="shared" ref="AA6:AA37" si="9">求节点($M$110:$M$130,$R$110:$R$130,$V6)</f>
        <v>0</v>
      </c>
      <c r="AD6" s="16">
        <v>5</v>
      </c>
      <c r="AE6" s="17">
        <v>30</v>
      </c>
      <c r="AF6" s="17">
        <f t="shared" si="2"/>
        <v>0</v>
      </c>
      <c r="AG6" s="17">
        <f>(AF6-AF5)*(INDEX([3]非r将兵属性验证!$AC$7:$AC$166,$AE6,1)*[3]战法技能效用!$AH$4+INDEX([3]非r将兵属性验证!$AX$7:$AX$166,$AE6,1)*[3]战法技能效用!$AI$4)+AG5</f>
        <v>0</v>
      </c>
      <c r="AH6" s="17">
        <f t="shared" si="0"/>
        <v>0</v>
      </c>
      <c r="AK6" s="16">
        <v>70</v>
      </c>
      <c r="AL6" s="16">
        <v>70</v>
      </c>
      <c r="AM6" s="16">
        <f>投放验证!$Q19*2</f>
        <v>285006.75123151275</v>
      </c>
      <c r="AP6" s="17">
        <v>30</v>
      </c>
      <c r="AQ6" s="17">
        <f t="shared" si="3"/>
        <v>48591.380185361319</v>
      </c>
      <c r="AR6" s="17">
        <f t="shared" si="1"/>
        <v>48591.380185361319</v>
      </c>
      <c r="AS6" s="16">
        <f t="shared" si="4"/>
        <v>0</v>
      </c>
    </row>
    <row r="7" spans="2:45">
      <c r="B7" s="176"/>
      <c r="C7" s="17">
        <v>2</v>
      </c>
      <c r="D7" s="17"/>
      <c r="E7" s="17"/>
      <c r="F7" s="17"/>
      <c r="G7" s="17">
        <v>2</v>
      </c>
      <c r="H7" s="17">
        <v>2</v>
      </c>
      <c r="L7" s="16">
        <v>4</v>
      </c>
      <c r="M7" s="17">
        <f>基础状态预期!$C18</f>
        <v>60</v>
      </c>
      <c r="N7" s="17">
        <f>求节点($C$17:$C$22,D$17:D$22,基础状态预期!M18)</f>
        <v>0</v>
      </c>
      <c r="O7" s="17">
        <f>求节点($C$17:$C$22,E$17:E$22,基础状态预期!N18)</f>
        <v>0</v>
      </c>
      <c r="P7" s="17">
        <f>求节点($C$17:$C$22,F$17:F$22,基础状态预期!O18)</f>
        <v>0</v>
      </c>
      <c r="Q7" s="17">
        <f>求节点($C$17:$C$22,G$17:G$22,基础状态预期!P18)</f>
        <v>0.03</v>
      </c>
      <c r="R7" s="17">
        <f>MAX(SUMPRODUCT(N7:Q7,基础状态预期!I18:L18)/6,R6)</f>
        <v>8.9123169311934782E-3</v>
      </c>
      <c r="V7" s="16">
        <v>2</v>
      </c>
      <c r="W7" s="16">
        <f t="shared" si="5"/>
        <v>0</v>
      </c>
      <c r="X7" s="16">
        <f t="shared" si="6"/>
        <v>0</v>
      </c>
      <c r="Y7" s="16">
        <f t="shared" si="7"/>
        <v>0</v>
      </c>
      <c r="Z7" s="16">
        <f t="shared" si="8"/>
        <v>0</v>
      </c>
      <c r="AA7" s="16">
        <f t="shared" si="9"/>
        <v>0</v>
      </c>
      <c r="AD7" s="16">
        <v>6</v>
      </c>
      <c r="AE7" s="17">
        <v>40</v>
      </c>
      <c r="AF7" s="17">
        <f t="shared" si="2"/>
        <v>0</v>
      </c>
      <c r="AG7" s="17">
        <f>(AF7-AF6)*(INDEX([3]非r将兵属性验证!$AC$7:$AC$166,$AE7,1)*[3]战法技能效用!$AH$4+INDEX([3]非r将兵属性验证!$AX$7:$AX$166,$AE7,1)*[3]战法技能效用!$AI$4)+AG6</f>
        <v>0</v>
      </c>
      <c r="AH7" s="17">
        <f t="shared" si="0"/>
        <v>0</v>
      </c>
      <c r="AK7" s="16">
        <v>75</v>
      </c>
      <c r="AL7" s="16">
        <v>75</v>
      </c>
      <c r="AM7" s="16">
        <f>投放验证!$Q20*2</f>
        <v>376904.00691004749</v>
      </c>
      <c r="AP7" s="17">
        <v>40</v>
      </c>
      <c r="AQ7" s="17">
        <f t="shared" si="3"/>
        <v>64788.506913815087</v>
      </c>
      <c r="AR7" s="17">
        <f t="shared" si="1"/>
        <v>64788.506913815087</v>
      </c>
      <c r="AS7" s="16">
        <f t="shared" si="4"/>
        <v>0</v>
      </c>
    </row>
    <row r="8" spans="2:45">
      <c r="B8" s="176"/>
      <c r="C8" s="17">
        <v>3</v>
      </c>
      <c r="D8" s="17"/>
      <c r="E8" s="17"/>
      <c r="F8" s="17"/>
      <c r="G8" s="17">
        <v>2</v>
      </c>
      <c r="H8" s="17">
        <v>2</v>
      </c>
      <c r="L8" s="16">
        <v>5</v>
      </c>
      <c r="M8" s="17">
        <f>基础状态预期!$C19</f>
        <v>70</v>
      </c>
      <c r="N8" s="17">
        <f>求节点($C$17:$C$22,D$17:D$22,基础状态预期!M19)</f>
        <v>0</v>
      </c>
      <c r="O8" s="17">
        <f>求节点($C$17:$C$22,E$17:E$22,基础状态预期!N19)</f>
        <v>0</v>
      </c>
      <c r="P8" s="17">
        <f>求节点($C$17:$C$22,F$17:F$22,基础状态预期!O19)</f>
        <v>0</v>
      </c>
      <c r="Q8" s="17">
        <f>求节点($C$17:$C$22,G$17:G$22,基础状态预期!P19)</f>
        <v>0.03</v>
      </c>
      <c r="R8" s="17">
        <f>MAX(SUMPRODUCT(N8:Q8,基础状态预期!I19:L19)/6,R7)</f>
        <v>1.6193565410881409E-2</v>
      </c>
      <c r="V8" s="16">
        <v>3</v>
      </c>
      <c r="W8" s="16">
        <f t="shared" si="5"/>
        <v>0</v>
      </c>
      <c r="X8" s="16">
        <f t="shared" si="6"/>
        <v>0</v>
      </c>
      <c r="Y8" s="16">
        <f t="shared" si="7"/>
        <v>0</v>
      </c>
      <c r="Z8" s="16">
        <f t="shared" si="8"/>
        <v>0</v>
      </c>
      <c r="AA8" s="16">
        <f t="shared" si="9"/>
        <v>0</v>
      </c>
      <c r="AD8" s="16">
        <v>7</v>
      </c>
      <c r="AE8" s="17">
        <v>50</v>
      </c>
      <c r="AF8" s="17">
        <f t="shared" si="2"/>
        <v>0</v>
      </c>
      <c r="AG8" s="17">
        <f>(AF8-AF7)*(INDEX([3]非r将兵属性验证!$AC$7:$AC$166,$AE8,1)*[3]战法技能效用!$AH$4+INDEX([3]非r将兵属性验证!$AX$7:$AX$166,$AE8,1)*[3]战法技能效用!$AI$4)+AG7</f>
        <v>0</v>
      </c>
      <c r="AH8" s="17">
        <f t="shared" si="0"/>
        <v>0</v>
      </c>
      <c r="AK8" s="16">
        <v>80</v>
      </c>
      <c r="AL8" s="16">
        <v>80</v>
      </c>
      <c r="AM8" s="16">
        <f>投放验证!$Q21*2</f>
        <v>493511.37801622972</v>
      </c>
      <c r="AP8" s="17">
        <v>50</v>
      </c>
      <c r="AQ8" s="17">
        <f t="shared" si="3"/>
        <v>80985.633642268862</v>
      </c>
      <c r="AR8" s="17">
        <f t="shared" si="1"/>
        <v>80985.633642268862</v>
      </c>
      <c r="AS8" s="16">
        <f t="shared" si="4"/>
        <v>0</v>
      </c>
    </row>
    <row r="9" spans="2:45">
      <c r="B9" s="176"/>
      <c r="C9" s="17">
        <v>4</v>
      </c>
      <c r="D9" s="17"/>
      <c r="E9" s="17"/>
      <c r="F9" s="17"/>
      <c r="G9" s="17">
        <v>2</v>
      </c>
      <c r="H9" s="17">
        <v>2</v>
      </c>
      <c r="L9" s="16">
        <v>6</v>
      </c>
      <c r="M9" s="17">
        <f>基础状态预期!$C20</f>
        <v>75</v>
      </c>
      <c r="N9" s="17">
        <f>求节点($C$17:$C$22,D$17:D$22,基础状态预期!M20)</f>
        <v>0</v>
      </c>
      <c r="O9" s="17">
        <f>求节点($C$17:$C$22,E$17:E$22,基础状态预期!N20)</f>
        <v>0</v>
      </c>
      <c r="P9" s="17">
        <f>求节点($C$17:$C$22,F$17:F$22,基础状态预期!O20)</f>
        <v>0</v>
      </c>
      <c r="Q9" s="17">
        <f>求节点($C$17:$C$22,G$17:G$22,基础状态预期!P20)</f>
        <v>0.03</v>
      </c>
      <c r="R9" s="17">
        <f>MAX(SUMPRODUCT(N9:Q9,基础状态预期!I20:L20)/6,R8)</f>
        <v>2.1415000392616335E-2</v>
      </c>
      <c r="V9" s="16">
        <v>4</v>
      </c>
      <c r="W9" s="16">
        <f t="shared" si="5"/>
        <v>0</v>
      </c>
      <c r="X9" s="16">
        <f t="shared" si="6"/>
        <v>0</v>
      </c>
      <c r="Y9" s="16">
        <f t="shared" si="7"/>
        <v>0</v>
      </c>
      <c r="Z9" s="16">
        <f t="shared" si="8"/>
        <v>0</v>
      </c>
      <c r="AA9" s="16">
        <f t="shared" si="9"/>
        <v>0</v>
      </c>
      <c r="AD9" s="16">
        <v>8</v>
      </c>
      <c r="AE9" s="17">
        <v>60</v>
      </c>
      <c r="AF9" s="17">
        <f t="shared" si="2"/>
        <v>8.9123169311934782E-3</v>
      </c>
      <c r="AG9" s="17">
        <f>(AF9-AF8)*(INDEX([3]非r将兵属性验证!$AC$7:$AC$166,$AE9,1)*[3]战法技能效用!$AH$4+INDEX([3]非r将兵属性验证!$AX$7:$AX$166,$AE9,1)*[3]战法技能效用!$AI$4)+AG8</f>
        <v>31414617.242309909</v>
      </c>
      <c r="AH9" s="17">
        <f t="shared" si="0"/>
        <v>31414617.242309909</v>
      </c>
      <c r="AK9" s="16">
        <v>85</v>
      </c>
      <c r="AL9" s="16">
        <v>85</v>
      </c>
      <c r="AM9" s="16">
        <f>投放验证!$Q22*2</f>
        <v>658272.48460293224</v>
      </c>
      <c r="AP9" s="17">
        <v>60</v>
      </c>
      <c r="AQ9" s="17">
        <f t="shared" si="3"/>
        <v>156856.7779890052</v>
      </c>
      <c r="AR9" s="17">
        <f t="shared" si="1"/>
        <v>156856.7779890052</v>
      </c>
      <c r="AS9" s="16">
        <f t="shared" si="4"/>
        <v>200.27580347539651</v>
      </c>
    </row>
    <row r="10" spans="2:45">
      <c r="B10" s="176"/>
      <c r="C10" s="17">
        <v>5</v>
      </c>
      <c r="D10" s="17"/>
      <c r="E10" s="17"/>
      <c r="F10" s="17"/>
      <c r="G10" s="17">
        <v>2</v>
      </c>
      <c r="H10" s="17">
        <v>2</v>
      </c>
      <c r="L10" s="16">
        <v>7</v>
      </c>
      <c r="M10" s="17">
        <f>基础状态预期!$C21</f>
        <v>80</v>
      </c>
      <c r="N10" s="17">
        <f>求节点($C$17:$C$22,D$17:D$22,基础状态预期!M21)</f>
        <v>0</v>
      </c>
      <c r="O10" s="17">
        <f>求节点($C$17:$C$22,E$17:E$22,基础状态预期!N21)</f>
        <v>0</v>
      </c>
      <c r="P10" s="17">
        <f>求节点($C$17:$C$22,F$17:F$22,基础状态预期!O21)</f>
        <v>0</v>
      </c>
      <c r="Q10" s="17">
        <f>求节点($C$17:$C$22,G$17:G$22,基础状态预期!P21)</f>
        <v>0.03</v>
      </c>
      <c r="R10" s="17">
        <f>MAX(SUMPRODUCT(N10:Q10,基础状态预期!I21:L21)/6,R9)</f>
        <v>2.8040419205467598E-2</v>
      </c>
      <c r="V10" s="16">
        <v>5</v>
      </c>
      <c r="W10" s="16">
        <f t="shared" si="5"/>
        <v>0</v>
      </c>
      <c r="X10" s="16">
        <f t="shared" si="6"/>
        <v>0</v>
      </c>
      <c r="Y10" s="16">
        <f t="shared" si="7"/>
        <v>0</v>
      </c>
      <c r="Z10" s="16">
        <f t="shared" si="8"/>
        <v>0</v>
      </c>
      <c r="AA10" s="16">
        <f t="shared" si="9"/>
        <v>0</v>
      </c>
      <c r="AD10" s="16">
        <v>9</v>
      </c>
      <c r="AE10" s="17">
        <v>70</v>
      </c>
      <c r="AF10" s="17">
        <f t="shared" si="2"/>
        <v>1.6193565410881409E-2</v>
      </c>
      <c r="AG10" s="17">
        <f>(AF10-AF9)*(INDEX([3]非r将兵属性验证!$AC$7:$AC$166,$AE10,1)*[3]战法技能效用!$AH$4+INDEX([3]非r将兵属性验证!$AX$7:$AX$166,$AE10,1)*[3]战法技能效用!$AI$4)+AG9</f>
        <v>124199919.97898638</v>
      </c>
      <c r="AH10" s="17">
        <f t="shared" si="0"/>
        <v>124199919.97898638</v>
      </c>
      <c r="AK10" s="16">
        <v>90</v>
      </c>
      <c r="AL10" s="16">
        <v>90</v>
      </c>
      <c r="AM10" s="16">
        <f>投放验证!$Q23*2</f>
        <v>870318.66129277879</v>
      </c>
      <c r="AP10" s="17">
        <v>70</v>
      </c>
      <c r="AQ10" s="17">
        <f t="shared" si="3"/>
        <v>285006.75123151275</v>
      </c>
      <c r="AR10" s="17">
        <f t="shared" si="1"/>
        <v>285006.75123151275</v>
      </c>
      <c r="AS10" s="16">
        <f t="shared" si="4"/>
        <v>435.77886994718244</v>
      </c>
    </row>
    <row r="11" spans="2:45">
      <c r="B11" s="176"/>
      <c r="C11" s="17"/>
      <c r="D11" s="17"/>
      <c r="E11" s="17"/>
      <c r="F11" s="17"/>
      <c r="G11" s="17"/>
      <c r="H11" s="17"/>
      <c r="L11" s="16">
        <v>8</v>
      </c>
      <c r="M11" s="17">
        <f>基础状态预期!$C22</f>
        <v>85</v>
      </c>
      <c r="N11" s="17">
        <f>求节点($C$17:$C$22,D$17:D$22,基础状态预期!M22)</f>
        <v>0</v>
      </c>
      <c r="O11" s="17">
        <f>求节点($C$17:$C$22,E$17:E$22,基础状态预期!N22)</f>
        <v>0</v>
      </c>
      <c r="P11" s="17">
        <f>求节点($C$17:$C$22,F$17:F$22,基础状态预期!O22)</f>
        <v>0</v>
      </c>
      <c r="Q11" s="17">
        <f>求节点($C$17:$C$22,G$17:G$22,基础状态预期!P22)</f>
        <v>3.7401845716075695E-2</v>
      </c>
      <c r="R11" s="17">
        <f>MAX(SUMPRODUCT(N11:Q11,基础状态预期!I22:L22)/6,R10)</f>
        <v>3.7401845716075695E-2</v>
      </c>
      <c r="V11" s="16">
        <v>6</v>
      </c>
      <c r="W11" s="16">
        <f t="shared" si="5"/>
        <v>0</v>
      </c>
      <c r="X11" s="16">
        <f t="shared" si="6"/>
        <v>0</v>
      </c>
      <c r="Y11" s="16">
        <f t="shared" si="7"/>
        <v>0</v>
      </c>
      <c r="Z11" s="16">
        <f t="shared" si="8"/>
        <v>0</v>
      </c>
      <c r="AA11" s="16">
        <f t="shared" si="9"/>
        <v>0</v>
      </c>
      <c r="AD11" s="16">
        <v>10</v>
      </c>
      <c r="AE11" s="17">
        <v>80</v>
      </c>
      <c r="AF11" s="17">
        <f t="shared" si="2"/>
        <v>2.8040419205467598E-2</v>
      </c>
      <c r="AG11" s="17">
        <f>(AF11-AF10)*(INDEX([3]非r将兵属性验证!$AC$7:$AC$166,$AE11,1)*[3]战法技能效用!$AH$4+INDEX([3]非r将兵属性验证!$AX$7:$AX$166,$AE11,1)*[3]战法技能效用!$AI$4)+AG10</f>
        <v>543357937.56226826</v>
      </c>
      <c r="AH11" s="17">
        <f t="shared" si="0"/>
        <v>543357937.56226826</v>
      </c>
      <c r="AK11" s="16">
        <v>95</v>
      </c>
      <c r="AL11" s="16">
        <v>95</v>
      </c>
      <c r="AM11" s="16">
        <f>投放验证!$Q24*2</f>
        <v>1169864.6971189107</v>
      </c>
      <c r="AP11" s="17">
        <v>80</v>
      </c>
      <c r="AQ11" s="17">
        <f t="shared" si="3"/>
        <v>493511.37801622972</v>
      </c>
      <c r="AR11" s="17">
        <f t="shared" si="1"/>
        <v>493511.37801622972</v>
      </c>
      <c r="AS11" s="16">
        <f t="shared" si="4"/>
        <v>1101.0038709672856</v>
      </c>
    </row>
    <row r="12" spans="2:45">
      <c r="B12" s="176"/>
      <c r="C12" s="17"/>
      <c r="D12" s="17"/>
      <c r="E12" s="17"/>
      <c r="F12" s="17"/>
      <c r="G12" s="17"/>
      <c r="H12" s="17"/>
      <c r="L12" s="16">
        <v>9</v>
      </c>
      <c r="M12" s="17">
        <f>基础状态预期!$C23</f>
        <v>90</v>
      </c>
      <c r="N12" s="17">
        <f>求节点($C$17:$C$22,D$17:D$22,基础状态预期!M23)</f>
        <v>0</v>
      </c>
      <c r="O12" s="17">
        <f>求节点($C$17:$C$22,E$17:E$22,基础状态预期!N23)</f>
        <v>0</v>
      </c>
      <c r="P12" s="17">
        <f>求节点($C$17:$C$22,F$17:F$22,基础状态预期!O23)</f>
        <v>0</v>
      </c>
      <c r="Q12" s="17">
        <f>求节点($C$17:$C$22,G$17:G$22,基础状态预期!P23)</f>
        <v>4.9449923937089704E-2</v>
      </c>
      <c r="R12" s="17">
        <f>MAX(SUMPRODUCT(N12:Q12,基础状态预期!I23:L23)/6,R11)</f>
        <v>4.9449923937089711E-2</v>
      </c>
      <c r="V12" s="16">
        <v>7</v>
      </c>
      <c r="W12" s="16">
        <f t="shared" si="5"/>
        <v>0</v>
      </c>
      <c r="X12" s="16">
        <f t="shared" si="6"/>
        <v>0</v>
      </c>
      <c r="Y12" s="16">
        <f t="shared" si="7"/>
        <v>0</v>
      </c>
      <c r="Z12" s="16">
        <f t="shared" si="8"/>
        <v>0</v>
      </c>
      <c r="AA12" s="16">
        <f t="shared" si="9"/>
        <v>0</v>
      </c>
      <c r="AD12" s="16">
        <v>11</v>
      </c>
      <c r="AE12" s="17">
        <v>90</v>
      </c>
      <c r="AF12" s="17">
        <f t="shared" si="2"/>
        <v>4.9449923937089711E-2</v>
      </c>
      <c r="AG12" s="17">
        <f>(AF12-AF11)*(INDEX([3]非r将兵属性验证!$AC$7:$AC$166,$AE12,1)*[3]战法技能效用!$AH$4+INDEX([3]非r将兵属性验证!$AX$7:$AX$166,$AE12,1)*[3]战法技能效用!$AI$4)+AG11</f>
        <v>2269346379.9155588</v>
      </c>
      <c r="AH12" s="17">
        <f t="shared" si="0"/>
        <v>2269346379.9155588</v>
      </c>
      <c r="AK12" s="16">
        <v>100</v>
      </c>
      <c r="AL12" s="16">
        <v>100</v>
      </c>
      <c r="AM12" s="16">
        <f>投放验证!$Q25*2</f>
        <v>1561546.8905304102</v>
      </c>
      <c r="AP12" s="17">
        <v>90</v>
      </c>
      <c r="AQ12" s="17">
        <f t="shared" si="3"/>
        <v>870318.66129277879</v>
      </c>
      <c r="AR12" s="17">
        <f t="shared" si="1"/>
        <v>870318.66129277879</v>
      </c>
      <c r="AS12" s="16">
        <f t="shared" si="4"/>
        <v>2607.4890506709949</v>
      </c>
    </row>
    <row r="13" spans="2:45">
      <c r="B13" s="177"/>
      <c r="C13" s="17"/>
      <c r="D13" s="17"/>
      <c r="E13" s="17"/>
      <c r="F13" s="17"/>
      <c r="G13" s="17"/>
      <c r="H13" s="17"/>
      <c r="L13" s="16">
        <v>10</v>
      </c>
      <c r="M13" s="17">
        <f>基础状态预期!$C24</f>
        <v>95</v>
      </c>
      <c r="N13" s="17">
        <f>求节点($C$17:$C$22,D$17:D$22,基础状态预期!M24)</f>
        <v>0</v>
      </c>
      <c r="O13" s="17">
        <f>求节点($C$17:$C$22,E$17:E$22,基础状态预期!N24)</f>
        <v>0</v>
      </c>
      <c r="P13" s="17">
        <f>求节点($C$17:$C$22,F$17:F$22,基础状态预期!O24)</f>
        <v>0</v>
      </c>
      <c r="Q13" s="17">
        <f>求节点($C$17:$C$22,G$17:G$22,基础状态预期!P24)</f>
        <v>6.6469585063574463E-2</v>
      </c>
      <c r="R13" s="17">
        <f>MAX(SUMPRODUCT(N13:Q13,基础状态预期!I24:L24)/6,R12)</f>
        <v>6.6469585063574463E-2</v>
      </c>
      <c r="V13" s="16">
        <v>8</v>
      </c>
      <c r="W13" s="16">
        <f t="shared" si="5"/>
        <v>0</v>
      </c>
      <c r="X13" s="16">
        <f t="shared" si="6"/>
        <v>0</v>
      </c>
      <c r="Y13" s="16">
        <f t="shared" si="7"/>
        <v>0</v>
      </c>
      <c r="Z13" s="16">
        <f t="shared" si="8"/>
        <v>0</v>
      </c>
      <c r="AA13" s="16">
        <f t="shared" si="9"/>
        <v>0</v>
      </c>
      <c r="AD13" s="16">
        <v>12</v>
      </c>
      <c r="AE13" s="17">
        <v>100</v>
      </c>
      <c r="AF13" s="17">
        <f t="shared" si="2"/>
        <v>8.8724255143773301E-2</v>
      </c>
      <c r="AG13" s="17">
        <f>(AF13-AF12)*(INDEX([3]非r将兵属性验证!$AC$7:$AC$166,$AE13,1)*[3]战法技能效用!$AH$4+INDEX([3]非r将兵属性验证!$AX$7:$AX$166,$AE13,1)*[3]战法技能效用!$AI$4)+AG12</f>
        <v>8901215230.1524925</v>
      </c>
      <c r="AH13" s="17">
        <f t="shared" si="0"/>
        <v>8901215230.1524925</v>
      </c>
      <c r="AK13" s="16">
        <v>105</v>
      </c>
      <c r="AL13" s="16">
        <v>105</v>
      </c>
      <c r="AM13" s="16">
        <f>投放验证!$Q26*2</f>
        <v>2114926.4006477115</v>
      </c>
      <c r="AP13" s="17">
        <v>100</v>
      </c>
      <c r="AQ13" s="17">
        <f t="shared" si="3"/>
        <v>1561546.8905304102</v>
      </c>
      <c r="AR13" s="17">
        <f t="shared" si="1"/>
        <v>1561546.8905304102</v>
      </c>
      <c r="AS13" s="16">
        <f t="shared" si="4"/>
        <v>5700.2548460962444</v>
      </c>
    </row>
    <row r="14" spans="2:45">
      <c r="L14" s="16">
        <v>11</v>
      </c>
      <c r="M14" s="17">
        <f>基础状态预期!$C25</f>
        <v>100</v>
      </c>
      <c r="N14" s="17">
        <f>求节点($C$17:$C$22,D$17:D$22,基础状态预期!M25)</f>
        <v>0</v>
      </c>
      <c r="O14" s="17">
        <f>求节点($C$17:$C$22,E$17:E$22,基础状态预期!N25)</f>
        <v>0</v>
      </c>
      <c r="P14" s="17">
        <f>求节点($C$17:$C$22,F$17:F$22,基础状态预期!O25)</f>
        <v>0</v>
      </c>
      <c r="Q14" s="17">
        <f>求节点($C$17:$C$22,G$17:G$22,基础状态预期!P25)</f>
        <v>8.8724255143773301E-2</v>
      </c>
      <c r="R14" s="17">
        <f>MAX(SUMPRODUCT(N14:Q14,基础状态预期!I25:L25)/6,R13)</f>
        <v>8.8724255143773301E-2</v>
      </c>
      <c r="V14" s="16">
        <v>9</v>
      </c>
      <c r="W14" s="16">
        <f t="shared" si="5"/>
        <v>0</v>
      </c>
      <c r="X14" s="16">
        <f t="shared" si="6"/>
        <v>0</v>
      </c>
      <c r="Y14" s="16">
        <f t="shared" si="7"/>
        <v>0</v>
      </c>
      <c r="Z14" s="16">
        <f t="shared" si="8"/>
        <v>0</v>
      </c>
      <c r="AA14" s="16">
        <f t="shared" si="9"/>
        <v>0</v>
      </c>
      <c r="AD14" s="16">
        <v>13</v>
      </c>
      <c r="AE14" s="17">
        <v>110</v>
      </c>
      <c r="AF14" s="17">
        <f t="shared" si="2"/>
        <v>0.17612015725578642</v>
      </c>
      <c r="AG14" s="17">
        <f>(AF14-AF13)*(INDEX([3]非r将兵属性验证!$AC$7:$AC$166,$AE14,1)*[3]战法技能效用!$AH$4+INDEX([3]非r将兵属性验证!$AX$7:$AX$166,$AE14,1)*[3]战法技能效用!$AI$4)+AG13</f>
        <v>35483275451.761375</v>
      </c>
      <c r="AH14" s="17">
        <f t="shared" si="0"/>
        <v>35483275451.761375</v>
      </c>
      <c r="AK14" s="16">
        <v>110</v>
      </c>
      <c r="AL14" s="16">
        <v>110</v>
      </c>
      <c r="AM14" s="16">
        <f>投放验证!$Q27*2</f>
        <v>2852786.0757763805</v>
      </c>
      <c r="AP14" s="17">
        <v>110</v>
      </c>
      <c r="AQ14" s="17">
        <f t="shared" si="3"/>
        <v>2852786.0757763805</v>
      </c>
      <c r="AR14" s="17">
        <f t="shared" si="1"/>
        <v>2852786.0757763805</v>
      </c>
      <c r="AS14" s="16">
        <f t="shared" si="4"/>
        <v>12438.112956683815</v>
      </c>
    </row>
    <row r="15" spans="2:45">
      <c r="L15" s="16">
        <v>12</v>
      </c>
      <c r="M15" s="17">
        <f>基础状态预期!$C26</f>
        <v>105</v>
      </c>
      <c r="N15" s="17">
        <f>求节点($C$17:$C$22,D$17:D$22,基础状态预期!M26)</f>
        <v>0</v>
      </c>
      <c r="O15" s="17">
        <f>求节点($C$17:$C$22,E$17:E$22,基础状态预期!N26)</f>
        <v>0</v>
      </c>
      <c r="P15" s="17">
        <f>求节点($C$17:$C$22,F$17:F$22,基础状态预期!O26)</f>
        <v>0</v>
      </c>
      <c r="Q15" s="17">
        <f>求节点($C$17:$C$22,G$17:G$22,基础状态预期!P26)</f>
        <v>0.12022169701876602</v>
      </c>
      <c r="R15" s="17">
        <f>MAX(SUMPRODUCT(N15:Q15,基础状态预期!I26:L26)/6,R14)</f>
        <v>0.12022169701876602</v>
      </c>
      <c r="V15" s="16">
        <v>10</v>
      </c>
      <c r="W15" s="16">
        <f t="shared" si="5"/>
        <v>0</v>
      </c>
      <c r="X15" s="16">
        <f t="shared" si="6"/>
        <v>0</v>
      </c>
      <c r="Y15" s="16">
        <f t="shared" si="7"/>
        <v>0</v>
      </c>
      <c r="Z15" s="16">
        <f t="shared" si="8"/>
        <v>0</v>
      </c>
      <c r="AA15" s="16">
        <f t="shared" si="9"/>
        <v>0</v>
      </c>
      <c r="AD15" s="16">
        <v>14</v>
      </c>
      <c r="AE15" s="17">
        <v>120</v>
      </c>
      <c r="AF15" s="17">
        <f t="shared" si="2"/>
        <v>0.20000000000000004</v>
      </c>
      <c r="AG15" s="17">
        <f>(AF15-AF14)*(INDEX([3]非r将兵属性验证!$AC$7:$AC$166,$AE15,1)*[3]战法技能效用!$AH$4+INDEX([3]非r将兵属性验证!$AX$7:$AX$166,$AE15,1)*[3]战法技能效用!$AI$4)+AG14</f>
        <v>47632714987.947487</v>
      </c>
      <c r="AH15" s="17">
        <f t="shared" si="0"/>
        <v>47632714987.947487</v>
      </c>
      <c r="AK15" s="16">
        <v>115</v>
      </c>
      <c r="AL15" s="16">
        <v>115</v>
      </c>
      <c r="AM15" s="16">
        <f>投放验证!$Q28*2</f>
        <v>3895415.5574355195</v>
      </c>
      <c r="AP15" s="17">
        <v>120</v>
      </c>
      <c r="AQ15" s="17">
        <f t="shared" si="3"/>
        <v>5303611.1184472246</v>
      </c>
      <c r="AR15" s="17">
        <f t="shared" si="1"/>
        <v>5303611.1184472246</v>
      </c>
      <c r="AS15" s="16">
        <f t="shared" si="4"/>
        <v>8981.1854459444694</v>
      </c>
    </row>
    <row r="16" spans="2:45">
      <c r="B16" s="175" t="s">
        <v>225</v>
      </c>
      <c r="C16" s="17" t="s">
        <v>223</v>
      </c>
      <c r="D16" s="17" t="s">
        <v>1</v>
      </c>
      <c r="E16" s="17" t="s">
        <v>2</v>
      </c>
      <c r="F16" s="17" t="s">
        <v>0</v>
      </c>
      <c r="G16" s="17" t="s">
        <v>205</v>
      </c>
      <c r="H16" s="17" t="s">
        <v>29</v>
      </c>
      <c r="L16" s="16">
        <v>13</v>
      </c>
      <c r="M16" s="17">
        <f>基础状态预期!$C27</f>
        <v>110</v>
      </c>
      <c r="N16" s="17">
        <f>求节点($C$17:$C$22,D$17:D$22,基础状态预期!M27)</f>
        <v>0</v>
      </c>
      <c r="O16" s="17">
        <f>求节点($C$17:$C$22,E$17:E$22,基础状态预期!N27)</f>
        <v>0</v>
      </c>
      <c r="P16" s="17">
        <f>求节点($C$17:$C$22,F$17:F$22,基础状态预期!O27)</f>
        <v>0</v>
      </c>
      <c r="Q16" s="17">
        <f>求节点($C$17:$C$22,G$17:G$22,基础状态预期!P27)</f>
        <v>0.17612015725578642</v>
      </c>
      <c r="R16" s="17">
        <f>MAX(SUMPRODUCT(N16:Q16,基础状态预期!I27:L27)/6,R15)</f>
        <v>0.17612015725578642</v>
      </c>
      <c r="V16" s="16">
        <v>11</v>
      </c>
      <c r="W16" s="16">
        <f t="shared" si="5"/>
        <v>0</v>
      </c>
      <c r="X16" s="16">
        <f t="shared" si="6"/>
        <v>0</v>
      </c>
      <c r="Y16" s="16">
        <f t="shared" si="7"/>
        <v>0</v>
      </c>
      <c r="Z16" s="16">
        <f t="shared" si="8"/>
        <v>0</v>
      </c>
      <c r="AA16" s="16">
        <f t="shared" si="9"/>
        <v>0</v>
      </c>
      <c r="AD16" s="16">
        <v>15</v>
      </c>
      <c r="AE16" s="17">
        <v>130</v>
      </c>
      <c r="AF16" s="17">
        <f t="shared" si="2"/>
        <v>0.20000000000000004</v>
      </c>
      <c r="AG16" s="17">
        <f>(AF16-AF15)*(INDEX([3]非r将兵属性验证!$AC$7:$AC$166,$AE16,1)*[3]战法技能效用!$AH$4+INDEX([3]非r将兵属性验证!$AX$7:$AX$166,$AE16,1)*[3]战法技能效用!$AI$4)+AG15</f>
        <v>47632714987.947487</v>
      </c>
      <c r="AH16" s="17">
        <f t="shared" si="0"/>
        <v>47632714987.947487</v>
      </c>
      <c r="AK16" s="16">
        <v>120</v>
      </c>
      <c r="AL16" s="16">
        <v>120</v>
      </c>
      <c r="AM16" s="16">
        <f>投放验证!$Q29*2</f>
        <v>5303611.1184472246</v>
      </c>
      <c r="AP16" s="17">
        <v>130</v>
      </c>
      <c r="AQ16" s="17">
        <f t="shared" si="3"/>
        <v>10008613.297534276</v>
      </c>
      <c r="AR16" s="17">
        <f t="shared" si="1"/>
        <v>10008613.297534276</v>
      </c>
      <c r="AS16" s="16">
        <f t="shared" si="4"/>
        <v>4759.1722821064823</v>
      </c>
    </row>
    <row r="17" spans="2:45">
      <c r="B17" s="176"/>
      <c r="C17" s="17">
        <v>0</v>
      </c>
      <c r="D17" s="31"/>
      <c r="E17" s="31"/>
      <c r="F17" s="31"/>
      <c r="G17" s="31">
        <f>宝物升星!G43</f>
        <v>0.03</v>
      </c>
      <c r="H17" s="31">
        <f>宝物升星!H43</f>
        <v>0.04</v>
      </c>
      <c r="L17" s="16">
        <v>14</v>
      </c>
      <c r="M17" s="17">
        <f>基础状态预期!$C28</f>
        <v>115</v>
      </c>
      <c r="N17" s="17">
        <f>求节点($C$17:$C$22,D$17:D$22,基础状态预期!M28)</f>
        <v>0</v>
      </c>
      <c r="O17" s="17">
        <f>求节点($C$17:$C$22,E$17:E$22,基础状态预期!N28)</f>
        <v>0</v>
      </c>
      <c r="P17" s="17">
        <f>求节点($C$17:$C$22,F$17:F$22,基础状态预期!O28)</f>
        <v>0</v>
      </c>
      <c r="Q17" s="17">
        <f>求节点($C$17:$C$22,G$17:G$22,基础状态预期!P28)</f>
        <v>0.2</v>
      </c>
      <c r="R17" s="17">
        <f>MAX(SUMPRODUCT(N17:Q17,基础状态预期!I28:L28)/6,R16)</f>
        <v>0.20000000000000004</v>
      </c>
      <c r="V17" s="16">
        <v>12</v>
      </c>
      <c r="W17" s="16">
        <f t="shared" si="5"/>
        <v>0</v>
      </c>
      <c r="X17" s="16">
        <f t="shared" si="6"/>
        <v>0</v>
      </c>
      <c r="Y17" s="16">
        <f t="shared" si="7"/>
        <v>0</v>
      </c>
      <c r="Z17" s="16">
        <f t="shared" si="8"/>
        <v>0</v>
      </c>
      <c r="AA17" s="16">
        <f t="shared" si="9"/>
        <v>0</v>
      </c>
      <c r="AD17" s="16">
        <v>16</v>
      </c>
      <c r="AE17" s="17">
        <v>140</v>
      </c>
      <c r="AF17" s="17">
        <f t="shared" si="2"/>
        <v>0.20000000000000004</v>
      </c>
      <c r="AG17" s="17">
        <f>(AF17-AF16)*(INDEX([3]非r将兵属性验证!$AC$7:$AC$166,$AE17,1)*[3]战法技能效用!$AH$4+INDEX([3]非r将兵属性验证!$AX$7:$AX$166,$AE17,1)*[3]战法技能效用!$AI$4)+AG16</f>
        <v>47632714987.947487</v>
      </c>
      <c r="AH17" s="17">
        <f t="shared" si="0"/>
        <v>47632714987.947487</v>
      </c>
      <c r="AK17" s="16">
        <v>125</v>
      </c>
      <c r="AL17" s="16">
        <v>125</v>
      </c>
      <c r="AM17" s="16">
        <f>投放验证!$Q30*2</f>
        <v>7293762.2960627414</v>
      </c>
      <c r="AP17" s="17">
        <v>140</v>
      </c>
      <c r="AQ17" s="17">
        <f t="shared" si="3"/>
        <v>19123358.019913178</v>
      </c>
      <c r="AR17" s="17">
        <f t="shared" si="1"/>
        <v>19123358.019913178</v>
      </c>
      <c r="AS17" s="16">
        <f t="shared" si="4"/>
        <v>2490.8133256903666</v>
      </c>
    </row>
    <row r="18" spans="2:45">
      <c r="B18" s="176"/>
      <c r="C18" s="17">
        <v>1</v>
      </c>
      <c r="D18" s="31"/>
      <c r="E18" s="31"/>
      <c r="F18" s="31"/>
      <c r="G18" s="31">
        <f>宝物升星!G44</f>
        <v>0.06</v>
      </c>
      <c r="H18" s="31">
        <f>宝物升星!H44</f>
        <v>0.08</v>
      </c>
      <c r="L18" s="16">
        <v>15</v>
      </c>
      <c r="M18" s="17">
        <f>基础状态预期!$C29</f>
        <v>120</v>
      </c>
      <c r="N18" s="17">
        <f>求节点($C$17:$C$22,D$17:D$22,基础状态预期!M29)</f>
        <v>0</v>
      </c>
      <c r="O18" s="17">
        <f>求节点($C$17:$C$22,E$17:E$22,基础状态预期!N29)</f>
        <v>0</v>
      </c>
      <c r="P18" s="17">
        <f>求节点($C$17:$C$22,F$17:F$22,基础状态预期!O29)</f>
        <v>0</v>
      </c>
      <c r="Q18" s="17">
        <f>求节点($C$17:$C$22,G$17:G$22,基础状态预期!P29)</f>
        <v>0.2</v>
      </c>
      <c r="R18" s="17">
        <f>MAX(SUMPRODUCT(N18:Q18,基础状态预期!I29:L29)/6,R17)</f>
        <v>0.20000000000000004</v>
      </c>
      <c r="V18" s="16">
        <v>13</v>
      </c>
      <c r="W18" s="16">
        <f t="shared" si="5"/>
        <v>0</v>
      </c>
      <c r="X18" s="16">
        <f t="shared" si="6"/>
        <v>0</v>
      </c>
      <c r="Y18" s="16">
        <f t="shared" si="7"/>
        <v>0</v>
      </c>
      <c r="Z18" s="16">
        <f t="shared" si="8"/>
        <v>0</v>
      </c>
      <c r="AA18" s="16">
        <f t="shared" si="9"/>
        <v>0</v>
      </c>
      <c r="AD18" s="16">
        <v>17</v>
      </c>
      <c r="AE18" s="17">
        <v>150</v>
      </c>
      <c r="AF18" s="17">
        <f t="shared" si="2"/>
        <v>0.20000000000000004</v>
      </c>
      <c r="AG18" s="17">
        <f>(AF18-AF17)*(INDEX([3]非r将兵属性验证!$AC$7:$AC$166,$AE18,1)*[3]战法技能效用!$AH$4+INDEX([3]非r将兵属性验证!$AX$7:$AX$166,$AE18,1)*[3]战法技能效用!$AI$4)+AG17</f>
        <v>47632714987.947487</v>
      </c>
      <c r="AH18" s="17">
        <f t="shared" si="0"/>
        <v>47632714987.947487</v>
      </c>
      <c r="AK18" s="16">
        <v>130</v>
      </c>
      <c r="AL18" s="16">
        <v>130</v>
      </c>
      <c r="AM18" s="16">
        <f>投放验证!$Q31*2</f>
        <v>10008613.297534276</v>
      </c>
      <c r="AP18" s="17">
        <v>150</v>
      </c>
      <c r="AQ18" s="17">
        <f t="shared" si="3"/>
        <v>36910020.121515296</v>
      </c>
      <c r="AR18" s="17">
        <f t="shared" si="1"/>
        <v>36910020.121515296</v>
      </c>
      <c r="AS18" s="16">
        <f t="shared" si="4"/>
        <v>1290.5090496057953</v>
      </c>
    </row>
    <row r="19" spans="2:45">
      <c r="B19" s="176"/>
      <c r="C19" s="17">
        <v>2</v>
      </c>
      <c r="D19" s="31"/>
      <c r="E19" s="31"/>
      <c r="F19" s="31"/>
      <c r="G19" s="31">
        <f>宝物升星!G45</f>
        <v>0.09</v>
      </c>
      <c r="H19" s="31">
        <f>宝物升星!H45</f>
        <v>0.12</v>
      </c>
      <c r="L19" s="16">
        <v>16</v>
      </c>
      <c r="M19" s="17">
        <f>基础状态预期!$C30</f>
        <v>125</v>
      </c>
      <c r="N19" s="17">
        <f>求节点($C$17:$C$22,D$17:D$22,基础状态预期!M30)</f>
        <v>0</v>
      </c>
      <c r="O19" s="17">
        <f>求节点($C$17:$C$22,E$17:E$22,基础状态预期!N30)</f>
        <v>0</v>
      </c>
      <c r="P19" s="17">
        <f>求节点($C$17:$C$22,F$17:F$22,基础状态预期!O30)</f>
        <v>0</v>
      </c>
      <c r="Q19" s="17">
        <f>求节点($C$17:$C$22,G$17:G$22,基础状态预期!P30)</f>
        <v>0.2</v>
      </c>
      <c r="R19" s="17">
        <f>MAX(SUMPRODUCT(N19:Q19,基础状态预期!I30:L30)/6,R18)</f>
        <v>0.20000000000000004</v>
      </c>
      <c r="V19" s="16">
        <v>14</v>
      </c>
      <c r="W19" s="16">
        <f t="shared" si="5"/>
        <v>0</v>
      </c>
      <c r="X19" s="16">
        <f t="shared" si="6"/>
        <v>0</v>
      </c>
      <c r="Y19" s="16">
        <f t="shared" si="7"/>
        <v>0</v>
      </c>
      <c r="Z19" s="16">
        <f t="shared" si="8"/>
        <v>0</v>
      </c>
      <c r="AA19" s="16">
        <f t="shared" si="9"/>
        <v>0</v>
      </c>
      <c r="AD19" s="16">
        <v>18</v>
      </c>
      <c r="AE19" s="17">
        <v>160</v>
      </c>
      <c r="AF19" s="17">
        <f t="shared" si="2"/>
        <v>0.20000000000000004</v>
      </c>
      <c r="AG19" s="17">
        <f>(AF19-AF18)*(INDEX([3]非r将兵属性验证!$AC$7:$AC$166,$AE19,1)*[3]战法技能效用!$AH$4+INDEX([3]非r将兵属性验证!$AX$7:$AX$166,$AE19,1)*[3]战法技能效用!$AI$4)+AG18</f>
        <v>47632714987.947487</v>
      </c>
      <c r="AH19" s="17">
        <f t="shared" si="0"/>
        <v>47632714987.947487</v>
      </c>
      <c r="AK19" s="16">
        <v>135</v>
      </c>
      <c r="AL19" s="16">
        <v>135</v>
      </c>
      <c r="AM19" s="16">
        <f>投放验证!$Q32*2</f>
        <v>13845953.706517324</v>
      </c>
      <c r="AP19" s="17">
        <v>160</v>
      </c>
      <c r="AQ19" s="17">
        <f t="shared" si="3"/>
        <v>71766513.222588539</v>
      </c>
      <c r="AR19" s="17">
        <f t="shared" si="1"/>
        <v>71766513.222588539</v>
      </c>
      <c r="AS19" s="16">
        <f t="shared" si="4"/>
        <v>663.71783787532638</v>
      </c>
    </row>
    <row r="20" spans="2:45">
      <c r="B20" s="176"/>
      <c r="C20" s="17">
        <v>3</v>
      </c>
      <c r="D20" s="31"/>
      <c r="E20" s="31"/>
      <c r="F20" s="31"/>
      <c r="G20" s="31">
        <f>宝物升星!G46</f>
        <v>0.12</v>
      </c>
      <c r="H20" s="31">
        <f>宝物升星!H46</f>
        <v>0.16</v>
      </c>
      <c r="L20" s="16">
        <v>17</v>
      </c>
      <c r="M20" s="17">
        <f>基础状态预期!$C31</f>
        <v>130</v>
      </c>
      <c r="N20" s="17">
        <f>求节点($C$17:$C$22,D$17:D$22,基础状态预期!M31)</f>
        <v>0</v>
      </c>
      <c r="O20" s="17">
        <f>求节点($C$17:$C$22,E$17:E$22,基础状态预期!N31)</f>
        <v>0</v>
      </c>
      <c r="P20" s="17">
        <f>求节点($C$17:$C$22,F$17:F$22,基础状态预期!O31)</f>
        <v>0</v>
      </c>
      <c r="Q20" s="17">
        <f>求节点($C$17:$C$22,G$17:G$22,基础状态预期!P31)</f>
        <v>0.2</v>
      </c>
      <c r="R20" s="17">
        <f>MAX(SUMPRODUCT(N20:Q20,基础状态预期!I31:L31)/6,R19)</f>
        <v>0.20000000000000004</v>
      </c>
      <c r="V20" s="16">
        <v>15</v>
      </c>
      <c r="W20" s="16">
        <f t="shared" si="5"/>
        <v>0</v>
      </c>
      <c r="X20" s="16">
        <f t="shared" si="6"/>
        <v>0</v>
      </c>
      <c r="Y20" s="16">
        <f t="shared" si="7"/>
        <v>0</v>
      </c>
      <c r="Z20" s="16">
        <f t="shared" si="8"/>
        <v>0</v>
      </c>
      <c r="AA20" s="16">
        <f t="shared" si="9"/>
        <v>0</v>
      </c>
      <c r="AD20" s="16">
        <v>19</v>
      </c>
      <c r="AK20" s="16">
        <v>140</v>
      </c>
      <c r="AL20" s="16">
        <v>140</v>
      </c>
      <c r="AM20" s="16">
        <f>投放验证!$Q33*2</f>
        <v>19123358.019913178</v>
      </c>
    </row>
    <row r="21" spans="2:45">
      <c r="B21" s="176"/>
      <c r="C21" s="17">
        <v>4</v>
      </c>
      <c r="D21" s="31"/>
      <c r="E21" s="31"/>
      <c r="F21" s="31"/>
      <c r="G21" s="31">
        <f>宝物升星!G47</f>
        <v>0.16</v>
      </c>
      <c r="H21" s="31">
        <f>宝物升星!H47</f>
        <v>0.2</v>
      </c>
      <c r="L21" s="16">
        <v>18</v>
      </c>
      <c r="M21" s="17">
        <f>基础状态预期!$C32</f>
        <v>135</v>
      </c>
      <c r="N21" s="17">
        <f>求节点($C$17:$C$22,D$17:D$22,基础状态预期!M32)</f>
        <v>0</v>
      </c>
      <c r="O21" s="17">
        <f>求节点($C$17:$C$22,E$17:E$22,基础状态预期!N32)</f>
        <v>0</v>
      </c>
      <c r="P21" s="17">
        <f>求节点($C$17:$C$22,F$17:F$22,基础状态预期!O32)</f>
        <v>0</v>
      </c>
      <c r="Q21" s="17">
        <f>求节点($C$17:$C$22,G$17:G$22,基础状态预期!P32)</f>
        <v>0.2</v>
      </c>
      <c r="R21" s="17">
        <f>MAX(SUMPRODUCT(N21:Q21,基础状态预期!I32:L32)/6,R20)</f>
        <v>0.20000000000000004</v>
      </c>
      <c r="V21" s="16">
        <v>16</v>
      </c>
      <c r="W21" s="16">
        <f t="shared" si="5"/>
        <v>0</v>
      </c>
      <c r="X21" s="16">
        <f t="shared" si="6"/>
        <v>0</v>
      </c>
      <c r="Y21" s="16">
        <f t="shared" si="7"/>
        <v>0</v>
      </c>
      <c r="Z21" s="16">
        <f t="shared" si="8"/>
        <v>0</v>
      </c>
      <c r="AA21" s="16">
        <f t="shared" si="9"/>
        <v>0</v>
      </c>
      <c r="AD21" s="16">
        <v>20</v>
      </c>
      <c r="AK21" s="16">
        <v>145</v>
      </c>
      <c r="AL21" s="16">
        <v>145</v>
      </c>
      <c r="AM21" s="16">
        <f>投放验证!$Q34*2</f>
        <v>26583652.993642855</v>
      </c>
    </row>
    <row r="22" spans="2:45">
      <c r="B22" s="176"/>
      <c r="C22" s="17">
        <v>5</v>
      </c>
      <c r="D22" s="31"/>
      <c r="E22" s="31"/>
      <c r="F22" s="31"/>
      <c r="G22" s="31">
        <f>宝物升星!G48</f>
        <v>0.2</v>
      </c>
      <c r="H22" s="31">
        <f>宝物升星!H48</f>
        <v>0.25</v>
      </c>
      <c r="L22" s="16">
        <v>19</v>
      </c>
      <c r="M22" s="17">
        <f>基础状态预期!$C33</f>
        <v>140</v>
      </c>
      <c r="N22" s="17">
        <f>求节点($C$17:$C$22,D$17:D$22,基础状态预期!M33)</f>
        <v>0</v>
      </c>
      <c r="O22" s="17">
        <f>求节点($C$17:$C$22,E$17:E$22,基础状态预期!N33)</f>
        <v>0</v>
      </c>
      <c r="P22" s="17">
        <f>求节点($C$17:$C$22,F$17:F$22,基础状态预期!O33)</f>
        <v>0</v>
      </c>
      <c r="Q22" s="17">
        <f>求节点($C$17:$C$22,G$17:G$22,基础状态预期!P33)</f>
        <v>0.2</v>
      </c>
      <c r="R22" s="17">
        <f>MAX(SUMPRODUCT(N22:Q22,基础状态预期!I33:L33)/6,R21)</f>
        <v>0.20000000000000004</v>
      </c>
      <c r="V22" s="16">
        <v>17</v>
      </c>
      <c r="W22" s="16">
        <f t="shared" si="5"/>
        <v>0</v>
      </c>
      <c r="X22" s="16">
        <f t="shared" si="6"/>
        <v>0</v>
      </c>
      <c r="Y22" s="16">
        <f t="shared" si="7"/>
        <v>0</v>
      </c>
      <c r="Z22" s="16">
        <f t="shared" si="8"/>
        <v>0</v>
      </c>
      <c r="AA22" s="16">
        <f t="shared" si="9"/>
        <v>0</v>
      </c>
      <c r="AD22" s="16">
        <v>21</v>
      </c>
      <c r="AK22" s="16">
        <v>150</v>
      </c>
      <c r="AL22" s="16">
        <v>150</v>
      </c>
      <c r="AM22" s="16">
        <f>投放验证!$Q35*2</f>
        <v>36910020.121515296</v>
      </c>
    </row>
    <row r="23" spans="2:45">
      <c r="B23" s="176"/>
      <c r="C23" s="17"/>
      <c r="D23" s="31"/>
      <c r="E23" s="31"/>
      <c r="F23" s="31"/>
      <c r="G23" s="31"/>
      <c r="H23" s="31"/>
      <c r="L23" s="16">
        <v>20</v>
      </c>
      <c r="M23" s="17">
        <f>基础状态预期!$C34</f>
        <v>145</v>
      </c>
      <c r="N23" s="17">
        <f>求节点($C$17:$C$22,D$17:D$22,基础状态预期!M34)</f>
        <v>0</v>
      </c>
      <c r="O23" s="17">
        <f>求节点($C$17:$C$22,E$17:E$22,基础状态预期!N34)</f>
        <v>0</v>
      </c>
      <c r="P23" s="17">
        <f>求节点($C$17:$C$22,F$17:F$22,基础状态预期!O34)</f>
        <v>0</v>
      </c>
      <c r="Q23" s="17">
        <f>求节点($C$17:$C$22,G$17:G$22,基础状态预期!P34)</f>
        <v>0.2</v>
      </c>
      <c r="R23" s="17">
        <f>MAX(SUMPRODUCT(N23:Q23,基础状态预期!I34:L34)/6,R22)</f>
        <v>0.20000000000000004</v>
      </c>
      <c r="V23" s="16">
        <v>18</v>
      </c>
      <c r="W23" s="16">
        <f t="shared" si="5"/>
        <v>0</v>
      </c>
      <c r="X23" s="16">
        <f t="shared" si="6"/>
        <v>0</v>
      </c>
      <c r="Y23" s="16">
        <f t="shared" si="7"/>
        <v>0</v>
      </c>
      <c r="Z23" s="16">
        <f t="shared" si="8"/>
        <v>0</v>
      </c>
      <c r="AA23" s="16">
        <f t="shared" si="9"/>
        <v>0</v>
      </c>
      <c r="AD23" s="16">
        <v>22</v>
      </c>
      <c r="AK23" s="16">
        <v>155</v>
      </c>
      <c r="AL23" s="16">
        <v>155</v>
      </c>
      <c r="AM23" s="16">
        <f>投放验证!$Q36*2</f>
        <v>51508364.86277011</v>
      </c>
    </row>
    <row r="24" spans="2:45">
      <c r="B24" s="176"/>
      <c r="C24" s="17"/>
      <c r="D24" s="31"/>
      <c r="E24" s="31"/>
      <c r="F24" s="31"/>
      <c r="G24" s="31"/>
      <c r="H24" s="31"/>
      <c r="L24" s="16">
        <v>21</v>
      </c>
      <c r="M24" s="17">
        <f>基础状态预期!$C35</f>
        <v>150</v>
      </c>
      <c r="N24" s="17">
        <f>求节点($C$17:$C$22,D$17:D$22,基础状态预期!M35)</f>
        <v>0</v>
      </c>
      <c r="O24" s="17">
        <f>求节点($C$17:$C$22,E$17:E$22,基础状态预期!N35)</f>
        <v>0</v>
      </c>
      <c r="P24" s="17">
        <f>求节点($C$17:$C$22,F$17:F$22,基础状态预期!O35)</f>
        <v>0</v>
      </c>
      <c r="Q24" s="17">
        <f>求节点($C$17:$C$22,G$17:G$22,基础状态预期!P35)</f>
        <v>0.2</v>
      </c>
      <c r="R24" s="17">
        <f>MAX(SUMPRODUCT(N24:Q24,基础状态预期!I35:L35)/6,R23)</f>
        <v>0.20000000000000004</v>
      </c>
      <c r="V24" s="16">
        <v>19</v>
      </c>
      <c r="W24" s="16">
        <f t="shared" si="5"/>
        <v>0</v>
      </c>
      <c r="X24" s="16">
        <f t="shared" si="6"/>
        <v>0</v>
      </c>
      <c r="Y24" s="16">
        <f t="shared" si="7"/>
        <v>0</v>
      </c>
      <c r="Z24" s="16">
        <f t="shared" si="8"/>
        <v>0</v>
      </c>
      <c r="AA24" s="16">
        <f t="shared" si="9"/>
        <v>0</v>
      </c>
      <c r="AD24" s="16">
        <v>23</v>
      </c>
      <c r="AK24" s="16">
        <v>160</v>
      </c>
      <c r="AL24" s="16">
        <v>160</v>
      </c>
      <c r="AM24" s="16">
        <f>投放验证!$Q37*2</f>
        <v>71766513.222588539</v>
      </c>
    </row>
    <row r="25" spans="2:45">
      <c r="B25" s="177"/>
      <c r="C25" s="17"/>
      <c r="D25" s="31"/>
      <c r="E25" s="31"/>
      <c r="F25" s="31"/>
      <c r="G25" s="31"/>
      <c r="H25" s="31"/>
      <c r="L25" s="16">
        <v>22</v>
      </c>
      <c r="M25" s="17">
        <f>基础状态预期!$C36</f>
        <v>155</v>
      </c>
      <c r="N25" s="17">
        <f>求节点($C$17:$C$22,D$17:D$22,基础状态预期!M36)</f>
        <v>0</v>
      </c>
      <c r="O25" s="17">
        <f>求节点($C$17:$C$22,E$17:E$22,基础状态预期!N36)</f>
        <v>0</v>
      </c>
      <c r="P25" s="17">
        <f>求节点($C$17:$C$22,F$17:F$22,基础状态预期!O36)</f>
        <v>0</v>
      </c>
      <c r="Q25" s="17">
        <f>求节点($C$17:$C$22,G$17:G$22,基础状态预期!P36)</f>
        <v>0.2</v>
      </c>
      <c r="R25" s="17">
        <f>MAX(SUMPRODUCT(N25:Q25,基础状态预期!I36:L36)/6,R24)</f>
        <v>0.20000000000000004</v>
      </c>
      <c r="V25" s="16">
        <v>20</v>
      </c>
      <c r="W25" s="16">
        <f t="shared" si="5"/>
        <v>0</v>
      </c>
      <c r="X25" s="16">
        <f t="shared" si="6"/>
        <v>0</v>
      </c>
      <c r="Y25" s="16">
        <f t="shared" si="7"/>
        <v>0</v>
      </c>
      <c r="Z25" s="16">
        <f t="shared" si="8"/>
        <v>0</v>
      </c>
      <c r="AA25" s="16">
        <f t="shared" si="9"/>
        <v>0</v>
      </c>
      <c r="AD25" s="16">
        <v>24</v>
      </c>
    </row>
    <row r="26" spans="2:45">
      <c r="L26" s="16">
        <v>23</v>
      </c>
      <c r="M26" s="17">
        <f>基础状态预期!$C37</f>
        <v>160</v>
      </c>
      <c r="N26" s="17">
        <f>求节点($C$17:$C$22,D$17:D$22,基础状态预期!M37)</f>
        <v>0</v>
      </c>
      <c r="O26" s="17">
        <f>求节点($C$17:$C$22,E$17:E$22,基础状态预期!N37)</f>
        <v>0</v>
      </c>
      <c r="P26" s="17">
        <f>求节点($C$17:$C$22,F$17:F$22,基础状态预期!O37)</f>
        <v>0</v>
      </c>
      <c r="Q26" s="17">
        <f>求节点($C$17:$C$22,G$17:G$22,基础状态预期!P37)</f>
        <v>0.2</v>
      </c>
      <c r="R26" s="17">
        <f>MAX(SUMPRODUCT(N26:Q26,基础状态预期!I37:L37)/6,R25)</f>
        <v>0.20000000000000004</v>
      </c>
      <c r="V26" s="16">
        <v>21</v>
      </c>
      <c r="W26" s="16">
        <f t="shared" si="5"/>
        <v>0</v>
      </c>
      <c r="X26" s="16">
        <f t="shared" si="6"/>
        <v>0</v>
      </c>
      <c r="Y26" s="16">
        <f t="shared" si="7"/>
        <v>0</v>
      </c>
      <c r="Z26" s="16">
        <f t="shared" si="8"/>
        <v>0</v>
      </c>
      <c r="AA26" s="16">
        <f t="shared" si="9"/>
        <v>0</v>
      </c>
      <c r="AD26" s="16">
        <v>25</v>
      </c>
    </row>
    <row r="27" spans="2:45">
      <c r="L27" s="16">
        <v>24</v>
      </c>
      <c r="V27" s="16">
        <v>22</v>
      </c>
      <c r="W27" s="16">
        <f t="shared" si="5"/>
        <v>0</v>
      </c>
      <c r="X27" s="16">
        <f t="shared" si="6"/>
        <v>0</v>
      </c>
      <c r="Y27" s="16">
        <f t="shared" si="7"/>
        <v>0</v>
      </c>
      <c r="Z27" s="16">
        <f t="shared" si="8"/>
        <v>0</v>
      </c>
      <c r="AA27" s="16">
        <f t="shared" si="9"/>
        <v>0</v>
      </c>
      <c r="AD27" s="16">
        <v>26</v>
      </c>
    </row>
    <row r="28" spans="2:45">
      <c r="L28" s="16">
        <v>25</v>
      </c>
      <c r="V28" s="16">
        <v>23</v>
      </c>
      <c r="W28" s="16">
        <f t="shared" si="5"/>
        <v>0</v>
      </c>
      <c r="X28" s="16">
        <f t="shared" si="6"/>
        <v>0</v>
      </c>
      <c r="Y28" s="16">
        <f t="shared" si="7"/>
        <v>0</v>
      </c>
      <c r="Z28" s="16">
        <f t="shared" si="8"/>
        <v>0</v>
      </c>
      <c r="AA28" s="16">
        <f t="shared" si="9"/>
        <v>0</v>
      </c>
      <c r="AD28" s="16">
        <v>27</v>
      </c>
      <c r="AL28" s="16" t="s">
        <v>255</v>
      </c>
      <c r="AM28" s="174" t="s">
        <v>419</v>
      </c>
    </row>
    <row r="29" spans="2:45">
      <c r="B29" s="175" t="s">
        <v>403</v>
      </c>
      <c r="C29" s="17" t="s">
        <v>223</v>
      </c>
      <c r="D29" s="17" t="s">
        <v>1</v>
      </c>
      <c r="E29" s="17" t="s">
        <v>2</v>
      </c>
      <c r="F29" s="17" t="s">
        <v>0</v>
      </c>
      <c r="G29" s="17" t="s">
        <v>205</v>
      </c>
      <c r="H29" s="17" t="s">
        <v>29</v>
      </c>
      <c r="L29" s="16">
        <v>26</v>
      </c>
      <c r="V29" s="16">
        <v>24</v>
      </c>
      <c r="W29" s="16">
        <f t="shared" si="5"/>
        <v>0</v>
      </c>
      <c r="X29" s="16">
        <f t="shared" si="6"/>
        <v>0</v>
      </c>
      <c r="Y29" s="16">
        <f t="shared" si="7"/>
        <v>0</v>
      </c>
      <c r="Z29" s="16">
        <f t="shared" si="8"/>
        <v>0</v>
      </c>
      <c r="AA29" s="16">
        <f t="shared" si="9"/>
        <v>0</v>
      </c>
      <c r="AD29" s="16">
        <v>28</v>
      </c>
      <c r="AL29" s="16" t="s">
        <v>161</v>
      </c>
      <c r="AM29" s="174"/>
    </row>
    <row r="30" spans="2:45">
      <c r="B30" s="176"/>
      <c r="C30" s="17">
        <v>0</v>
      </c>
      <c r="D30" s="17"/>
      <c r="E30" s="17"/>
      <c r="F30" s="17"/>
      <c r="G30" s="17">
        <f>SUM(G$5:G5)</f>
        <v>0</v>
      </c>
      <c r="H30" s="17">
        <f>SUM(H$5:H5)</f>
        <v>0</v>
      </c>
      <c r="L30" s="16">
        <v>1</v>
      </c>
      <c r="M30" s="69" t="s">
        <v>75</v>
      </c>
      <c r="N30" s="170" t="s">
        <v>252</v>
      </c>
      <c r="O30" s="170"/>
      <c r="P30" s="170"/>
      <c r="Q30" s="170"/>
      <c r="R30" s="170"/>
      <c r="V30" s="16">
        <v>25</v>
      </c>
      <c r="W30" s="16">
        <f t="shared" si="5"/>
        <v>0</v>
      </c>
      <c r="X30" s="16">
        <f t="shared" si="6"/>
        <v>0</v>
      </c>
      <c r="Y30" s="16">
        <f t="shared" si="7"/>
        <v>0</v>
      </c>
      <c r="Z30" s="16">
        <f t="shared" si="8"/>
        <v>0</v>
      </c>
      <c r="AA30" s="16">
        <f t="shared" si="9"/>
        <v>0</v>
      </c>
      <c r="AD30" s="16">
        <v>29</v>
      </c>
      <c r="AL30" s="16">
        <v>50</v>
      </c>
      <c r="AM30" s="16">
        <f>投放验证!$Q43*2</f>
        <v>98354.114124174172</v>
      </c>
    </row>
    <row r="31" spans="2:45">
      <c r="B31" s="176"/>
      <c r="C31" s="17">
        <v>1</v>
      </c>
      <c r="D31" s="17"/>
      <c r="E31" s="17"/>
      <c r="F31" s="17"/>
      <c r="G31" s="17">
        <f>SUM(G$5:G6)</f>
        <v>2</v>
      </c>
      <c r="H31" s="17">
        <f>SUM(H$5:H6)</f>
        <v>2</v>
      </c>
      <c r="L31" s="16">
        <v>2</v>
      </c>
      <c r="M31" s="17" t="s">
        <v>161</v>
      </c>
      <c r="N31" s="17" t="s">
        <v>1</v>
      </c>
      <c r="O31" s="17" t="s">
        <v>2</v>
      </c>
      <c r="P31" s="17" t="s">
        <v>0</v>
      </c>
      <c r="Q31" s="17" t="s">
        <v>205</v>
      </c>
      <c r="R31" s="71" t="s">
        <v>373</v>
      </c>
      <c r="V31" s="16">
        <v>26</v>
      </c>
      <c r="W31" s="16">
        <f t="shared" si="5"/>
        <v>0</v>
      </c>
      <c r="X31" s="16">
        <f t="shared" si="6"/>
        <v>0</v>
      </c>
      <c r="Y31" s="16">
        <f t="shared" si="7"/>
        <v>0</v>
      </c>
      <c r="Z31" s="16">
        <f t="shared" si="8"/>
        <v>0</v>
      </c>
      <c r="AA31" s="16">
        <f t="shared" si="9"/>
        <v>0</v>
      </c>
      <c r="AD31" s="16">
        <v>30</v>
      </c>
      <c r="AL31" s="16">
        <v>60</v>
      </c>
      <c r="AM31" s="16">
        <f>投放验证!$Q44*2</f>
        <v>188299.422116623</v>
      </c>
    </row>
    <row r="32" spans="2:45">
      <c r="B32" s="176"/>
      <c r="C32" s="17">
        <v>2</v>
      </c>
      <c r="D32" s="17"/>
      <c r="E32" s="17"/>
      <c r="F32" s="17"/>
      <c r="G32" s="17">
        <f>SUM(G$5:G7)</f>
        <v>4</v>
      </c>
      <c r="H32" s="17">
        <f>SUM(H$5:H7)</f>
        <v>4</v>
      </c>
      <c r="L32" s="16">
        <v>3</v>
      </c>
      <c r="M32" s="17">
        <f>基础状态预期!$C43</f>
        <v>50</v>
      </c>
      <c r="N32" s="17">
        <f>求节点($C$17:$C$22,D$17:D$22,基础状态预期!M43)</f>
        <v>0</v>
      </c>
      <c r="O32" s="17">
        <f>求节点($C$17:$C$22,E$17:E$22,基础状态预期!N43)</f>
        <v>0</v>
      </c>
      <c r="P32" s="17">
        <f>求节点($C$17:$C$22,F$17:F$22,基础状态预期!O43)</f>
        <v>0</v>
      </c>
      <c r="Q32" s="17">
        <f>求节点($C$17:$C$22,G$17:G$22,基础状态预期!P43)</f>
        <v>0.03</v>
      </c>
      <c r="R32" s="51">
        <f>SUMPRODUCT(N32:Q32,基础状态预期!I43:L43)/6</f>
        <v>0</v>
      </c>
      <c r="V32" s="16">
        <v>27</v>
      </c>
      <c r="W32" s="16">
        <f t="shared" si="5"/>
        <v>0</v>
      </c>
      <c r="X32" s="16">
        <f t="shared" si="6"/>
        <v>0</v>
      </c>
      <c r="Y32" s="16">
        <f t="shared" si="7"/>
        <v>0</v>
      </c>
      <c r="Z32" s="16">
        <f t="shared" si="8"/>
        <v>0</v>
      </c>
      <c r="AA32" s="16">
        <f t="shared" si="9"/>
        <v>0</v>
      </c>
      <c r="AD32" s="16">
        <v>31</v>
      </c>
      <c r="AL32" s="16">
        <v>70</v>
      </c>
      <c r="AM32" s="16">
        <f>投放验证!$Q45*2</f>
        <v>355942.74473504396</v>
      </c>
    </row>
    <row r="33" spans="2:44">
      <c r="B33" s="176"/>
      <c r="C33" s="17">
        <v>3</v>
      </c>
      <c r="D33" s="17"/>
      <c r="E33" s="17"/>
      <c r="F33" s="17"/>
      <c r="G33" s="17">
        <f>SUM(G$5:G8)</f>
        <v>6</v>
      </c>
      <c r="H33" s="17">
        <f>SUM(H$5:H8)</f>
        <v>6</v>
      </c>
      <c r="L33" s="16">
        <v>4</v>
      </c>
      <c r="M33" s="17">
        <f>基础状态预期!$C44</f>
        <v>60</v>
      </c>
      <c r="N33" s="17">
        <f>求节点($C$17:$C$22,D$17:D$22,基础状态预期!M44)</f>
        <v>0</v>
      </c>
      <c r="O33" s="17">
        <f>求节点($C$17:$C$22,E$17:E$22,基础状态预期!N44)</f>
        <v>0</v>
      </c>
      <c r="P33" s="17">
        <f>求节点($C$17:$C$22,F$17:F$22,基础状态预期!O44)</f>
        <v>0</v>
      </c>
      <c r="Q33" s="17">
        <f>求节点($C$17:$C$22,G$17:G$22,基础状态预期!P44)</f>
        <v>0.03</v>
      </c>
      <c r="R33" s="17">
        <f>MAX(SUMPRODUCT(N33:Q33,基础状态预期!I44:L44)/6,R32)</f>
        <v>1.0698830802080853E-2</v>
      </c>
      <c r="V33" s="16">
        <v>28</v>
      </c>
      <c r="W33" s="16">
        <f t="shared" si="5"/>
        <v>0</v>
      </c>
      <c r="X33" s="16">
        <f t="shared" si="6"/>
        <v>0</v>
      </c>
      <c r="Y33" s="16">
        <f t="shared" si="7"/>
        <v>0</v>
      </c>
      <c r="Z33" s="16">
        <f t="shared" si="8"/>
        <v>0</v>
      </c>
      <c r="AA33" s="16">
        <f t="shared" si="9"/>
        <v>0</v>
      </c>
      <c r="AD33" s="16">
        <v>32</v>
      </c>
      <c r="AL33" s="16">
        <v>75</v>
      </c>
      <c r="AM33" s="16">
        <f>投放验证!$Q46*2</f>
        <v>474003.4408018415</v>
      </c>
    </row>
    <row r="34" spans="2:44">
      <c r="B34" s="176"/>
      <c r="C34" s="17">
        <v>4</v>
      </c>
      <c r="D34" s="17"/>
      <c r="E34" s="17"/>
      <c r="F34" s="17"/>
      <c r="G34" s="17">
        <f>SUM(G$5:G9)</f>
        <v>8</v>
      </c>
      <c r="H34" s="17">
        <f>SUM(H$5:H9)</f>
        <v>8</v>
      </c>
      <c r="L34" s="16">
        <v>5</v>
      </c>
      <c r="M34" s="17">
        <f>基础状态预期!$C45</f>
        <v>70</v>
      </c>
      <c r="N34" s="17">
        <f>求节点($C$17:$C$22,D$17:D$22,基础状态预期!M45)</f>
        <v>0</v>
      </c>
      <c r="O34" s="17">
        <f>求节点($C$17:$C$22,E$17:E$22,基础状态预期!N45)</f>
        <v>0</v>
      </c>
      <c r="P34" s="17">
        <f>求节点($C$17:$C$22,F$17:F$22,基础状态预期!O45)</f>
        <v>0</v>
      </c>
      <c r="Q34" s="17">
        <f>求节点($C$17:$C$22,G$17:G$22,基础状态预期!P45)</f>
        <v>0.03</v>
      </c>
      <c r="R34" s="17">
        <f>MAX(SUMPRODUCT(N34:Q34,基础状态预期!I45:L45)/6,R33)</f>
        <v>2.0224019587218405E-2</v>
      </c>
      <c r="V34" s="16">
        <v>29</v>
      </c>
      <c r="W34" s="16">
        <f t="shared" si="5"/>
        <v>0</v>
      </c>
      <c r="X34" s="16">
        <f t="shared" si="6"/>
        <v>0</v>
      </c>
      <c r="Y34" s="16">
        <f t="shared" si="7"/>
        <v>0</v>
      </c>
      <c r="Z34" s="16">
        <f t="shared" si="8"/>
        <v>0</v>
      </c>
      <c r="AA34" s="16">
        <f t="shared" si="9"/>
        <v>0</v>
      </c>
      <c r="AD34" s="16">
        <v>33</v>
      </c>
      <c r="AL34" s="16">
        <v>80</v>
      </c>
      <c r="AM34" s="16">
        <f>投放验证!$Q47*2</f>
        <v>634421.83953332866</v>
      </c>
    </row>
    <row r="35" spans="2:44">
      <c r="B35" s="176"/>
      <c r="C35" s="17">
        <v>5</v>
      </c>
      <c r="D35" s="17"/>
      <c r="E35" s="17"/>
      <c r="F35" s="17"/>
      <c r="G35" s="17">
        <f>SUM(G$5:G10)</f>
        <v>10</v>
      </c>
      <c r="H35" s="17">
        <f>SUM(H$5:H10)</f>
        <v>10</v>
      </c>
      <c r="L35" s="16">
        <v>6</v>
      </c>
      <c r="M35" s="17">
        <f>基础状态预期!$C46</f>
        <v>75</v>
      </c>
      <c r="N35" s="17">
        <f>求节点($C$17:$C$22,D$17:D$22,基础状态预期!M46)</f>
        <v>0</v>
      </c>
      <c r="O35" s="17">
        <f>求节点($C$17:$C$22,E$17:E$22,基础状态预期!N46)</f>
        <v>0</v>
      </c>
      <c r="P35" s="17">
        <f>求节点($C$17:$C$22,F$17:F$22,基础状态预期!O46)</f>
        <v>0</v>
      </c>
      <c r="Q35" s="17">
        <f>求节点($C$17:$C$22,G$17:G$22,基础状态预期!P46)</f>
        <v>0.03</v>
      </c>
      <c r="R35" s="17">
        <f>MAX(SUMPRODUCT(N35:Q35,基础状态预期!I46:L46)/6,R34)</f>
        <v>2.6932013681922804E-2</v>
      </c>
      <c r="V35" s="16">
        <v>30</v>
      </c>
      <c r="W35" s="16">
        <f t="shared" si="5"/>
        <v>0</v>
      </c>
      <c r="X35" s="16">
        <f t="shared" si="6"/>
        <v>0</v>
      </c>
      <c r="Y35" s="16">
        <f t="shared" si="7"/>
        <v>0</v>
      </c>
      <c r="Z35" s="16">
        <f t="shared" si="8"/>
        <v>0</v>
      </c>
      <c r="AA35" s="16">
        <f t="shared" si="9"/>
        <v>0</v>
      </c>
      <c r="AD35" s="16">
        <v>34</v>
      </c>
      <c r="AL35" s="16">
        <v>85</v>
      </c>
      <c r="AM35" s="16">
        <f>投放验证!$Q48*2</f>
        <v>850378.14687633631</v>
      </c>
    </row>
    <row r="36" spans="2:44">
      <c r="B36" s="176"/>
      <c r="C36" s="17"/>
      <c r="D36" s="17"/>
      <c r="E36" s="17"/>
      <c r="F36" s="17"/>
      <c r="G36" s="17"/>
      <c r="H36" s="17"/>
      <c r="L36" s="16">
        <v>7</v>
      </c>
      <c r="M36" s="17">
        <f>基础状态预期!$C47</f>
        <v>80</v>
      </c>
      <c r="N36" s="17">
        <f>求节点($C$17:$C$22,D$17:D$22,基础状态预期!M47)</f>
        <v>0</v>
      </c>
      <c r="O36" s="17">
        <f>求节点($C$17:$C$22,E$17:E$22,基础状态预期!N47)</f>
        <v>0</v>
      </c>
      <c r="P36" s="17">
        <f>求节点($C$17:$C$22,F$17:F$22,基础状态预期!O47)</f>
        <v>0</v>
      </c>
      <c r="Q36" s="17">
        <f>求节点($C$17:$C$22,G$17:G$22,基础状态预期!P47)</f>
        <v>3.6046695428030032E-2</v>
      </c>
      <c r="R36" s="17">
        <f>MAX(SUMPRODUCT(N36:Q36,基础状态预期!I47:L47)/6,R35)</f>
        <v>3.6046695428030032E-2</v>
      </c>
      <c r="V36" s="16">
        <v>31</v>
      </c>
      <c r="W36" s="16">
        <f t="shared" si="5"/>
        <v>0</v>
      </c>
      <c r="X36" s="16">
        <f t="shared" si="6"/>
        <v>0</v>
      </c>
      <c r="Y36" s="16">
        <f t="shared" si="7"/>
        <v>0</v>
      </c>
      <c r="Z36" s="16">
        <f t="shared" si="8"/>
        <v>0</v>
      </c>
      <c r="AA36" s="16">
        <f t="shared" si="9"/>
        <v>0</v>
      </c>
      <c r="AD36" s="16">
        <v>35</v>
      </c>
      <c r="AL36" s="16">
        <v>90</v>
      </c>
      <c r="AM36" s="16">
        <f>投放验证!$Q49*2</f>
        <v>1139442.548719239</v>
      </c>
    </row>
    <row r="37" spans="2:44">
      <c r="B37" s="176"/>
      <c r="C37" s="17"/>
      <c r="D37" s="17"/>
      <c r="E37" s="17"/>
      <c r="F37" s="17"/>
      <c r="G37" s="17"/>
      <c r="H37" s="17"/>
      <c r="L37" s="16">
        <v>8</v>
      </c>
      <c r="M37" s="17">
        <f>基础状态预期!$C48</f>
        <v>85</v>
      </c>
      <c r="N37" s="17">
        <f>求节点($C$17:$C$22,D$17:D$22,基础状态预期!M48)</f>
        <v>0</v>
      </c>
      <c r="O37" s="17">
        <f>求节点($C$17:$C$22,E$17:E$22,基础状态预期!N48)</f>
        <v>0</v>
      </c>
      <c r="P37" s="17">
        <f>求节点($C$17:$C$22,F$17:F$22,基础状态预期!O48)</f>
        <v>0</v>
      </c>
      <c r="Q37" s="17">
        <f>求节点($C$17:$C$22,G$17:G$22,基础状态预期!P48)</f>
        <v>4.831694016342819E-2</v>
      </c>
      <c r="R37" s="17">
        <f>MAX(SUMPRODUCT(N37:Q37,基础状态预期!I48:L48)/6,R36)</f>
        <v>4.831694016342819E-2</v>
      </c>
      <c r="V37" s="16">
        <v>32</v>
      </c>
      <c r="W37" s="16">
        <f t="shared" si="5"/>
        <v>0</v>
      </c>
      <c r="X37" s="16">
        <f t="shared" si="6"/>
        <v>0</v>
      </c>
      <c r="Y37" s="16">
        <f t="shared" si="7"/>
        <v>0</v>
      </c>
      <c r="Z37" s="16">
        <f t="shared" si="8"/>
        <v>0</v>
      </c>
      <c r="AA37" s="16">
        <f t="shared" si="9"/>
        <v>0</v>
      </c>
      <c r="AD37" s="16">
        <v>36</v>
      </c>
      <c r="AL37" s="16">
        <v>95</v>
      </c>
      <c r="AM37" s="16">
        <f>投放验证!$Q50*2</f>
        <v>1540436.7611394227</v>
      </c>
    </row>
    <row r="38" spans="2:44">
      <c r="B38" s="177"/>
      <c r="C38" s="17"/>
      <c r="D38" s="17"/>
      <c r="E38" s="17"/>
      <c r="F38" s="17"/>
      <c r="G38" s="17"/>
      <c r="H38" s="17"/>
      <c r="L38" s="16">
        <v>9</v>
      </c>
      <c r="M38" s="17">
        <f>基础状态预期!$C49</f>
        <v>90</v>
      </c>
      <c r="N38" s="17">
        <f>求节点($C$17:$C$22,D$17:D$22,基础状态预期!M49)</f>
        <v>0</v>
      </c>
      <c r="O38" s="17">
        <f>求节点($C$17:$C$22,E$17:E$22,基础状态预期!N49)</f>
        <v>0</v>
      </c>
      <c r="P38" s="17">
        <f>求节点($C$17:$C$22,F$17:F$22,基础状态预期!O49)</f>
        <v>0</v>
      </c>
      <c r="Q38" s="17">
        <f>求节点($C$17:$C$22,G$17:G$22,基础状态预期!P49)</f>
        <v>6.4741053904502202E-2</v>
      </c>
      <c r="R38" s="17">
        <f>MAX(SUMPRODUCT(N38:Q38,基础状态预期!I49:L49)/6,R37)</f>
        <v>6.4741053904502202E-2</v>
      </c>
      <c r="V38" s="16">
        <v>33</v>
      </c>
      <c r="W38" s="16">
        <f t="shared" ref="W38:W69" si="10">求节点($M$6:$M$26,$R$6:$R$26,$V38)</f>
        <v>0</v>
      </c>
      <c r="X38" s="16">
        <f t="shared" ref="X38:X69" si="11">求节点($M$32:$M$52,$R$32:$R$52,$V38)</f>
        <v>0</v>
      </c>
      <c r="Y38" s="16">
        <f t="shared" ref="Y38:Y69" si="12">求节点($M$58:$M$78,$R$58:$R$78,$V38)</f>
        <v>0</v>
      </c>
      <c r="Z38" s="16">
        <f t="shared" ref="Z38:Z69" si="13">求节点($M$84:$M$104,$R$84:$R$104,$V38)</f>
        <v>0</v>
      </c>
      <c r="AA38" s="16">
        <f t="shared" ref="AA38:AA69" si="14">求节点($M$110:$M$130,$R$110:$R$130,$V38)</f>
        <v>0</v>
      </c>
      <c r="AD38" s="16">
        <v>37</v>
      </c>
      <c r="AL38" s="16">
        <v>100</v>
      </c>
      <c r="AM38" s="16">
        <f>投放验证!$Q51*2</f>
        <v>2094905.4602272604</v>
      </c>
    </row>
    <row r="39" spans="2:44">
      <c r="L39" s="16">
        <v>10</v>
      </c>
      <c r="M39" s="17">
        <f>基础状态预期!$C50</f>
        <v>95</v>
      </c>
      <c r="N39" s="17">
        <f>求节点($C$17:$C$22,D$17:D$22,基础状态预期!M50)</f>
        <v>0</v>
      </c>
      <c r="O39" s="17">
        <f>求节点($C$17:$C$22,E$17:E$22,基础状态预期!N50)</f>
        <v>0</v>
      </c>
      <c r="P39" s="17">
        <f>求节点($C$17:$C$22,F$17:F$22,基础状态预期!O50)</f>
        <v>0</v>
      </c>
      <c r="Q39" s="17">
        <f>求节点($C$17:$C$22,G$17:G$22,基础状态预期!P50)</f>
        <v>8.7524815973830827E-2</v>
      </c>
      <c r="R39" s="17">
        <f>MAX(SUMPRODUCT(N39:Q39,基础状态预期!I50:L50)/6,R38)</f>
        <v>8.7524815973830827E-2</v>
      </c>
      <c r="V39" s="16">
        <v>34</v>
      </c>
      <c r="W39" s="16">
        <f t="shared" si="10"/>
        <v>0</v>
      </c>
      <c r="X39" s="16">
        <f t="shared" si="11"/>
        <v>0</v>
      </c>
      <c r="Y39" s="16">
        <f t="shared" si="12"/>
        <v>0</v>
      </c>
      <c r="Z39" s="16">
        <f t="shared" si="13"/>
        <v>0</v>
      </c>
      <c r="AA39" s="16">
        <f t="shared" si="14"/>
        <v>0</v>
      </c>
      <c r="AD39" s="16">
        <v>38</v>
      </c>
      <c r="AL39" s="16">
        <v>105</v>
      </c>
      <c r="AM39" s="16">
        <f>投放验证!$Q52*2</f>
        <v>2852874.4002412804</v>
      </c>
    </row>
    <row r="40" spans="2:44">
      <c r="L40" s="16">
        <v>11</v>
      </c>
      <c r="M40" s="17">
        <f>基础状态预期!$C51</f>
        <v>100</v>
      </c>
      <c r="N40" s="17">
        <f>求节点($C$17:$C$22,D$17:D$22,基础状态预期!M51)</f>
        <v>0</v>
      </c>
      <c r="O40" s="17">
        <f>求节点($C$17:$C$22,E$17:E$22,基础状态预期!N51)</f>
        <v>0</v>
      </c>
      <c r="P40" s="17">
        <f>求节点($C$17:$C$22,F$17:F$22,基础状态预期!O51)</f>
        <v>0</v>
      </c>
      <c r="Q40" s="17">
        <f>求节点($C$17:$C$22,G$17:G$22,基础状态预期!P51)</f>
        <v>0.11902871933109434</v>
      </c>
      <c r="R40" s="17">
        <f>MAX(SUMPRODUCT(N40:Q40,基础状态预期!I51:L51)/6,R39)</f>
        <v>0.11902871933109434</v>
      </c>
      <c r="V40" s="16">
        <v>35</v>
      </c>
      <c r="W40" s="16">
        <f t="shared" si="10"/>
        <v>0</v>
      </c>
      <c r="X40" s="16">
        <f t="shared" si="11"/>
        <v>0</v>
      </c>
      <c r="Y40" s="16">
        <f t="shared" si="12"/>
        <v>0</v>
      </c>
      <c r="Z40" s="16">
        <f t="shared" si="13"/>
        <v>0</v>
      </c>
      <c r="AA40" s="16">
        <f t="shared" si="14"/>
        <v>0</v>
      </c>
      <c r="AD40" s="16">
        <v>39</v>
      </c>
      <c r="AL40" s="16">
        <v>110</v>
      </c>
      <c r="AM40" s="16">
        <f>投放验证!$Q53*2</f>
        <v>3895754.066677785</v>
      </c>
    </row>
    <row r="41" spans="2:44">
      <c r="L41" s="16">
        <v>12</v>
      </c>
      <c r="M41" s="17">
        <f>基础状态预期!$C52</f>
        <v>105</v>
      </c>
      <c r="N41" s="17">
        <f>求节点($C$17:$C$22,D$17:D$22,基础状态预期!M52)</f>
        <v>0</v>
      </c>
      <c r="O41" s="17">
        <f>求节点($C$17:$C$22,E$17:E$22,基础状态预期!N52)</f>
        <v>0</v>
      </c>
      <c r="P41" s="17">
        <f>求节点($C$17:$C$22,F$17:F$22,基础状态预期!O52)</f>
        <v>0</v>
      </c>
      <c r="Q41" s="17">
        <f>求节点($C$17:$C$22,G$17:G$22,基础状态预期!P52)</f>
        <v>0.17612684850312732</v>
      </c>
      <c r="R41" s="17">
        <f>MAX(SUMPRODUCT(N41:Q41,基础状态预期!I52:L52)/6,R40)</f>
        <v>0.17612684850312732</v>
      </c>
      <c r="V41" s="16">
        <v>36</v>
      </c>
      <c r="W41" s="16">
        <f t="shared" si="10"/>
        <v>0</v>
      </c>
      <c r="X41" s="16">
        <f t="shared" si="11"/>
        <v>0</v>
      </c>
      <c r="Y41" s="16">
        <f t="shared" si="12"/>
        <v>0</v>
      </c>
      <c r="Z41" s="16">
        <f t="shared" si="13"/>
        <v>0</v>
      </c>
      <c r="AA41" s="16">
        <f t="shared" si="14"/>
        <v>0</v>
      </c>
      <c r="AD41" s="16">
        <v>40</v>
      </c>
      <c r="AL41" s="16">
        <v>115</v>
      </c>
      <c r="AM41" s="16">
        <f>投放验证!$Q54*2</f>
        <v>5357175.1493388265</v>
      </c>
    </row>
    <row r="42" spans="2:44">
      <c r="L42" s="16">
        <v>13</v>
      </c>
      <c r="M42" s="17">
        <f>基础状态预期!$C53</f>
        <v>110</v>
      </c>
      <c r="N42" s="17">
        <f>求节点($C$17:$C$22,D$17:D$22,基础状态预期!M53)</f>
        <v>0</v>
      </c>
      <c r="O42" s="17">
        <f>求节点($C$17:$C$22,E$17:E$22,基础状态预期!N53)</f>
        <v>0</v>
      </c>
      <c r="P42" s="17">
        <f>求节点($C$17:$C$22,F$17:F$22,基础状态预期!O53)</f>
        <v>0</v>
      </c>
      <c r="Q42" s="17">
        <f>求节点($C$17:$C$22,G$17:G$22,基础状态预期!P53)</f>
        <v>0.2</v>
      </c>
      <c r="R42" s="17">
        <f>MAX(SUMPRODUCT(N42:Q42,基础状态预期!I53:L53)/6,R41)</f>
        <v>0.20000000000000004</v>
      </c>
      <c r="V42" s="16">
        <v>37</v>
      </c>
      <c r="W42" s="16">
        <f t="shared" si="10"/>
        <v>0</v>
      </c>
      <c r="X42" s="16">
        <f t="shared" si="11"/>
        <v>0</v>
      </c>
      <c r="Y42" s="16">
        <f t="shared" si="12"/>
        <v>0</v>
      </c>
      <c r="Z42" s="16">
        <f t="shared" si="13"/>
        <v>0</v>
      </c>
      <c r="AA42" s="16">
        <f t="shared" si="14"/>
        <v>0</v>
      </c>
      <c r="AD42" s="16">
        <v>41</v>
      </c>
      <c r="AL42" s="16">
        <v>120</v>
      </c>
      <c r="AM42" s="16">
        <f>投放验证!$Q55*2</f>
        <v>7391388.6263539121</v>
      </c>
    </row>
    <row r="43" spans="2:44">
      <c r="L43" s="16">
        <v>14</v>
      </c>
      <c r="M43" s="17">
        <f>基础状态预期!$C54</f>
        <v>115</v>
      </c>
      <c r="N43" s="17">
        <f>求节点($C$17:$C$22,D$17:D$22,基础状态预期!M54)</f>
        <v>0</v>
      </c>
      <c r="O43" s="17">
        <f>求节点($C$17:$C$22,E$17:E$22,基础状态预期!N54)</f>
        <v>0</v>
      </c>
      <c r="P43" s="17">
        <f>求节点($C$17:$C$22,F$17:F$22,基础状态预期!O54)</f>
        <v>0</v>
      </c>
      <c r="Q43" s="17">
        <f>求节点($C$17:$C$22,G$17:G$22,基础状态预期!P54)</f>
        <v>0.2</v>
      </c>
      <c r="R43" s="17">
        <f>MAX(SUMPRODUCT(N43:Q43,基础状态预期!I54:L54)/6,R42)</f>
        <v>0.20000000000000004</v>
      </c>
      <c r="V43" s="16">
        <v>38</v>
      </c>
      <c r="W43" s="16">
        <f t="shared" si="10"/>
        <v>0</v>
      </c>
      <c r="X43" s="16">
        <f t="shared" si="11"/>
        <v>0</v>
      </c>
      <c r="Y43" s="16">
        <f t="shared" si="12"/>
        <v>0</v>
      </c>
      <c r="Z43" s="16">
        <f t="shared" si="13"/>
        <v>0</v>
      </c>
      <c r="AA43" s="16">
        <f t="shared" si="14"/>
        <v>0</v>
      </c>
      <c r="AD43" s="16">
        <v>42</v>
      </c>
      <c r="AL43" s="16">
        <v>125</v>
      </c>
      <c r="AM43" s="16">
        <f>投放验证!$Q56*2</f>
        <v>10204129.745423822</v>
      </c>
    </row>
    <row r="44" spans="2:44">
      <c r="L44" s="16">
        <v>15</v>
      </c>
      <c r="M44" s="17">
        <f>基础状态预期!$C55</f>
        <v>120</v>
      </c>
      <c r="N44" s="17">
        <f>求节点($C$17:$C$22,D$17:D$22,基础状态预期!M55)</f>
        <v>0</v>
      </c>
      <c r="O44" s="17">
        <f>求节点($C$17:$C$22,E$17:E$22,基础状态预期!N55)</f>
        <v>0</v>
      </c>
      <c r="P44" s="17">
        <f>求节点($C$17:$C$22,F$17:F$22,基础状态预期!O55)</f>
        <v>0</v>
      </c>
      <c r="Q44" s="17">
        <f>求节点($C$17:$C$22,G$17:G$22,基础状态预期!P55)</f>
        <v>0.2</v>
      </c>
      <c r="R44" s="17">
        <f>MAX(SUMPRODUCT(N44:Q44,基础状态预期!I55:L55)/6,R43)</f>
        <v>0.20000000000000004</v>
      </c>
      <c r="V44" s="16">
        <v>39</v>
      </c>
      <c r="W44" s="16">
        <f t="shared" si="10"/>
        <v>0</v>
      </c>
      <c r="X44" s="16">
        <f t="shared" si="11"/>
        <v>0</v>
      </c>
      <c r="Y44" s="16">
        <f t="shared" si="12"/>
        <v>0</v>
      </c>
      <c r="Z44" s="16">
        <f t="shared" si="13"/>
        <v>0</v>
      </c>
      <c r="AA44" s="16">
        <f t="shared" si="14"/>
        <v>0</v>
      </c>
      <c r="AD44" s="16">
        <v>43</v>
      </c>
      <c r="AL44" s="16">
        <v>130</v>
      </c>
      <c r="AM44" s="16">
        <f>投放验证!$Q57*2</f>
        <v>14120722.396952713</v>
      </c>
    </row>
    <row r="45" spans="2:44">
      <c r="L45" s="16">
        <v>16</v>
      </c>
      <c r="M45" s="17">
        <f>基础状态预期!$C56</f>
        <v>125</v>
      </c>
      <c r="N45" s="17">
        <f>求节点($C$17:$C$22,D$17:D$22,基础状态预期!M56)</f>
        <v>0</v>
      </c>
      <c r="O45" s="17">
        <f>求节点($C$17:$C$22,E$17:E$22,基础状态预期!N56)</f>
        <v>0</v>
      </c>
      <c r="P45" s="17">
        <f>求节点($C$17:$C$22,F$17:F$22,基础状态预期!O56)</f>
        <v>0</v>
      </c>
      <c r="Q45" s="17">
        <f>求节点($C$17:$C$22,G$17:G$22,基础状态预期!P56)</f>
        <v>0.2</v>
      </c>
      <c r="R45" s="17">
        <f>MAX(SUMPRODUCT(N45:Q45,基础状态预期!I56:L56)/6,R44)</f>
        <v>0.20000000000000004</v>
      </c>
      <c r="V45" s="16">
        <v>40</v>
      </c>
      <c r="W45" s="16">
        <f t="shared" si="10"/>
        <v>0</v>
      </c>
      <c r="X45" s="16">
        <f t="shared" si="11"/>
        <v>0</v>
      </c>
      <c r="Y45" s="16">
        <f t="shared" si="12"/>
        <v>0</v>
      </c>
      <c r="Z45" s="16">
        <f t="shared" si="13"/>
        <v>0</v>
      </c>
      <c r="AA45" s="16">
        <f t="shared" si="14"/>
        <v>0</v>
      </c>
      <c r="AD45" s="16">
        <v>44</v>
      </c>
      <c r="AL45" s="16">
        <v>135</v>
      </c>
      <c r="AM45" s="16">
        <f>投放验证!$Q58*2</f>
        <v>19592535.386723541</v>
      </c>
    </row>
    <row r="46" spans="2:44">
      <c r="L46" s="16">
        <v>17</v>
      </c>
      <c r="M46" s="17">
        <f>基础状态预期!$C57</f>
        <v>130</v>
      </c>
      <c r="N46" s="17">
        <f>求节点($C$17:$C$22,D$17:D$22,基础状态预期!M57)</f>
        <v>0</v>
      </c>
      <c r="O46" s="17">
        <f>求节点($C$17:$C$22,E$17:E$22,基础状态预期!N57)</f>
        <v>0</v>
      </c>
      <c r="P46" s="17">
        <f>求节点($C$17:$C$22,F$17:F$22,基础状态预期!O57)</f>
        <v>0</v>
      </c>
      <c r="Q46" s="17">
        <f>求节点($C$17:$C$22,G$17:G$22,基础状态预期!P57)</f>
        <v>0.2</v>
      </c>
      <c r="R46" s="17">
        <f>MAX(SUMPRODUCT(N46:Q46,基础状态预期!I57:L57)/6,R45)</f>
        <v>0.20000000000000004</v>
      </c>
      <c r="V46" s="16">
        <v>41</v>
      </c>
      <c r="W46" s="16">
        <f t="shared" si="10"/>
        <v>0</v>
      </c>
      <c r="X46" s="16">
        <f t="shared" si="11"/>
        <v>0</v>
      </c>
      <c r="Y46" s="16">
        <f t="shared" si="12"/>
        <v>0</v>
      </c>
      <c r="Z46" s="16">
        <f t="shared" si="13"/>
        <v>0</v>
      </c>
      <c r="AA46" s="16">
        <f t="shared" si="14"/>
        <v>0</v>
      </c>
      <c r="AD46" s="16">
        <v>45</v>
      </c>
      <c r="AL46" s="16">
        <v>140</v>
      </c>
      <c r="AM46" s="16">
        <f>投放验证!$Q59*2</f>
        <v>27338616.23206237</v>
      </c>
    </row>
    <row r="47" spans="2:44">
      <c r="L47" s="16">
        <v>18</v>
      </c>
      <c r="M47" s="17">
        <f>基础状态预期!$C58</f>
        <v>135</v>
      </c>
      <c r="N47" s="17">
        <f>求节点($C$17:$C$22,D$17:D$22,基础状态预期!M58)</f>
        <v>0</v>
      </c>
      <c r="O47" s="17">
        <f>求节点($C$17:$C$22,E$17:E$22,基础状态预期!N58)</f>
        <v>0</v>
      </c>
      <c r="P47" s="17">
        <f>求节点($C$17:$C$22,F$17:F$22,基础状态预期!O58)</f>
        <v>0</v>
      </c>
      <c r="Q47" s="17">
        <f>求节点($C$17:$C$22,G$17:G$22,基础状态预期!P58)</f>
        <v>0.2</v>
      </c>
      <c r="R47" s="17">
        <f>MAX(SUMPRODUCT(N47:Q47,基础状态预期!I58:L58)/6,R46)</f>
        <v>0.20000000000000004</v>
      </c>
      <c r="V47" s="16">
        <v>42</v>
      </c>
      <c r="W47" s="16">
        <f t="shared" si="10"/>
        <v>0</v>
      </c>
      <c r="X47" s="16">
        <f t="shared" si="11"/>
        <v>0</v>
      </c>
      <c r="Y47" s="16">
        <f t="shared" si="12"/>
        <v>0</v>
      </c>
      <c r="Z47" s="16">
        <f t="shared" si="13"/>
        <v>0</v>
      </c>
      <c r="AA47" s="16">
        <f t="shared" si="14"/>
        <v>0</v>
      </c>
      <c r="AD47" s="16">
        <v>1</v>
      </c>
      <c r="AE47" s="17" t="s">
        <v>75</v>
      </c>
      <c r="AF47" s="70" t="s">
        <v>54</v>
      </c>
      <c r="AG47" s="170" t="s">
        <v>414</v>
      </c>
      <c r="AH47" s="170"/>
      <c r="AL47" s="16">
        <v>145</v>
      </c>
      <c r="AM47" s="16">
        <f>投放验证!$Q60*2</f>
        <v>38158828.411346033</v>
      </c>
      <c r="AP47" s="17" t="s">
        <v>75</v>
      </c>
      <c r="AQ47" s="69" t="s">
        <v>417</v>
      </c>
    </row>
    <row r="48" spans="2:44">
      <c r="L48" s="16">
        <v>19</v>
      </c>
      <c r="M48" s="17">
        <f>基础状态预期!$C59</f>
        <v>140</v>
      </c>
      <c r="N48" s="17">
        <f>求节点($C$17:$C$22,D$17:D$22,基础状态预期!M59)</f>
        <v>0</v>
      </c>
      <c r="O48" s="17">
        <f>求节点($C$17:$C$22,E$17:E$22,基础状态预期!N59)</f>
        <v>0</v>
      </c>
      <c r="P48" s="17">
        <f>求节点($C$17:$C$22,F$17:F$22,基础状态预期!O59)</f>
        <v>0</v>
      </c>
      <c r="Q48" s="17">
        <f>求节点($C$17:$C$22,G$17:G$22,基础状态预期!P59)</f>
        <v>0.2</v>
      </c>
      <c r="R48" s="17">
        <f>MAX(SUMPRODUCT(N48:Q48,基础状态预期!I59:L59)/6,R47)</f>
        <v>0.20000000000000004</v>
      </c>
      <c r="V48" s="16">
        <v>43</v>
      </c>
      <c r="W48" s="16">
        <f t="shared" si="10"/>
        <v>0</v>
      </c>
      <c r="X48" s="16">
        <f t="shared" si="11"/>
        <v>0</v>
      </c>
      <c r="Y48" s="16">
        <f t="shared" si="12"/>
        <v>0</v>
      </c>
      <c r="Z48" s="16">
        <f t="shared" si="13"/>
        <v>0</v>
      </c>
      <c r="AA48" s="16">
        <f t="shared" si="14"/>
        <v>0</v>
      </c>
      <c r="AD48" s="16">
        <v>2</v>
      </c>
      <c r="AE48" s="17" t="s">
        <v>161</v>
      </c>
      <c r="AF48" s="17" t="s">
        <v>412</v>
      </c>
      <c r="AG48" s="17" t="s">
        <v>412</v>
      </c>
      <c r="AH48" s="17" t="s">
        <v>413</v>
      </c>
      <c r="AL48" s="16">
        <v>150</v>
      </c>
      <c r="AM48" s="16">
        <f>投放验证!$Q61*2</f>
        <v>53167006.638814978</v>
      </c>
      <c r="AP48" s="17" t="s">
        <v>161</v>
      </c>
      <c r="AQ48" s="17" t="s">
        <v>416</v>
      </c>
      <c r="AR48" s="17" t="s">
        <v>192</v>
      </c>
    </row>
    <row r="49" spans="12:45">
      <c r="L49" s="16">
        <v>20</v>
      </c>
      <c r="M49" s="17">
        <f>基础状态预期!$C60</f>
        <v>145</v>
      </c>
      <c r="N49" s="17">
        <f>求节点($C$17:$C$22,D$17:D$22,基础状态预期!M60)</f>
        <v>0</v>
      </c>
      <c r="O49" s="17">
        <f>求节点($C$17:$C$22,E$17:E$22,基础状态预期!N60)</f>
        <v>0</v>
      </c>
      <c r="P49" s="17">
        <f>求节点($C$17:$C$22,F$17:F$22,基础状态预期!O60)</f>
        <v>0</v>
      </c>
      <c r="Q49" s="17">
        <f>求节点($C$17:$C$22,G$17:G$22,基础状态预期!P60)</f>
        <v>0.2</v>
      </c>
      <c r="R49" s="17">
        <f>MAX(SUMPRODUCT(N49:Q49,基础状态预期!I60:L60)/6,R48)</f>
        <v>0.20000000000000004</v>
      </c>
      <c r="V49" s="16">
        <v>44</v>
      </c>
      <c r="W49" s="16">
        <f t="shared" si="10"/>
        <v>0</v>
      </c>
      <c r="X49" s="16">
        <f t="shared" si="11"/>
        <v>0</v>
      </c>
      <c r="Y49" s="16">
        <f t="shared" si="12"/>
        <v>0</v>
      </c>
      <c r="Z49" s="16">
        <f t="shared" si="13"/>
        <v>0</v>
      </c>
      <c r="AA49" s="16">
        <f t="shared" si="14"/>
        <v>0</v>
      </c>
      <c r="AD49" s="16">
        <v>3</v>
      </c>
      <c r="AE49" s="17">
        <v>10</v>
      </c>
      <c r="AF49" s="17">
        <f>求节点($V$6:$V$165,$X$6:$X$165,$AE49)</f>
        <v>0</v>
      </c>
      <c r="AG49" s="51">
        <f>AF49*(INDEX([3]小r将兵属性验证!$AC$7:$AC$166,$AE49,1)*[3]战法技能效用!$AH$4+INDEX([3]小r将兵属性验证!$AX$7:$AX$166,$AE49,1)*[3]战法技能效用!$AI$4)</f>
        <v>0</v>
      </c>
      <c r="AH49" s="17">
        <f t="shared" ref="AH49:AH64" si="15">SUM(AG49:AG49)</f>
        <v>0</v>
      </c>
      <c r="AL49" s="16">
        <v>155</v>
      </c>
      <c r="AM49" s="16">
        <f>投放验证!$Q62*2</f>
        <v>83610447.033906683</v>
      </c>
      <c r="AP49" s="17">
        <v>10</v>
      </c>
      <c r="AQ49" s="17">
        <f>求节点($AL$30:$AL$50,AM$30:AM$50,$AP49)</f>
        <v>19670.822824834831</v>
      </c>
      <c r="AR49" s="17">
        <f t="shared" ref="AR49:AR64" si="16">SUM(AQ49:AQ49)</f>
        <v>19670.822824834831</v>
      </c>
      <c r="AS49" s="16">
        <f>AH49/AR49</f>
        <v>0</v>
      </c>
    </row>
    <row r="50" spans="12:45">
      <c r="L50" s="16">
        <v>21</v>
      </c>
      <c r="M50" s="17">
        <f>基础状态预期!$C61</f>
        <v>150</v>
      </c>
      <c r="N50" s="17">
        <f>求节点($C$17:$C$22,D$17:D$22,基础状态预期!M61)</f>
        <v>0</v>
      </c>
      <c r="O50" s="17">
        <f>求节点($C$17:$C$22,E$17:E$22,基础状态预期!N61)</f>
        <v>0</v>
      </c>
      <c r="P50" s="17">
        <f>求节点($C$17:$C$22,F$17:F$22,基础状态预期!O61)</f>
        <v>0</v>
      </c>
      <c r="Q50" s="17">
        <f>求节点($C$17:$C$22,G$17:G$22,基础状态预期!P61)</f>
        <v>0.2</v>
      </c>
      <c r="R50" s="17">
        <f>MAX(SUMPRODUCT(N50:Q50,基础状态预期!I61:L61)/6,R49)</f>
        <v>0.20000000000000004</v>
      </c>
      <c r="V50" s="16">
        <v>45</v>
      </c>
      <c r="W50" s="16">
        <f t="shared" si="10"/>
        <v>0</v>
      </c>
      <c r="X50" s="16">
        <f t="shared" si="11"/>
        <v>0</v>
      </c>
      <c r="Y50" s="16">
        <f t="shared" si="12"/>
        <v>0</v>
      </c>
      <c r="Z50" s="16">
        <f t="shared" si="13"/>
        <v>0</v>
      </c>
      <c r="AA50" s="16">
        <f t="shared" si="14"/>
        <v>0</v>
      </c>
      <c r="AD50" s="16">
        <v>4</v>
      </c>
      <c r="AE50" s="17">
        <v>20</v>
      </c>
      <c r="AF50" s="17">
        <f t="shared" ref="AF50:AF64" si="17">求节点($V$6:$V$165,$X$6:$X$165,$AE50)</f>
        <v>0</v>
      </c>
      <c r="AG50" s="17">
        <f>(AF50-AF49)*(INDEX([3]小r将兵属性验证!$AC$7:$AC$166,$AE50,1)*[3]战法技能效用!$AH$4+INDEX([3]小r将兵属性验证!$AX$7:$AX$166,$AE50,1)*[3]战法技能效用!$AI$4)+AG49</f>
        <v>0</v>
      </c>
      <c r="AH50" s="17">
        <f t="shared" si="15"/>
        <v>0</v>
      </c>
      <c r="AL50" s="16">
        <v>160</v>
      </c>
      <c r="AM50" s="16">
        <f>投放验证!$Q63*2</f>
        <v>122983692.5448474</v>
      </c>
      <c r="AP50" s="17">
        <v>20</v>
      </c>
      <c r="AQ50" s="17">
        <f t="shared" ref="AQ50:AQ64" si="18">求节点($AL$30:$AL$50,AM$30:AM$50,$AP50)</f>
        <v>39341.64564966967</v>
      </c>
      <c r="AR50" s="17">
        <f t="shared" si="16"/>
        <v>39341.64564966967</v>
      </c>
      <c r="AS50" s="16">
        <f t="shared" ref="AS50:AS64" si="19">AH50/AR50</f>
        <v>0</v>
      </c>
    </row>
    <row r="51" spans="12:45">
      <c r="L51" s="16">
        <v>22</v>
      </c>
      <c r="M51" s="17">
        <f>基础状态预期!$C62</f>
        <v>155</v>
      </c>
      <c r="N51" s="17">
        <f>求节点($C$17:$C$22,D$17:D$22,基础状态预期!M62)</f>
        <v>0</v>
      </c>
      <c r="O51" s="17">
        <f>求节点($C$17:$C$22,E$17:E$22,基础状态预期!N62)</f>
        <v>0</v>
      </c>
      <c r="P51" s="17">
        <f>求节点($C$17:$C$22,F$17:F$22,基础状态预期!O62)</f>
        <v>0</v>
      </c>
      <c r="Q51" s="17">
        <f>求节点($C$17:$C$22,G$17:G$22,基础状态预期!P62)</f>
        <v>0.2</v>
      </c>
      <c r="R51" s="17">
        <f>MAX(SUMPRODUCT(N51:Q51,基础状态预期!I62:L62)/6,R50)</f>
        <v>0.20000000000000004</v>
      </c>
      <c r="V51" s="16">
        <v>46</v>
      </c>
      <c r="W51" s="16">
        <f t="shared" si="10"/>
        <v>0</v>
      </c>
      <c r="X51" s="16">
        <f t="shared" si="11"/>
        <v>0</v>
      </c>
      <c r="Y51" s="16">
        <f t="shared" si="12"/>
        <v>0</v>
      </c>
      <c r="Z51" s="16">
        <f t="shared" si="13"/>
        <v>0</v>
      </c>
      <c r="AA51" s="16">
        <f t="shared" si="14"/>
        <v>0</v>
      </c>
      <c r="AD51" s="16">
        <v>5</v>
      </c>
      <c r="AE51" s="17">
        <v>30</v>
      </c>
      <c r="AF51" s="17">
        <f t="shared" si="17"/>
        <v>0</v>
      </c>
      <c r="AG51" s="17">
        <f>(AF51-AF50)*(INDEX([3]小r将兵属性验证!$AC$7:$AC$166,$AE51,1)*[3]战法技能效用!$AH$4+INDEX([3]小r将兵属性验证!$AX$7:$AX$166,$AE51,1)*[3]战法技能效用!$AI$4)+AG50</f>
        <v>0</v>
      </c>
      <c r="AH51" s="17">
        <f t="shared" si="15"/>
        <v>0</v>
      </c>
      <c r="AP51" s="17">
        <v>30</v>
      </c>
      <c r="AQ51" s="17">
        <f t="shared" si="18"/>
        <v>59012.468474504502</v>
      </c>
      <c r="AR51" s="17">
        <f t="shared" si="16"/>
        <v>59012.468474504502</v>
      </c>
      <c r="AS51" s="16">
        <f t="shared" si="19"/>
        <v>0</v>
      </c>
    </row>
    <row r="52" spans="12:45">
      <c r="L52" s="16">
        <v>23</v>
      </c>
      <c r="M52" s="17">
        <f>基础状态预期!$C63</f>
        <v>160</v>
      </c>
      <c r="N52" s="17">
        <f>求节点($C$17:$C$22,D$17:D$22,基础状态预期!M63)</f>
        <v>0</v>
      </c>
      <c r="O52" s="17">
        <f>求节点($C$17:$C$22,E$17:E$22,基础状态预期!N63)</f>
        <v>0</v>
      </c>
      <c r="P52" s="17">
        <f>求节点($C$17:$C$22,F$17:F$22,基础状态预期!O63)</f>
        <v>0</v>
      </c>
      <c r="Q52" s="17">
        <f>求节点($C$17:$C$22,G$17:G$22,基础状态预期!P63)</f>
        <v>0.2</v>
      </c>
      <c r="R52" s="17">
        <f>MAX(SUMPRODUCT(N52:Q52,基础状态预期!I63:L63)/6,R51)</f>
        <v>0.20000000000000004</v>
      </c>
      <c r="V52" s="16">
        <v>47</v>
      </c>
      <c r="W52" s="16">
        <f t="shared" si="10"/>
        <v>0</v>
      </c>
      <c r="X52" s="16">
        <f t="shared" si="11"/>
        <v>0</v>
      </c>
      <c r="Y52" s="16">
        <f t="shared" si="12"/>
        <v>0</v>
      </c>
      <c r="Z52" s="16">
        <f t="shared" si="13"/>
        <v>0</v>
      </c>
      <c r="AA52" s="16">
        <f t="shared" si="14"/>
        <v>0</v>
      </c>
      <c r="AD52" s="16">
        <v>6</v>
      </c>
      <c r="AE52" s="17">
        <v>40</v>
      </c>
      <c r="AF52" s="17">
        <f t="shared" si="17"/>
        <v>0</v>
      </c>
      <c r="AG52" s="17">
        <f>(AF52-AF51)*(INDEX([3]小r将兵属性验证!$AC$7:$AC$166,$AE52,1)*[3]战法技能效用!$AH$4+INDEX([3]小r将兵属性验证!$AX$7:$AX$166,$AE52,1)*[3]战法技能效用!$AI$4)+AG51</f>
        <v>0</v>
      </c>
      <c r="AH52" s="17">
        <f t="shared" si="15"/>
        <v>0</v>
      </c>
      <c r="AP52" s="17">
        <v>40</v>
      </c>
      <c r="AQ52" s="17">
        <f t="shared" si="18"/>
        <v>78683.29129933934</v>
      </c>
      <c r="AR52" s="17">
        <f t="shared" si="16"/>
        <v>78683.29129933934</v>
      </c>
      <c r="AS52" s="16">
        <f t="shared" si="19"/>
        <v>0</v>
      </c>
    </row>
    <row r="53" spans="12:45">
      <c r="L53" s="16">
        <v>24</v>
      </c>
      <c r="V53" s="16">
        <v>48</v>
      </c>
      <c r="W53" s="16">
        <f t="shared" si="10"/>
        <v>0</v>
      </c>
      <c r="X53" s="16">
        <f t="shared" si="11"/>
        <v>0</v>
      </c>
      <c r="Y53" s="16">
        <f t="shared" si="12"/>
        <v>0</v>
      </c>
      <c r="Z53" s="16">
        <f t="shared" si="13"/>
        <v>0</v>
      </c>
      <c r="AA53" s="16">
        <f t="shared" si="14"/>
        <v>0</v>
      </c>
      <c r="AD53" s="16">
        <v>7</v>
      </c>
      <c r="AE53" s="17">
        <v>50</v>
      </c>
      <c r="AF53" s="17">
        <f t="shared" si="17"/>
        <v>0</v>
      </c>
      <c r="AG53" s="17">
        <f>(AF53-AF52)*(INDEX([3]小r将兵属性验证!$AC$7:$AC$166,$AE53,1)*[3]战法技能效用!$AH$4+INDEX([3]小r将兵属性验证!$AX$7:$AX$166,$AE53,1)*[3]战法技能效用!$AI$4)+AG52</f>
        <v>0</v>
      </c>
      <c r="AH53" s="17">
        <f t="shared" si="15"/>
        <v>0</v>
      </c>
      <c r="AP53" s="17">
        <v>50</v>
      </c>
      <c r="AQ53" s="17">
        <f t="shared" si="18"/>
        <v>98354.114124174172</v>
      </c>
      <c r="AR53" s="17">
        <f t="shared" si="16"/>
        <v>98354.114124174172</v>
      </c>
      <c r="AS53" s="16">
        <f t="shared" si="19"/>
        <v>0</v>
      </c>
    </row>
    <row r="54" spans="12:45">
      <c r="L54" s="16">
        <v>25</v>
      </c>
      <c r="V54" s="16">
        <v>49</v>
      </c>
      <c r="W54" s="16">
        <f t="shared" si="10"/>
        <v>0</v>
      </c>
      <c r="X54" s="16">
        <f t="shared" si="11"/>
        <v>0</v>
      </c>
      <c r="Y54" s="16">
        <f t="shared" si="12"/>
        <v>0</v>
      </c>
      <c r="Z54" s="16">
        <f t="shared" si="13"/>
        <v>0</v>
      </c>
      <c r="AA54" s="16">
        <f t="shared" si="14"/>
        <v>0</v>
      </c>
      <c r="AD54" s="16">
        <v>8</v>
      </c>
      <c r="AE54" s="17">
        <v>60</v>
      </c>
      <c r="AF54" s="17">
        <f t="shared" si="17"/>
        <v>1.0698830802080853E-2</v>
      </c>
      <c r="AG54" s="17">
        <f>(AF54-AF53)*(INDEX([3]小r将兵属性验证!$AC$7:$AC$166,$AE54,1)*[3]战法技能效用!$AH$4+INDEX([3]小r将兵属性验证!$AX$7:$AX$166,$AE54,1)*[3]战法技能效用!$AI$4)+AG53</f>
        <v>40815646.05946546</v>
      </c>
      <c r="AH54" s="17">
        <f t="shared" si="15"/>
        <v>40815646.05946546</v>
      </c>
      <c r="AL54" s="16" t="s">
        <v>256</v>
      </c>
      <c r="AM54" s="174" t="s">
        <v>419</v>
      </c>
      <c r="AP54" s="17">
        <v>60</v>
      </c>
      <c r="AQ54" s="17">
        <f t="shared" si="18"/>
        <v>188299.422116623</v>
      </c>
      <c r="AR54" s="17">
        <f t="shared" si="16"/>
        <v>188299.422116623</v>
      </c>
      <c r="AS54" s="16">
        <f t="shared" si="19"/>
        <v>216.75927414257461</v>
      </c>
    </row>
    <row r="55" spans="12:45">
      <c r="L55" s="16">
        <v>26</v>
      </c>
      <c r="V55" s="16">
        <v>50</v>
      </c>
      <c r="W55" s="16">
        <f t="shared" si="10"/>
        <v>0</v>
      </c>
      <c r="X55" s="16">
        <f t="shared" si="11"/>
        <v>0</v>
      </c>
      <c r="Y55" s="16">
        <f t="shared" si="12"/>
        <v>0</v>
      </c>
      <c r="Z55" s="16">
        <f t="shared" si="13"/>
        <v>0</v>
      </c>
      <c r="AA55" s="16">
        <f t="shared" si="14"/>
        <v>0</v>
      </c>
      <c r="AD55" s="16">
        <v>9</v>
      </c>
      <c r="AE55" s="17">
        <v>70</v>
      </c>
      <c r="AF55" s="17">
        <f t="shared" si="17"/>
        <v>2.0224019587218405E-2</v>
      </c>
      <c r="AG55" s="17">
        <f>(AF55-AF54)*(INDEX([3]小r将兵属性验证!$AC$7:$AC$166,$AE55,1)*[3]战法技能效用!$AH$4+INDEX([3]小r将兵属性验证!$AX$7:$AX$166,$AE55,1)*[3]战法技能效用!$AI$4)+AG54</f>
        <v>187730025.72373122</v>
      </c>
      <c r="AH55" s="17">
        <f t="shared" si="15"/>
        <v>187730025.72373122</v>
      </c>
      <c r="AL55" s="16" t="s">
        <v>161</v>
      </c>
      <c r="AM55" s="174"/>
      <c r="AP55" s="17">
        <v>70</v>
      </c>
      <c r="AQ55" s="17">
        <f t="shared" si="18"/>
        <v>355942.74473504396</v>
      </c>
      <c r="AR55" s="17">
        <f t="shared" si="16"/>
        <v>355942.74473504396</v>
      </c>
      <c r="AS55" s="16">
        <f t="shared" si="19"/>
        <v>527.41635698593427</v>
      </c>
    </row>
    <row r="56" spans="12:45">
      <c r="L56" s="16">
        <v>1</v>
      </c>
      <c r="M56" s="69" t="s">
        <v>76</v>
      </c>
      <c r="N56" s="170" t="s">
        <v>252</v>
      </c>
      <c r="O56" s="170"/>
      <c r="P56" s="170"/>
      <c r="Q56" s="170"/>
      <c r="R56" s="170"/>
      <c r="V56" s="16">
        <v>51</v>
      </c>
      <c r="W56" s="16">
        <f t="shared" si="10"/>
        <v>8.9123169311934787E-4</v>
      </c>
      <c r="X56" s="16">
        <f t="shared" si="11"/>
        <v>1.0698830802080852E-3</v>
      </c>
      <c r="Y56" s="16">
        <f t="shared" si="12"/>
        <v>1.4421250393355067E-3</v>
      </c>
      <c r="Z56" s="16">
        <f t="shared" si="13"/>
        <v>2.7464272049797468E-3</v>
      </c>
      <c r="AA56" s="16">
        <f t="shared" si="14"/>
        <v>3.8579696458221078E-3</v>
      </c>
      <c r="AD56" s="16">
        <v>10</v>
      </c>
      <c r="AE56" s="17">
        <v>80</v>
      </c>
      <c r="AF56" s="17">
        <f t="shared" si="17"/>
        <v>3.6046695428030032E-2</v>
      </c>
      <c r="AG56" s="17">
        <f>(AF56-AF55)*(INDEX([3]小r将兵属性验证!$AC$7:$AC$166,$AE56,1)*[3]战法技能效用!$AH$4+INDEX([3]小r将兵属性验证!$AX$7:$AX$166,$AE56,1)*[3]战法技能效用!$AI$4)+AG55</f>
        <v>863751521.69846129</v>
      </c>
      <c r="AH56" s="17">
        <f t="shared" si="15"/>
        <v>863751521.69846129</v>
      </c>
      <c r="AL56" s="16">
        <v>50</v>
      </c>
      <c r="AM56" s="16">
        <f>投放验证!$Q69*2</f>
        <v>134624.77702573</v>
      </c>
      <c r="AP56" s="17">
        <v>80</v>
      </c>
      <c r="AQ56" s="17">
        <f t="shared" si="18"/>
        <v>634421.83953332866</v>
      </c>
      <c r="AR56" s="17">
        <f t="shared" si="16"/>
        <v>634421.83953332866</v>
      </c>
      <c r="AS56" s="16">
        <f t="shared" si="19"/>
        <v>1361.4782276944063</v>
      </c>
    </row>
    <row r="57" spans="12:45">
      <c r="L57" s="16">
        <v>2</v>
      </c>
      <c r="M57" s="17" t="s">
        <v>161</v>
      </c>
      <c r="N57" s="17" t="s">
        <v>1</v>
      </c>
      <c r="O57" s="17" t="s">
        <v>2</v>
      </c>
      <c r="P57" s="17" t="s">
        <v>0</v>
      </c>
      <c r="Q57" s="17" t="s">
        <v>205</v>
      </c>
      <c r="R57" s="71" t="s">
        <v>373</v>
      </c>
      <c r="V57" s="16">
        <v>52</v>
      </c>
      <c r="W57" s="16">
        <f t="shared" si="10"/>
        <v>1.7824633862386957E-3</v>
      </c>
      <c r="X57" s="16">
        <f t="shared" si="11"/>
        <v>2.1397661604161703E-3</v>
      </c>
      <c r="Y57" s="16">
        <f t="shared" si="12"/>
        <v>2.8842500786710134E-3</v>
      </c>
      <c r="Z57" s="16">
        <f t="shared" si="13"/>
        <v>5.4928544099594936E-3</v>
      </c>
      <c r="AA57" s="16">
        <f t="shared" si="14"/>
        <v>7.7159392916442155E-3</v>
      </c>
      <c r="AD57" s="16">
        <v>11</v>
      </c>
      <c r="AE57" s="17">
        <v>90</v>
      </c>
      <c r="AF57" s="17">
        <f t="shared" si="17"/>
        <v>6.4741053904502202E-2</v>
      </c>
      <c r="AG57" s="17">
        <f>(AF57-AF56)*(INDEX([3]小r将兵属性验证!$AC$7:$AC$166,$AE57,1)*[3]战法技能效用!$AH$4+INDEX([3]小r将兵属性验证!$AX$7:$AX$166,$AE57,1)*[3]战法技能效用!$AI$4)+AG56</f>
        <v>3804838367.8516502</v>
      </c>
      <c r="AH57" s="17">
        <f t="shared" si="15"/>
        <v>3804838367.8516502</v>
      </c>
      <c r="AL57" s="16">
        <v>60</v>
      </c>
      <c r="AM57" s="16">
        <f>投放验证!$Q70*2</f>
        <v>253814.00692304922</v>
      </c>
      <c r="AP57" s="17">
        <v>90</v>
      </c>
      <c r="AQ57" s="17">
        <f t="shared" si="18"/>
        <v>1139442.548719239</v>
      </c>
      <c r="AR57" s="17">
        <f t="shared" si="16"/>
        <v>1139442.548719239</v>
      </c>
      <c r="AS57" s="16">
        <f t="shared" si="19"/>
        <v>3339.2103639875313</v>
      </c>
    </row>
    <row r="58" spans="12:45">
      <c r="L58" s="16">
        <v>3</v>
      </c>
      <c r="M58" s="17">
        <f>基础状态预期!$C69</f>
        <v>50</v>
      </c>
      <c r="N58" s="17">
        <f>求节点($C$17:$C$22,D$17:D$22,基础状态预期!M69)</f>
        <v>0</v>
      </c>
      <c r="O58" s="17">
        <f>求节点($C$17:$C$22,E$17:E$22,基础状态预期!N69)</f>
        <v>0</v>
      </c>
      <c r="P58" s="17">
        <f>求节点($C$17:$C$22,F$17:F$22,基础状态预期!O69)</f>
        <v>0</v>
      </c>
      <c r="Q58" s="17">
        <f>求节点($C$17:$C$22,G$17:G$22,基础状态预期!P69)</f>
        <v>0.03</v>
      </c>
      <c r="R58" s="51">
        <f>SUMPRODUCT(N58:Q58,基础状态预期!I69:L69)/6</f>
        <v>0</v>
      </c>
      <c r="V58" s="16">
        <v>53</v>
      </c>
      <c r="W58" s="16">
        <f t="shared" si="10"/>
        <v>2.6736950793580438E-3</v>
      </c>
      <c r="X58" s="16">
        <f t="shared" si="11"/>
        <v>3.2096492406242555E-3</v>
      </c>
      <c r="Y58" s="16">
        <f t="shared" si="12"/>
        <v>4.3263751180065198E-3</v>
      </c>
      <c r="Z58" s="16">
        <f t="shared" si="13"/>
        <v>8.2392816149392395E-3</v>
      </c>
      <c r="AA58" s="16">
        <f t="shared" si="14"/>
        <v>1.1573908937466324E-2</v>
      </c>
      <c r="AD58" s="16">
        <v>12</v>
      </c>
      <c r="AE58" s="17">
        <v>100</v>
      </c>
      <c r="AF58" s="17">
        <f t="shared" si="17"/>
        <v>0.11902871933109434</v>
      </c>
      <c r="AG58" s="17">
        <f>(AF58-AF57)*(INDEX([3]小r将兵属性验证!$AC$7:$AC$166,$AE58,1)*[3]战法技能效用!$AH$4+INDEX([3]小r将兵属性验证!$AX$7:$AX$166,$AE58,1)*[3]战法技能效用!$AI$4)+AG57</f>
        <v>15693859878.445395</v>
      </c>
      <c r="AH58" s="17">
        <f t="shared" si="15"/>
        <v>15693859878.445395</v>
      </c>
      <c r="AL58" s="16">
        <v>70</v>
      </c>
      <c r="AM58" s="16">
        <f>投放验证!$Q71*2</f>
        <v>498328.14505851525</v>
      </c>
      <c r="AP58" s="17">
        <v>100</v>
      </c>
      <c r="AQ58" s="17">
        <f t="shared" si="18"/>
        <v>2094905.4602272604</v>
      </c>
      <c r="AR58" s="17">
        <f t="shared" si="16"/>
        <v>2094905.4602272604</v>
      </c>
      <c r="AS58" s="16">
        <f t="shared" si="19"/>
        <v>7491.4406288973478</v>
      </c>
    </row>
    <row r="59" spans="12:45">
      <c r="L59" s="16">
        <v>4</v>
      </c>
      <c r="M59" s="17">
        <f>基础状态预期!$C70</f>
        <v>60</v>
      </c>
      <c r="N59" s="17">
        <f>求节点($C$17:$C$22,D$17:D$22,基础状态预期!M70)</f>
        <v>0</v>
      </c>
      <c r="O59" s="17">
        <f>求节点($C$17:$C$22,E$17:E$22,基础状态预期!N70)</f>
        <v>0</v>
      </c>
      <c r="P59" s="17">
        <f>求节点($C$17:$C$22,F$17:F$22,基础状态预期!O70)</f>
        <v>0</v>
      </c>
      <c r="Q59" s="17">
        <f>求节点($C$17:$C$22,G$17:G$22,基础状态预期!P70)</f>
        <v>4.0083205832742913E-2</v>
      </c>
      <c r="R59" s="17">
        <f>MAX(SUMPRODUCT(N59:Q59,基础状态预期!I70:L70)/6,R58)</f>
        <v>1.4421250393355067E-2</v>
      </c>
      <c r="V59" s="16">
        <v>54</v>
      </c>
      <c r="W59" s="16">
        <f t="shared" si="10"/>
        <v>3.5649267724773915E-3</v>
      </c>
      <c r="X59" s="16">
        <f t="shared" si="11"/>
        <v>4.2795323208323407E-3</v>
      </c>
      <c r="Y59" s="16">
        <f t="shared" si="12"/>
        <v>5.7685001573420268E-3</v>
      </c>
      <c r="Z59" s="16">
        <f t="shared" si="13"/>
        <v>1.0985708819918987E-2</v>
      </c>
      <c r="AA59" s="16">
        <f t="shared" si="14"/>
        <v>1.5431878583288431E-2</v>
      </c>
      <c r="AD59" s="16">
        <v>13</v>
      </c>
      <c r="AE59" s="17">
        <v>110</v>
      </c>
      <c r="AF59" s="17">
        <f t="shared" si="17"/>
        <v>0.20000000000000004</v>
      </c>
      <c r="AG59" s="17">
        <f>(AF59-AF58)*(INDEX([3]小r将兵属性验证!$AC$7:$AC$166,$AE59,1)*[3]战法技能效用!$AH$4+INDEX([3]小r将兵属性验证!$AX$7:$AX$166,$AE59,1)*[3]战法技能效用!$AI$4)+AG58</f>
        <v>46610383315.791466</v>
      </c>
      <c r="AH59" s="17">
        <f t="shared" si="15"/>
        <v>46610383315.791466</v>
      </c>
      <c r="AL59" s="16">
        <v>75</v>
      </c>
      <c r="AM59" s="16">
        <f>投放验证!$Q72*2</f>
        <v>670440.52718444658</v>
      </c>
      <c r="AP59" s="17">
        <v>110</v>
      </c>
      <c r="AQ59" s="17">
        <f t="shared" si="18"/>
        <v>3895754.066677785</v>
      </c>
      <c r="AR59" s="17">
        <f t="shared" si="16"/>
        <v>3895754.066677785</v>
      </c>
      <c r="AS59" s="16">
        <f t="shared" si="19"/>
        <v>11964.405996382568</v>
      </c>
    </row>
    <row r="60" spans="12:45">
      <c r="L60" s="16">
        <v>5</v>
      </c>
      <c r="M60" s="17">
        <f>基础状态预期!$C71</f>
        <v>70</v>
      </c>
      <c r="N60" s="17">
        <f>求节点($C$17:$C$22,D$17:D$22,基础状态预期!M71)</f>
        <v>0</v>
      </c>
      <c r="O60" s="17">
        <f>求节点($C$17:$C$22,E$17:E$22,基础状态预期!N71)</f>
        <v>0</v>
      </c>
      <c r="P60" s="17">
        <f>求节点($C$17:$C$22,F$17:F$22,基础状态预期!O71)</f>
        <v>0</v>
      </c>
      <c r="Q60" s="17">
        <f>求节点($C$17:$C$22,G$17:G$22,基础状态预期!P71)</f>
        <v>4.0083205832742913E-2</v>
      </c>
      <c r="R60" s="17">
        <f>MAX(SUMPRODUCT(N60:Q60,基础状态预期!I71:L71)/6,R59)</f>
        <v>2.8765088801012088E-2</v>
      </c>
      <c r="V60" s="16">
        <v>55</v>
      </c>
      <c r="W60" s="16">
        <f t="shared" si="10"/>
        <v>4.4561584655967391E-3</v>
      </c>
      <c r="X60" s="16">
        <f t="shared" si="11"/>
        <v>5.3494154010404263E-3</v>
      </c>
      <c r="Y60" s="16">
        <f t="shared" si="12"/>
        <v>7.2106251966775337E-3</v>
      </c>
      <c r="Z60" s="16">
        <f t="shared" si="13"/>
        <v>1.3732136024898735E-2</v>
      </c>
      <c r="AA60" s="16">
        <f t="shared" si="14"/>
        <v>1.9289848229110538E-2</v>
      </c>
      <c r="AD60" s="16">
        <v>14</v>
      </c>
      <c r="AE60" s="17">
        <v>120</v>
      </c>
      <c r="AF60" s="17">
        <f t="shared" si="17"/>
        <v>0.20000000000000004</v>
      </c>
      <c r="AG60" s="17">
        <f>(AF60-AF59)*(INDEX([3]小r将兵属性验证!$AC$7:$AC$166,$AE60,1)*[3]战法技能效用!$AH$4+INDEX([3]小r将兵属性验证!$AX$7:$AX$166,$AE60,1)*[3]战法技能效用!$AI$4)+AG59</f>
        <v>46610383315.791466</v>
      </c>
      <c r="AH60" s="17">
        <f t="shared" si="15"/>
        <v>46610383315.791466</v>
      </c>
      <c r="AL60" s="16">
        <v>80</v>
      </c>
      <c r="AM60" s="16">
        <f>投放验证!$Q73*2</f>
        <v>914876.45110400254</v>
      </c>
      <c r="AP60" s="17">
        <v>120</v>
      </c>
      <c r="AQ60" s="17">
        <f t="shared" si="18"/>
        <v>7391388.6263539121</v>
      </c>
      <c r="AR60" s="17">
        <f t="shared" si="16"/>
        <v>7391388.6263539121</v>
      </c>
      <c r="AS60" s="16">
        <f t="shared" si="19"/>
        <v>6306.0387799936098</v>
      </c>
    </row>
    <row r="61" spans="12:45">
      <c r="L61" s="16">
        <v>6</v>
      </c>
      <c r="M61" s="17">
        <f>基础状态预期!$C72</f>
        <v>75</v>
      </c>
      <c r="N61" s="17">
        <f>求节点($C$17:$C$22,D$17:D$22,基础状态预期!M72)</f>
        <v>0</v>
      </c>
      <c r="O61" s="17">
        <f>求节点($C$17:$C$22,E$17:E$22,基础状态预期!N72)</f>
        <v>0</v>
      </c>
      <c r="P61" s="17">
        <f>求节点($C$17:$C$22,F$17:F$22,基础状态预期!O72)</f>
        <v>0</v>
      </c>
      <c r="Q61" s="17">
        <f>求节点($C$17:$C$22,G$17:G$22,基础状态预期!P72)</f>
        <v>4.1346777762744313E-2</v>
      </c>
      <c r="R61" s="17">
        <f>MAX(SUMPRODUCT(N61:Q61,基础状态预期!I72:L72)/6,R60)</f>
        <v>3.8093211771843542E-2</v>
      </c>
      <c r="V61" s="16">
        <v>56</v>
      </c>
      <c r="W61" s="16">
        <f t="shared" si="10"/>
        <v>5.3473901587160876E-3</v>
      </c>
      <c r="X61" s="16">
        <f t="shared" si="11"/>
        <v>6.419298481248511E-3</v>
      </c>
      <c r="Y61" s="16">
        <f t="shared" si="12"/>
        <v>8.6527502360130397E-3</v>
      </c>
      <c r="Z61" s="16">
        <f t="shared" si="13"/>
        <v>1.6478563229878479E-2</v>
      </c>
      <c r="AA61" s="16">
        <f t="shared" si="14"/>
        <v>2.3147817874932648E-2</v>
      </c>
      <c r="AD61" s="16">
        <v>15</v>
      </c>
      <c r="AE61" s="17">
        <v>130</v>
      </c>
      <c r="AF61" s="17">
        <f t="shared" si="17"/>
        <v>0.20000000000000004</v>
      </c>
      <c r="AG61" s="17">
        <f>(AF61-AF60)*(INDEX([3]小r将兵属性验证!$AC$7:$AC$166,$AE61,1)*[3]战法技能效用!$AH$4+INDEX([3]小r将兵属性验证!$AX$7:$AX$166,$AE61,1)*[3]战法技能效用!$AI$4)+AG60</f>
        <v>46610383315.791466</v>
      </c>
      <c r="AH61" s="17">
        <f t="shared" si="15"/>
        <v>46610383315.791466</v>
      </c>
      <c r="AL61" s="16">
        <v>85</v>
      </c>
      <c r="AM61" s="16">
        <f>投放验证!$Q74*2</f>
        <v>1238768.2651615671</v>
      </c>
      <c r="AP61" s="17">
        <v>130</v>
      </c>
      <c r="AQ61" s="17">
        <f t="shared" si="18"/>
        <v>14120722.396952713</v>
      </c>
      <c r="AR61" s="17">
        <f t="shared" si="16"/>
        <v>14120722.396952713</v>
      </c>
      <c r="AS61" s="16">
        <f t="shared" si="19"/>
        <v>3300.8497728027073</v>
      </c>
    </row>
    <row r="62" spans="12:45">
      <c r="L62" s="16">
        <v>7</v>
      </c>
      <c r="M62" s="17">
        <f>基础状态预期!$C73</f>
        <v>80</v>
      </c>
      <c r="N62" s="17">
        <f>求节点($C$17:$C$22,D$17:D$22,基础状态预期!M73)</f>
        <v>0</v>
      </c>
      <c r="O62" s="17">
        <f>求节点($C$17:$C$22,E$17:E$22,基础状态预期!N73)</f>
        <v>0</v>
      </c>
      <c r="P62" s="17">
        <f>求节点($C$17:$C$22,F$17:F$22,基础状态预期!O73)</f>
        <v>0</v>
      </c>
      <c r="Q62" s="17">
        <f>求节点($C$17:$C$22,G$17:G$22,基础状态预期!P73)</f>
        <v>5.1981616540000136E-2</v>
      </c>
      <c r="R62" s="17">
        <f>MAX(SUMPRODUCT(N62:Q62,基础状态预期!I73:L73)/6,R61)</f>
        <v>5.1981616540000136E-2</v>
      </c>
      <c r="V62" s="16">
        <v>57</v>
      </c>
      <c r="W62" s="16">
        <f t="shared" si="10"/>
        <v>6.2386218518354353E-3</v>
      </c>
      <c r="X62" s="16">
        <f t="shared" si="11"/>
        <v>7.4891815614565958E-3</v>
      </c>
      <c r="Y62" s="16">
        <f t="shared" si="12"/>
        <v>1.0094875275348547E-2</v>
      </c>
      <c r="Z62" s="16">
        <f t="shared" si="13"/>
        <v>1.9224990434858227E-2</v>
      </c>
      <c r="AA62" s="16">
        <f t="shared" si="14"/>
        <v>2.7005787520754755E-2</v>
      </c>
      <c r="AD62" s="16">
        <v>16</v>
      </c>
      <c r="AE62" s="17">
        <v>140</v>
      </c>
      <c r="AF62" s="17">
        <f t="shared" si="17"/>
        <v>0.20000000000000004</v>
      </c>
      <c r="AG62" s="17">
        <f>(AF62-AF61)*(INDEX([3]小r将兵属性验证!$AC$7:$AC$166,$AE62,1)*[3]战法技能效用!$AH$4+INDEX([3]小r将兵属性验证!$AX$7:$AX$166,$AE62,1)*[3]战法技能效用!$AI$4)+AG61</f>
        <v>46610383315.791466</v>
      </c>
      <c r="AH62" s="17">
        <f t="shared" si="15"/>
        <v>46610383315.791466</v>
      </c>
      <c r="AL62" s="16">
        <v>90</v>
      </c>
      <c r="AM62" s="16">
        <f>投放验证!$Q75*2</f>
        <v>1679843.5047318505</v>
      </c>
      <c r="AP62" s="17">
        <v>140</v>
      </c>
      <c r="AQ62" s="17">
        <f t="shared" si="18"/>
        <v>27338616.23206237</v>
      </c>
      <c r="AR62" s="17">
        <f t="shared" si="16"/>
        <v>27338616.23206237</v>
      </c>
      <c r="AS62" s="16">
        <f t="shared" si="19"/>
        <v>1704.9284031108868</v>
      </c>
    </row>
    <row r="63" spans="12:45">
      <c r="L63" s="16">
        <v>8</v>
      </c>
      <c r="M63" s="17">
        <f>基础状态预期!$C74</f>
        <v>85</v>
      </c>
      <c r="N63" s="17">
        <f>求节点($C$17:$C$22,D$17:D$22,基础状态预期!M74)</f>
        <v>0</v>
      </c>
      <c r="O63" s="17">
        <f>求节点($C$17:$C$22,E$17:E$22,基础状态预期!N74)</f>
        <v>0</v>
      </c>
      <c r="P63" s="17">
        <f>求节点($C$17:$C$22,F$17:F$22,基础状态预期!O74)</f>
        <v>0</v>
      </c>
      <c r="Q63" s="17">
        <f>求节点($C$17:$C$22,G$17:G$22,基础状态预期!P74)</f>
        <v>7.0384560520543579E-2</v>
      </c>
      <c r="R63" s="17">
        <f>MAX(SUMPRODUCT(N63:Q63,基础状态预期!I74:L74)/6,R62)</f>
        <v>7.0384560520543579E-2</v>
      </c>
      <c r="V63" s="16">
        <v>58</v>
      </c>
      <c r="W63" s="16">
        <f t="shared" si="10"/>
        <v>7.1298535449547829E-3</v>
      </c>
      <c r="X63" s="16">
        <f t="shared" si="11"/>
        <v>8.5590646416646814E-3</v>
      </c>
      <c r="Y63" s="16">
        <f t="shared" si="12"/>
        <v>1.1537000314684054E-2</v>
      </c>
      <c r="Z63" s="16">
        <f t="shared" si="13"/>
        <v>2.1971417639837974E-2</v>
      </c>
      <c r="AA63" s="16">
        <f t="shared" si="14"/>
        <v>3.0863757166576862E-2</v>
      </c>
      <c r="AD63" s="16">
        <v>17</v>
      </c>
      <c r="AE63" s="17">
        <v>150</v>
      </c>
      <c r="AF63" s="17">
        <f t="shared" si="17"/>
        <v>0.20000000000000004</v>
      </c>
      <c r="AG63" s="17">
        <f>(AF63-AF62)*(INDEX([3]小r将兵属性验证!$AC$7:$AC$166,$AE63,1)*[3]战法技能效用!$AH$4+INDEX([3]小r将兵属性验证!$AX$7:$AX$166,$AE63,1)*[3]战法技能效用!$AI$4)+AG62</f>
        <v>46610383315.791466</v>
      </c>
      <c r="AH63" s="17">
        <f t="shared" si="15"/>
        <v>46610383315.791466</v>
      </c>
      <c r="AL63" s="16">
        <v>95</v>
      </c>
      <c r="AM63" s="16">
        <f>投放验证!$Q76*2</f>
        <v>2280946.8505230113</v>
      </c>
      <c r="AP63" s="17">
        <v>150</v>
      </c>
      <c r="AQ63" s="17">
        <f t="shared" si="18"/>
        <v>53167006.638814978</v>
      </c>
      <c r="AR63" s="17">
        <f t="shared" si="16"/>
        <v>53167006.638814978</v>
      </c>
      <c r="AS63" s="16">
        <f t="shared" si="19"/>
        <v>876.67871980144923</v>
      </c>
    </row>
    <row r="64" spans="12:45">
      <c r="L64" s="16">
        <v>9</v>
      </c>
      <c r="M64" s="17">
        <f>基础状态预期!$C75</f>
        <v>90</v>
      </c>
      <c r="N64" s="17">
        <f>求节点($C$17:$C$22,D$17:D$22,基础状态预期!M75)</f>
        <v>0</v>
      </c>
      <c r="O64" s="17">
        <f>求节点($C$17:$C$22,E$17:E$22,基础状态预期!N75)</f>
        <v>0</v>
      </c>
      <c r="P64" s="17">
        <f>求节点($C$17:$C$22,F$17:F$22,基础状态预期!O75)</f>
        <v>0</v>
      </c>
      <c r="Q64" s="17">
        <f>求节点($C$17:$C$22,G$17:G$22,基础状态预期!P75)</f>
        <v>9.5445653677946038E-2</v>
      </c>
      <c r="R64" s="17">
        <f>MAX(SUMPRODUCT(N64:Q64,基础状态预期!I75:L75)/6,R63)</f>
        <v>9.5445653677946038E-2</v>
      </c>
      <c r="V64" s="16">
        <v>59</v>
      </c>
      <c r="W64" s="16">
        <f t="shared" si="10"/>
        <v>8.0210852380741306E-3</v>
      </c>
      <c r="X64" s="16">
        <f t="shared" si="11"/>
        <v>9.628947721872767E-3</v>
      </c>
      <c r="Y64" s="16">
        <f t="shared" si="12"/>
        <v>1.297912535401956E-2</v>
      </c>
      <c r="Z64" s="16">
        <f t="shared" si="13"/>
        <v>2.4717844844817722E-2</v>
      </c>
      <c r="AA64" s="16">
        <f t="shared" si="14"/>
        <v>3.4721726812398969E-2</v>
      </c>
      <c r="AD64" s="16">
        <v>18</v>
      </c>
      <c r="AE64" s="17">
        <v>160</v>
      </c>
      <c r="AF64" s="17">
        <f t="shared" si="17"/>
        <v>0.20000000000000004</v>
      </c>
      <c r="AG64" s="17">
        <f>(AF64-AF63)*(INDEX([3]小r将兵属性验证!$AC$7:$AC$166,$AE64,1)*[3]战法技能效用!$AH$4+INDEX([3]小r将兵属性验证!$AX$7:$AX$166,$AE64,1)*[3]战法技能效用!$AI$4)+AG63</f>
        <v>46610383315.791466</v>
      </c>
      <c r="AH64" s="17">
        <f t="shared" si="15"/>
        <v>46610383315.791466</v>
      </c>
      <c r="AL64" s="16">
        <v>100</v>
      </c>
      <c r="AM64" s="16">
        <f>投放验证!$Q77*2</f>
        <v>3172532.8153532185</v>
      </c>
      <c r="AP64" s="17">
        <v>160</v>
      </c>
      <c r="AQ64" s="17">
        <f t="shared" si="18"/>
        <v>122983692.5448474</v>
      </c>
      <c r="AR64" s="17">
        <f t="shared" si="16"/>
        <v>122983692.5448474</v>
      </c>
      <c r="AS64" s="16">
        <f t="shared" si="19"/>
        <v>378.99645352406753</v>
      </c>
    </row>
    <row r="65" spans="12:39">
      <c r="L65" s="16">
        <v>10</v>
      </c>
      <c r="M65" s="17">
        <f>基础状态预期!$C76</f>
        <v>95</v>
      </c>
      <c r="N65" s="17">
        <f>求节点($C$17:$C$22,D$17:D$22,基础状态预期!M76)</f>
        <v>0</v>
      </c>
      <c r="O65" s="17">
        <f>求节点($C$17:$C$22,E$17:E$22,基础状态预期!N76)</f>
        <v>0</v>
      </c>
      <c r="P65" s="17">
        <f>求节点($C$17:$C$22,F$17:F$22,基础状态预期!O76)</f>
        <v>0</v>
      </c>
      <c r="Q65" s="17">
        <f>求节点($C$17:$C$22,G$17:G$22,基础状态预期!P76)</f>
        <v>0.13279900382750084</v>
      </c>
      <c r="R65" s="17">
        <f>MAX(SUMPRODUCT(N65:Q65,基础状态预期!I76:L76)/6,R64)</f>
        <v>0.13279900382750084</v>
      </c>
      <c r="V65" s="16">
        <v>60</v>
      </c>
      <c r="W65" s="16">
        <f t="shared" si="10"/>
        <v>8.9123169311934782E-3</v>
      </c>
      <c r="X65" s="16">
        <f t="shared" si="11"/>
        <v>1.0698830802080853E-2</v>
      </c>
      <c r="Y65" s="16">
        <f t="shared" si="12"/>
        <v>1.4421250393355067E-2</v>
      </c>
      <c r="Z65" s="16">
        <f t="shared" si="13"/>
        <v>2.7464272049797466E-2</v>
      </c>
      <c r="AA65" s="16">
        <f t="shared" si="14"/>
        <v>3.8579696458221076E-2</v>
      </c>
      <c r="AD65" s="16">
        <v>19</v>
      </c>
      <c r="AL65" s="16">
        <v>105</v>
      </c>
      <c r="AM65" s="16">
        <f>投放验证!$Q78*2</f>
        <v>4348953.280718077</v>
      </c>
    </row>
    <row r="66" spans="12:39">
      <c r="L66" s="16">
        <v>11</v>
      </c>
      <c r="M66" s="17">
        <f>基础状态预期!$C77</f>
        <v>100</v>
      </c>
      <c r="N66" s="17">
        <f>求节点($C$17:$C$22,D$17:D$22,基础状态预期!M77)</f>
        <v>0</v>
      </c>
      <c r="O66" s="17">
        <f>求节点($C$17:$C$22,E$17:E$22,基础状态预期!N77)</f>
        <v>0</v>
      </c>
      <c r="P66" s="17">
        <f>求节点($C$17:$C$22,F$17:F$22,基础状态预期!O77)</f>
        <v>0</v>
      </c>
      <c r="Q66" s="17">
        <f>求节点($C$17:$C$22,G$17:G$22,基础状态预期!P77)</f>
        <v>0.2</v>
      </c>
      <c r="R66" s="17">
        <f>MAX(SUMPRODUCT(N66:Q66,基础状态预期!I77:L77)/6,R65)</f>
        <v>0.20000000000000004</v>
      </c>
      <c r="V66" s="16">
        <v>61</v>
      </c>
      <c r="W66" s="16">
        <f t="shared" si="10"/>
        <v>9.6404417791622708E-3</v>
      </c>
      <c r="X66" s="16">
        <f t="shared" si="11"/>
        <v>1.1651349680594609E-2</v>
      </c>
      <c r="Y66" s="16">
        <f t="shared" si="12"/>
        <v>1.5855634234120768E-2</v>
      </c>
      <c r="Z66" s="16">
        <f t="shared" si="13"/>
        <v>3.0168639845302568E-2</v>
      </c>
      <c r="AA66" s="16">
        <f t="shared" si="14"/>
        <v>4.2352049379939333E-2</v>
      </c>
      <c r="AD66" s="16">
        <v>20</v>
      </c>
      <c r="AL66" s="16">
        <v>110</v>
      </c>
      <c r="AM66" s="16">
        <f>投放验证!$Q79*2</f>
        <v>6005840.7099435888</v>
      </c>
    </row>
    <row r="67" spans="12:39">
      <c r="L67" s="16">
        <v>12</v>
      </c>
      <c r="M67" s="17">
        <f>基础状态预期!$C78</f>
        <v>105</v>
      </c>
      <c r="N67" s="17">
        <f>求节点($C$17:$C$22,D$17:D$22,基础状态预期!M78)</f>
        <v>0</v>
      </c>
      <c r="O67" s="17">
        <f>求节点($C$17:$C$22,E$17:E$22,基础状态预期!N78)</f>
        <v>0</v>
      </c>
      <c r="P67" s="17">
        <f>求节点($C$17:$C$22,F$17:F$22,基础状态预期!O78)</f>
        <v>0</v>
      </c>
      <c r="Q67" s="17">
        <f>求节点($C$17:$C$22,G$17:G$22,基础状态预期!P78)</f>
        <v>0.2</v>
      </c>
      <c r="R67" s="17">
        <f>MAX(SUMPRODUCT(N67:Q67,基础状态预期!I78:L78)/6,R66)</f>
        <v>0.20000000000000004</v>
      </c>
      <c r="V67" s="16">
        <v>62</v>
      </c>
      <c r="W67" s="16">
        <f t="shared" si="10"/>
        <v>1.0368566627131065E-2</v>
      </c>
      <c r="X67" s="16">
        <f t="shared" si="11"/>
        <v>1.2603868559108363E-2</v>
      </c>
      <c r="Y67" s="16">
        <f t="shared" si="12"/>
        <v>1.7290018074886473E-2</v>
      </c>
      <c r="Z67" s="16">
        <f t="shared" si="13"/>
        <v>3.2873007640807667E-2</v>
      </c>
      <c r="AA67" s="16">
        <f t="shared" si="14"/>
        <v>4.6124402301657597E-2</v>
      </c>
      <c r="AD67" s="16">
        <v>21</v>
      </c>
      <c r="AL67" s="16">
        <v>115</v>
      </c>
      <c r="AM67" s="16">
        <f>投放验证!$Q80*2</f>
        <v>8305318.0270368271</v>
      </c>
    </row>
    <row r="68" spans="12:39">
      <c r="L68" s="16">
        <v>13</v>
      </c>
      <c r="M68" s="17">
        <f>基础状态预期!$C79</f>
        <v>110</v>
      </c>
      <c r="N68" s="17">
        <f>求节点($C$17:$C$22,D$17:D$22,基础状态预期!M79)</f>
        <v>0</v>
      </c>
      <c r="O68" s="17">
        <f>求节点($C$17:$C$22,E$17:E$22,基础状态预期!N79)</f>
        <v>0</v>
      </c>
      <c r="P68" s="17">
        <f>求节点($C$17:$C$22,F$17:F$22,基础状态预期!O79)</f>
        <v>0</v>
      </c>
      <c r="Q68" s="17">
        <f>求节点($C$17:$C$22,G$17:G$22,基础状态预期!P79)</f>
        <v>0.2</v>
      </c>
      <c r="R68" s="17">
        <f>MAX(SUMPRODUCT(N68:Q68,基础状态预期!I79:L79)/6,R67)</f>
        <v>0.20000000000000004</v>
      </c>
      <c r="V68" s="16">
        <v>63</v>
      </c>
      <c r="W68" s="16">
        <f t="shared" si="10"/>
        <v>1.1096691475099858E-2</v>
      </c>
      <c r="X68" s="16">
        <f t="shared" si="11"/>
        <v>1.3556387437622119E-2</v>
      </c>
      <c r="Y68" s="16">
        <f t="shared" si="12"/>
        <v>1.8724401915652174E-2</v>
      </c>
      <c r="Z68" s="16">
        <f t="shared" si="13"/>
        <v>3.5577375436312772E-2</v>
      </c>
      <c r="AA68" s="16">
        <f t="shared" si="14"/>
        <v>4.989675522337586E-2</v>
      </c>
      <c r="AD68" s="16">
        <v>22</v>
      </c>
      <c r="AL68" s="16">
        <v>120</v>
      </c>
      <c r="AM68" s="16">
        <f>投放验证!$Q81*2</f>
        <v>11600233.459921792</v>
      </c>
    </row>
    <row r="69" spans="12:39">
      <c r="L69" s="16">
        <v>14</v>
      </c>
      <c r="M69" s="17">
        <f>基础状态预期!$C80</f>
        <v>115</v>
      </c>
      <c r="N69" s="17">
        <f>求节点($C$17:$C$22,D$17:D$22,基础状态预期!M80)</f>
        <v>0</v>
      </c>
      <c r="O69" s="17">
        <f>求节点($C$17:$C$22,E$17:E$22,基础状态预期!N80)</f>
        <v>0</v>
      </c>
      <c r="P69" s="17">
        <f>求节点($C$17:$C$22,F$17:F$22,基础状态预期!O80)</f>
        <v>0</v>
      </c>
      <c r="Q69" s="17">
        <f>求节点($C$17:$C$22,G$17:G$22,基础状态预期!P80)</f>
        <v>0.2</v>
      </c>
      <c r="R69" s="17">
        <f>MAX(SUMPRODUCT(N69:Q69,基础状态预期!I80:L80)/6,R68)</f>
        <v>0.20000000000000004</v>
      </c>
      <c r="V69" s="16">
        <v>64</v>
      </c>
      <c r="W69" s="16">
        <f t="shared" si="10"/>
        <v>1.182481632306865E-2</v>
      </c>
      <c r="X69" s="16">
        <f t="shared" si="11"/>
        <v>1.4508906316135873E-2</v>
      </c>
      <c r="Y69" s="16">
        <f t="shared" si="12"/>
        <v>2.0158785756417875E-2</v>
      </c>
      <c r="Z69" s="16">
        <f t="shared" si="13"/>
        <v>3.828174323181787E-2</v>
      </c>
      <c r="AA69" s="16">
        <f t="shared" si="14"/>
        <v>5.3669108145094117E-2</v>
      </c>
      <c r="AD69" s="16">
        <v>23</v>
      </c>
      <c r="AL69" s="16">
        <v>125</v>
      </c>
      <c r="AM69" s="16">
        <f>投放验证!$Q82*2</f>
        <v>16129954.129249401</v>
      </c>
    </row>
    <row r="70" spans="12:39">
      <c r="L70" s="16">
        <v>15</v>
      </c>
      <c r="M70" s="17">
        <f>基础状态预期!$C81</f>
        <v>120</v>
      </c>
      <c r="N70" s="17">
        <f>求节点($C$17:$C$22,D$17:D$22,基础状态预期!M81)</f>
        <v>0</v>
      </c>
      <c r="O70" s="17">
        <f>求节点($C$17:$C$22,E$17:E$22,基础状态预期!N81)</f>
        <v>0</v>
      </c>
      <c r="P70" s="17">
        <f>求节点($C$17:$C$22,F$17:F$22,基础状态预期!O81)</f>
        <v>0</v>
      </c>
      <c r="Q70" s="17">
        <f>求节点($C$17:$C$22,G$17:G$22,基础状态预期!P81)</f>
        <v>0.2</v>
      </c>
      <c r="R70" s="17">
        <f>MAX(SUMPRODUCT(N70:Q70,基础状态预期!I81:L81)/6,R69)</f>
        <v>0.20000000000000004</v>
      </c>
      <c r="V70" s="16">
        <v>65</v>
      </c>
      <c r="W70" s="16">
        <f t="shared" ref="W70:W101" si="20">求节点($M$6:$M$26,$R$6:$R$26,$V70)</f>
        <v>1.2552941171037443E-2</v>
      </c>
      <c r="X70" s="16">
        <f t="shared" ref="X70:X101" si="21">求节点($M$32:$M$52,$R$32:$R$52,$V70)</f>
        <v>1.5461425194649629E-2</v>
      </c>
      <c r="Y70" s="16">
        <f t="shared" ref="Y70:Y101" si="22">求节点($M$58:$M$78,$R$58:$R$78,$V70)</f>
        <v>2.1593169597183576E-2</v>
      </c>
      <c r="Z70" s="16">
        <f t="shared" ref="Z70:Z101" si="23">求节点($M$84:$M$104,$R$84:$R$104,$V70)</f>
        <v>4.0986111027322969E-2</v>
      </c>
      <c r="AA70" s="16">
        <f t="shared" ref="AA70:AA101" si="24">求节点($M$110:$M$130,$R$110:$R$130,$V70)</f>
        <v>5.7441461066812374E-2</v>
      </c>
      <c r="AD70" s="16">
        <v>24</v>
      </c>
      <c r="AL70" s="16">
        <v>130</v>
      </c>
      <c r="AM70" s="16">
        <f>投放验证!$Q83*2</f>
        <v>22442279.344264437</v>
      </c>
    </row>
    <row r="71" spans="12:39">
      <c r="L71" s="16">
        <v>16</v>
      </c>
      <c r="M71" s="17">
        <f>基础状态预期!$C82</f>
        <v>125</v>
      </c>
      <c r="N71" s="17">
        <f>求节点($C$17:$C$22,D$17:D$22,基础状态预期!M82)</f>
        <v>0</v>
      </c>
      <c r="O71" s="17">
        <f>求节点($C$17:$C$22,E$17:E$22,基础状态预期!N82)</f>
        <v>0</v>
      </c>
      <c r="P71" s="17">
        <f>求节点($C$17:$C$22,F$17:F$22,基础状态预期!O82)</f>
        <v>0</v>
      </c>
      <c r="Q71" s="17">
        <f>求节点($C$17:$C$22,G$17:G$22,基础状态预期!P82)</f>
        <v>0.2</v>
      </c>
      <c r="R71" s="17">
        <f>MAX(SUMPRODUCT(N71:Q71,基础状态预期!I82:L82)/6,R70)</f>
        <v>0.20000000000000004</v>
      </c>
      <c r="V71" s="16">
        <v>66</v>
      </c>
      <c r="W71" s="16">
        <f t="shared" si="20"/>
        <v>1.3281066019006237E-2</v>
      </c>
      <c r="X71" s="16">
        <f t="shared" si="21"/>
        <v>1.6413944073163385E-2</v>
      </c>
      <c r="Y71" s="16">
        <f t="shared" si="22"/>
        <v>2.302755343794928E-2</v>
      </c>
      <c r="Z71" s="16">
        <f t="shared" si="23"/>
        <v>4.3690478822828074E-2</v>
      </c>
      <c r="AA71" s="16">
        <f t="shared" si="24"/>
        <v>6.1213813988530638E-2</v>
      </c>
      <c r="AD71" s="16">
        <v>25</v>
      </c>
      <c r="AL71" s="16">
        <v>135</v>
      </c>
      <c r="AM71" s="16">
        <f>投放验证!$Q84*2</f>
        <v>31220077.483138129</v>
      </c>
    </row>
    <row r="72" spans="12:39">
      <c r="L72" s="16">
        <v>17</v>
      </c>
      <c r="M72" s="17">
        <f>基础状态预期!$C83</f>
        <v>130</v>
      </c>
      <c r="N72" s="17">
        <f>求节点($C$17:$C$22,D$17:D$22,基础状态预期!M83)</f>
        <v>0</v>
      </c>
      <c r="O72" s="17">
        <f>求节点($C$17:$C$22,E$17:E$22,基础状态预期!N83)</f>
        <v>0</v>
      </c>
      <c r="P72" s="17">
        <f>求节点($C$17:$C$22,F$17:F$22,基础状态预期!O83)</f>
        <v>0</v>
      </c>
      <c r="Q72" s="17">
        <f>求节点($C$17:$C$22,G$17:G$22,基础状态预期!P83)</f>
        <v>0.2</v>
      </c>
      <c r="R72" s="17">
        <f>MAX(SUMPRODUCT(N72:Q72,基础状态预期!I83:L83)/6,R71)</f>
        <v>0.20000000000000004</v>
      </c>
      <c r="V72" s="16">
        <v>67</v>
      </c>
      <c r="W72" s="16">
        <f t="shared" si="20"/>
        <v>1.4009190866975029E-2</v>
      </c>
      <c r="X72" s="16">
        <f t="shared" si="21"/>
        <v>1.7366462951677139E-2</v>
      </c>
      <c r="Y72" s="16">
        <f t="shared" si="22"/>
        <v>2.4461937278714981E-2</v>
      </c>
      <c r="Z72" s="16">
        <f t="shared" si="23"/>
        <v>4.6394846618333173E-2</v>
      </c>
      <c r="AA72" s="16">
        <f t="shared" si="24"/>
        <v>6.4986166910248902E-2</v>
      </c>
      <c r="AD72" s="16">
        <v>26</v>
      </c>
      <c r="AL72" s="16">
        <v>140</v>
      </c>
      <c r="AM72" s="16">
        <f>投放验证!$Q85*2</f>
        <v>43824756.436709523</v>
      </c>
    </row>
    <row r="73" spans="12:39">
      <c r="L73" s="16">
        <v>18</v>
      </c>
      <c r="M73" s="17">
        <f>基础状态预期!$C84</f>
        <v>135</v>
      </c>
      <c r="N73" s="17">
        <f>求节点($C$17:$C$22,D$17:D$22,基础状态预期!M84)</f>
        <v>0</v>
      </c>
      <c r="O73" s="17">
        <f>求节点($C$17:$C$22,E$17:E$22,基础状态预期!N84)</f>
        <v>0</v>
      </c>
      <c r="P73" s="17">
        <f>求节点($C$17:$C$22,F$17:F$22,基础状态预期!O84)</f>
        <v>0</v>
      </c>
      <c r="Q73" s="17">
        <f>求节点($C$17:$C$22,G$17:G$22,基础状态预期!P84)</f>
        <v>0.2</v>
      </c>
      <c r="R73" s="17">
        <f>MAX(SUMPRODUCT(N73:Q73,基础状态预期!I84:L84)/6,R72)</f>
        <v>0.20000000000000004</v>
      </c>
      <c r="V73" s="16">
        <v>68</v>
      </c>
      <c r="W73" s="16">
        <f t="shared" si="20"/>
        <v>1.4737315714943824E-2</v>
      </c>
      <c r="X73" s="16">
        <f t="shared" si="21"/>
        <v>1.8318981830190893E-2</v>
      </c>
      <c r="Y73" s="16">
        <f t="shared" si="22"/>
        <v>2.5896321119480682E-2</v>
      </c>
      <c r="Z73" s="16">
        <f t="shared" si="23"/>
        <v>4.9099214413838271E-2</v>
      </c>
      <c r="AA73" s="16">
        <f t="shared" si="24"/>
        <v>6.8758519831967152E-2</v>
      </c>
      <c r="AD73" s="16">
        <v>27</v>
      </c>
      <c r="AL73" s="16">
        <v>145</v>
      </c>
      <c r="AM73" s="16">
        <f>投放验证!$Q86*2</f>
        <v>61609423.444149941</v>
      </c>
    </row>
    <row r="74" spans="12:39">
      <c r="L74" s="16">
        <v>19</v>
      </c>
      <c r="M74" s="17">
        <f>基础状态预期!$C85</f>
        <v>140</v>
      </c>
      <c r="N74" s="17">
        <f>求节点($C$17:$C$22,D$17:D$22,基础状态预期!M85)</f>
        <v>0</v>
      </c>
      <c r="O74" s="17">
        <f>求节点($C$17:$C$22,E$17:E$22,基础状态预期!N85)</f>
        <v>0</v>
      </c>
      <c r="P74" s="17">
        <f>求节点($C$17:$C$22,F$17:F$22,基础状态预期!O85)</f>
        <v>0</v>
      </c>
      <c r="Q74" s="17">
        <f>求节点($C$17:$C$22,G$17:G$22,基础状态预期!P85)</f>
        <v>0.2</v>
      </c>
      <c r="R74" s="17">
        <f>MAX(SUMPRODUCT(N74:Q74,基础状态预期!I85:L85)/6,R73)</f>
        <v>0.20000000000000004</v>
      </c>
      <c r="V74" s="16">
        <v>69</v>
      </c>
      <c r="W74" s="16">
        <f t="shared" si="20"/>
        <v>1.5465440562912616E-2</v>
      </c>
      <c r="X74" s="16">
        <f t="shared" si="21"/>
        <v>1.9271500708704651E-2</v>
      </c>
      <c r="Y74" s="16">
        <f t="shared" si="22"/>
        <v>2.7330704960246387E-2</v>
      </c>
      <c r="Z74" s="16">
        <f t="shared" si="23"/>
        <v>5.1803582209343377E-2</v>
      </c>
      <c r="AA74" s="16">
        <f t="shared" si="24"/>
        <v>7.2530872753685416E-2</v>
      </c>
      <c r="AD74" s="16">
        <v>28</v>
      </c>
      <c r="AL74" s="16">
        <v>150</v>
      </c>
      <c r="AM74" s="16">
        <f>投放验证!$Q87*2</f>
        <v>86043994.770403534</v>
      </c>
    </row>
    <row r="75" spans="12:39">
      <c r="L75" s="16">
        <v>20</v>
      </c>
      <c r="M75" s="17">
        <f>基础状态预期!$C86</f>
        <v>145</v>
      </c>
      <c r="N75" s="17">
        <f>求节点($C$17:$C$22,D$17:D$22,基础状态预期!M86)</f>
        <v>0</v>
      </c>
      <c r="O75" s="17">
        <f>求节点($C$17:$C$22,E$17:E$22,基础状态预期!N86)</f>
        <v>0</v>
      </c>
      <c r="P75" s="17">
        <f>求节点($C$17:$C$22,F$17:F$22,基础状态预期!O86)</f>
        <v>0</v>
      </c>
      <c r="Q75" s="17">
        <f>求节点($C$17:$C$22,G$17:G$22,基础状态预期!P86)</f>
        <v>0.2</v>
      </c>
      <c r="R75" s="17">
        <f>MAX(SUMPRODUCT(N75:Q75,基础状态预期!I86:L86)/6,R74)</f>
        <v>0.20000000000000004</v>
      </c>
      <c r="V75" s="16">
        <v>70</v>
      </c>
      <c r="W75" s="16">
        <f t="shared" si="20"/>
        <v>1.6193565410881409E-2</v>
      </c>
      <c r="X75" s="16">
        <f t="shared" si="21"/>
        <v>2.0224019587218405E-2</v>
      </c>
      <c r="Y75" s="16">
        <f t="shared" si="22"/>
        <v>2.8765088801012088E-2</v>
      </c>
      <c r="Z75" s="16">
        <f t="shared" si="23"/>
        <v>5.4507950004848475E-2</v>
      </c>
      <c r="AA75" s="16">
        <f t="shared" si="24"/>
        <v>7.630322567540368E-2</v>
      </c>
      <c r="AD75" s="16">
        <v>29</v>
      </c>
      <c r="AL75" s="16">
        <v>155</v>
      </c>
      <c r="AM75" s="16">
        <f>投放验证!$Q88*2</f>
        <v>171709006.13525793</v>
      </c>
    </row>
    <row r="76" spans="12:39">
      <c r="L76" s="16">
        <v>21</v>
      </c>
      <c r="M76" s="17">
        <f>基础状态预期!$C87</f>
        <v>150</v>
      </c>
      <c r="N76" s="17">
        <f>求节点($C$17:$C$22,D$17:D$22,基础状态预期!M87)</f>
        <v>0</v>
      </c>
      <c r="O76" s="17">
        <f>求节点($C$17:$C$22,E$17:E$22,基础状态预期!N87)</f>
        <v>0</v>
      </c>
      <c r="P76" s="17">
        <f>求节点($C$17:$C$22,F$17:F$22,基础状态预期!O87)</f>
        <v>0</v>
      </c>
      <c r="Q76" s="17">
        <f>求节点($C$17:$C$22,G$17:G$22,基础状态预期!P87)</f>
        <v>0.2</v>
      </c>
      <c r="R76" s="17">
        <f>MAX(SUMPRODUCT(N76:Q76,基础状态预期!I87:L87)/6,R75)</f>
        <v>0.20000000000000004</v>
      </c>
      <c r="V76" s="16">
        <v>71</v>
      </c>
      <c r="W76" s="16">
        <f t="shared" si="20"/>
        <v>1.7237852407228395E-2</v>
      </c>
      <c r="X76" s="16">
        <f t="shared" si="21"/>
        <v>2.1565618406159285E-2</v>
      </c>
      <c r="Y76" s="16">
        <f t="shared" si="22"/>
        <v>3.063071339517838E-2</v>
      </c>
      <c r="Z76" s="16">
        <f t="shared" si="23"/>
        <v>5.8633792628693365E-2</v>
      </c>
      <c r="AA76" s="16">
        <f t="shared" si="24"/>
        <v>8.1000923115622389E-2</v>
      </c>
      <c r="AD76" s="16">
        <v>30</v>
      </c>
      <c r="AL76" s="16">
        <v>160</v>
      </c>
      <c r="AM76" s="16">
        <f>投放验证!$Q89*2</f>
        <v>254477834.53221771</v>
      </c>
    </row>
    <row r="77" spans="12:39">
      <c r="L77" s="16">
        <v>22</v>
      </c>
      <c r="M77" s="17">
        <f>基础状态预期!$C88</f>
        <v>155</v>
      </c>
      <c r="N77" s="17">
        <f>求节点($C$17:$C$22,D$17:D$22,基础状态预期!M88)</f>
        <v>0</v>
      </c>
      <c r="O77" s="17">
        <f>求节点($C$17:$C$22,E$17:E$22,基础状态预期!N88)</f>
        <v>0</v>
      </c>
      <c r="P77" s="17">
        <f>求节点($C$17:$C$22,F$17:F$22,基础状态预期!O88)</f>
        <v>0</v>
      </c>
      <c r="Q77" s="17">
        <f>求节点($C$17:$C$22,G$17:G$22,基础状态预期!P88)</f>
        <v>0.2</v>
      </c>
      <c r="R77" s="17">
        <f>MAX(SUMPRODUCT(N77:Q77,基础状态预期!I88:L88)/6,R76)</f>
        <v>0.20000000000000004</v>
      </c>
      <c r="V77" s="16">
        <v>72</v>
      </c>
      <c r="W77" s="16">
        <f t="shared" si="20"/>
        <v>1.8282139403575381E-2</v>
      </c>
      <c r="X77" s="16">
        <f t="shared" si="21"/>
        <v>2.2907217225100165E-2</v>
      </c>
      <c r="Y77" s="16">
        <f t="shared" si="22"/>
        <v>3.2496337989344669E-2</v>
      </c>
      <c r="Z77" s="16">
        <f t="shared" si="23"/>
        <v>6.2759635252538248E-2</v>
      </c>
      <c r="AA77" s="16">
        <f t="shared" si="24"/>
        <v>8.5698620555841099E-2</v>
      </c>
      <c r="AD77" s="16">
        <v>31</v>
      </c>
    </row>
    <row r="78" spans="12:39">
      <c r="L78" s="16">
        <v>23</v>
      </c>
      <c r="M78" s="17">
        <f>基础状态预期!$C89</f>
        <v>160</v>
      </c>
      <c r="N78" s="17">
        <f>求节点($C$17:$C$22,D$17:D$22,基础状态预期!M89)</f>
        <v>0</v>
      </c>
      <c r="O78" s="17">
        <f>求节点($C$17:$C$22,E$17:E$22,基础状态预期!N89)</f>
        <v>0</v>
      </c>
      <c r="P78" s="17">
        <f>求节点($C$17:$C$22,F$17:F$22,基础状态预期!O89)</f>
        <v>0</v>
      </c>
      <c r="Q78" s="17">
        <f>求节点($C$17:$C$22,G$17:G$22,基础状态预期!P89)</f>
        <v>0.2</v>
      </c>
      <c r="R78" s="17">
        <f>MAX(SUMPRODUCT(N78:Q78,基础状态预期!I89:L89)/6,R77)</f>
        <v>0.20000000000000004</v>
      </c>
      <c r="V78" s="16">
        <v>73</v>
      </c>
      <c r="W78" s="16">
        <f t="shared" si="20"/>
        <v>1.9326426399922367E-2</v>
      </c>
      <c r="X78" s="16">
        <f t="shared" si="21"/>
        <v>2.4248816044041045E-2</v>
      </c>
      <c r="Y78" s="16">
        <f t="shared" si="22"/>
        <v>3.4361962583510958E-2</v>
      </c>
      <c r="Z78" s="16">
        <f t="shared" si="23"/>
        <v>6.6885477876383145E-2</v>
      </c>
      <c r="AA78" s="16">
        <f t="shared" si="24"/>
        <v>9.0396317996059822E-2</v>
      </c>
      <c r="AD78" s="16">
        <v>32</v>
      </c>
    </row>
    <row r="79" spans="12:39">
      <c r="L79" s="16">
        <v>24</v>
      </c>
      <c r="V79" s="16">
        <v>74</v>
      </c>
      <c r="W79" s="16">
        <f t="shared" si="20"/>
        <v>2.0370713396269349E-2</v>
      </c>
      <c r="X79" s="16">
        <f t="shared" si="21"/>
        <v>2.5590414862981924E-2</v>
      </c>
      <c r="Y79" s="16">
        <f t="shared" si="22"/>
        <v>3.6227587177677253E-2</v>
      </c>
      <c r="Z79" s="16">
        <f t="shared" si="23"/>
        <v>7.1011320500228042E-2</v>
      </c>
      <c r="AA79" s="16">
        <f t="shared" si="24"/>
        <v>9.5094015436278531E-2</v>
      </c>
      <c r="AD79" s="16">
        <v>33</v>
      </c>
    </row>
    <row r="80" spans="12:39">
      <c r="L80" s="16">
        <v>25</v>
      </c>
      <c r="V80" s="16">
        <v>75</v>
      </c>
      <c r="W80" s="16">
        <f t="shared" si="20"/>
        <v>2.1415000392616335E-2</v>
      </c>
      <c r="X80" s="16">
        <f t="shared" si="21"/>
        <v>2.6932013681922804E-2</v>
      </c>
      <c r="Y80" s="16">
        <f t="shared" si="22"/>
        <v>3.8093211771843542E-2</v>
      </c>
      <c r="Z80" s="16">
        <f t="shared" si="23"/>
        <v>7.5137163124072925E-2</v>
      </c>
      <c r="AA80" s="16">
        <f t="shared" si="24"/>
        <v>9.9791712876497241E-2</v>
      </c>
      <c r="AD80" s="16">
        <v>34</v>
      </c>
      <c r="AL80" s="16" t="s">
        <v>257</v>
      </c>
      <c r="AM80" s="174" t="s">
        <v>419</v>
      </c>
    </row>
    <row r="81" spans="12:45">
      <c r="L81" s="16">
        <v>26</v>
      </c>
      <c r="V81" s="16">
        <v>76</v>
      </c>
      <c r="W81" s="16">
        <f t="shared" si="20"/>
        <v>2.2740084155186586E-2</v>
      </c>
      <c r="X81" s="16">
        <f t="shared" si="21"/>
        <v>2.8754950031144248E-2</v>
      </c>
      <c r="Y81" s="16">
        <f t="shared" si="22"/>
        <v>4.087089272547486E-2</v>
      </c>
      <c r="Z81" s="16">
        <f t="shared" si="23"/>
        <v>8.0842830622465736E-2</v>
      </c>
      <c r="AA81" s="16">
        <f t="shared" si="24"/>
        <v>0.10891423573923537</v>
      </c>
      <c r="AD81" s="16">
        <v>35</v>
      </c>
      <c r="AL81" s="16" t="s">
        <v>161</v>
      </c>
      <c r="AM81" s="174"/>
    </row>
    <row r="82" spans="12:45">
      <c r="L82" s="16">
        <v>1</v>
      </c>
      <c r="M82" s="69" t="s">
        <v>77</v>
      </c>
      <c r="N82" s="170" t="s">
        <v>252</v>
      </c>
      <c r="O82" s="170"/>
      <c r="P82" s="170"/>
      <c r="Q82" s="170"/>
      <c r="R82" s="170"/>
      <c r="V82" s="16">
        <v>77</v>
      </c>
      <c r="W82" s="16">
        <f t="shared" si="20"/>
        <v>2.4065167917756841E-2</v>
      </c>
      <c r="X82" s="16">
        <f t="shared" si="21"/>
        <v>3.0577886380365696E-2</v>
      </c>
      <c r="Y82" s="16">
        <f t="shared" si="22"/>
        <v>4.3648573679106177E-2</v>
      </c>
      <c r="Z82" s="16">
        <f t="shared" si="23"/>
        <v>8.6548498120858561E-2</v>
      </c>
      <c r="AA82" s="16">
        <f t="shared" si="24"/>
        <v>0.1180367586019735</v>
      </c>
      <c r="AD82" s="16">
        <v>36</v>
      </c>
      <c r="AL82" s="16">
        <v>50</v>
      </c>
      <c r="AM82" s="16">
        <f>投放验证!$Q95*2</f>
        <v>265390.28964242944</v>
      </c>
    </row>
    <row r="83" spans="12:45">
      <c r="L83" s="16">
        <v>2</v>
      </c>
      <c r="M83" s="17" t="s">
        <v>161</v>
      </c>
      <c r="N83" s="17" t="s">
        <v>1</v>
      </c>
      <c r="O83" s="17" t="s">
        <v>2</v>
      </c>
      <c r="P83" s="17" t="s">
        <v>0</v>
      </c>
      <c r="Q83" s="17" t="s">
        <v>205</v>
      </c>
      <c r="R83" s="71" t="s">
        <v>373</v>
      </c>
      <c r="V83" s="16">
        <v>78</v>
      </c>
      <c r="W83" s="16">
        <f t="shared" si="20"/>
        <v>2.5390251680327092E-2</v>
      </c>
      <c r="X83" s="16">
        <f t="shared" si="21"/>
        <v>3.2400822729587136E-2</v>
      </c>
      <c r="Y83" s="16">
        <f t="shared" si="22"/>
        <v>4.6426254632737501E-2</v>
      </c>
      <c r="Z83" s="16">
        <f t="shared" si="23"/>
        <v>9.2254165619251371E-2</v>
      </c>
      <c r="AA83" s="16">
        <f t="shared" si="24"/>
        <v>0.12715928146471162</v>
      </c>
      <c r="AD83" s="16">
        <v>37</v>
      </c>
      <c r="AL83" s="16">
        <v>60</v>
      </c>
      <c r="AM83" s="16">
        <f>投放验证!$Q96*2</f>
        <v>483371.18807643541</v>
      </c>
    </row>
    <row r="84" spans="12:45">
      <c r="L84" s="16">
        <v>3</v>
      </c>
      <c r="M84" s="17">
        <f>基础状态预期!$C95</f>
        <v>50</v>
      </c>
      <c r="N84" s="17">
        <f>求节点($C$17:$C$22,D$17:D$22,基础状态预期!M95)</f>
        <v>0</v>
      </c>
      <c r="O84" s="17">
        <f>求节点($C$17:$C$22,E$17:E$22,基础状态预期!N95)</f>
        <v>0</v>
      </c>
      <c r="P84" s="17">
        <f>求节点($C$17:$C$22,F$17:F$22,基础状态预期!O95)</f>
        <v>0</v>
      </c>
      <c r="Q84" s="17">
        <f>求节点($C$17:$C$22,G$17:G$22,基础状态预期!P95)</f>
        <v>0.03</v>
      </c>
      <c r="R84" s="51">
        <f>SUMPRODUCT(N84:Q84,基础状态预期!I95:L95)/6</f>
        <v>0</v>
      </c>
      <c r="V84" s="16">
        <v>79</v>
      </c>
      <c r="W84" s="16">
        <f t="shared" si="20"/>
        <v>2.6715335442897344E-2</v>
      </c>
      <c r="X84" s="16">
        <f t="shared" si="21"/>
        <v>3.4223759078808584E-2</v>
      </c>
      <c r="Y84" s="16">
        <f t="shared" si="22"/>
        <v>4.9203935586368819E-2</v>
      </c>
      <c r="Z84" s="16">
        <f t="shared" si="23"/>
        <v>9.7959833117644196E-2</v>
      </c>
      <c r="AA84" s="16">
        <f t="shared" si="24"/>
        <v>0.13628180432744977</v>
      </c>
      <c r="AD84" s="16">
        <v>38</v>
      </c>
      <c r="AL84" s="16">
        <v>70</v>
      </c>
      <c r="AM84" s="16">
        <f>投放验证!$Q97*2</f>
        <v>944858.24036390637</v>
      </c>
    </row>
    <row r="85" spans="12:45">
      <c r="L85" s="16">
        <v>4</v>
      </c>
      <c r="M85" s="17">
        <f>基础状态预期!$C96</f>
        <v>60</v>
      </c>
      <c r="N85" s="17">
        <f>求节点($C$17:$C$22,D$17:D$22,基础状态预期!M96)</f>
        <v>0</v>
      </c>
      <c r="O85" s="17">
        <f>求节点($C$17:$C$22,E$17:E$22,基础状态预期!N96)</f>
        <v>0</v>
      </c>
      <c r="P85" s="17">
        <f>求节点($C$17:$C$22,F$17:F$22,基础状态预期!O96)</f>
        <v>0</v>
      </c>
      <c r="Q85" s="17">
        <f>求节点($C$17:$C$22,G$17:G$22,基础状态预期!P96)</f>
        <v>7.3964100617318951E-2</v>
      </c>
      <c r="R85" s="17">
        <f>MAX(SUMPRODUCT(N85:Q85,基础状态预期!I96:L96)/6,R84)</f>
        <v>2.7464272049797466E-2</v>
      </c>
      <c r="V85" s="16">
        <v>80</v>
      </c>
      <c r="W85" s="16">
        <f t="shared" si="20"/>
        <v>2.8040419205467598E-2</v>
      </c>
      <c r="X85" s="16">
        <f t="shared" si="21"/>
        <v>3.6046695428030032E-2</v>
      </c>
      <c r="Y85" s="16">
        <f t="shared" si="22"/>
        <v>5.1981616540000136E-2</v>
      </c>
      <c r="Z85" s="16">
        <f t="shared" si="23"/>
        <v>0.10366550061603701</v>
      </c>
      <c r="AA85" s="16">
        <f t="shared" si="24"/>
        <v>0.14540432719018789</v>
      </c>
      <c r="AD85" s="16">
        <v>39</v>
      </c>
      <c r="AL85" s="16">
        <v>75</v>
      </c>
      <c r="AM85" s="16">
        <f>投放验证!$Q98*2</f>
        <v>1322414.0709836837</v>
      </c>
    </row>
    <row r="86" spans="12:45">
      <c r="L86" s="16">
        <v>5</v>
      </c>
      <c r="M86" s="17">
        <f>基础状态预期!$C97</f>
        <v>70</v>
      </c>
      <c r="N86" s="17">
        <f>求节点($C$17:$C$22,D$17:D$22,基础状态预期!M97)</f>
        <v>0</v>
      </c>
      <c r="O86" s="17">
        <f>求节点($C$17:$C$22,E$17:E$22,基础状态预期!N97)</f>
        <v>0</v>
      </c>
      <c r="P86" s="17">
        <f>求节点($C$17:$C$22,F$17:F$22,基础状态预期!O97)</f>
        <v>0</v>
      </c>
      <c r="Q86" s="17">
        <f>求节点($C$17:$C$22,G$17:G$22,基础状态预期!P97)</f>
        <v>7.3964100617318951E-2</v>
      </c>
      <c r="R86" s="17">
        <f>MAX(SUMPRODUCT(N86:Q86,基础状态预期!I97:L97)/6,R85)</f>
        <v>5.4507950004848475E-2</v>
      </c>
      <c r="V86" s="16">
        <v>81</v>
      </c>
      <c r="W86" s="16">
        <f t="shared" si="20"/>
        <v>2.9912704507589219E-2</v>
      </c>
      <c r="X86" s="16">
        <f t="shared" si="21"/>
        <v>3.8500744375109662E-2</v>
      </c>
      <c r="Y86" s="16">
        <f t="shared" si="22"/>
        <v>5.5662205336108828E-2</v>
      </c>
      <c r="Z86" s="16">
        <f t="shared" si="23"/>
        <v>0.11326290231164325</v>
      </c>
      <c r="AA86" s="16">
        <f t="shared" si="24"/>
        <v>0.15632346175215031</v>
      </c>
      <c r="AD86" s="16">
        <v>40</v>
      </c>
      <c r="AL86" s="16">
        <v>80</v>
      </c>
      <c r="AM86" s="16">
        <f>投放验证!$Q99*2</f>
        <v>1824512.8108422514</v>
      </c>
    </row>
    <row r="87" spans="12:45">
      <c r="L87" s="16">
        <v>6</v>
      </c>
      <c r="M87" s="17">
        <f>基础状态预期!$C98</f>
        <v>75</v>
      </c>
      <c r="N87" s="17">
        <f>求节点($C$17:$C$22,D$17:D$22,基础状态预期!M98)</f>
        <v>0</v>
      </c>
      <c r="O87" s="17">
        <f>求节点($C$17:$C$22,E$17:E$22,基础状态预期!N98)</f>
        <v>0</v>
      </c>
      <c r="P87" s="17">
        <f>求节点($C$17:$C$22,F$17:F$22,基础状态预期!O98)</f>
        <v>0</v>
      </c>
      <c r="Q87" s="17">
        <f>求节点($C$17:$C$22,G$17:G$22,基础状态预期!P98)</f>
        <v>8.0659555592754992E-2</v>
      </c>
      <c r="R87" s="17">
        <f>MAX(SUMPRODUCT(N87:Q87,基础状态预期!I98:L98)/6,R86)</f>
        <v>7.5137163124072925E-2</v>
      </c>
      <c r="V87" s="16">
        <v>82</v>
      </c>
      <c r="W87" s="16">
        <f t="shared" si="20"/>
        <v>3.178498980971084E-2</v>
      </c>
      <c r="X87" s="16">
        <f t="shared" si="21"/>
        <v>4.0954793322189292E-2</v>
      </c>
      <c r="Y87" s="16">
        <f t="shared" si="22"/>
        <v>5.9342794132217512E-2</v>
      </c>
      <c r="Z87" s="16">
        <f t="shared" si="23"/>
        <v>0.12286030400724951</v>
      </c>
      <c r="AA87" s="16">
        <f t="shared" si="24"/>
        <v>0.16724259631411276</v>
      </c>
      <c r="AD87" s="16">
        <v>41</v>
      </c>
      <c r="AL87" s="16">
        <v>85</v>
      </c>
      <c r="AM87" s="16">
        <f>投放验证!$Q100*2</f>
        <v>2529813.1200417015</v>
      </c>
    </row>
    <row r="88" spans="12:45">
      <c r="L88" s="16">
        <v>7</v>
      </c>
      <c r="M88" s="17">
        <f>基础状态预期!$C99</f>
        <v>80</v>
      </c>
      <c r="N88" s="17">
        <f>求节点($C$17:$C$22,D$17:D$22,基础状态预期!M99)</f>
        <v>0</v>
      </c>
      <c r="O88" s="17">
        <f>求节点($C$17:$C$22,E$17:E$22,基础状态预期!N99)</f>
        <v>0</v>
      </c>
      <c r="P88" s="17">
        <f>求节点($C$17:$C$22,F$17:F$22,基础状态预期!O99)</f>
        <v>0</v>
      </c>
      <c r="Q88" s="17">
        <f>求节点($C$17:$C$22,G$17:G$22,基础状态预期!P99)</f>
        <v>0.10366550061603701</v>
      </c>
      <c r="R88" s="17">
        <f>MAX(SUMPRODUCT(N88:Q88,基础状态预期!I99:L99)/6,R87)</f>
        <v>0.10366550061603701</v>
      </c>
      <c r="V88" s="16">
        <v>83</v>
      </c>
      <c r="W88" s="16">
        <f t="shared" si="20"/>
        <v>3.365727511183246E-2</v>
      </c>
      <c r="X88" s="16">
        <f t="shared" si="21"/>
        <v>4.340884226926893E-2</v>
      </c>
      <c r="Y88" s="16">
        <f t="shared" si="22"/>
        <v>6.302338292832621E-2</v>
      </c>
      <c r="Z88" s="16">
        <f t="shared" si="23"/>
        <v>0.13245770570285575</v>
      </c>
      <c r="AA88" s="16">
        <f t="shared" si="24"/>
        <v>0.17816173087607518</v>
      </c>
      <c r="AD88" s="16">
        <v>42</v>
      </c>
      <c r="AL88" s="16">
        <v>90</v>
      </c>
      <c r="AM88" s="16">
        <f>投放验证!$Q101*2</f>
        <v>3420479.032539052</v>
      </c>
    </row>
    <row r="89" spans="12:45">
      <c r="L89" s="16">
        <v>8</v>
      </c>
      <c r="M89" s="17">
        <f>基础状态预期!$C100</f>
        <v>85</v>
      </c>
      <c r="N89" s="17">
        <f>求节点($C$17:$C$22,D$17:D$22,基础状态预期!M100)</f>
        <v>0</v>
      </c>
      <c r="O89" s="17">
        <f>求节点($C$17:$C$22,E$17:E$22,基础状态预期!N100)</f>
        <v>0</v>
      </c>
      <c r="P89" s="17">
        <f>求节点($C$17:$C$22,F$17:F$22,基础状态预期!O100)</f>
        <v>0</v>
      </c>
      <c r="Q89" s="17">
        <f>求节点($C$17:$C$22,G$17:G$22,基础状态预期!P100)</f>
        <v>0.15165250909406824</v>
      </c>
      <c r="R89" s="17">
        <f>MAX(SUMPRODUCT(N89:Q89,基础状态预期!I100:L100)/6,R88)</f>
        <v>0.15165250909406824</v>
      </c>
      <c r="V89" s="16">
        <v>84</v>
      </c>
      <c r="W89" s="16">
        <f t="shared" si="20"/>
        <v>3.5529560413954074E-2</v>
      </c>
      <c r="X89" s="16">
        <f t="shared" si="21"/>
        <v>4.586289121634856E-2</v>
      </c>
      <c r="Y89" s="16">
        <f t="shared" si="22"/>
        <v>6.6703971724434888E-2</v>
      </c>
      <c r="Z89" s="16">
        <f t="shared" si="23"/>
        <v>0.142055107398462</v>
      </c>
      <c r="AA89" s="16">
        <f t="shared" si="24"/>
        <v>0.18908086543803759</v>
      </c>
      <c r="AD89" s="16">
        <v>43</v>
      </c>
      <c r="AL89" s="16">
        <v>95</v>
      </c>
      <c r="AM89" s="16">
        <f>投放验证!$Q102*2</f>
        <v>4711970.0068981843</v>
      </c>
    </row>
    <row r="90" spans="12:45">
      <c r="L90" s="16">
        <v>9</v>
      </c>
      <c r="M90" s="17">
        <f>基础状态预期!$C101</f>
        <v>90</v>
      </c>
      <c r="N90" s="17">
        <f>求节点($C$17:$C$22,D$17:D$22,基础状态预期!M101)</f>
        <v>0</v>
      </c>
      <c r="O90" s="17">
        <f>求节点($C$17:$C$22,E$17:E$22,基础状态预期!N101)</f>
        <v>0</v>
      </c>
      <c r="P90" s="17">
        <f>求节点($C$17:$C$22,F$17:F$22,基础状态预期!O101)</f>
        <v>0</v>
      </c>
      <c r="Q90" s="17">
        <f>求节点($C$17:$C$22,G$17:G$22,基础状态预期!P101)</f>
        <v>0.2</v>
      </c>
      <c r="R90" s="17">
        <f>MAX(SUMPRODUCT(N90:Q90,基础状态预期!I101:L101)/6,R89)</f>
        <v>0.20000000000000004</v>
      </c>
      <c r="V90" s="16">
        <v>85</v>
      </c>
      <c r="W90" s="16">
        <f t="shared" si="20"/>
        <v>3.7401845716075695E-2</v>
      </c>
      <c r="X90" s="16">
        <f t="shared" si="21"/>
        <v>4.831694016342819E-2</v>
      </c>
      <c r="Y90" s="16">
        <f t="shared" si="22"/>
        <v>7.0384560520543579E-2</v>
      </c>
      <c r="Z90" s="16">
        <f t="shared" si="23"/>
        <v>0.15165250909406824</v>
      </c>
      <c r="AA90" s="16">
        <f t="shared" si="24"/>
        <v>0.20000000000000004</v>
      </c>
      <c r="AD90" s="16">
        <v>44</v>
      </c>
      <c r="AL90" s="16">
        <v>100</v>
      </c>
      <c r="AM90" s="16">
        <f>投放验证!$Q103*2</f>
        <v>6648024.6995355673</v>
      </c>
    </row>
    <row r="91" spans="12:45">
      <c r="L91" s="16">
        <v>10</v>
      </c>
      <c r="M91" s="17">
        <f>基础状态预期!$C102</f>
        <v>95</v>
      </c>
      <c r="N91" s="17">
        <f>求节点($C$17:$C$22,D$17:D$22,基础状态预期!M102)</f>
        <v>0</v>
      </c>
      <c r="O91" s="17">
        <f>求节点($C$17:$C$22,E$17:E$22,基础状态预期!N102)</f>
        <v>0</v>
      </c>
      <c r="P91" s="17">
        <f>求节点($C$17:$C$22,F$17:F$22,基础状态预期!O102)</f>
        <v>0</v>
      </c>
      <c r="Q91" s="17">
        <f>求节点($C$17:$C$22,G$17:G$22,基础状态预期!P102)</f>
        <v>0.2</v>
      </c>
      <c r="R91" s="17">
        <f>MAX(SUMPRODUCT(N91:Q91,基础状态预期!I102:L102)/6,R90)</f>
        <v>0.20000000000000004</v>
      </c>
      <c r="V91" s="16">
        <v>86</v>
      </c>
      <c r="W91" s="16">
        <f t="shared" si="20"/>
        <v>3.9811461360278501E-2</v>
      </c>
      <c r="X91" s="16">
        <f t="shared" si="21"/>
        <v>5.1601762911642993E-2</v>
      </c>
      <c r="Y91" s="16">
        <f t="shared" si="22"/>
        <v>7.5396779152024071E-2</v>
      </c>
      <c r="Z91" s="16">
        <f t="shared" si="23"/>
        <v>0.16132200727525461</v>
      </c>
      <c r="AA91" s="16">
        <f t="shared" si="24"/>
        <v>0.20000000000000004</v>
      </c>
      <c r="AD91" s="16">
        <v>45</v>
      </c>
      <c r="AL91" s="16">
        <v>105</v>
      </c>
      <c r="AM91" s="16">
        <f>投放验证!$Q104*2</f>
        <v>9248372.1782014258</v>
      </c>
    </row>
    <row r="92" spans="12:45">
      <c r="L92" s="16">
        <v>11</v>
      </c>
      <c r="M92" s="17">
        <f>基础状态预期!$C103</f>
        <v>100</v>
      </c>
      <c r="N92" s="17">
        <f>求节点($C$17:$C$22,D$17:D$22,基础状态预期!M103)</f>
        <v>0</v>
      </c>
      <c r="O92" s="17">
        <f>求节点($C$17:$C$22,E$17:E$22,基础状态预期!N103)</f>
        <v>0</v>
      </c>
      <c r="P92" s="17">
        <f>求节点($C$17:$C$22,F$17:F$22,基础状态预期!O103)</f>
        <v>0</v>
      </c>
      <c r="Q92" s="17">
        <f>求节点($C$17:$C$22,G$17:G$22,基础状态预期!P103)</f>
        <v>0.2</v>
      </c>
      <c r="R92" s="17">
        <f>MAX(SUMPRODUCT(N92:Q92,基础状态预期!I103:L103)/6,R91)</f>
        <v>0.20000000000000004</v>
      </c>
      <c r="V92" s="16">
        <v>87</v>
      </c>
      <c r="W92" s="16">
        <f t="shared" si="20"/>
        <v>4.22210770044813E-2</v>
      </c>
      <c r="X92" s="16">
        <f t="shared" si="21"/>
        <v>5.4886585659857795E-2</v>
      </c>
      <c r="Y92" s="16">
        <f t="shared" si="22"/>
        <v>8.0408997783504563E-2</v>
      </c>
      <c r="Z92" s="16">
        <f t="shared" si="23"/>
        <v>0.17099150545644096</v>
      </c>
      <c r="AA92" s="16">
        <f t="shared" si="24"/>
        <v>0.20000000000000004</v>
      </c>
      <c r="AD92" s="16">
        <v>1</v>
      </c>
      <c r="AE92" s="17" t="s">
        <v>76</v>
      </c>
      <c r="AF92" s="70" t="s">
        <v>54</v>
      </c>
      <c r="AG92" s="170" t="s">
        <v>414</v>
      </c>
      <c r="AH92" s="170"/>
      <c r="AL92" s="16">
        <v>110</v>
      </c>
      <c r="AM92" s="16">
        <f>投放验证!$Q105*2</f>
        <v>12852040.405241579</v>
      </c>
      <c r="AP92" s="17" t="s">
        <v>76</v>
      </c>
      <c r="AQ92" s="17" t="s">
        <v>418</v>
      </c>
    </row>
    <row r="93" spans="12:45">
      <c r="L93" s="16">
        <v>12</v>
      </c>
      <c r="M93" s="17">
        <f>基础状态预期!$C104</f>
        <v>105</v>
      </c>
      <c r="N93" s="17">
        <f>求节点($C$17:$C$22,D$17:D$22,基础状态预期!M104)</f>
        <v>0</v>
      </c>
      <c r="O93" s="17">
        <f>求节点($C$17:$C$22,E$17:E$22,基础状态预期!N104)</f>
        <v>0</v>
      </c>
      <c r="P93" s="17">
        <f>求节点($C$17:$C$22,F$17:F$22,基础状态预期!O104)</f>
        <v>0</v>
      </c>
      <c r="Q93" s="17">
        <f>求节点($C$17:$C$22,G$17:G$22,基础状态预期!P104)</f>
        <v>0.2</v>
      </c>
      <c r="R93" s="17">
        <f>MAX(SUMPRODUCT(N93:Q93,基础状态预期!I104:L104)/6,R92)</f>
        <v>0.20000000000000004</v>
      </c>
      <c r="V93" s="16">
        <v>88</v>
      </c>
      <c r="W93" s="16">
        <f t="shared" si="20"/>
        <v>4.4630692648684106E-2</v>
      </c>
      <c r="X93" s="16">
        <f t="shared" si="21"/>
        <v>5.8171408408072597E-2</v>
      </c>
      <c r="Y93" s="16">
        <f t="shared" si="22"/>
        <v>8.5421216414985054E-2</v>
      </c>
      <c r="Z93" s="16">
        <f t="shared" si="23"/>
        <v>0.18066100363762733</v>
      </c>
      <c r="AA93" s="16">
        <f t="shared" si="24"/>
        <v>0.20000000000000004</v>
      </c>
      <c r="AD93" s="16">
        <v>2</v>
      </c>
      <c r="AE93" s="17" t="s">
        <v>161</v>
      </c>
      <c r="AF93" s="17" t="s">
        <v>412</v>
      </c>
      <c r="AG93" s="17" t="s">
        <v>412</v>
      </c>
      <c r="AH93" s="17" t="s">
        <v>413</v>
      </c>
      <c r="AL93" s="16">
        <v>115</v>
      </c>
      <c r="AM93" s="16">
        <f>投放验证!$Q106*2</f>
        <v>17931028.763405297</v>
      </c>
      <c r="AP93" s="17" t="s">
        <v>161</v>
      </c>
      <c r="AQ93" s="17" t="s">
        <v>416</v>
      </c>
      <c r="AR93" s="17" t="s">
        <v>192</v>
      </c>
    </row>
    <row r="94" spans="12:45">
      <c r="L94" s="16">
        <v>13</v>
      </c>
      <c r="M94" s="17">
        <f>基础状态预期!$C105</f>
        <v>110</v>
      </c>
      <c r="N94" s="17">
        <f>求节点($C$17:$C$22,D$17:D$22,基础状态预期!M105)</f>
        <v>0</v>
      </c>
      <c r="O94" s="17">
        <f>求节点($C$17:$C$22,E$17:E$22,基础状态预期!N105)</f>
        <v>0</v>
      </c>
      <c r="P94" s="17">
        <f>求节点($C$17:$C$22,F$17:F$22,基础状态预期!O105)</f>
        <v>0</v>
      </c>
      <c r="Q94" s="17">
        <f>求节点($C$17:$C$22,G$17:G$22,基础状态预期!P105)</f>
        <v>0.2</v>
      </c>
      <c r="R94" s="17">
        <f>MAX(SUMPRODUCT(N94:Q94,基础状态预期!I105:L105)/6,R93)</f>
        <v>0.20000000000000004</v>
      </c>
      <c r="V94" s="16">
        <v>89</v>
      </c>
      <c r="W94" s="16">
        <f t="shared" si="20"/>
        <v>4.7040308292886912E-2</v>
      </c>
      <c r="X94" s="16">
        <f t="shared" si="21"/>
        <v>6.14562311562874E-2</v>
      </c>
      <c r="Y94" s="16">
        <f t="shared" si="22"/>
        <v>9.0433435046465546E-2</v>
      </c>
      <c r="Z94" s="16">
        <f t="shared" si="23"/>
        <v>0.19033050181881367</v>
      </c>
      <c r="AA94" s="16">
        <f t="shared" si="24"/>
        <v>0.20000000000000004</v>
      </c>
      <c r="AD94" s="16">
        <v>3</v>
      </c>
      <c r="AE94" s="17">
        <v>10</v>
      </c>
      <c r="AF94" s="17">
        <f>求节点($V$6:$V$165,$Y$6:$Y$165,$AE94)</f>
        <v>0</v>
      </c>
      <c r="AG94" s="51">
        <f>AF94*(INDEX([3]中r将兵属性验证!$AC$7:$AC$166,$AE94,1)*[3]战法技能效用!$AH$4+INDEX([3]中r将兵属性验证!$AX$7:$AX$166,$AE94,1)*[3]战法技能效用!$AI$4)</f>
        <v>0</v>
      </c>
      <c r="AH94" s="17">
        <f t="shared" ref="AH94:AH109" si="25">SUM(AG94:AG94)</f>
        <v>0</v>
      </c>
      <c r="AL94" s="16">
        <v>120</v>
      </c>
      <c r="AM94" s="16">
        <f>投放验证!$Q107*2</f>
        <v>25153877.030897599</v>
      </c>
      <c r="AP94" s="17">
        <v>10</v>
      </c>
      <c r="AQ94" s="17">
        <f>求节点($AL$56:$AL$76,AM$56:AM$76,$AP94)</f>
        <v>26924.955405146</v>
      </c>
      <c r="AR94" s="17">
        <f t="shared" ref="AR94:AR109" si="26">SUM(AQ94:AQ94)</f>
        <v>26924.955405146</v>
      </c>
      <c r="AS94" s="16">
        <f>AH94/AR94</f>
        <v>0</v>
      </c>
    </row>
    <row r="95" spans="12:45">
      <c r="L95" s="16">
        <v>14</v>
      </c>
      <c r="M95" s="17">
        <f>基础状态预期!$C106</f>
        <v>115</v>
      </c>
      <c r="N95" s="17">
        <f>求节点($C$17:$C$22,D$17:D$22,基础状态预期!M106)</f>
        <v>0</v>
      </c>
      <c r="O95" s="17">
        <f>求节点($C$17:$C$22,E$17:E$22,基础状态预期!N106)</f>
        <v>0</v>
      </c>
      <c r="P95" s="17">
        <f>求节点($C$17:$C$22,F$17:F$22,基础状态预期!O106)</f>
        <v>0</v>
      </c>
      <c r="Q95" s="17">
        <f>求节点($C$17:$C$22,G$17:G$22,基础状态预期!P106)</f>
        <v>0.2</v>
      </c>
      <c r="R95" s="17">
        <f>MAX(SUMPRODUCT(N95:Q95,基础状态预期!I106:L106)/6,R94)</f>
        <v>0.20000000000000004</v>
      </c>
      <c r="V95" s="16">
        <v>90</v>
      </c>
      <c r="W95" s="16">
        <f t="shared" si="20"/>
        <v>4.9449923937089711E-2</v>
      </c>
      <c r="X95" s="16">
        <f t="shared" si="21"/>
        <v>6.4741053904502202E-2</v>
      </c>
      <c r="Y95" s="16">
        <f t="shared" si="22"/>
        <v>9.5445653677946038E-2</v>
      </c>
      <c r="Z95" s="16">
        <f t="shared" si="23"/>
        <v>0.20000000000000004</v>
      </c>
      <c r="AA95" s="16">
        <f t="shared" si="24"/>
        <v>0.20000000000000004</v>
      </c>
      <c r="AD95" s="16">
        <v>4</v>
      </c>
      <c r="AE95" s="17">
        <v>20</v>
      </c>
      <c r="AF95" s="17">
        <f t="shared" ref="AF95:AF109" si="27">求节点($V$6:$V$165,$Y$6:$Y$165,$AE95)</f>
        <v>0</v>
      </c>
      <c r="AG95" s="17">
        <f>(AF95-AF94)*(INDEX([3]中r将兵属性验证!$AC$7:$AC$166,$AE95,1)*[3]战法技能效用!$AH$4+INDEX([3]中r将兵属性验证!$AX$7:$AX$166,$AE95,1)*[3]战法技能效用!$AI$4)+AG94</f>
        <v>0</v>
      </c>
      <c r="AH95" s="17">
        <f t="shared" si="25"/>
        <v>0</v>
      </c>
      <c r="AL95" s="16">
        <v>125</v>
      </c>
      <c r="AM95" s="16">
        <f>投放验证!$Q108*2</f>
        <v>35434510.522295319</v>
      </c>
      <c r="AP95" s="17">
        <v>20</v>
      </c>
      <c r="AQ95" s="17">
        <f t="shared" ref="AQ95:AQ109" si="28">求节点($AL$56:$AL$76,AM$56:AM$76,$AP95)</f>
        <v>53849.910810292</v>
      </c>
      <c r="AR95" s="17">
        <f t="shared" si="26"/>
        <v>53849.910810292</v>
      </c>
      <c r="AS95" s="16">
        <f t="shared" ref="AS95:AS109" si="29">AH95/AR95</f>
        <v>0</v>
      </c>
    </row>
    <row r="96" spans="12:45">
      <c r="L96" s="16">
        <v>15</v>
      </c>
      <c r="M96" s="17">
        <f>基础状态预期!$C107</f>
        <v>120</v>
      </c>
      <c r="N96" s="17">
        <f>求节点($C$17:$C$22,D$17:D$22,基础状态预期!M107)</f>
        <v>0</v>
      </c>
      <c r="O96" s="17">
        <f>求节点($C$17:$C$22,E$17:E$22,基础状态预期!N107)</f>
        <v>0</v>
      </c>
      <c r="P96" s="17">
        <f>求节点($C$17:$C$22,F$17:F$22,基础状态预期!O107)</f>
        <v>0</v>
      </c>
      <c r="Q96" s="17">
        <f>求节点($C$17:$C$22,G$17:G$22,基础状态预期!P107)</f>
        <v>0.2</v>
      </c>
      <c r="R96" s="17">
        <f>MAX(SUMPRODUCT(N96:Q96,基础状态预期!I107:L107)/6,R95)</f>
        <v>0.20000000000000004</v>
      </c>
      <c r="V96" s="16">
        <v>91</v>
      </c>
      <c r="W96" s="16">
        <f t="shared" si="20"/>
        <v>5.2853856162386664E-2</v>
      </c>
      <c r="X96" s="16">
        <f t="shared" si="21"/>
        <v>6.9297806318367933E-2</v>
      </c>
      <c r="Y96" s="16">
        <f t="shared" si="22"/>
        <v>0.102916323707857</v>
      </c>
      <c r="Z96" s="16">
        <f t="shared" si="23"/>
        <v>0.20000000000000004</v>
      </c>
      <c r="AA96" s="16">
        <f t="shared" si="24"/>
        <v>0.20000000000000004</v>
      </c>
      <c r="AD96" s="16">
        <v>5</v>
      </c>
      <c r="AE96" s="17">
        <v>30</v>
      </c>
      <c r="AF96" s="17">
        <f t="shared" si="27"/>
        <v>0</v>
      </c>
      <c r="AG96" s="17">
        <f>(AF96-AF95)*(INDEX([3]中r将兵属性验证!$AC$7:$AC$166,$AE96,1)*[3]战法技能效用!$AH$4+INDEX([3]中r将兵属性验证!$AX$7:$AX$166,$AE96,1)*[3]战法技能效用!$AI$4)+AG95</f>
        <v>0</v>
      </c>
      <c r="AH96" s="17">
        <f t="shared" si="25"/>
        <v>0</v>
      </c>
      <c r="AL96" s="16">
        <v>130</v>
      </c>
      <c r="AM96" s="16">
        <f>投放验证!$Q109*2</f>
        <v>49446258.045385234</v>
      </c>
      <c r="AP96" s="17">
        <v>30</v>
      </c>
      <c r="AQ96" s="17">
        <f t="shared" si="28"/>
        <v>80774.866215438</v>
      </c>
      <c r="AR96" s="17">
        <f t="shared" si="26"/>
        <v>80774.866215438</v>
      </c>
      <c r="AS96" s="16">
        <f t="shared" si="29"/>
        <v>0</v>
      </c>
    </row>
    <row r="97" spans="12:45">
      <c r="L97" s="16">
        <v>16</v>
      </c>
      <c r="M97" s="17">
        <f>基础状态预期!$C108</f>
        <v>125</v>
      </c>
      <c r="N97" s="17">
        <f>求节点($C$17:$C$22,D$17:D$22,基础状态预期!M108)</f>
        <v>0</v>
      </c>
      <c r="O97" s="17">
        <f>求节点($C$17:$C$22,E$17:E$22,基础状态预期!N108)</f>
        <v>0</v>
      </c>
      <c r="P97" s="17">
        <f>求节点($C$17:$C$22,F$17:F$22,基础状态预期!O108)</f>
        <v>0</v>
      </c>
      <c r="Q97" s="17">
        <f>求节点($C$17:$C$22,G$17:G$22,基础状态预期!P108)</f>
        <v>0.2</v>
      </c>
      <c r="R97" s="17">
        <f>MAX(SUMPRODUCT(N97:Q97,基础状态预期!I108:L108)/6,R96)</f>
        <v>0.20000000000000004</v>
      </c>
      <c r="V97" s="16">
        <v>92</v>
      </c>
      <c r="W97" s="16">
        <f t="shared" si="20"/>
        <v>5.625778838768361E-2</v>
      </c>
      <c r="X97" s="16">
        <f t="shared" si="21"/>
        <v>7.3854558732233649E-2</v>
      </c>
      <c r="Y97" s="16">
        <f t="shared" si="22"/>
        <v>0.11038699373776796</v>
      </c>
      <c r="Z97" s="16">
        <f t="shared" si="23"/>
        <v>0.20000000000000004</v>
      </c>
      <c r="AA97" s="16">
        <f t="shared" si="24"/>
        <v>0.20000000000000004</v>
      </c>
      <c r="AD97" s="16">
        <v>6</v>
      </c>
      <c r="AE97" s="17">
        <v>40</v>
      </c>
      <c r="AF97" s="17">
        <f t="shared" si="27"/>
        <v>0</v>
      </c>
      <c r="AG97" s="17">
        <f>(AF97-AF96)*(INDEX([3]中r将兵属性验证!$AC$7:$AC$166,$AE97,1)*[3]战法技能效用!$AH$4+INDEX([3]中r将兵属性验证!$AX$7:$AX$166,$AE97,1)*[3]战法技能效用!$AI$4)+AG96</f>
        <v>0</v>
      </c>
      <c r="AH97" s="17">
        <f t="shared" si="25"/>
        <v>0</v>
      </c>
      <c r="AL97" s="16">
        <v>135</v>
      </c>
      <c r="AM97" s="16">
        <f>投放验证!$Q110*2</f>
        <v>69163264.67010127</v>
      </c>
      <c r="AP97" s="17">
        <v>40</v>
      </c>
      <c r="AQ97" s="17">
        <f t="shared" si="28"/>
        <v>107699.821620584</v>
      </c>
      <c r="AR97" s="17">
        <f t="shared" si="26"/>
        <v>107699.821620584</v>
      </c>
      <c r="AS97" s="16">
        <f t="shared" si="29"/>
        <v>0</v>
      </c>
    </row>
    <row r="98" spans="12:45">
      <c r="L98" s="16">
        <v>17</v>
      </c>
      <c r="M98" s="17">
        <f>基础状态预期!$C109</f>
        <v>130</v>
      </c>
      <c r="N98" s="17">
        <f>求节点($C$17:$C$22,D$17:D$22,基础状态预期!M109)</f>
        <v>0</v>
      </c>
      <c r="O98" s="17">
        <f>求节点($C$17:$C$22,E$17:E$22,基础状态预期!N109)</f>
        <v>0</v>
      </c>
      <c r="P98" s="17">
        <f>求节点($C$17:$C$22,F$17:F$22,基础状态预期!O109)</f>
        <v>0</v>
      </c>
      <c r="Q98" s="17">
        <f>求节点($C$17:$C$22,G$17:G$22,基础状态预期!P109)</f>
        <v>0.2</v>
      </c>
      <c r="R98" s="17">
        <f>MAX(SUMPRODUCT(N98:Q98,基础状态预期!I109:L109)/6,R97)</f>
        <v>0.20000000000000004</v>
      </c>
      <c r="V98" s="16">
        <v>93</v>
      </c>
      <c r="W98" s="16">
        <f t="shared" si="20"/>
        <v>5.9661720612980564E-2</v>
      </c>
      <c r="X98" s="16">
        <f t="shared" si="21"/>
        <v>7.841131114609938E-2</v>
      </c>
      <c r="Y98" s="16">
        <f t="shared" si="22"/>
        <v>0.11785766376767892</v>
      </c>
      <c r="Z98" s="16">
        <f t="shared" si="23"/>
        <v>0.20000000000000004</v>
      </c>
      <c r="AA98" s="16">
        <f t="shared" si="24"/>
        <v>0.20000000000000004</v>
      </c>
      <c r="AD98" s="16">
        <v>7</v>
      </c>
      <c r="AE98" s="17">
        <v>50</v>
      </c>
      <c r="AF98" s="17">
        <f t="shared" si="27"/>
        <v>0</v>
      </c>
      <c r="AG98" s="17">
        <f>(AF98-AF97)*(INDEX([3]中r将兵属性验证!$AC$7:$AC$166,$AE98,1)*[3]战法技能效用!$AH$4+INDEX([3]中r将兵属性验证!$AX$7:$AX$166,$AE98,1)*[3]战法技能效用!$AI$4)+AG97</f>
        <v>0</v>
      </c>
      <c r="AH98" s="17">
        <f t="shared" si="25"/>
        <v>0</v>
      </c>
      <c r="AL98" s="16">
        <v>140</v>
      </c>
      <c r="AM98" s="16">
        <f>投放验证!$Q111*2</f>
        <v>97174307.379043967</v>
      </c>
      <c r="AP98" s="17">
        <v>50</v>
      </c>
      <c r="AQ98" s="17">
        <f t="shared" si="28"/>
        <v>134624.77702573</v>
      </c>
      <c r="AR98" s="17">
        <f t="shared" si="26"/>
        <v>134624.77702573</v>
      </c>
      <c r="AS98" s="16">
        <f t="shared" si="29"/>
        <v>0</v>
      </c>
    </row>
    <row r="99" spans="12:45">
      <c r="L99" s="16">
        <v>18</v>
      </c>
      <c r="M99" s="17">
        <f>基础状态预期!$C110</f>
        <v>135</v>
      </c>
      <c r="N99" s="17">
        <f>求节点($C$17:$C$22,D$17:D$22,基础状态预期!M110)</f>
        <v>0</v>
      </c>
      <c r="O99" s="17">
        <f>求节点($C$17:$C$22,E$17:E$22,基础状态预期!N110)</f>
        <v>0</v>
      </c>
      <c r="P99" s="17">
        <f>求节点($C$17:$C$22,F$17:F$22,基础状态预期!O110)</f>
        <v>0</v>
      </c>
      <c r="Q99" s="17">
        <f>求节点($C$17:$C$22,G$17:G$22,基础状态预期!P110)</f>
        <v>0.2</v>
      </c>
      <c r="R99" s="17">
        <f>MAX(SUMPRODUCT(N99:Q99,基础状态预期!I110:L110)/6,R98)</f>
        <v>0.20000000000000004</v>
      </c>
      <c r="V99" s="16">
        <v>94</v>
      </c>
      <c r="W99" s="16">
        <f t="shared" si="20"/>
        <v>6.3065652838277517E-2</v>
      </c>
      <c r="X99" s="16">
        <f t="shared" si="21"/>
        <v>8.2968063559965111E-2</v>
      </c>
      <c r="Y99" s="16">
        <f t="shared" si="22"/>
        <v>0.1253283337975899</v>
      </c>
      <c r="Z99" s="16">
        <f t="shared" si="23"/>
        <v>0.20000000000000004</v>
      </c>
      <c r="AA99" s="16">
        <f t="shared" si="24"/>
        <v>0.20000000000000004</v>
      </c>
      <c r="AD99" s="16">
        <v>8</v>
      </c>
      <c r="AE99" s="17">
        <v>60</v>
      </c>
      <c r="AF99" s="17">
        <f t="shared" si="27"/>
        <v>1.4421250393355067E-2</v>
      </c>
      <c r="AG99" s="17">
        <f>(AF99-AF98)*(INDEX([3]中r将兵属性验证!$AC$7:$AC$166,$AE99,1)*[3]战法技能效用!$AH$4+INDEX([3]中r将兵属性验证!$AX$7:$AX$166,$AE99,1)*[3]战法技能效用!$AI$4)+AG98</f>
        <v>77929406.544511139</v>
      </c>
      <c r="AH99" s="17">
        <f t="shared" si="25"/>
        <v>77929406.544511139</v>
      </c>
      <c r="AL99" s="16">
        <v>145</v>
      </c>
      <c r="AM99" s="16">
        <f>投放验证!$Q112*2</f>
        <v>137439605.94874334</v>
      </c>
      <c r="AP99" s="17">
        <v>60</v>
      </c>
      <c r="AQ99" s="17">
        <f t="shared" si="28"/>
        <v>253814.00692304922</v>
      </c>
      <c r="AR99" s="17">
        <f t="shared" si="26"/>
        <v>253814.00692304922</v>
      </c>
      <c r="AS99" s="16">
        <f t="shared" si="29"/>
        <v>307.0335143802273</v>
      </c>
    </row>
    <row r="100" spans="12:45">
      <c r="L100" s="16">
        <v>19</v>
      </c>
      <c r="M100" s="17">
        <f>基础状态预期!$C111</f>
        <v>140</v>
      </c>
      <c r="N100" s="17">
        <f>求节点($C$17:$C$22,D$17:D$22,基础状态预期!M111)</f>
        <v>0</v>
      </c>
      <c r="O100" s="17">
        <f>求节点($C$17:$C$22,E$17:E$22,基础状态预期!N111)</f>
        <v>0</v>
      </c>
      <c r="P100" s="17">
        <f>求节点($C$17:$C$22,F$17:F$22,基础状态预期!O111)</f>
        <v>0</v>
      </c>
      <c r="Q100" s="17">
        <f>求节点($C$17:$C$22,G$17:G$22,基础状态预期!P111)</f>
        <v>0.2</v>
      </c>
      <c r="R100" s="17">
        <f>MAX(SUMPRODUCT(N100:Q100,基础状态预期!I111:L111)/6,R99)</f>
        <v>0.20000000000000004</v>
      </c>
      <c r="V100" s="16">
        <v>95</v>
      </c>
      <c r="W100" s="16">
        <f t="shared" si="20"/>
        <v>6.6469585063574463E-2</v>
      </c>
      <c r="X100" s="16">
        <f t="shared" si="21"/>
        <v>8.7524815973830827E-2</v>
      </c>
      <c r="Y100" s="16">
        <f t="shared" si="22"/>
        <v>0.13279900382750084</v>
      </c>
      <c r="Z100" s="16">
        <f t="shared" si="23"/>
        <v>0.20000000000000004</v>
      </c>
      <c r="AA100" s="16">
        <f t="shared" si="24"/>
        <v>0.20000000000000004</v>
      </c>
      <c r="AD100" s="16">
        <v>9</v>
      </c>
      <c r="AE100" s="17">
        <v>70</v>
      </c>
      <c r="AF100" s="17">
        <f t="shared" si="27"/>
        <v>2.8765088801012088E-2</v>
      </c>
      <c r="AG100" s="17">
        <f>(AF100-AF99)*(INDEX([3]中r将兵属性验证!$AC$7:$AC$166,$AE100,1)*[3]战法技能效用!$AH$4+INDEX([3]中r将兵属性验证!$AX$7:$AX$166,$AE100,1)*[3]战法技能效用!$AI$4)+AG99</f>
        <v>354781176.46785575</v>
      </c>
      <c r="AH100" s="17">
        <f t="shared" si="25"/>
        <v>354781176.46785575</v>
      </c>
      <c r="AL100" s="16">
        <v>150</v>
      </c>
      <c r="AM100" s="16">
        <f>投放验证!$Q113*2</f>
        <v>192535870.70702294</v>
      </c>
      <c r="AP100" s="17">
        <v>70</v>
      </c>
      <c r="AQ100" s="17">
        <f t="shared" si="28"/>
        <v>498328.14505851525</v>
      </c>
      <c r="AR100" s="17">
        <f t="shared" si="26"/>
        <v>498328.14505851525</v>
      </c>
      <c r="AS100" s="16">
        <f t="shared" si="29"/>
        <v>711.94288339101581</v>
      </c>
    </row>
    <row r="101" spans="12:45">
      <c r="L101" s="16">
        <v>20</v>
      </c>
      <c r="M101" s="17">
        <f>基础状态预期!$C112</f>
        <v>145</v>
      </c>
      <c r="N101" s="17">
        <f>求节点($C$17:$C$22,D$17:D$22,基础状态预期!M112)</f>
        <v>0</v>
      </c>
      <c r="O101" s="17">
        <f>求节点($C$17:$C$22,E$17:E$22,基础状态预期!N112)</f>
        <v>0</v>
      </c>
      <c r="P101" s="17">
        <f>求节点($C$17:$C$22,F$17:F$22,基础状态预期!O112)</f>
        <v>0</v>
      </c>
      <c r="Q101" s="17">
        <f>求节点($C$17:$C$22,G$17:G$22,基础状态预期!P112)</f>
        <v>0.2</v>
      </c>
      <c r="R101" s="17">
        <f>MAX(SUMPRODUCT(N101:Q101,基础状态预期!I112:L112)/6,R100)</f>
        <v>0.20000000000000004</v>
      </c>
      <c r="V101" s="16">
        <v>96</v>
      </c>
      <c r="W101" s="16">
        <f t="shared" si="20"/>
        <v>7.0920519079614233E-2</v>
      </c>
      <c r="X101" s="16">
        <f t="shared" si="21"/>
        <v>9.3825596645283532E-2</v>
      </c>
      <c r="Y101" s="16">
        <f t="shared" si="22"/>
        <v>0.14623920306200069</v>
      </c>
      <c r="Z101" s="16">
        <f t="shared" si="23"/>
        <v>0.20000000000000004</v>
      </c>
      <c r="AA101" s="16">
        <f t="shared" si="24"/>
        <v>0.20000000000000004</v>
      </c>
      <c r="AD101" s="16">
        <v>10</v>
      </c>
      <c r="AE101" s="17">
        <v>80</v>
      </c>
      <c r="AF101" s="17">
        <f t="shared" si="27"/>
        <v>5.1981616540000136E-2</v>
      </c>
      <c r="AG101" s="17">
        <f>(AF101-AF100)*(INDEX([3]中r将兵属性验证!$AC$7:$AC$166,$AE101,1)*[3]战法技能效用!$AH$4+INDEX([3]中r将兵属性验证!$AX$7:$AX$166,$AE101,1)*[3]战法技能效用!$AI$4)+AG100</f>
        <v>1570723651.1300955</v>
      </c>
      <c r="AH101" s="17">
        <f t="shared" si="25"/>
        <v>1570723651.1300955</v>
      </c>
      <c r="AL101" s="16">
        <v>155</v>
      </c>
      <c r="AM101" s="16">
        <f>投放验证!$Q114*2</f>
        <v>544470663.08036745</v>
      </c>
      <c r="AP101" s="17">
        <v>80</v>
      </c>
      <c r="AQ101" s="17">
        <f t="shared" si="28"/>
        <v>914876.45110400254</v>
      </c>
      <c r="AR101" s="17">
        <f t="shared" si="26"/>
        <v>914876.45110400254</v>
      </c>
      <c r="AS101" s="16">
        <f t="shared" si="29"/>
        <v>1716.8696923335026</v>
      </c>
    </row>
    <row r="102" spans="12:45">
      <c r="L102" s="16">
        <v>21</v>
      </c>
      <c r="M102" s="17">
        <f>基础状态预期!$C113</f>
        <v>150</v>
      </c>
      <c r="N102" s="17">
        <f>求节点($C$17:$C$22,D$17:D$22,基础状态预期!M113)</f>
        <v>0</v>
      </c>
      <c r="O102" s="17">
        <f>求节点($C$17:$C$22,E$17:E$22,基础状态预期!N113)</f>
        <v>0</v>
      </c>
      <c r="P102" s="17">
        <f>求节点($C$17:$C$22,F$17:F$22,基础状态预期!O113)</f>
        <v>0</v>
      </c>
      <c r="Q102" s="17">
        <f>求节点($C$17:$C$22,G$17:G$22,基础状态预期!P113)</f>
        <v>0.2</v>
      </c>
      <c r="R102" s="17">
        <f>MAX(SUMPRODUCT(N102:Q102,基础状态预期!I113:L113)/6,R101)</f>
        <v>0.20000000000000004</v>
      </c>
      <c r="V102" s="16">
        <v>97</v>
      </c>
      <c r="W102" s="16">
        <f t="shared" ref="W102:W133" si="30">求节点($M$6:$M$26,$R$6:$R$26,$V102)</f>
        <v>7.5371453095654004E-2</v>
      </c>
      <c r="X102" s="16">
        <f t="shared" ref="X102:X133" si="31">求节点($M$32:$M$52,$R$32:$R$52,$V102)</f>
        <v>0.10012637731673624</v>
      </c>
      <c r="Y102" s="16">
        <f t="shared" ref="Y102:Y133" si="32">求节点($M$58:$M$78,$R$58:$R$78,$V102)</f>
        <v>0.15967940229650052</v>
      </c>
      <c r="Z102" s="16">
        <f t="shared" ref="Z102:Z133" si="33">求节点($M$84:$M$104,$R$84:$R$104,$V102)</f>
        <v>0.20000000000000004</v>
      </c>
      <c r="AA102" s="16">
        <f t="shared" ref="AA102:AA133" si="34">求节点($M$110:$M$130,$R$110:$R$130,$V102)</f>
        <v>0.20000000000000004</v>
      </c>
      <c r="AD102" s="16">
        <v>11</v>
      </c>
      <c r="AE102" s="17">
        <v>90</v>
      </c>
      <c r="AF102" s="17">
        <f t="shared" si="27"/>
        <v>9.5445653677946038E-2</v>
      </c>
      <c r="AG102" s="17">
        <f>(AF102-AF101)*(INDEX([3]中r将兵属性验证!$AC$7:$AC$166,$AE102,1)*[3]战法技能效用!$AH$4+INDEX([3]中r将兵属性验证!$AX$7:$AX$166,$AE102,1)*[3]战法技能效用!$AI$4)+AG101</f>
        <v>7230810238.9743052</v>
      </c>
      <c r="AH102" s="17">
        <f t="shared" si="25"/>
        <v>7230810238.9743052</v>
      </c>
      <c r="AL102" s="16">
        <v>160</v>
      </c>
      <c r="AM102" s="16">
        <f>投放验证!$Q115*2</f>
        <v>809989952.78543949</v>
      </c>
      <c r="AP102" s="17">
        <v>90</v>
      </c>
      <c r="AQ102" s="17">
        <f t="shared" si="28"/>
        <v>1679843.5047318505</v>
      </c>
      <c r="AR102" s="17">
        <f t="shared" si="26"/>
        <v>1679843.5047318505</v>
      </c>
      <c r="AS102" s="16">
        <f t="shared" si="29"/>
        <v>4304.4546820023825</v>
      </c>
    </row>
    <row r="103" spans="12:45">
      <c r="L103" s="16">
        <v>22</v>
      </c>
      <c r="M103" s="17">
        <f>基础状态预期!$C114</f>
        <v>155</v>
      </c>
      <c r="N103" s="17">
        <f>求节点($C$17:$C$22,D$17:D$22,基础状态预期!M114)</f>
        <v>0</v>
      </c>
      <c r="O103" s="17">
        <f>求节点($C$17:$C$22,E$17:E$22,基础状态预期!N114)</f>
        <v>0</v>
      </c>
      <c r="P103" s="17">
        <f>求节点($C$17:$C$22,F$17:F$22,基础状态预期!O114)</f>
        <v>0</v>
      </c>
      <c r="Q103" s="17">
        <f>求节点($C$17:$C$22,G$17:G$22,基础状态预期!P114)</f>
        <v>0.2</v>
      </c>
      <c r="R103" s="17">
        <f>MAX(SUMPRODUCT(N103:Q103,基础状态预期!I114:L114)/6,R102)</f>
        <v>0.20000000000000004</v>
      </c>
      <c r="V103" s="16">
        <v>98</v>
      </c>
      <c r="W103" s="16">
        <f t="shared" si="30"/>
        <v>7.982238711169376E-2</v>
      </c>
      <c r="X103" s="16">
        <f t="shared" si="31"/>
        <v>0.10642715798818894</v>
      </c>
      <c r="Y103" s="16">
        <f t="shared" si="32"/>
        <v>0.17311960153100037</v>
      </c>
      <c r="Z103" s="16">
        <f t="shared" si="33"/>
        <v>0.20000000000000004</v>
      </c>
      <c r="AA103" s="16">
        <f t="shared" si="34"/>
        <v>0.20000000000000004</v>
      </c>
      <c r="AD103" s="16">
        <v>12</v>
      </c>
      <c r="AE103" s="17">
        <v>100</v>
      </c>
      <c r="AF103" s="17">
        <f t="shared" si="27"/>
        <v>0.20000000000000004</v>
      </c>
      <c r="AG103" s="17">
        <f>(AF103-AF102)*(INDEX([3]中r将兵属性验证!$AC$7:$AC$166,$AE103,1)*[3]战法技能效用!$AH$4+INDEX([3]中r将兵属性验证!$AX$7:$AX$166,$AE103,1)*[3]战法技能效用!$AI$4)+AG102</f>
        <v>36295365685.274284</v>
      </c>
      <c r="AH103" s="17">
        <f t="shared" si="25"/>
        <v>36295365685.274284</v>
      </c>
      <c r="AP103" s="17">
        <v>100</v>
      </c>
      <c r="AQ103" s="17">
        <f t="shared" si="28"/>
        <v>3172532.8153532185</v>
      </c>
      <c r="AR103" s="17">
        <f t="shared" si="26"/>
        <v>3172532.8153532185</v>
      </c>
      <c r="AS103" s="16">
        <f t="shared" si="29"/>
        <v>11440.501264360693</v>
      </c>
    </row>
    <row r="104" spans="12:45">
      <c r="L104" s="16">
        <v>23</v>
      </c>
      <c r="M104" s="17">
        <f>基础状态预期!$C115</f>
        <v>160</v>
      </c>
      <c r="N104" s="17">
        <f>求节点($C$17:$C$22,D$17:D$22,基础状态预期!M115)</f>
        <v>0</v>
      </c>
      <c r="O104" s="17">
        <f>求节点($C$17:$C$22,E$17:E$22,基础状态预期!N115)</f>
        <v>0</v>
      </c>
      <c r="P104" s="17">
        <f>求节点($C$17:$C$22,F$17:F$22,基础状态预期!O115)</f>
        <v>0</v>
      </c>
      <c r="Q104" s="17">
        <f>求节点($C$17:$C$22,G$17:G$22,基础状态预期!P115)</f>
        <v>0.2</v>
      </c>
      <c r="R104" s="17">
        <f>MAX(SUMPRODUCT(N104:Q104,基础状态预期!I115:L115)/6,R103)</f>
        <v>0.20000000000000004</v>
      </c>
      <c r="V104" s="16">
        <v>99</v>
      </c>
      <c r="W104" s="16">
        <f t="shared" si="30"/>
        <v>8.427332112773353E-2</v>
      </c>
      <c r="X104" s="16">
        <f t="shared" si="31"/>
        <v>0.11272793865964163</v>
      </c>
      <c r="Y104" s="16">
        <f t="shared" si="32"/>
        <v>0.18655980076550022</v>
      </c>
      <c r="Z104" s="16">
        <f t="shared" si="33"/>
        <v>0.20000000000000004</v>
      </c>
      <c r="AA104" s="16">
        <f t="shared" si="34"/>
        <v>0.20000000000000004</v>
      </c>
      <c r="AD104" s="16">
        <v>13</v>
      </c>
      <c r="AE104" s="17">
        <v>110</v>
      </c>
      <c r="AF104" s="17">
        <f t="shared" si="27"/>
        <v>0.20000000000000004</v>
      </c>
      <c r="AG104" s="17">
        <f>(AF104-AF103)*(INDEX([3]中r将兵属性验证!$AC$7:$AC$166,$AE104,1)*[3]战法技能效用!$AH$4+INDEX([3]中r将兵属性验证!$AX$7:$AX$166,$AE104,1)*[3]战法技能效用!$AI$4)+AG103</f>
        <v>36295365685.274284</v>
      </c>
      <c r="AH104" s="17">
        <f t="shared" si="25"/>
        <v>36295365685.274284</v>
      </c>
      <c r="AP104" s="17">
        <v>110</v>
      </c>
      <c r="AQ104" s="17">
        <f t="shared" si="28"/>
        <v>6005840.7099435888</v>
      </c>
      <c r="AR104" s="17">
        <f t="shared" si="26"/>
        <v>6005840.7099435888</v>
      </c>
      <c r="AS104" s="16">
        <f t="shared" si="29"/>
        <v>6043.3447102887276</v>
      </c>
    </row>
    <row r="105" spans="12:45">
      <c r="L105" s="16">
        <v>24</v>
      </c>
      <c r="V105" s="16">
        <v>100</v>
      </c>
      <c r="W105" s="16">
        <f t="shared" si="30"/>
        <v>8.8724255143773301E-2</v>
      </c>
      <c r="X105" s="16">
        <f t="shared" si="31"/>
        <v>0.11902871933109434</v>
      </c>
      <c r="Y105" s="16">
        <f t="shared" si="32"/>
        <v>0.20000000000000004</v>
      </c>
      <c r="Z105" s="16">
        <f t="shared" si="33"/>
        <v>0.20000000000000004</v>
      </c>
      <c r="AA105" s="16">
        <f t="shared" si="34"/>
        <v>0.20000000000000004</v>
      </c>
      <c r="AD105" s="16">
        <v>14</v>
      </c>
      <c r="AE105" s="17">
        <v>120</v>
      </c>
      <c r="AF105" s="17">
        <f t="shared" si="27"/>
        <v>0.20000000000000004</v>
      </c>
      <c r="AG105" s="17">
        <f>(AF105-AF104)*(INDEX([3]中r将兵属性验证!$AC$7:$AC$166,$AE105,1)*[3]战法技能效用!$AH$4+INDEX([3]中r将兵属性验证!$AX$7:$AX$166,$AE105,1)*[3]战法技能效用!$AI$4)+AG104</f>
        <v>36295365685.274284</v>
      </c>
      <c r="AH105" s="17">
        <f t="shared" si="25"/>
        <v>36295365685.274284</v>
      </c>
      <c r="AP105" s="17">
        <v>120</v>
      </c>
      <c r="AQ105" s="17">
        <f t="shared" si="28"/>
        <v>11600233.459921792</v>
      </c>
      <c r="AR105" s="17">
        <f t="shared" si="26"/>
        <v>11600233.459921792</v>
      </c>
      <c r="AS105" s="16">
        <f t="shared" si="29"/>
        <v>3128.8478641979837</v>
      </c>
    </row>
    <row r="106" spans="12:45">
      <c r="L106" s="16">
        <v>25</v>
      </c>
      <c r="V106" s="16">
        <v>101</v>
      </c>
      <c r="W106" s="16">
        <f t="shared" si="30"/>
        <v>9.5023743518771839E-2</v>
      </c>
      <c r="X106" s="16">
        <f t="shared" si="31"/>
        <v>0.13044834516550094</v>
      </c>
      <c r="Y106" s="16">
        <f t="shared" si="32"/>
        <v>0.20000000000000004</v>
      </c>
      <c r="Z106" s="16">
        <f t="shared" si="33"/>
        <v>0.20000000000000004</v>
      </c>
      <c r="AA106" s="16">
        <f t="shared" si="34"/>
        <v>0.20000000000000004</v>
      </c>
      <c r="AD106" s="16">
        <v>15</v>
      </c>
      <c r="AE106" s="17">
        <v>130</v>
      </c>
      <c r="AF106" s="17">
        <f t="shared" si="27"/>
        <v>0.20000000000000004</v>
      </c>
      <c r="AG106" s="17">
        <f>(AF106-AF105)*(INDEX([3]中r将兵属性验证!$AC$7:$AC$166,$AE106,1)*[3]战法技能效用!$AH$4+INDEX([3]中r将兵属性验证!$AX$7:$AX$166,$AE106,1)*[3]战法技能效用!$AI$4)+AG105</f>
        <v>36295365685.274284</v>
      </c>
      <c r="AH106" s="17">
        <f t="shared" si="25"/>
        <v>36295365685.274284</v>
      </c>
      <c r="AL106" s="16" t="s">
        <v>258</v>
      </c>
      <c r="AM106" s="174" t="s">
        <v>419</v>
      </c>
      <c r="AP106" s="17">
        <v>130</v>
      </c>
      <c r="AQ106" s="17">
        <f t="shared" si="28"/>
        <v>22442279.344264437</v>
      </c>
      <c r="AR106" s="17">
        <f t="shared" si="26"/>
        <v>22442279.344264437</v>
      </c>
      <c r="AS106" s="16">
        <f t="shared" si="29"/>
        <v>1617.2762636318523</v>
      </c>
    </row>
    <row r="107" spans="12:45">
      <c r="L107" s="16">
        <v>26</v>
      </c>
      <c r="V107" s="16">
        <v>102</v>
      </c>
      <c r="W107" s="16">
        <f t="shared" si="30"/>
        <v>0.10132323189377039</v>
      </c>
      <c r="X107" s="16">
        <f t="shared" si="31"/>
        <v>0.14186797099990753</v>
      </c>
      <c r="Y107" s="16">
        <f t="shared" si="32"/>
        <v>0.20000000000000004</v>
      </c>
      <c r="Z107" s="16">
        <f t="shared" si="33"/>
        <v>0.20000000000000004</v>
      </c>
      <c r="AA107" s="16">
        <f t="shared" si="34"/>
        <v>0.20000000000000004</v>
      </c>
      <c r="AD107" s="16">
        <v>16</v>
      </c>
      <c r="AE107" s="17">
        <v>140</v>
      </c>
      <c r="AF107" s="17">
        <f t="shared" si="27"/>
        <v>0.20000000000000004</v>
      </c>
      <c r="AG107" s="17">
        <f>(AF107-AF106)*(INDEX([3]中r将兵属性验证!$AC$7:$AC$166,$AE107,1)*[3]战法技能效用!$AH$4+INDEX([3]中r将兵属性验证!$AX$7:$AX$166,$AE107,1)*[3]战法技能效用!$AI$4)+AG106</f>
        <v>36295365685.274284</v>
      </c>
      <c r="AH107" s="17">
        <f t="shared" si="25"/>
        <v>36295365685.274284</v>
      </c>
      <c r="AL107" s="16" t="s">
        <v>161</v>
      </c>
      <c r="AM107" s="174"/>
      <c r="AP107" s="17">
        <v>140</v>
      </c>
      <c r="AQ107" s="17">
        <f t="shared" si="28"/>
        <v>43824756.436709523</v>
      </c>
      <c r="AR107" s="17">
        <f t="shared" si="26"/>
        <v>43824756.436709523</v>
      </c>
      <c r="AS107" s="16">
        <f t="shared" si="29"/>
        <v>828.19320941785554</v>
      </c>
    </row>
    <row r="108" spans="12:45">
      <c r="L108" s="16">
        <v>1</v>
      </c>
      <c r="M108" s="69" t="s">
        <v>78</v>
      </c>
      <c r="N108" s="170" t="s">
        <v>252</v>
      </c>
      <c r="O108" s="170"/>
      <c r="P108" s="170"/>
      <c r="Q108" s="170"/>
      <c r="R108" s="170"/>
      <c r="V108" s="16">
        <v>103</v>
      </c>
      <c r="W108" s="16">
        <f t="shared" si="30"/>
        <v>0.10762272026876893</v>
      </c>
      <c r="X108" s="16">
        <f t="shared" si="31"/>
        <v>0.15328759683431414</v>
      </c>
      <c r="Y108" s="16">
        <f t="shared" si="32"/>
        <v>0.20000000000000004</v>
      </c>
      <c r="Z108" s="16">
        <f t="shared" si="33"/>
        <v>0.20000000000000004</v>
      </c>
      <c r="AA108" s="16">
        <f t="shared" si="34"/>
        <v>0.20000000000000004</v>
      </c>
      <c r="AD108" s="16">
        <v>17</v>
      </c>
      <c r="AE108" s="17">
        <v>150</v>
      </c>
      <c r="AF108" s="17">
        <f t="shared" si="27"/>
        <v>0.20000000000000004</v>
      </c>
      <c r="AG108" s="17">
        <f>(AF108-AF107)*(INDEX([3]中r将兵属性验证!$AC$7:$AC$166,$AE108,1)*[3]战法技能效用!$AH$4+INDEX([3]中r将兵属性验证!$AX$7:$AX$166,$AE108,1)*[3]战法技能效用!$AI$4)+AG107</f>
        <v>36295365685.274284</v>
      </c>
      <c r="AH108" s="17">
        <f t="shared" si="25"/>
        <v>36295365685.274284</v>
      </c>
      <c r="AL108" s="16">
        <v>50</v>
      </c>
      <c r="AM108" s="16">
        <f>投放验证!$Q121*2</f>
        <v>379291.17157367611</v>
      </c>
      <c r="AP108" s="17">
        <v>150</v>
      </c>
      <c r="AQ108" s="17">
        <f t="shared" si="28"/>
        <v>86043994.770403534</v>
      </c>
      <c r="AR108" s="17">
        <f t="shared" si="26"/>
        <v>86043994.770403534</v>
      </c>
      <c r="AS108" s="16">
        <f t="shared" si="29"/>
        <v>421.82334493096738</v>
      </c>
    </row>
    <row r="109" spans="12:45">
      <c r="L109" s="16">
        <v>2</v>
      </c>
      <c r="M109" s="17" t="s">
        <v>161</v>
      </c>
      <c r="N109" s="17" t="s">
        <v>1</v>
      </c>
      <c r="O109" s="17" t="s">
        <v>2</v>
      </c>
      <c r="P109" s="17" t="s">
        <v>0</v>
      </c>
      <c r="Q109" s="17" t="s">
        <v>205</v>
      </c>
      <c r="R109" s="71" t="s">
        <v>373</v>
      </c>
      <c r="V109" s="16">
        <v>104</v>
      </c>
      <c r="W109" s="16">
        <f t="shared" si="30"/>
        <v>0.11392220864376748</v>
      </c>
      <c r="X109" s="16">
        <f t="shared" si="31"/>
        <v>0.16470722266872073</v>
      </c>
      <c r="Y109" s="16">
        <f t="shared" si="32"/>
        <v>0.20000000000000004</v>
      </c>
      <c r="Z109" s="16">
        <f t="shared" si="33"/>
        <v>0.20000000000000004</v>
      </c>
      <c r="AA109" s="16">
        <f t="shared" si="34"/>
        <v>0.20000000000000004</v>
      </c>
      <c r="AD109" s="16">
        <v>18</v>
      </c>
      <c r="AE109" s="17">
        <v>160</v>
      </c>
      <c r="AF109" s="17">
        <f t="shared" si="27"/>
        <v>0.20000000000000004</v>
      </c>
      <c r="AG109" s="17">
        <f>(AF109-AF108)*(INDEX([3]中r将兵属性验证!$AC$7:$AC$166,$AE109,1)*[3]战法技能效用!$AH$4+INDEX([3]中r将兵属性验证!$AX$7:$AX$166,$AE109,1)*[3]战法技能效用!$AI$4)+AG108</f>
        <v>36295365685.274284</v>
      </c>
      <c r="AH109" s="17">
        <f t="shared" si="25"/>
        <v>36295365685.274284</v>
      </c>
      <c r="AL109" s="16">
        <v>60</v>
      </c>
      <c r="AM109" s="16">
        <f>投放验证!$Q122*2</f>
        <v>679002.65766469098</v>
      </c>
      <c r="AP109" s="17">
        <v>160</v>
      </c>
      <c r="AQ109" s="17">
        <f t="shared" si="28"/>
        <v>254477834.53221771</v>
      </c>
      <c r="AR109" s="17">
        <f t="shared" si="26"/>
        <v>254477834.53221771</v>
      </c>
      <c r="AS109" s="16">
        <f t="shared" si="29"/>
        <v>142.62682544431655</v>
      </c>
    </row>
    <row r="110" spans="12:45">
      <c r="L110" s="16">
        <v>3</v>
      </c>
      <c r="M110" s="17">
        <f>基础状态预期!$C121</f>
        <v>50</v>
      </c>
      <c r="N110" s="17">
        <f>求节点($C$17:$C$22,D$17:D$22,基础状态预期!M121)</f>
        <v>0</v>
      </c>
      <c r="O110" s="17">
        <f>求节点($C$17:$C$22,E$17:E$22,基础状态预期!N121)</f>
        <v>0</v>
      </c>
      <c r="P110" s="17">
        <f>求节点($C$17:$C$22,F$17:F$22,基础状态预期!O121)</f>
        <v>0</v>
      </c>
      <c r="Q110" s="17">
        <f>求节点($C$17:$C$22,G$17:G$22,基础状态预期!P121)</f>
        <v>0.03</v>
      </c>
      <c r="R110" s="51">
        <f>SUMPRODUCT(N110:Q110,基础状态预期!I121:L121)/6</f>
        <v>0</v>
      </c>
      <c r="V110" s="16">
        <v>105</v>
      </c>
      <c r="W110" s="16">
        <f t="shared" si="30"/>
        <v>0.12022169701876602</v>
      </c>
      <c r="X110" s="16">
        <f t="shared" si="31"/>
        <v>0.17612684850312732</v>
      </c>
      <c r="Y110" s="16">
        <f t="shared" si="32"/>
        <v>0.20000000000000004</v>
      </c>
      <c r="Z110" s="16">
        <f t="shared" si="33"/>
        <v>0.20000000000000004</v>
      </c>
      <c r="AA110" s="16">
        <f t="shared" si="34"/>
        <v>0.20000000000000004</v>
      </c>
      <c r="AD110" s="16">
        <v>19</v>
      </c>
      <c r="AL110" s="16">
        <v>70</v>
      </c>
      <c r="AM110" s="16">
        <f>投放验证!$Q123*2</f>
        <v>1254856.8726787968</v>
      </c>
    </row>
    <row r="111" spans="12:45">
      <c r="L111" s="16">
        <v>4</v>
      </c>
      <c r="M111" s="17">
        <f>基础状态预期!$C122</f>
        <v>60</v>
      </c>
      <c r="N111" s="17">
        <f>求节点($C$17:$C$22,D$17:D$22,基础状态预期!M122)</f>
        <v>0</v>
      </c>
      <c r="O111" s="17">
        <f>求节点($C$17:$C$22,E$17:E$22,基础状态预期!N122)</f>
        <v>0</v>
      </c>
      <c r="P111" s="17">
        <f>求节点($C$17:$C$22,F$17:F$22,基础状态预期!O122)</f>
        <v>0</v>
      </c>
      <c r="Q111" s="17">
        <f>求节点($C$17:$C$22,G$17:G$22,基础状态预期!P122)</f>
        <v>0.10273870283958574</v>
      </c>
      <c r="R111" s="17">
        <f>MAX(SUMPRODUCT(N111:Q111,基础状态预期!I122:L122)/6,R110)</f>
        <v>3.8579696458221076E-2</v>
      </c>
      <c r="V111" s="16">
        <v>106</v>
      </c>
      <c r="W111" s="16">
        <f t="shared" si="30"/>
        <v>0.1314013890661701</v>
      </c>
      <c r="X111" s="16">
        <f t="shared" si="31"/>
        <v>0.18090147880250187</v>
      </c>
      <c r="Y111" s="16">
        <f t="shared" si="32"/>
        <v>0.20000000000000004</v>
      </c>
      <c r="Z111" s="16">
        <f t="shared" si="33"/>
        <v>0.20000000000000004</v>
      </c>
      <c r="AA111" s="16">
        <f t="shared" si="34"/>
        <v>0.20000000000000004</v>
      </c>
      <c r="AD111" s="16">
        <v>20</v>
      </c>
      <c r="AL111" s="16">
        <v>75</v>
      </c>
      <c r="AM111" s="16">
        <f>投放验证!$Q124*2</f>
        <v>1756334.1466263512</v>
      </c>
    </row>
    <row r="112" spans="12:45">
      <c r="L112" s="16">
        <v>5</v>
      </c>
      <c r="M112" s="17">
        <f>基础状态预期!$C123</f>
        <v>70</v>
      </c>
      <c r="N112" s="17">
        <f>求节点($C$17:$C$22,D$17:D$22,基础状态预期!M123)</f>
        <v>0</v>
      </c>
      <c r="O112" s="17">
        <f>求节点($C$17:$C$22,E$17:E$22,基础状态预期!N123)</f>
        <v>0</v>
      </c>
      <c r="P112" s="17">
        <f>求节点($C$17:$C$22,F$17:F$22,基础状态预期!O123)</f>
        <v>0</v>
      </c>
      <c r="Q112" s="17">
        <f>求节点($C$17:$C$22,G$17:G$22,基础状态预期!P123)</f>
        <v>0.10273870283958574</v>
      </c>
      <c r="R112" s="17">
        <f>MAX(SUMPRODUCT(N112:Q112,基础状态预期!I123:L123)/6,R111)</f>
        <v>7.630322567540368E-2</v>
      </c>
      <c r="V112" s="16">
        <v>107</v>
      </c>
      <c r="W112" s="16">
        <f t="shared" si="30"/>
        <v>0.14258108111357418</v>
      </c>
      <c r="X112" s="16">
        <f t="shared" si="31"/>
        <v>0.1856761091018764</v>
      </c>
      <c r="Y112" s="16">
        <f t="shared" si="32"/>
        <v>0.20000000000000004</v>
      </c>
      <c r="Z112" s="16">
        <f t="shared" si="33"/>
        <v>0.20000000000000004</v>
      </c>
      <c r="AA112" s="16">
        <f t="shared" si="34"/>
        <v>0.20000000000000004</v>
      </c>
      <c r="AD112" s="16">
        <v>21</v>
      </c>
      <c r="AL112" s="16">
        <v>80</v>
      </c>
      <c r="AM112" s="16">
        <f>投放验证!$Q125*2</f>
        <v>2447337.1189104798</v>
      </c>
    </row>
    <row r="113" spans="12:39">
      <c r="L113" s="16">
        <v>6</v>
      </c>
      <c r="M113" s="17">
        <f>基础状态预期!$C124</f>
        <v>75</v>
      </c>
      <c r="N113" s="17">
        <f>求节点($C$17:$C$22,D$17:D$22,基础状态预期!M124)</f>
        <v>0</v>
      </c>
      <c r="O113" s="17">
        <f>求节点($C$17:$C$22,E$17:E$22,基础状态预期!N124)</f>
        <v>0</v>
      </c>
      <c r="P113" s="17">
        <f>求节点($C$17:$C$22,F$17:F$22,基础状态预期!O124)</f>
        <v>0</v>
      </c>
      <c r="Q113" s="17">
        <f>求节点($C$17:$C$22,G$17:G$22,基础状态预期!P124)</f>
        <v>0.10673214612635115</v>
      </c>
      <c r="R113" s="17">
        <f>MAX(SUMPRODUCT(N113:Q113,基础状态预期!I124:L124)/6,R112)</f>
        <v>9.9791712876497241E-2</v>
      </c>
      <c r="V113" s="16">
        <v>108</v>
      </c>
      <c r="W113" s="16">
        <f t="shared" si="30"/>
        <v>0.15376077316097825</v>
      </c>
      <c r="X113" s="16">
        <f t="shared" si="31"/>
        <v>0.19045073940125096</v>
      </c>
      <c r="Y113" s="16">
        <f t="shared" si="32"/>
        <v>0.20000000000000004</v>
      </c>
      <c r="Z113" s="16">
        <f t="shared" si="33"/>
        <v>0.20000000000000004</v>
      </c>
      <c r="AA113" s="16">
        <f t="shared" si="34"/>
        <v>0.20000000000000004</v>
      </c>
      <c r="AD113" s="16">
        <v>22</v>
      </c>
      <c r="AL113" s="16">
        <v>85</v>
      </c>
      <c r="AM113" s="16">
        <f>投放验证!$Q126*2</f>
        <v>3413819.8614682057</v>
      </c>
    </row>
    <row r="114" spans="12:39">
      <c r="L114" s="16">
        <v>7</v>
      </c>
      <c r="M114" s="17">
        <f>基础状态预期!$C125</f>
        <v>80</v>
      </c>
      <c r="N114" s="17">
        <f>求节点($C$17:$C$22,D$17:D$22,基础状态预期!M125)</f>
        <v>0</v>
      </c>
      <c r="O114" s="17">
        <f>求节点($C$17:$C$22,E$17:E$22,基础状态预期!N125)</f>
        <v>0</v>
      </c>
      <c r="P114" s="17">
        <f>求节点($C$17:$C$22,F$17:F$22,基础状态预期!O125)</f>
        <v>0</v>
      </c>
      <c r="Q114" s="17">
        <f>求节点($C$17:$C$22,G$17:G$22,基础状态预期!P125)</f>
        <v>0.14540432719018789</v>
      </c>
      <c r="R114" s="17">
        <f>MAX(SUMPRODUCT(N114:Q114,基础状态预期!I125:L125)/6,R113)</f>
        <v>0.14540432719018789</v>
      </c>
      <c r="V114" s="16">
        <v>109</v>
      </c>
      <c r="W114" s="16">
        <f t="shared" si="30"/>
        <v>0.16494046520838235</v>
      </c>
      <c r="X114" s="16">
        <f t="shared" si="31"/>
        <v>0.19522536970062548</v>
      </c>
      <c r="Y114" s="16">
        <f t="shared" si="32"/>
        <v>0.20000000000000004</v>
      </c>
      <c r="Z114" s="16">
        <f t="shared" si="33"/>
        <v>0.20000000000000004</v>
      </c>
      <c r="AA114" s="16">
        <f t="shared" si="34"/>
        <v>0.20000000000000004</v>
      </c>
      <c r="AD114" s="16">
        <v>23</v>
      </c>
      <c r="AL114" s="16">
        <v>90</v>
      </c>
      <c r="AM114" s="16">
        <f>投放验证!$Q127*2</f>
        <v>4561856.1245163316</v>
      </c>
    </row>
    <row r="115" spans="12:39">
      <c r="L115" s="16">
        <v>8</v>
      </c>
      <c r="M115" s="17">
        <f>基础状态预期!$C126</f>
        <v>85</v>
      </c>
      <c r="N115" s="17">
        <f>求节点($C$17:$C$22,D$17:D$22,基础状态预期!M126)</f>
        <v>0</v>
      </c>
      <c r="O115" s="17">
        <f>求节点($C$17:$C$22,E$17:E$22,基础状态预期!N126)</f>
        <v>0</v>
      </c>
      <c r="P115" s="17">
        <f>求节点($C$17:$C$22,F$17:F$22,基础状态预期!O126)</f>
        <v>0</v>
      </c>
      <c r="Q115" s="17">
        <f>求节点($C$17:$C$22,G$17:G$22,基础状态预期!P126)</f>
        <v>0.2</v>
      </c>
      <c r="R115" s="17">
        <f>MAX(SUMPRODUCT(N115:Q115,基础状态预期!I126:L126)/6,R114)</f>
        <v>0.20000000000000004</v>
      </c>
      <c r="V115" s="16">
        <v>110</v>
      </c>
      <c r="W115" s="16">
        <f t="shared" si="30"/>
        <v>0.17612015725578642</v>
      </c>
      <c r="X115" s="16">
        <f t="shared" si="31"/>
        <v>0.20000000000000004</v>
      </c>
      <c r="Y115" s="16">
        <f t="shared" si="32"/>
        <v>0.20000000000000004</v>
      </c>
      <c r="Z115" s="16">
        <f t="shared" si="33"/>
        <v>0.20000000000000004</v>
      </c>
      <c r="AA115" s="16">
        <f t="shared" si="34"/>
        <v>0.20000000000000004</v>
      </c>
      <c r="AD115" s="16">
        <v>24</v>
      </c>
      <c r="AL115" s="16">
        <v>95</v>
      </c>
      <c r="AM115" s="16">
        <f>投放验证!$Q128*2</f>
        <v>6294762.5187277887</v>
      </c>
    </row>
    <row r="116" spans="12:39">
      <c r="L116" s="16">
        <v>9</v>
      </c>
      <c r="M116" s="17">
        <f>基础状态预期!$C127</f>
        <v>90</v>
      </c>
      <c r="N116" s="17">
        <f>求节点($C$17:$C$22,D$17:D$22,基础状态预期!M127)</f>
        <v>0</v>
      </c>
      <c r="O116" s="17">
        <f>求节点($C$17:$C$22,E$17:E$22,基础状态预期!N127)</f>
        <v>0</v>
      </c>
      <c r="P116" s="17">
        <f>求节点($C$17:$C$22,F$17:F$22,基础状态预期!O127)</f>
        <v>0</v>
      </c>
      <c r="Q116" s="17">
        <f>求节点($C$17:$C$22,G$17:G$22,基础状态预期!P127)</f>
        <v>0.2</v>
      </c>
      <c r="R116" s="17">
        <f>MAX(SUMPRODUCT(N116:Q116,基础状态预期!I127:L127)/6,R115)</f>
        <v>0.20000000000000004</v>
      </c>
      <c r="V116" s="16">
        <v>111</v>
      </c>
      <c r="W116" s="16">
        <f t="shared" si="30"/>
        <v>0.18089612580462913</v>
      </c>
      <c r="X116" s="16">
        <f t="shared" si="31"/>
        <v>0.20000000000000004</v>
      </c>
      <c r="Y116" s="16">
        <f t="shared" si="32"/>
        <v>0.20000000000000004</v>
      </c>
      <c r="Z116" s="16">
        <f t="shared" si="33"/>
        <v>0.20000000000000004</v>
      </c>
      <c r="AA116" s="16">
        <f t="shared" si="34"/>
        <v>0.20000000000000004</v>
      </c>
      <c r="AD116" s="16">
        <v>25</v>
      </c>
      <c r="AL116" s="16">
        <v>100</v>
      </c>
      <c r="AM116" s="16">
        <f>投放验证!$Q129*2</f>
        <v>8890149.7648877781</v>
      </c>
    </row>
    <row r="117" spans="12:39">
      <c r="L117" s="16">
        <v>10</v>
      </c>
      <c r="M117" s="17">
        <f>基础状态预期!$C128</f>
        <v>95</v>
      </c>
      <c r="N117" s="17">
        <f>求节点($C$17:$C$22,D$17:D$22,基础状态预期!M128)</f>
        <v>0</v>
      </c>
      <c r="O117" s="17">
        <f>求节点($C$17:$C$22,E$17:E$22,基础状态预期!N128)</f>
        <v>0</v>
      </c>
      <c r="P117" s="17">
        <f>求节点($C$17:$C$22,F$17:F$22,基础状态预期!O128)</f>
        <v>0</v>
      </c>
      <c r="Q117" s="17">
        <f>求节点($C$17:$C$22,G$17:G$22,基础状态预期!P128)</f>
        <v>0.2</v>
      </c>
      <c r="R117" s="17">
        <f>MAX(SUMPRODUCT(N117:Q117,基础状态预期!I128:L128)/6,R116)</f>
        <v>0.20000000000000004</v>
      </c>
      <c r="V117" s="16">
        <v>112</v>
      </c>
      <c r="W117" s="16">
        <f t="shared" si="30"/>
        <v>0.18567209435347187</v>
      </c>
      <c r="X117" s="16">
        <f t="shared" si="31"/>
        <v>0.20000000000000004</v>
      </c>
      <c r="Y117" s="16">
        <f t="shared" si="32"/>
        <v>0.20000000000000004</v>
      </c>
      <c r="Z117" s="16">
        <f t="shared" si="33"/>
        <v>0.20000000000000004</v>
      </c>
      <c r="AA117" s="16">
        <f t="shared" si="34"/>
        <v>0.20000000000000004</v>
      </c>
      <c r="AD117" s="16">
        <v>26</v>
      </c>
      <c r="AL117" s="16">
        <v>105</v>
      </c>
      <c r="AM117" s="16">
        <f>投放验证!$Q130*2</f>
        <v>12420235.718069188</v>
      </c>
    </row>
    <row r="118" spans="12:39">
      <c r="L118" s="16">
        <v>11</v>
      </c>
      <c r="M118" s="17">
        <f>基础状态预期!$C129</f>
        <v>100</v>
      </c>
      <c r="N118" s="17">
        <f>求节点($C$17:$C$22,D$17:D$22,基础状态预期!M129)</f>
        <v>0</v>
      </c>
      <c r="O118" s="17">
        <f>求节点($C$17:$C$22,E$17:E$22,基础状态预期!N129)</f>
        <v>0</v>
      </c>
      <c r="P118" s="17">
        <f>求节点($C$17:$C$22,F$17:F$22,基础状态预期!O129)</f>
        <v>0</v>
      </c>
      <c r="Q118" s="17">
        <f>求节点($C$17:$C$22,G$17:G$22,基础状态预期!P129)</f>
        <v>0.2</v>
      </c>
      <c r="R118" s="17">
        <f>MAX(SUMPRODUCT(N118:Q118,基础状态预期!I129:L129)/6,R117)</f>
        <v>0.20000000000000004</v>
      </c>
      <c r="V118" s="16">
        <v>113</v>
      </c>
      <c r="W118" s="16">
        <f t="shared" si="30"/>
        <v>0.19044806290231459</v>
      </c>
      <c r="X118" s="16">
        <f t="shared" si="31"/>
        <v>0.20000000000000004</v>
      </c>
      <c r="Y118" s="16">
        <f t="shared" si="32"/>
        <v>0.20000000000000004</v>
      </c>
      <c r="Z118" s="16">
        <f t="shared" si="33"/>
        <v>0.20000000000000004</v>
      </c>
      <c r="AA118" s="16">
        <f t="shared" si="34"/>
        <v>0.20000000000000004</v>
      </c>
      <c r="AD118" s="16">
        <v>27</v>
      </c>
      <c r="AL118" s="16">
        <v>110</v>
      </c>
      <c r="AM118" s="16">
        <f>投放验证!$Q131*2</f>
        <v>17318746.214545555</v>
      </c>
    </row>
    <row r="119" spans="12:39">
      <c r="L119" s="16">
        <v>12</v>
      </c>
      <c r="M119" s="17">
        <f>基础状态预期!$C130</f>
        <v>105</v>
      </c>
      <c r="N119" s="17">
        <f>求节点($C$17:$C$22,D$17:D$22,基础状态预期!M130)</f>
        <v>0</v>
      </c>
      <c r="O119" s="17">
        <f>求节点($C$17:$C$22,E$17:E$22,基础状态预期!N130)</f>
        <v>0</v>
      </c>
      <c r="P119" s="17">
        <f>求节点($C$17:$C$22,F$17:F$22,基础状态预期!O130)</f>
        <v>0</v>
      </c>
      <c r="Q119" s="17">
        <f>求节点($C$17:$C$22,G$17:G$22,基础状态预期!P130)</f>
        <v>0.2</v>
      </c>
      <c r="R119" s="17">
        <f>MAX(SUMPRODUCT(N119:Q119,基础状态预期!I130:L130)/6,R118)</f>
        <v>0.20000000000000004</v>
      </c>
      <c r="V119" s="16">
        <v>114</v>
      </c>
      <c r="W119" s="16">
        <f t="shared" si="30"/>
        <v>0.19522403145115733</v>
      </c>
      <c r="X119" s="16">
        <f t="shared" si="31"/>
        <v>0.20000000000000004</v>
      </c>
      <c r="Y119" s="16">
        <f t="shared" si="32"/>
        <v>0.20000000000000004</v>
      </c>
      <c r="Z119" s="16">
        <f t="shared" si="33"/>
        <v>0.20000000000000004</v>
      </c>
      <c r="AA119" s="16">
        <f t="shared" si="34"/>
        <v>0.20000000000000004</v>
      </c>
      <c r="AD119" s="16">
        <v>28</v>
      </c>
      <c r="AL119" s="16">
        <v>115</v>
      </c>
      <c r="AM119" s="16">
        <f>投放验证!$Q132*2</f>
        <v>24135818.900488123</v>
      </c>
    </row>
    <row r="120" spans="12:39">
      <c r="L120" s="16">
        <v>13</v>
      </c>
      <c r="M120" s="17">
        <f>基础状态预期!$C131</f>
        <v>110</v>
      </c>
      <c r="N120" s="17">
        <f>求节点($C$17:$C$22,D$17:D$22,基础状态预期!M131)</f>
        <v>0</v>
      </c>
      <c r="O120" s="17">
        <f>求节点($C$17:$C$22,E$17:E$22,基础状态预期!N131)</f>
        <v>0</v>
      </c>
      <c r="P120" s="17">
        <f>求节点($C$17:$C$22,F$17:F$22,基础状态预期!O131)</f>
        <v>0</v>
      </c>
      <c r="Q120" s="17">
        <f>求节点($C$17:$C$22,G$17:G$22,基础状态预期!P131)</f>
        <v>0.2</v>
      </c>
      <c r="R120" s="17">
        <f>MAX(SUMPRODUCT(N120:Q120,基础状态预期!I131:L131)/6,R119)</f>
        <v>0.20000000000000004</v>
      </c>
      <c r="V120" s="16">
        <v>115</v>
      </c>
      <c r="W120" s="16">
        <f t="shared" si="30"/>
        <v>0.20000000000000004</v>
      </c>
      <c r="X120" s="16">
        <f t="shared" si="31"/>
        <v>0.20000000000000004</v>
      </c>
      <c r="Y120" s="16">
        <f t="shared" si="32"/>
        <v>0.20000000000000004</v>
      </c>
      <c r="Z120" s="16">
        <f t="shared" si="33"/>
        <v>0.20000000000000004</v>
      </c>
      <c r="AA120" s="16">
        <f t="shared" si="34"/>
        <v>0.20000000000000004</v>
      </c>
      <c r="AD120" s="16">
        <v>29</v>
      </c>
      <c r="AL120" s="16">
        <v>120</v>
      </c>
      <c r="AM120" s="16">
        <f>投放验证!$Q133*2</f>
        <v>33814850.781167865</v>
      </c>
    </row>
    <row r="121" spans="12:39">
      <c r="L121" s="16">
        <v>14</v>
      </c>
      <c r="M121" s="17">
        <f>基础状态预期!$C132</f>
        <v>115</v>
      </c>
      <c r="N121" s="17">
        <f>求节点($C$17:$C$22,D$17:D$22,基础状态预期!M132)</f>
        <v>0</v>
      </c>
      <c r="O121" s="17">
        <f>求节点($C$17:$C$22,E$17:E$22,基础状态预期!N132)</f>
        <v>0</v>
      </c>
      <c r="P121" s="17">
        <f>求节点($C$17:$C$22,F$17:F$22,基础状态预期!O132)</f>
        <v>0</v>
      </c>
      <c r="Q121" s="17">
        <f>求节点($C$17:$C$22,G$17:G$22,基础状态预期!P132)</f>
        <v>0.2</v>
      </c>
      <c r="R121" s="17">
        <f>MAX(SUMPRODUCT(N121:Q121,基础状态预期!I132:L132)/6,R120)</f>
        <v>0.20000000000000004</v>
      </c>
      <c r="V121" s="16">
        <v>116</v>
      </c>
      <c r="W121" s="16">
        <f t="shared" si="30"/>
        <v>0.20000000000000004</v>
      </c>
      <c r="X121" s="16">
        <f t="shared" si="31"/>
        <v>0.20000000000000004</v>
      </c>
      <c r="Y121" s="16">
        <f t="shared" si="32"/>
        <v>0.20000000000000004</v>
      </c>
      <c r="Z121" s="16">
        <f t="shared" si="33"/>
        <v>0.20000000000000004</v>
      </c>
      <c r="AA121" s="16">
        <f t="shared" si="34"/>
        <v>0.20000000000000004</v>
      </c>
      <c r="AD121" s="16">
        <v>30</v>
      </c>
      <c r="AL121" s="16">
        <v>125</v>
      </c>
      <c r="AM121" s="16">
        <f>投放验证!$Q134*2</f>
        <v>47643846.089167215</v>
      </c>
    </row>
    <row r="122" spans="12:39">
      <c r="L122" s="16">
        <v>15</v>
      </c>
      <c r="M122" s="17">
        <f>基础状态预期!$C133</f>
        <v>120</v>
      </c>
      <c r="N122" s="17">
        <f>求节点($C$17:$C$22,D$17:D$22,基础状态预期!M133)</f>
        <v>0</v>
      </c>
      <c r="O122" s="17">
        <f>求节点($C$17:$C$22,E$17:E$22,基础状态预期!N133)</f>
        <v>0</v>
      </c>
      <c r="P122" s="17">
        <f>求节点($C$17:$C$22,F$17:F$22,基础状态预期!O133)</f>
        <v>0</v>
      </c>
      <c r="Q122" s="17">
        <f>求节点($C$17:$C$22,G$17:G$22,基础状态预期!P133)</f>
        <v>0.2</v>
      </c>
      <c r="R122" s="17">
        <f>MAX(SUMPRODUCT(N122:Q122,基础状态预期!I133:L133)/6,R121)</f>
        <v>0.20000000000000004</v>
      </c>
      <c r="V122" s="16">
        <v>117</v>
      </c>
      <c r="W122" s="16">
        <f t="shared" si="30"/>
        <v>0.20000000000000004</v>
      </c>
      <c r="X122" s="16">
        <f t="shared" si="31"/>
        <v>0.20000000000000004</v>
      </c>
      <c r="Y122" s="16">
        <f t="shared" si="32"/>
        <v>0.20000000000000004</v>
      </c>
      <c r="Z122" s="16">
        <f t="shared" si="33"/>
        <v>0.20000000000000004</v>
      </c>
      <c r="AA122" s="16">
        <f t="shared" si="34"/>
        <v>0.20000000000000004</v>
      </c>
      <c r="AD122" s="16">
        <v>31</v>
      </c>
      <c r="AL122" s="16">
        <v>130</v>
      </c>
      <c r="AM122" s="16">
        <f>投放验证!$Q135*2</f>
        <v>66828395.589792967</v>
      </c>
    </row>
    <row r="123" spans="12:39">
      <c r="L123" s="16">
        <v>16</v>
      </c>
      <c r="M123" s="17">
        <f>基础状态预期!$C134</f>
        <v>125</v>
      </c>
      <c r="N123" s="17">
        <f>求节点($C$17:$C$22,D$17:D$22,基础状态预期!M134)</f>
        <v>0</v>
      </c>
      <c r="O123" s="17">
        <f>求节点($C$17:$C$22,E$17:E$22,基础状态预期!N134)</f>
        <v>0</v>
      </c>
      <c r="P123" s="17">
        <f>求节点($C$17:$C$22,F$17:F$22,基础状态预期!O134)</f>
        <v>0</v>
      </c>
      <c r="Q123" s="17">
        <f>求节点($C$17:$C$22,G$17:G$22,基础状态预期!P134)</f>
        <v>0.2</v>
      </c>
      <c r="R123" s="17">
        <f>MAX(SUMPRODUCT(N123:Q123,基础状态预期!I134:L134)/6,R122)</f>
        <v>0.20000000000000004</v>
      </c>
      <c r="V123" s="16">
        <v>118</v>
      </c>
      <c r="W123" s="16">
        <f t="shared" si="30"/>
        <v>0.20000000000000004</v>
      </c>
      <c r="X123" s="16">
        <f t="shared" si="31"/>
        <v>0.20000000000000004</v>
      </c>
      <c r="Y123" s="16">
        <f t="shared" si="32"/>
        <v>0.20000000000000004</v>
      </c>
      <c r="Z123" s="16">
        <f t="shared" si="33"/>
        <v>0.20000000000000004</v>
      </c>
      <c r="AA123" s="16">
        <f t="shared" si="34"/>
        <v>0.20000000000000004</v>
      </c>
      <c r="AD123" s="16">
        <v>32</v>
      </c>
      <c r="AL123" s="16">
        <v>135</v>
      </c>
      <c r="AM123" s="16">
        <f>投放验证!$Q136*2</f>
        <v>93488302.88682662</v>
      </c>
    </row>
    <row r="124" spans="12:39">
      <c r="L124" s="16">
        <v>17</v>
      </c>
      <c r="M124" s="17">
        <f>基础状态预期!$C135</f>
        <v>130</v>
      </c>
      <c r="N124" s="17">
        <f>求节点($C$17:$C$22,D$17:D$22,基础状态预期!M135)</f>
        <v>0</v>
      </c>
      <c r="O124" s="17">
        <f>求节点($C$17:$C$22,E$17:E$22,基础状态预期!N135)</f>
        <v>0</v>
      </c>
      <c r="P124" s="17">
        <f>求节点($C$17:$C$22,F$17:F$22,基础状态预期!O135)</f>
        <v>0</v>
      </c>
      <c r="Q124" s="17">
        <f>求节点($C$17:$C$22,G$17:G$22,基础状态预期!P135)</f>
        <v>0.2</v>
      </c>
      <c r="R124" s="17">
        <f>MAX(SUMPRODUCT(N124:Q124,基础状态预期!I135:L135)/6,R123)</f>
        <v>0.20000000000000004</v>
      </c>
      <c r="V124" s="16">
        <v>119</v>
      </c>
      <c r="W124" s="16">
        <f t="shared" si="30"/>
        <v>0.20000000000000004</v>
      </c>
      <c r="X124" s="16">
        <f t="shared" si="31"/>
        <v>0.20000000000000004</v>
      </c>
      <c r="Y124" s="16">
        <f t="shared" si="32"/>
        <v>0.20000000000000004</v>
      </c>
      <c r="Z124" s="16">
        <f t="shared" si="33"/>
        <v>0.20000000000000004</v>
      </c>
      <c r="AA124" s="16">
        <f t="shared" si="34"/>
        <v>0.20000000000000004</v>
      </c>
      <c r="AD124" s="16">
        <v>33</v>
      </c>
      <c r="AL124" s="16">
        <v>140</v>
      </c>
      <c r="AM124" s="16">
        <f>投放验证!$Q137*2</f>
        <v>131233366.53524967</v>
      </c>
    </row>
    <row r="125" spans="12:39">
      <c r="L125" s="16">
        <v>18</v>
      </c>
      <c r="M125" s="17">
        <f>基础状态预期!$C136</f>
        <v>135</v>
      </c>
      <c r="N125" s="17">
        <f>求节点($C$17:$C$22,D$17:D$22,基础状态预期!M136)</f>
        <v>0</v>
      </c>
      <c r="O125" s="17">
        <f>求节点($C$17:$C$22,E$17:E$22,基础状态预期!N136)</f>
        <v>0</v>
      </c>
      <c r="P125" s="17">
        <f>求节点($C$17:$C$22,F$17:F$22,基础状态预期!O136)</f>
        <v>0</v>
      </c>
      <c r="Q125" s="17">
        <f>求节点($C$17:$C$22,G$17:G$22,基础状态预期!P136)</f>
        <v>0.2</v>
      </c>
      <c r="R125" s="17">
        <f>MAX(SUMPRODUCT(N125:Q125,基础状态预期!I136:L136)/6,R124)</f>
        <v>0.20000000000000004</v>
      </c>
      <c r="V125" s="16">
        <v>120</v>
      </c>
      <c r="W125" s="16">
        <f t="shared" si="30"/>
        <v>0.20000000000000004</v>
      </c>
      <c r="X125" s="16">
        <f t="shared" si="31"/>
        <v>0.20000000000000004</v>
      </c>
      <c r="Y125" s="16">
        <f t="shared" si="32"/>
        <v>0.20000000000000004</v>
      </c>
      <c r="Z125" s="16">
        <f t="shared" si="33"/>
        <v>0.20000000000000004</v>
      </c>
      <c r="AA125" s="16">
        <f t="shared" si="34"/>
        <v>0.20000000000000004</v>
      </c>
      <c r="AD125" s="16">
        <v>34</v>
      </c>
      <c r="AL125" s="16">
        <v>145</v>
      </c>
      <c r="AM125" s="16">
        <f>投放验证!$Q138*2</f>
        <v>185193258.71098053</v>
      </c>
    </row>
    <row r="126" spans="12:39">
      <c r="L126" s="16">
        <v>19</v>
      </c>
      <c r="M126" s="17">
        <f>基础状态预期!$C137</f>
        <v>140</v>
      </c>
      <c r="N126" s="17">
        <f>求节点($C$17:$C$22,D$17:D$22,基础状态预期!M137)</f>
        <v>0</v>
      </c>
      <c r="O126" s="17">
        <f>求节点($C$17:$C$22,E$17:E$22,基础状态预期!N137)</f>
        <v>0</v>
      </c>
      <c r="P126" s="17">
        <f>求节点($C$17:$C$22,F$17:F$22,基础状态预期!O137)</f>
        <v>0</v>
      </c>
      <c r="Q126" s="17">
        <f>求节点($C$17:$C$22,G$17:G$22,基础状态预期!P137)</f>
        <v>0.2</v>
      </c>
      <c r="R126" s="17">
        <f>MAX(SUMPRODUCT(N126:Q126,基础状态预期!I137:L137)/6,R125)</f>
        <v>0.20000000000000004</v>
      </c>
      <c r="V126" s="16">
        <v>121</v>
      </c>
      <c r="W126" s="16">
        <f t="shared" si="30"/>
        <v>0.20000000000000004</v>
      </c>
      <c r="X126" s="16">
        <f t="shared" si="31"/>
        <v>0.20000000000000004</v>
      </c>
      <c r="Y126" s="16">
        <f t="shared" si="32"/>
        <v>0.20000000000000004</v>
      </c>
      <c r="Z126" s="16">
        <f t="shared" si="33"/>
        <v>0.20000000000000004</v>
      </c>
      <c r="AA126" s="16">
        <f t="shared" si="34"/>
        <v>0.20000000000000004</v>
      </c>
      <c r="AD126" s="16">
        <v>35</v>
      </c>
      <c r="AL126" s="16">
        <v>150</v>
      </c>
      <c r="AM126" s="16">
        <f>投放验证!$Q139*2</f>
        <v>260624561.12845051</v>
      </c>
    </row>
    <row r="127" spans="12:39">
      <c r="L127" s="16">
        <v>20</v>
      </c>
      <c r="M127" s="17">
        <f>基础状态预期!$C138</f>
        <v>145</v>
      </c>
      <c r="N127" s="17">
        <f>求节点($C$17:$C$22,D$17:D$22,基础状态预期!M138)</f>
        <v>0</v>
      </c>
      <c r="O127" s="17">
        <f>求节点($C$17:$C$22,E$17:E$22,基础状态预期!N138)</f>
        <v>0</v>
      </c>
      <c r="P127" s="17">
        <f>求节点($C$17:$C$22,F$17:F$22,基础状态预期!O138)</f>
        <v>0</v>
      </c>
      <c r="Q127" s="17">
        <f>求节点($C$17:$C$22,G$17:G$22,基础状态预期!P138)</f>
        <v>0.2</v>
      </c>
      <c r="R127" s="17">
        <f>MAX(SUMPRODUCT(N127:Q127,基础状态预期!I138:L138)/6,R126)</f>
        <v>0.20000000000000004</v>
      </c>
      <c r="V127" s="16">
        <v>122</v>
      </c>
      <c r="W127" s="16">
        <f t="shared" si="30"/>
        <v>0.20000000000000004</v>
      </c>
      <c r="X127" s="16">
        <f t="shared" si="31"/>
        <v>0.20000000000000004</v>
      </c>
      <c r="Y127" s="16">
        <f t="shared" si="32"/>
        <v>0.20000000000000004</v>
      </c>
      <c r="Z127" s="16">
        <f t="shared" si="33"/>
        <v>0.20000000000000004</v>
      </c>
      <c r="AA127" s="16">
        <f t="shared" si="34"/>
        <v>0.20000000000000004</v>
      </c>
      <c r="AD127" s="16">
        <v>36</v>
      </c>
      <c r="AL127" s="16">
        <v>155</v>
      </c>
      <c r="AM127" s="16">
        <f>投放验证!$Q140*2</f>
        <v>1382166597.0775785</v>
      </c>
    </row>
    <row r="128" spans="12:39">
      <c r="L128" s="16">
        <v>21</v>
      </c>
      <c r="M128" s="17">
        <f>基础状态预期!$C139</f>
        <v>150</v>
      </c>
      <c r="N128" s="17">
        <f>求节点($C$17:$C$22,D$17:D$22,基础状态预期!M139)</f>
        <v>0</v>
      </c>
      <c r="O128" s="17">
        <f>求节点($C$17:$C$22,E$17:E$22,基础状态预期!N139)</f>
        <v>0</v>
      </c>
      <c r="P128" s="17">
        <f>求节点($C$17:$C$22,F$17:F$22,基础状态预期!O139)</f>
        <v>0</v>
      </c>
      <c r="Q128" s="17">
        <f>求节点($C$17:$C$22,G$17:G$22,基础状态预期!P139)</f>
        <v>0.2</v>
      </c>
      <c r="R128" s="17">
        <f>MAX(SUMPRODUCT(N128:Q128,基础状态预期!I139:L139)/6,R127)</f>
        <v>0.20000000000000004</v>
      </c>
      <c r="V128" s="16">
        <v>123</v>
      </c>
      <c r="W128" s="16">
        <f t="shared" si="30"/>
        <v>0.20000000000000004</v>
      </c>
      <c r="X128" s="16">
        <f t="shared" si="31"/>
        <v>0.20000000000000004</v>
      </c>
      <c r="Y128" s="16">
        <f t="shared" si="32"/>
        <v>0.20000000000000004</v>
      </c>
      <c r="Z128" s="16">
        <f t="shared" si="33"/>
        <v>0.20000000000000004</v>
      </c>
      <c r="AA128" s="16">
        <f t="shared" si="34"/>
        <v>0.20000000000000004</v>
      </c>
      <c r="AD128" s="16">
        <v>37</v>
      </c>
      <c r="AL128" s="16">
        <v>160</v>
      </c>
      <c r="AM128" s="16">
        <f>投放验证!$Q141*2</f>
        <v>2052126380.7639832</v>
      </c>
    </row>
    <row r="129" spans="12:45">
      <c r="L129" s="16">
        <v>22</v>
      </c>
      <c r="M129" s="17">
        <f>基础状态预期!$C140</f>
        <v>155</v>
      </c>
      <c r="N129" s="17">
        <f>求节点($C$17:$C$22,D$17:D$22,基础状态预期!M140)</f>
        <v>0</v>
      </c>
      <c r="O129" s="17">
        <f>求节点($C$17:$C$22,E$17:E$22,基础状态预期!N140)</f>
        <v>0</v>
      </c>
      <c r="P129" s="17">
        <f>求节点($C$17:$C$22,F$17:F$22,基础状态预期!O140)</f>
        <v>0</v>
      </c>
      <c r="Q129" s="17">
        <f>求节点($C$17:$C$22,G$17:G$22,基础状态预期!P140)</f>
        <v>0.2</v>
      </c>
      <c r="R129" s="17">
        <f>MAX(SUMPRODUCT(N129:Q129,基础状态预期!I140:L140)/6,R128)</f>
        <v>0.20000000000000004</v>
      </c>
      <c r="V129" s="16">
        <v>124</v>
      </c>
      <c r="W129" s="16">
        <f t="shared" si="30"/>
        <v>0.20000000000000004</v>
      </c>
      <c r="X129" s="16">
        <f t="shared" si="31"/>
        <v>0.20000000000000004</v>
      </c>
      <c r="Y129" s="16">
        <f t="shared" si="32"/>
        <v>0.20000000000000004</v>
      </c>
      <c r="Z129" s="16">
        <f t="shared" si="33"/>
        <v>0.20000000000000004</v>
      </c>
      <c r="AA129" s="16">
        <f t="shared" si="34"/>
        <v>0.20000000000000004</v>
      </c>
      <c r="AD129" s="16">
        <v>38</v>
      </c>
    </row>
    <row r="130" spans="12:45">
      <c r="L130" s="16">
        <v>23</v>
      </c>
      <c r="M130" s="17">
        <f>基础状态预期!$C141</f>
        <v>160</v>
      </c>
      <c r="N130" s="17">
        <f>求节点($C$17:$C$22,D$17:D$22,基础状态预期!M141)</f>
        <v>0</v>
      </c>
      <c r="O130" s="17">
        <f>求节点($C$17:$C$22,E$17:E$22,基础状态预期!N141)</f>
        <v>0</v>
      </c>
      <c r="P130" s="17">
        <f>求节点($C$17:$C$22,F$17:F$22,基础状态预期!O141)</f>
        <v>0</v>
      </c>
      <c r="Q130" s="17">
        <f>求节点($C$17:$C$22,G$17:G$22,基础状态预期!P141)</f>
        <v>0.2</v>
      </c>
      <c r="R130" s="17">
        <f>MAX(SUMPRODUCT(N130:Q130,基础状态预期!I141:L141)/6,R129)</f>
        <v>0.20000000000000004</v>
      </c>
      <c r="V130" s="16">
        <v>125</v>
      </c>
      <c r="W130" s="16">
        <f t="shared" si="30"/>
        <v>0.20000000000000004</v>
      </c>
      <c r="X130" s="16">
        <f t="shared" si="31"/>
        <v>0.20000000000000004</v>
      </c>
      <c r="Y130" s="16">
        <f t="shared" si="32"/>
        <v>0.20000000000000004</v>
      </c>
      <c r="Z130" s="16">
        <f t="shared" si="33"/>
        <v>0.20000000000000004</v>
      </c>
      <c r="AA130" s="16">
        <f t="shared" si="34"/>
        <v>0.20000000000000004</v>
      </c>
      <c r="AD130" s="16">
        <v>39</v>
      </c>
    </row>
    <row r="131" spans="12:45">
      <c r="L131" s="16">
        <v>24</v>
      </c>
      <c r="V131" s="16">
        <v>126</v>
      </c>
      <c r="W131" s="16">
        <f t="shared" si="30"/>
        <v>0.20000000000000004</v>
      </c>
      <c r="X131" s="16">
        <f t="shared" si="31"/>
        <v>0.20000000000000004</v>
      </c>
      <c r="Y131" s="16">
        <f t="shared" si="32"/>
        <v>0.20000000000000004</v>
      </c>
      <c r="Z131" s="16">
        <f t="shared" si="33"/>
        <v>0.20000000000000004</v>
      </c>
      <c r="AA131" s="16">
        <f t="shared" si="34"/>
        <v>0.20000000000000004</v>
      </c>
      <c r="AD131" s="16">
        <v>40</v>
      </c>
    </row>
    <row r="132" spans="12:45">
      <c r="L132" s="16">
        <v>25</v>
      </c>
      <c r="V132" s="16">
        <v>127</v>
      </c>
      <c r="W132" s="16">
        <f t="shared" si="30"/>
        <v>0.20000000000000004</v>
      </c>
      <c r="X132" s="16">
        <f t="shared" si="31"/>
        <v>0.20000000000000004</v>
      </c>
      <c r="Y132" s="16">
        <f t="shared" si="32"/>
        <v>0.20000000000000004</v>
      </c>
      <c r="Z132" s="16">
        <f t="shared" si="33"/>
        <v>0.20000000000000004</v>
      </c>
      <c r="AA132" s="16">
        <f t="shared" si="34"/>
        <v>0.20000000000000004</v>
      </c>
      <c r="AD132" s="16">
        <v>41</v>
      </c>
    </row>
    <row r="133" spans="12:45">
      <c r="L133" s="16">
        <v>26</v>
      </c>
      <c r="V133" s="16">
        <v>128</v>
      </c>
      <c r="W133" s="16">
        <f t="shared" si="30"/>
        <v>0.20000000000000004</v>
      </c>
      <c r="X133" s="16">
        <f t="shared" si="31"/>
        <v>0.20000000000000004</v>
      </c>
      <c r="Y133" s="16">
        <f t="shared" si="32"/>
        <v>0.20000000000000004</v>
      </c>
      <c r="Z133" s="16">
        <f t="shared" si="33"/>
        <v>0.20000000000000004</v>
      </c>
      <c r="AA133" s="16">
        <f t="shared" si="34"/>
        <v>0.20000000000000004</v>
      </c>
      <c r="AD133" s="16">
        <v>42</v>
      </c>
    </row>
    <row r="134" spans="12:45">
      <c r="V134" s="16">
        <v>129</v>
      </c>
      <c r="W134" s="16">
        <f t="shared" ref="W134:W165" si="35">求节点($M$6:$M$26,$R$6:$R$26,$V134)</f>
        <v>0.20000000000000004</v>
      </c>
      <c r="X134" s="16">
        <f t="shared" ref="X134:X165" si="36">求节点($M$32:$M$52,$R$32:$R$52,$V134)</f>
        <v>0.20000000000000004</v>
      </c>
      <c r="Y134" s="16">
        <f t="shared" ref="Y134:Y165" si="37">求节点($M$58:$M$78,$R$58:$R$78,$V134)</f>
        <v>0.20000000000000004</v>
      </c>
      <c r="Z134" s="16">
        <f t="shared" ref="Z134:Z165" si="38">求节点($M$84:$M$104,$R$84:$R$104,$V134)</f>
        <v>0.20000000000000004</v>
      </c>
      <c r="AA134" s="16">
        <f t="shared" ref="AA134:AA165" si="39">求节点($M$110:$M$130,$R$110:$R$130,$V134)</f>
        <v>0.20000000000000004</v>
      </c>
      <c r="AD134" s="16">
        <v>43</v>
      </c>
    </row>
    <row r="135" spans="12:45">
      <c r="V135" s="16">
        <v>130</v>
      </c>
      <c r="W135" s="16">
        <f t="shared" si="35"/>
        <v>0.20000000000000004</v>
      </c>
      <c r="X135" s="16">
        <f t="shared" si="36"/>
        <v>0.20000000000000004</v>
      </c>
      <c r="Y135" s="16">
        <f t="shared" si="37"/>
        <v>0.20000000000000004</v>
      </c>
      <c r="Z135" s="16">
        <f t="shared" si="38"/>
        <v>0.20000000000000004</v>
      </c>
      <c r="AA135" s="16">
        <f t="shared" si="39"/>
        <v>0.20000000000000004</v>
      </c>
      <c r="AD135" s="16">
        <v>44</v>
      </c>
    </row>
    <row r="136" spans="12:45">
      <c r="V136" s="16">
        <v>131</v>
      </c>
      <c r="W136" s="16">
        <f t="shared" si="35"/>
        <v>0.20000000000000004</v>
      </c>
      <c r="X136" s="16">
        <f t="shared" si="36"/>
        <v>0.20000000000000004</v>
      </c>
      <c r="Y136" s="16">
        <f t="shared" si="37"/>
        <v>0.20000000000000004</v>
      </c>
      <c r="Z136" s="16">
        <f t="shared" si="38"/>
        <v>0.20000000000000004</v>
      </c>
      <c r="AA136" s="16">
        <f t="shared" si="39"/>
        <v>0.20000000000000004</v>
      </c>
      <c r="AD136" s="16">
        <v>45</v>
      </c>
    </row>
    <row r="137" spans="12:45">
      <c r="V137" s="16">
        <v>132</v>
      </c>
      <c r="W137" s="16">
        <f t="shared" si="35"/>
        <v>0.20000000000000004</v>
      </c>
      <c r="X137" s="16">
        <f t="shared" si="36"/>
        <v>0.20000000000000004</v>
      </c>
      <c r="Y137" s="16">
        <f t="shared" si="37"/>
        <v>0.20000000000000004</v>
      </c>
      <c r="Z137" s="16">
        <f t="shared" si="38"/>
        <v>0.20000000000000004</v>
      </c>
      <c r="AA137" s="16">
        <f t="shared" si="39"/>
        <v>0.20000000000000004</v>
      </c>
      <c r="AD137" s="16">
        <v>1</v>
      </c>
      <c r="AE137" s="17" t="s">
        <v>77</v>
      </c>
      <c r="AF137" s="70" t="s">
        <v>54</v>
      </c>
      <c r="AG137" s="170" t="s">
        <v>414</v>
      </c>
      <c r="AH137" s="170"/>
      <c r="AP137" s="17" t="s">
        <v>77</v>
      </c>
      <c r="AQ137" s="17" t="s">
        <v>418</v>
      </c>
    </row>
    <row r="138" spans="12:45">
      <c r="V138" s="16">
        <v>133</v>
      </c>
      <c r="W138" s="16">
        <f t="shared" si="35"/>
        <v>0.20000000000000004</v>
      </c>
      <c r="X138" s="16">
        <f t="shared" si="36"/>
        <v>0.20000000000000004</v>
      </c>
      <c r="Y138" s="16">
        <f t="shared" si="37"/>
        <v>0.20000000000000004</v>
      </c>
      <c r="Z138" s="16">
        <f t="shared" si="38"/>
        <v>0.20000000000000004</v>
      </c>
      <c r="AA138" s="16">
        <f t="shared" si="39"/>
        <v>0.20000000000000004</v>
      </c>
      <c r="AD138" s="16">
        <v>2</v>
      </c>
      <c r="AE138" s="17" t="s">
        <v>161</v>
      </c>
      <c r="AF138" s="17" t="s">
        <v>412</v>
      </c>
      <c r="AG138" s="17" t="s">
        <v>412</v>
      </c>
      <c r="AH138" s="17" t="s">
        <v>413</v>
      </c>
      <c r="AP138" s="17" t="s">
        <v>161</v>
      </c>
      <c r="AQ138" s="17" t="s">
        <v>416</v>
      </c>
      <c r="AR138" s="17" t="s">
        <v>192</v>
      </c>
    </row>
    <row r="139" spans="12:45">
      <c r="V139" s="16">
        <v>134</v>
      </c>
      <c r="W139" s="16">
        <f t="shared" si="35"/>
        <v>0.20000000000000004</v>
      </c>
      <c r="X139" s="16">
        <f t="shared" si="36"/>
        <v>0.20000000000000004</v>
      </c>
      <c r="Y139" s="16">
        <f t="shared" si="37"/>
        <v>0.20000000000000004</v>
      </c>
      <c r="Z139" s="16">
        <f t="shared" si="38"/>
        <v>0.20000000000000004</v>
      </c>
      <c r="AA139" s="16">
        <f t="shared" si="39"/>
        <v>0.20000000000000004</v>
      </c>
      <c r="AD139" s="16">
        <v>3</v>
      </c>
      <c r="AE139" s="17">
        <v>10</v>
      </c>
      <c r="AF139" s="17">
        <f>求节点($V$6:$V$165,$AA$6:$AA$165,$AE139)</f>
        <v>0</v>
      </c>
      <c r="AG139" s="51">
        <f>AF139*(INDEX([3]大r将兵属性验证!$AC$7:$AC$166,$AE139,1)*[3]战法技能效用!$AH$4+INDEX([3]大r将兵属性验证!$AX$7:$AX$166,$AE139,1)*[3]战法技能效用!$AI$4)</f>
        <v>0</v>
      </c>
      <c r="AH139" s="17">
        <f t="shared" ref="AH139:AH154" si="40">SUM(AG139:AG139)</f>
        <v>0</v>
      </c>
      <c r="AP139" s="17">
        <v>10</v>
      </c>
      <c r="AQ139" s="17">
        <f>求节点($AL$82:$AL$102,AM$82:AM$102,$AP139)</f>
        <v>53078.057928485912</v>
      </c>
      <c r="AR139" s="17">
        <f t="shared" ref="AR139:AR154" si="41">SUM(AQ139:AQ139)</f>
        <v>53078.057928485912</v>
      </c>
      <c r="AS139" s="16">
        <f>AH139/AR139</f>
        <v>0</v>
      </c>
    </row>
    <row r="140" spans="12:45">
      <c r="V140" s="16">
        <v>135</v>
      </c>
      <c r="W140" s="16">
        <f t="shared" si="35"/>
        <v>0.20000000000000004</v>
      </c>
      <c r="X140" s="16">
        <f t="shared" si="36"/>
        <v>0.20000000000000004</v>
      </c>
      <c r="Y140" s="16">
        <f t="shared" si="37"/>
        <v>0.20000000000000004</v>
      </c>
      <c r="Z140" s="16">
        <f t="shared" si="38"/>
        <v>0.20000000000000004</v>
      </c>
      <c r="AA140" s="16">
        <f t="shared" si="39"/>
        <v>0.20000000000000004</v>
      </c>
      <c r="AD140" s="16">
        <v>4</v>
      </c>
      <c r="AE140" s="17">
        <v>20</v>
      </c>
      <c r="AF140" s="17">
        <f t="shared" ref="AF140:AF154" si="42">求节点($V$6:$V$165,$AA$6:$AA$165,$AE140)</f>
        <v>0</v>
      </c>
      <c r="AG140" s="17">
        <f>(AF140-AF139)*(INDEX([3]大r将兵属性验证!$AC$7:$AC$166,$AE140,1)*[3]战法技能效用!$AH$4+INDEX([3]大r将兵属性验证!$AX$7:$AX$166,$AE140,1)*[3]战法技能效用!$AI$4)+AG139</f>
        <v>0</v>
      </c>
      <c r="AH140" s="17">
        <f t="shared" si="40"/>
        <v>0</v>
      </c>
      <c r="AP140" s="17">
        <v>20</v>
      </c>
      <c r="AQ140" s="17">
        <f t="shared" ref="AQ140:AQ154" si="43">求节点($AL$82:$AL$102,AM$82:AM$102,$AP140)</f>
        <v>106156.1158569718</v>
      </c>
      <c r="AR140" s="17">
        <f t="shared" si="41"/>
        <v>106156.1158569718</v>
      </c>
      <c r="AS140" s="16">
        <f t="shared" ref="AS140:AS154" si="44">AH140/AR140</f>
        <v>0</v>
      </c>
    </row>
    <row r="141" spans="12:45">
      <c r="V141" s="16">
        <v>136</v>
      </c>
      <c r="W141" s="16">
        <f t="shared" si="35"/>
        <v>0.20000000000000004</v>
      </c>
      <c r="X141" s="16">
        <f t="shared" si="36"/>
        <v>0.20000000000000004</v>
      </c>
      <c r="Y141" s="16">
        <f t="shared" si="37"/>
        <v>0.20000000000000004</v>
      </c>
      <c r="Z141" s="16">
        <f t="shared" si="38"/>
        <v>0.20000000000000004</v>
      </c>
      <c r="AA141" s="16">
        <f t="shared" si="39"/>
        <v>0.20000000000000004</v>
      </c>
      <c r="AD141" s="16">
        <v>5</v>
      </c>
      <c r="AE141" s="17">
        <v>30</v>
      </c>
      <c r="AF141" s="17">
        <f t="shared" si="42"/>
        <v>0</v>
      </c>
      <c r="AG141" s="17">
        <f>(AF141-AF140)*(INDEX([3]大r将兵属性验证!$AC$7:$AC$166,$AE141,1)*[3]战法技能效用!$AH$4+INDEX([3]大r将兵属性验证!$AX$7:$AX$166,$AE141,1)*[3]战法技能效用!$AI$4)+AG140</f>
        <v>0</v>
      </c>
      <c r="AH141" s="17">
        <f t="shared" si="40"/>
        <v>0</v>
      </c>
      <c r="AP141" s="17">
        <v>30</v>
      </c>
      <c r="AQ141" s="17">
        <f t="shared" si="43"/>
        <v>159234.17378545768</v>
      </c>
      <c r="AR141" s="17">
        <f t="shared" si="41"/>
        <v>159234.17378545768</v>
      </c>
      <c r="AS141" s="16">
        <f t="shared" si="44"/>
        <v>0</v>
      </c>
    </row>
    <row r="142" spans="12:45">
      <c r="V142" s="16">
        <v>137</v>
      </c>
      <c r="W142" s="16">
        <f t="shared" si="35"/>
        <v>0.20000000000000004</v>
      </c>
      <c r="X142" s="16">
        <f t="shared" si="36"/>
        <v>0.20000000000000004</v>
      </c>
      <c r="Y142" s="16">
        <f t="shared" si="37"/>
        <v>0.20000000000000004</v>
      </c>
      <c r="Z142" s="16">
        <f t="shared" si="38"/>
        <v>0.20000000000000004</v>
      </c>
      <c r="AA142" s="16">
        <f t="shared" si="39"/>
        <v>0.20000000000000004</v>
      </c>
      <c r="AD142" s="16">
        <v>6</v>
      </c>
      <c r="AE142" s="17">
        <v>40</v>
      </c>
      <c r="AF142" s="17">
        <f t="shared" si="42"/>
        <v>0</v>
      </c>
      <c r="AG142" s="17">
        <f>(AF142-AF141)*(INDEX([3]大r将兵属性验证!$AC$7:$AC$166,$AE142,1)*[3]战法技能效用!$AH$4+INDEX([3]大r将兵属性验证!$AX$7:$AX$166,$AE142,1)*[3]战法技能效用!$AI$4)+AG141</f>
        <v>0</v>
      </c>
      <c r="AH142" s="17">
        <f t="shared" si="40"/>
        <v>0</v>
      </c>
      <c r="AP142" s="17">
        <v>40</v>
      </c>
      <c r="AQ142" s="17">
        <f t="shared" si="43"/>
        <v>212312.23171394356</v>
      </c>
      <c r="AR142" s="17">
        <f t="shared" si="41"/>
        <v>212312.23171394356</v>
      </c>
      <c r="AS142" s="16">
        <f t="shared" si="44"/>
        <v>0</v>
      </c>
    </row>
    <row r="143" spans="12:45">
      <c r="V143" s="16">
        <v>138</v>
      </c>
      <c r="W143" s="16">
        <f t="shared" si="35"/>
        <v>0.20000000000000004</v>
      </c>
      <c r="X143" s="16">
        <f t="shared" si="36"/>
        <v>0.20000000000000004</v>
      </c>
      <c r="Y143" s="16">
        <f t="shared" si="37"/>
        <v>0.20000000000000004</v>
      </c>
      <c r="Z143" s="16">
        <f t="shared" si="38"/>
        <v>0.20000000000000004</v>
      </c>
      <c r="AA143" s="16">
        <f t="shared" si="39"/>
        <v>0.20000000000000004</v>
      </c>
      <c r="AD143" s="16">
        <v>7</v>
      </c>
      <c r="AE143" s="17">
        <v>50</v>
      </c>
      <c r="AF143" s="17">
        <f t="shared" si="42"/>
        <v>0</v>
      </c>
      <c r="AG143" s="17">
        <f>(AF143-AF142)*(INDEX([3]大r将兵属性验证!$AC$7:$AC$166,$AE143,1)*[3]战法技能效用!$AH$4+INDEX([3]大r将兵属性验证!$AX$7:$AX$166,$AE143,1)*[3]战法技能效用!$AI$4)+AG142</f>
        <v>0</v>
      </c>
      <c r="AH143" s="17">
        <f t="shared" si="40"/>
        <v>0</v>
      </c>
      <c r="AP143" s="17">
        <v>50</v>
      </c>
      <c r="AQ143" s="17">
        <f t="shared" si="43"/>
        <v>265390.28964242944</v>
      </c>
      <c r="AR143" s="17">
        <f t="shared" si="41"/>
        <v>265390.28964242944</v>
      </c>
      <c r="AS143" s="16">
        <f t="shared" si="44"/>
        <v>0</v>
      </c>
    </row>
    <row r="144" spans="12:45">
      <c r="V144" s="16">
        <v>139</v>
      </c>
      <c r="W144" s="16">
        <f t="shared" si="35"/>
        <v>0.20000000000000004</v>
      </c>
      <c r="X144" s="16">
        <f t="shared" si="36"/>
        <v>0.20000000000000004</v>
      </c>
      <c r="Y144" s="16">
        <f t="shared" si="37"/>
        <v>0.20000000000000004</v>
      </c>
      <c r="Z144" s="16">
        <f t="shared" si="38"/>
        <v>0.20000000000000004</v>
      </c>
      <c r="AA144" s="16">
        <f t="shared" si="39"/>
        <v>0.20000000000000004</v>
      </c>
      <c r="AD144" s="16">
        <v>8</v>
      </c>
      <c r="AE144" s="17">
        <v>60</v>
      </c>
      <c r="AF144" s="17">
        <f t="shared" si="42"/>
        <v>3.8579696458221076E-2</v>
      </c>
      <c r="AG144" s="17">
        <f>(AF144-AF143)*(INDEX([3]大r将兵属性验证!$AC$7:$AC$166,$AE144,1)*[3]战法技能效用!$AH$4+INDEX([3]大r将兵属性验证!$AX$7:$AX$166,$AE144,1)*[3]战法技能效用!$AI$4)+AG143</f>
        <v>298936403.31050581</v>
      </c>
      <c r="AH144" s="17">
        <f t="shared" si="40"/>
        <v>298936403.31050581</v>
      </c>
      <c r="AP144" s="17">
        <v>60</v>
      </c>
      <c r="AQ144" s="17">
        <f t="shared" si="43"/>
        <v>483371.18807643541</v>
      </c>
      <c r="AR144" s="17">
        <f t="shared" si="41"/>
        <v>483371.18807643541</v>
      </c>
      <c r="AS144" s="16">
        <f t="shared" si="44"/>
        <v>618.44067392621469</v>
      </c>
    </row>
    <row r="145" spans="22:45">
      <c r="V145" s="16">
        <v>140</v>
      </c>
      <c r="W145" s="16">
        <f t="shared" si="35"/>
        <v>0.20000000000000004</v>
      </c>
      <c r="X145" s="16">
        <f t="shared" si="36"/>
        <v>0.20000000000000004</v>
      </c>
      <c r="Y145" s="16">
        <f t="shared" si="37"/>
        <v>0.20000000000000004</v>
      </c>
      <c r="Z145" s="16">
        <f t="shared" si="38"/>
        <v>0.20000000000000004</v>
      </c>
      <c r="AA145" s="16">
        <f t="shared" si="39"/>
        <v>0.20000000000000004</v>
      </c>
      <c r="AD145" s="16">
        <v>9</v>
      </c>
      <c r="AE145" s="17">
        <v>70</v>
      </c>
      <c r="AF145" s="17">
        <f t="shared" si="42"/>
        <v>7.630322567540368E-2</v>
      </c>
      <c r="AG145" s="17">
        <f>(AF145-AF144)*(INDEX([3]大r将兵属性验证!$AC$7:$AC$166,$AE145,1)*[3]战法技能效用!$AH$4+INDEX([3]大r将兵属性验证!$AX$7:$AX$166,$AE145,1)*[3]战法技能效用!$AI$4)+AG144</f>
        <v>1284058135.2634063</v>
      </c>
      <c r="AH145" s="17">
        <f t="shared" si="40"/>
        <v>1284058135.2634063</v>
      </c>
      <c r="AP145" s="17">
        <v>70</v>
      </c>
      <c r="AQ145" s="17">
        <f t="shared" si="43"/>
        <v>944858.24036390637</v>
      </c>
      <c r="AR145" s="17">
        <f t="shared" si="41"/>
        <v>944858.24036390637</v>
      </c>
      <c r="AS145" s="16">
        <f t="shared" si="44"/>
        <v>1358.9955407160965</v>
      </c>
    </row>
    <row r="146" spans="22:45">
      <c r="V146" s="16">
        <v>141</v>
      </c>
      <c r="W146" s="16">
        <f t="shared" si="35"/>
        <v>0.20000000000000004</v>
      </c>
      <c r="X146" s="16">
        <f t="shared" si="36"/>
        <v>0.20000000000000004</v>
      </c>
      <c r="Y146" s="16">
        <f t="shared" si="37"/>
        <v>0.20000000000000004</v>
      </c>
      <c r="Z146" s="16">
        <f t="shared" si="38"/>
        <v>0.20000000000000004</v>
      </c>
      <c r="AA146" s="16">
        <f t="shared" si="39"/>
        <v>0.20000000000000004</v>
      </c>
      <c r="AD146" s="16">
        <v>10</v>
      </c>
      <c r="AE146" s="17">
        <v>80</v>
      </c>
      <c r="AF146" s="17">
        <f t="shared" si="42"/>
        <v>0.14540432719018789</v>
      </c>
      <c r="AG146" s="17">
        <f>(AF146-AF145)*(INDEX([3]大r将兵属性验证!$AC$7:$AC$166,$AE146,1)*[3]战法技能效用!$AH$4+INDEX([3]大r将兵属性验证!$AX$7:$AX$166,$AE146,1)*[3]战法技能效用!$AI$4)+AG145</f>
        <v>6370723692.7113056</v>
      </c>
      <c r="AH146" s="17">
        <f t="shared" si="40"/>
        <v>6370723692.7113056</v>
      </c>
      <c r="AP146" s="17">
        <v>80</v>
      </c>
      <c r="AQ146" s="17">
        <f t="shared" si="43"/>
        <v>1824512.8108422514</v>
      </c>
      <c r="AR146" s="17">
        <f t="shared" si="41"/>
        <v>1824512.8108422514</v>
      </c>
      <c r="AS146" s="16">
        <f t="shared" si="44"/>
        <v>3491.7396330971133</v>
      </c>
    </row>
    <row r="147" spans="22:45">
      <c r="V147" s="16">
        <v>142</v>
      </c>
      <c r="W147" s="16">
        <f t="shared" si="35"/>
        <v>0.20000000000000004</v>
      </c>
      <c r="X147" s="16">
        <f t="shared" si="36"/>
        <v>0.20000000000000004</v>
      </c>
      <c r="Y147" s="16">
        <f t="shared" si="37"/>
        <v>0.20000000000000004</v>
      </c>
      <c r="Z147" s="16">
        <f t="shared" si="38"/>
        <v>0.20000000000000004</v>
      </c>
      <c r="AA147" s="16">
        <f t="shared" si="39"/>
        <v>0.20000000000000004</v>
      </c>
      <c r="AD147" s="16">
        <v>11</v>
      </c>
      <c r="AE147" s="17">
        <v>90</v>
      </c>
      <c r="AF147" s="17">
        <f t="shared" si="42"/>
        <v>0.20000000000000004</v>
      </c>
      <c r="AG147" s="17">
        <f>(AF147-AF146)*(INDEX([3]大r将兵属性验证!$AC$7:$AC$166,$AE147,1)*[3]战法技能效用!$AH$4+INDEX([3]大r将兵属性验证!$AX$7:$AX$166,$AE147,1)*[3]战法技能效用!$AI$4)+AG146</f>
        <v>16350426950.499969</v>
      </c>
      <c r="AH147" s="17">
        <f t="shared" si="40"/>
        <v>16350426950.499969</v>
      </c>
      <c r="AP147" s="17">
        <v>90</v>
      </c>
      <c r="AQ147" s="17">
        <f t="shared" si="43"/>
        <v>3420479.032539052</v>
      </c>
      <c r="AR147" s="17">
        <f t="shared" si="41"/>
        <v>3420479.032539052</v>
      </c>
      <c r="AS147" s="16">
        <f t="shared" si="44"/>
        <v>4780.1570467055026</v>
      </c>
    </row>
    <row r="148" spans="22:45">
      <c r="V148" s="16">
        <v>143</v>
      </c>
      <c r="W148" s="16">
        <f t="shared" si="35"/>
        <v>0.20000000000000004</v>
      </c>
      <c r="X148" s="16">
        <f t="shared" si="36"/>
        <v>0.20000000000000004</v>
      </c>
      <c r="Y148" s="16">
        <f t="shared" si="37"/>
        <v>0.20000000000000004</v>
      </c>
      <c r="Z148" s="16">
        <f t="shared" si="38"/>
        <v>0.20000000000000004</v>
      </c>
      <c r="AA148" s="16">
        <f t="shared" si="39"/>
        <v>0.20000000000000004</v>
      </c>
      <c r="AD148" s="16">
        <v>12</v>
      </c>
      <c r="AE148" s="17">
        <v>100</v>
      </c>
      <c r="AF148" s="17">
        <f t="shared" si="42"/>
        <v>0.20000000000000004</v>
      </c>
      <c r="AG148" s="17">
        <f>(AF148-AF147)*(INDEX([3]大r将兵属性验证!$AC$7:$AC$166,$AE148,1)*[3]战法技能效用!$AH$4+INDEX([3]大r将兵属性验证!$AX$7:$AX$166,$AE148,1)*[3]战法技能效用!$AI$4)+AG147</f>
        <v>16350426950.499969</v>
      </c>
      <c r="AH148" s="17">
        <f t="shared" si="40"/>
        <v>16350426950.499969</v>
      </c>
      <c r="AP148" s="17">
        <v>100</v>
      </c>
      <c r="AQ148" s="17">
        <f t="shared" si="43"/>
        <v>6648024.6995355673</v>
      </c>
      <c r="AR148" s="17">
        <f t="shared" si="41"/>
        <v>6648024.6995355673</v>
      </c>
      <c r="AS148" s="16">
        <f t="shared" si="44"/>
        <v>2459.4413663418268</v>
      </c>
    </row>
    <row r="149" spans="22:45">
      <c r="V149" s="16">
        <v>144</v>
      </c>
      <c r="W149" s="16">
        <f t="shared" si="35"/>
        <v>0.20000000000000004</v>
      </c>
      <c r="X149" s="16">
        <f t="shared" si="36"/>
        <v>0.20000000000000004</v>
      </c>
      <c r="Y149" s="16">
        <f t="shared" si="37"/>
        <v>0.20000000000000004</v>
      </c>
      <c r="Z149" s="16">
        <f t="shared" si="38"/>
        <v>0.20000000000000004</v>
      </c>
      <c r="AA149" s="16">
        <f t="shared" si="39"/>
        <v>0.20000000000000004</v>
      </c>
      <c r="AD149" s="16">
        <v>13</v>
      </c>
      <c r="AE149" s="17">
        <v>110</v>
      </c>
      <c r="AF149" s="17">
        <f t="shared" si="42"/>
        <v>0.20000000000000004</v>
      </c>
      <c r="AG149" s="17">
        <f>(AF149-AF148)*(INDEX([3]大r将兵属性验证!$AC$7:$AC$166,$AE149,1)*[3]战法技能效用!$AH$4+INDEX([3]大r将兵属性验证!$AX$7:$AX$166,$AE149,1)*[3]战法技能效用!$AI$4)+AG148</f>
        <v>16350426950.499969</v>
      </c>
      <c r="AH149" s="17">
        <f t="shared" si="40"/>
        <v>16350426950.499969</v>
      </c>
      <c r="AP149" s="17">
        <v>110</v>
      </c>
      <c r="AQ149" s="17">
        <f t="shared" si="43"/>
        <v>12852040.405241579</v>
      </c>
      <c r="AR149" s="17">
        <f t="shared" si="41"/>
        <v>12852040.405241579</v>
      </c>
      <c r="AS149" s="16">
        <f t="shared" si="44"/>
        <v>1272.2047577621688</v>
      </c>
    </row>
    <row r="150" spans="22:45">
      <c r="V150" s="16">
        <v>145</v>
      </c>
      <c r="W150" s="16">
        <f t="shared" si="35"/>
        <v>0.20000000000000004</v>
      </c>
      <c r="X150" s="16">
        <f t="shared" si="36"/>
        <v>0.20000000000000004</v>
      </c>
      <c r="Y150" s="16">
        <f t="shared" si="37"/>
        <v>0.20000000000000004</v>
      </c>
      <c r="Z150" s="16">
        <f t="shared" si="38"/>
        <v>0.20000000000000004</v>
      </c>
      <c r="AA150" s="16">
        <f t="shared" si="39"/>
        <v>0.20000000000000004</v>
      </c>
      <c r="AD150" s="16">
        <v>14</v>
      </c>
      <c r="AE150" s="17">
        <v>120</v>
      </c>
      <c r="AF150" s="17">
        <f t="shared" si="42"/>
        <v>0.20000000000000004</v>
      </c>
      <c r="AG150" s="17">
        <f>(AF150-AF149)*(INDEX([3]大r将兵属性验证!$AC$7:$AC$166,$AE150,1)*[3]战法技能效用!$AH$4+INDEX([3]大r将兵属性验证!$AX$7:$AX$166,$AE150,1)*[3]战法技能效用!$AI$4)+AG149</f>
        <v>16350426950.499969</v>
      </c>
      <c r="AH150" s="17">
        <f t="shared" si="40"/>
        <v>16350426950.499969</v>
      </c>
      <c r="AP150" s="17">
        <v>120</v>
      </c>
      <c r="AQ150" s="17">
        <f t="shared" si="43"/>
        <v>25153877.030897599</v>
      </c>
      <c r="AR150" s="17">
        <f t="shared" si="41"/>
        <v>25153877.030897599</v>
      </c>
      <c r="AS150" s="16">
        <f t="shared" si="44"/>
        <v>650.01617565419565</v>
      </c>
    </row>
    <row r="151" spans="22:45">
      <c r="V151" s="16">
        <v>146</v>
      </c>
      <c r="W151" s="16">
        <f t="shared" si="35"/>
        <v>0.20000000000000004</v>
      </c>
      <c r="X151" s="16">
        <f t="shared" si="36"/>
        <v>0.20000000000000004</v>
      </c>
      <c r="Y151" s="16">
        <f t="shared" si="37"/>
        <v>0.20000000000000004</v>
      </c>
      <c r="Z151" s="16">
        <f t="shared" si="38"/>
        <v>0.20000000000000004</v>
      </c>
      <c r="AA151" s="16">
        <f t="shared" si="39"/>
        <v>0.20000000000000004</v>
      </c>
      <c r="AD151" s="16">
        <v>15</v>
      </c>
      <c r="AE151" s="17">
        <v>130</v>
      </c>
      <c r="AF151" s="17">
        <f t="shared" si="42"/>
        <v>0.20000000000000004</v>
      </c>
      <c r="AG151" s="17">
        <f>(AF151-AF150)*(INDEX([3]大r将兵属性验证!$AC$7:$AC$166,$AE151,1)*[3]战法技能效用!$AH$4+INDEX([3]大r将兵属性验证!$AX$7:$AX$166,$AE151,1)*[3]战法技能效用!$AI$4)+AG150</f>
        <v>16350426950.499969</v>
      </c>
      <c r="AH151" s="17">
        <f t="shared" si="40"/>
        <v>16350426950.499969</v>
      </c>
      <c r="AP151" s="17">
        <v>130</v>
      </c>
      <c r="AQ151" s="17">
        <f t="shared" si="43"/>
        <v>49446258.045385234</v>
      </c>
      <c r="AR151" s="17">
        <f t="shared" si="41"/>
        <v>49446258.045385234</v>
      </c>
      <c r="AS151" s="16">
        <f t="shared" si="44"/>
        <v>330.67066339969352</v>
      </c>
    </row>
    <row r="152" spans="22:45">
      <c r="V152" s="16">
        <v>147</v>
      </c>
      <c r="W152" s="16">
        <f t="shared" si="35"/>
        <v>0.20000000000000004</v>
      </c>
      <c r="X152" s="16">
        <f t="shared" si="36"/>
        <v>0.20000000000000004</v>
      </c>
      <c r="Y152" s="16">
        <f t="shared" si="37"/>
        <v>0.20000000000000004</v>
      </c>
      <c r="Z152" s="16">
        <f t="shared" si="38"/>
        <v>0.20000000000000004</v>
      </c>
      <c r="AA152" s="16">
        <f t="shared" si="39"/>
        <v>0.20000000000000004</v>
      </c>
      <c r="AD152" s="16">
        <v>16</v>
      </c>
      <c r="AE152" s="17">
        <v>140</v>
      </c>
      <c r="AF152" s="17">
        <f t="shared" si="42"/>
        <v>0.20000000000000004</v>
      </c>
      <c r="AG152" s="17">
        <f>(AF152-AF151)*(INDEX([3]大r将兵属性验证!$AC$7:$AC$166,$AE152,1)*[3]战法技能效用!$AH$4+INDEX([3]大r将兵属性验证!$AX$7:$AX$166,$AE152,1)*[3]战法技能效用!$AI$4)+AG151</f>
        <v>16350426950.499969</v>
      </c>
      <c r="AH152" s="17">
        <f t="shared" si="40"/>
        <v>16350426950.499969</v>
      </c>
      <c r="AP152" s="17">
        <v>140</v>
      </c>
      <c r="AQ152" s="17">
        <f t="shared" si="43"/>
        <v>97174307.379043967</v>
      </c>
      <c r="AR152" s="17">
        <f t="shared" si="41"/>
        <v>97174307.379043967</v>
      </c>
      <c r="AS152" s="16">
        <f t="shared" si="44"/>
        <v>168.25874443048519</v>
      </c>
    </row>
    <row r="153" spans="22:45">
      <c r="V153" s="16">
        <v>148</v>
      </c>
      <c r="W153" s="16">
        <f t="shared" si="35"/>
        <v>0.20000000000000004</v>
      </c>
      <c r="X153" s="16">
        <f t="shared" si="36"/>
        <v>0.20000000000000004</v>
      </c>
      <c r="Y153" s="16">
        <f t="shared" si="37"/>
        <v>0.20000000000000004</v>
      </c>
      <c r="Z153" s="16">
        <f t="shared" si="38"/>
        <v>0.20000000000000004</v>
      </c>
      <c r="AA153" s="16">
        <f t="shared" si="39"/>
        <v>0.20000000000000004</v>
      </c>
      <c r="AD153" s="16">
        <v>17</v>
      </c>
      <c r="AE153" s="17">
        <v>150</v>
      </c>
      <c r="AF153" s="17">
        <f t="shared" si="42"/>
        <v>0.20000000000000004</v>
      </c>
      <c r="AG153" s="17">
        <f>(AF153-AF152)*(INDEX([3]大r将兵属性验证!$AC$7:$AC$166,$AE153,1)*[3]战法技能效用!$AH$4+INDEX([3]大r将兵属性验证!$AX$7:$AX$166,$AE153,1)*[3]战法技能效用!$AI$4)+AG152</f>
        <v>16350426950.499969</v>
      </c>
      <c r="AH153" s="17">
        <f t="shared" si="40"/>
        <v>16350426950.499969</v>
      </c>
      <c r="AP153" s="17">
        <v>150</v>
      </c>
      <c r="AQ153" s="17">
        <f t="shared" si="43"/>
        <v>192535870.70702294</v>
      </c>
      <c r="AR153" s="17">
        <f t="shared" si="41"/>
        <v>192535870.70702294</v>
      </c>
      <c r="AS153" s="16">
        <f t="shared" si="44"/>
        <v>84.921458481780832</v>
      </c>
    </row>
    <row r="154" spans="22:45">
      <c r="V154" s="16">
        <v>149</v>
      </c>
      <c r="W154" s="16">
        <f t="shared" si="35"/>
        <v>0.20000000000000004</v>
      </c>
      <c r="X154" s="16">
        <f t="shared" si="36"/>
        <v>0.20000000000000004</v>
      </c>
      <c r="Y154" s="16">
        <f t="shared" si="37"/>
        <v>0.20000000000000004</v>
      </c>
      <c r="Z154" s="16">
        <f t="shared" si="38"/>
        <v>0.20000000000000004</v>
      </c>
      <c r="AA154" s="16">
        <f t="shared" si="39"/>
        <v>0.20000000000000004</v>
      </c>
      <c r="AD154" s="16">
        <v>18</v>
      </c>
      <c r="AE154" s="17">
        <v>160</v>
      </c>
      <c r="AF154" s="17">
        <f t="shared" si="42"/>
        <v>0.20000000000000004</v>
      </c>
      <c r="AG154" s="17">
        <f>(AF154-AF153)*(INDEX([3]大r将兵属性验证!$AC$7:$AC$166,$AE154,1)*[3]战法技能效用!$AH$4+INDEX([3]大r将兵属性验证!$AX$7:$AX$166,$AE154,1)*[3]战法技能效用!$AI$4)+AG153</f>
        <v>16350426950.499969</v>
      </c>
      <c r="AH154" s="17">
        <f t="shared" si="40"/>
        <v>16350426950.499969</v>
      </c>
      <c r="AP154" s="17">
        <v>160</v>
      </c>
      <c r="AQ154" s="17">
        <f t="shared" si="43"/>
        <v>809989952.78543949</v>
      </c>
      <c r="AR154" s="17">
        <f t="shared" si="41"/>
        <v>809989952.78543949</v>
      </c>
      <c r="AS154" s="16">
        <f t="shared" si="44"/>
        <v>20.185962670614852</v>
      </c>
    </row>
    <row r="155" spans="22:45">
      <c r="V155" s="16">
        <v>150</v>
      </c>
      <c r="W155" s="16">
        <f t="shared" si="35"/>
        <v>0.20000000000000004</v>
      </c>
      <c r="X155" s="16">
        <f t="shared" si="36"/>
        <v>0.20000000000000004</v>
      </c>
      <c r="Y155" s="16">
        <f t="shared" si="37"/>
        <v>0.20000000000000004</v>
      </c>
      <c r="Z155" s="16">
        <f t="shared" si="38"/>
        <v>0.20000000000000004</v>
      </c>
      <c r="AA155" s="16">
        <f t="shared" si="39"/>
        <v>0.20000000000000004</v>
      </c>
      <c r="AD155" s="16">
        <v>19</v>
      </c>
    </row>
    <row r="156" spans="22:45">
      <c r="V156" s="16">
        <v>151</v>
      </c>
      <c r="W156" s="16">
        <f t="shared" si="35"/>
        <v>0.20000000000000004</v>
      </c>
      <c r="X156" s="16">
        <f t="shared" si="36"/>
        <v>0.20000000000000004</v>
      </c>
      <c r="Y156" s="16">
        <f t="shared" si="37"/>
        <v>0.20000000000000004</v>
      </c>
      <c r="Z156" s="16">
        <f t="shared" si="38"/>
        <v>0.20000000000000004</v>
      </c>
      <c r="AA156" s="16">
        <f t="shared" si="39"/>
        <v>0.20000000000000004</v>
      </c>
      <c r="AD156" s="16">
        <v>20</v>
      </c>
    </row>
    <row r="157" spans="22:45">
      <c r="V157" s="16">
        <v>152</v>
      </c>
      <c r="W157" s="16">
        <f t="shared" si="35"/>
        <v>0.20000000000000004</v>
      </c>
      <c r="X157" s="16">
        <f t="shared" si="36"/>
        <v>0.20000000000000004</v>
      </c>
      <c r="Y157" s="16">
        <f t="shared" si="37"/>
        <v>0.20000000000000004</v>
      </c>
      <c r="Z157" s="16">
        <f t="shared" si="38"/>
        <v>0.20000000000000004</v>
      </c>
      <c r="AA157" s="16">
        <f t="shared" si="39"/>
        <v>0.20000000000000004</v>
      </c>
      <c r="AD157" s="16">
        <v>21</v>
      </c>
    </row>
    <row r="158" spans="22:45">
      <c r="V158" s="16">
        <v>153</v>
      </c>
      <c r="W158" s="16">
        <f t="shared" si="35"/>
        <v>0.20000000000000004</v>
      </c>
      <c r="X158" s="16">
        <f t="shared" si="36"/>
        <v>0.20000000000000004</v>
      </c>
      <c r="Y158" s="16">
        <f t="shared" si="37"/>
        <v>0.20000000000000004</v>
      </c>
      <c r="Z158" s="16">
        <f t="shared" si="38"/>
        <v>0.20000000000000004</v>
      </c>
      <c r="AA158" s="16">
        <f t="shared" si="39"/>
        <v>0.20000000000000004</v>
      </c>
      <c r="AD158" s="16">
        <v>22</v>
      </c>
    </row>
    <row r="159" spans="22:45">
      <c r="V159" s="16">
        <v>154</v>
      </c>
      <c r="W159" s="16">
        <f t="shared" si="35"/>
        <v>0.20000000000000004</v>
      </c>
      <c r="X159" s="16">
        <f t="shared" si="36"/>
        <v>0.20000000000000004</v>
      </c>
      <c r="Y159" s="16">
        <f t="shared" si="37"/>
        <v>0.20000000000000004</v>
      </c>
      <c r="Z159" s="16">
        <f t="shared" si="38"/>
        <v>0.20000000000000004</v>
      </c>
      <c r="AA159" s="16">
        <f t="shared" si="39"/>
        <v>0.20000000000000004</v>
      </c>
      <c r="AD159" s="16">
        <v>23</v>
      </c>
    </row>
    <row r="160" spans="22:45">
      <c r="V160" s="16">
        <v>155</v>
      </c>
      <c r="W160" s="16">
        <f t="shared" si="35"/>
        <v>0.20000000000000004</v>
      </c>
      <c r="X160" s="16">
        <f t="shared" si="36"/>
        <v>0.20000000000000004</v>
      </c>
      <c r="Y160" s="16">
        <f t="shared" si="37"/>
        <v>0.20000000000000004</v>
      </c>
      <c r="Z160" s="16">
        <f t="shared" si="38"/>
        <v>0.20000000000000004</v>
      </c>
      <c r="AA160" s="16">
        <f t="shared" si="39"/>
        <v>0.20000000000000004</v>
      </c>
      <c r="AD160" s="16">
        <v>24</v>
      </c>
    </row>
    <row r="161" spans="22:30">
      <c r="V161" s="16">
        <v>156</v>
      </c>
      <c r="W161" s="16">
        <f t="shared" si="35"/>
        <v>0.20000000000000004</v>
      </c>
      <c r="X161" s="16">
        <f t="shared" si="36"/>
        <v>0.20000000000000004</v>
      </c>
      <c r="Y161" s="16">
        <f t="shared" si="37"/>
        <v>0.20000000000000004</v>
      </c>
      <c r="Z161" s="16">
        <f t="shared" si="38"/>
        <v>0.20000000000000004</v>
      </c>
      <c r="AA161" s="16">
        <f t="shared" si="39"/>
        <v>0.20000000000000004</v>
      </c>
      <c r="AD161" s="16">
        <v>25</v>
      </c>
    </row>
    <row r="162" spans="22:30">
      <c r="V162" s="16">
        <v>157</v>
      </c>
      <c r="W162" s="16">
        <f t="shared" si="35"/>
        <v>0.20000000000000004</v>
      </c>
      <c r="X162" s="16">
        <f t="shared" si="36"/>
        <v>0.20000000000000004</v>
      </c>
      <c r="Y162" s="16">
        <f t="shared" si="37"/>
        <v>0.20000000000000004</v>
      </c>
      <c r="Z162" s="16">
        <f t="shared" si="38"/>
        <v>0.20000000000000004</v>
      </c>
      <c r="AA162" s="16">
        <f t="shared" si="39"/>
        <v>0.20000000000000004</v>
      </c>
      <c r="AD162" s="16">
        <v>26</v>
      </c>
    </row>
    <row r="163" spans="22:30">
      <c r="V163" s="16">
        <v>158</v>
      </c>
      <c r="W163" s="16">
        <f t="shared" si="35"/>
        <v>0.20000000000000004</v>
      </c>
      <c r="X163" s="16">
        <f t="shared" si="36"/>
        <v>0.20000000000000004</v>
      </c>
      <c r="Y163" s="16">
        <f t="shared" si="37"/>
        <v>0.20000000000000004</v>
      </c>
      <c r="Z163" s="16">
        <f t="shared" si="38"/>
        <v>0.20000000000000004</v>
      </c>
      <c r="AA163" s="16">
        <f t="shared" si="39"/>
        <v>0.20000000000000004</v>
      </c>
      <c r="AD163" s="16">
        <v>27</v>
      </c>
    </row>
    <row r="164" spans="22:30">
      <c r="V164" s="16">
        <v>159</v>
      </c>
      <c r="W164" s="16">
        <f t="shared" si="35"/>
        <v>0.20000000000000004</v>
      </c>
      <c r="X164" s="16">
        <f t="shared" si="36"/>
        <v>0.20000000000000004</v>
      </c>
      <c r="Y164" s="16">
        <f t="shared" si="37"/>
        <v>0.20000000000000004</v>
      </c>
      <c r="Z164" s="16">
        <f t="shared" si="38"/>
        <v>0.20000000000000004</v>
      </c>
      <c r="AA164" s="16">
        <f t="shared" si="39"/>
        <v>0.20000000000000004</v>
      </c>
      <c r="AD164" s="16">
        <v>28</v>
      </c>
    </row>
    <row r="165" spans="22:30">
      <c r="V165" s="16">
        <v>160</v>
      </c>
      <c r="W165" s="16">
        <f t="shared" si="35"/>
        <v>0.20000000000000004</v>
      </c>
      <c r="X165" s="16">
        <f t="shared" si="36"/>
        <v>0.20000000000000004</v>
      </c>
      <c r="Y165" s="16">
        <f t="shared" si="37"/>
        <v>0.20000000000000004</v>
      </c>
      <c r="Z165" s="16">
        <f t="shared" si="38"/>
        <v>0.20000000000000004</v>
      </c>
      <c r="AA165" s="16">
        <f t="shared" si="39"/>
        <v>0.20000000000000004</v>
      </c>
      <c r="AD165" s="16">
        <v>29</v>
      </c>
    </row>
    <row r="166" spans="22:30">
      <c r="AD166" s="16">
        <v>30</v>
      </c>
    </row>
    <row r="167" spans="22:30">
      <c r="AD167" s="16">
        <v>31</v>
      </c>
    </row>
    <row r="168" spans="22:30">
      <c r="AD168" s="16">
        <v>32</v>
      </c>
    </row>
    <row r="169" spans="22:30">
      <c r="AD169" s="16">
        <v>33</v>
      </c>
    </row>
    <row r="170" spans="22:30">
      <c r="AD170" s="16">
        <v>34</v>
      </c>
    </row>
    <row r="171" spans="22:30">
      <c r="AD171" s="16">
        <v>35</v>
      </c>
    </row>
    <row r="172" spans="22:30">
      <c r="AD172" s="16">
        <v>36</v>
      </c>
    </row>
    <row r="173" spans="22:30">
      <c r="AD173" s="16">
        <v>37</v>
      </c>
    </row>
    <row r="174" spans="22:30">
      <c r="AD174" s="16">
        <v>38</v>
      </c>
    </row>
    <row r="175" spans="22:30">
      <c r="AD175" s="16">
        <v>39</v>
      </c>
    </row>
    <row r="176" spans="22:30">
      <c r="AD176" s="16">
        <v>40</v>
      </c>
    </row>
    <row r="177" spans="30:45">
      <c r="AD177" s="16">
        <v>41</v>
      </c>
    </row>
    <row r="178" spans="30:45">
      <c r="AD178" s="16">
        <v>42</v>
      </c>
    </row>
    <row r="179" spans="30:45">
      <c r="AD179" s="16">
        <v>43</v>
      </c>
    </row>
    <row r="180" spans="30:45">
      <c r="AD180" s="16">
        <v>44</v>
      </c>
    </row>
    <row r="181" spans="30:45">
      <c r="AD181" s="16">
        <v>45</v>
      </c>
    </row>
    <row r="182" spans="30:45">
      <c r="AD182" s="16">
        <v>1</v>
      </c>
      <c r="AE182" s="17" t="s">
        <v>78</v>
      </c>
      <c r="AF182" s="70" t="s">
        <v>54</v>
      </c>
      <c r="AG182" s="170" t="s">
        <v>414</v>
      </c>
      <c r="AH182" s="170"/>
      <c r="AP182" s="17" t="s">
        <v>78</v>
      </c>
      <c r="AQ182" s="17" t="s">
        <v>418</v>
      </c>
    </row>
    <row r="183" spans="30:45">
      <c r="AD183" s="16">
        <v>2</v>
      </c>
      <c r="AE183" s="17" t="s">
        <v>161</v>
      </c>
      <c r="AF183" s="17" t="s">
        <v>412</v>
      </c>
      <c r="AG183" s="17" t="s">
        <v>412</v>
      </c>
      <c r="AH183" s="17" t="s">
        <v>413</v>
      </c>
      <c r="AP183" s="17" t="s">
        <v>161</v>
      </c>
      <c r="AQ183" s="17" t="s">
        <v>416</v>
      </c>
      <c r="AR183" s="17" t="s">
        <v>192</v>
      </c>
    </row>
    <row r="184" spans="30:45">
      <c r="AD184" s="16">
        <v>3</v>
      </c>
      <c r="AE184" s="17">
        <v>10</v>
      </c>
      <c r="AF184" s="17">
        <f>求节点($V$6:$V$165,$AA$6:$AA$165,$AE184)</f>
        <v>0</v>
      </c>
      <c r="AG184" s="51">
        <f>AF184*(INDEX([3]超r将兵属性验证!$AC$7:$AC$166,$AE184,1)*[3]战法技能效用!$AH$4+INDEX([3]超r将兵属性验证!$AX$7:$AX$166,$AE184,1)*[3]战法技能效用!$AI$4)</f>
        <v>0</v>
      </c>
      <c r="AH184" s="17">
        <f t="shared" ref="AH184:AH199" si="45">SUM(AG184:AG184)</f>
        <v>0</v>
      </c>
      <c r="AP184" s="17">
        <v>10</v>
      </c>
      <c r="AQ184" s="17">
        <f>求节点($AL$108:$AL$128,AM$108:AM$128,$AP184)</f>
        <v>75858.234314735222</v>
      </c>
      <c r="AR184" s="17">
        <f t="shared" ref="AR184:AR199" si="46">SUM(AQ184:AQ184)</f>
        <v>75858.234314735222</v>
      </c>
      <c r="AS184" s="16">
        <f>AH184/AR184</f>
        <v>0</v>
      </c>
    </row>
    <row r="185" spans="30:45">
      <c r="AD185" s="16">
        <v>4</v>
      </c>
      <c r="AE185" s="17">
        <v>20</v>
      </c>
      <c r="AF185" s="17">
        <f t="shared" ref="AF185:AF199" si="47">求节点($V$6:$V$165,$AA$6:$AA$165,$AE185)</f>
        <v>0</v>
      </c>
      <c r="AG185" s="17">
        <f>(AF185-AF184)*(INDEX([3]超r将兵属性验证!$AC$7:$AC$166,$AE185,1)*[3]战法技能效用!$AH$4+INDEX([3]超r将兵属性验证!$AX$7:$AX$166,$AE185,1)*[3]战法技能效用!$AI$4)+AG184</f>
        <v>0</v>
      </c>
      <c r="AH185" s="17">
        <f t="shared" si="45"/>
        <v>0</v>
      </c>
      <c r="AP185" s="17">
        <v>20</v>
      </c>
      <c r="AQ185" s="17">
        <f t="shared" ref="AQ185:AQ199" si="48">求节点($AL$108:$AL$128,AM$108:AM$128,$AP185)</f>
        <v>151716.46862947044</v>
      </c>
      <c r="AR185" s="17">
        <f t="shared" si="46"/>
        <v>151716.46862947044</v>
      </c>
      <c r="AS185" s="16">
        <f t="shared" ref="AS185:AS199" si="49">AH185/AR185</f>
        <v>0</v>
      </c>
    </row>
    <row r="186" spans="30:45">
      <c r="AD186" s="16">
        <v>5</v>
      </c>
      <c r="AE186" s="17">
        <v>30</v>
      </c>
      <c r="AF186" s="17">
        <f t="shared" si="47"/>
        <v>0</v>
      </c>
      <c r="AG186" s="17">
        <f>(AF186-AF185)*(INDEX([3]超r将兵属性验证!$AC$7:$AC$166,$AE186,1)*[3]战法技能效用!$AH$4+INDEX([3]超r将兵属性验证!$AX$7:$AX$166,$AE186,1)*[3]战法技能效用!$AI$4)+AG185</f>
        <v>0</v>
      </c>
      <c r="AH186" s="17">
        <f t="shared" si="45"/>
        <v>0</v>
      </c>
      <c r="AP186" s="17">
        <v>30</v>
      </c>
      <c r="AQ186" s="17">
        <f t="shared" si="48"/>
        <v>227574.70294420567</v>
      </c>
      <c r="AR186" s="17">
        <f t="shared" si="46"/>
        <v>227574.70294420567</v>
      </c>
      <c r="AS186" s="16">
        <f t="shared" si="49"/>
        <v>0</v>
      </c>
    </row>
    <row r="187" spans="30:45">
      <c r="AD187" s="16">
        <v>6</v>
      </c>
      <c r="AE187" s="17">
        <v>40</v>
      </c>
      <c r="AF187" s="17">
        <f t="shared" si="47"/>
        <v>0</v>
      </c>
      <c r="AG187" s="17">
        <f>(AF187-AF186)*(INDEX([3]超r将兵属性验证!$AC$7:$AC$166,$AE187,1)*[3]战法技能效用!$AH$4+INDEX([3]超r将兵属性验证!$AX$7:$AX$166,$AE187,1)*[3]战法技能效用!$AI$4)+AG186</f>
        <v>0</v>
      </c>
      <c r="AH187" s="17">
        <f t="shared" si="45"/>
        <v>0</v>
      </c>
      <c r="AP187" s="17">
        <v>40</v>
      </c>
      <c r="AQ187" s="17">
        <f t="shared" si="48"/>
        <v>303432.93725894089</v>
      </c>
      <c r="AR187" s="17">
        <f t="shared" si="46"/>
        <v>303432.93725894089</v>
      </c>
      <c r="AS187" s="16">
        <f t="shared" si="49"/>
        <v>0</v>
      </c>
    </row>
    <row r="188" spans="30:45">
      <c r="AD188" s="16">
        <v>7</v>
      </c>
      <c r="AE188" s="17">
        <v>50</v>
      </c>
      <c r="AF188" s="17">
        <f t="shared" si="47"/>
        <v>0</v>
      </c>
      <c r="AG188" s="17">
        <f>(AF188-AF187)*(INDEX([3]超r将兵属性验证!$AC$7:$AC$166,$AE188,1)*[3]战法技能效用!$AH$4+INDEX([3]超r将兵属性验证!$AX$7:$AX$166,$AE188,1)*[3]战法技能效用!$AI$4)+AG187</f>
        <v>0</v>
      </c>
      <c r="AH188" s="17">
        <f t="shared" si="45"/>
        <v>0</v>
      </c>
      <c r="AP188" s="17">
        <v>50</v>
      </c>
      <c r="AQ188" s="17">
        <f t="shared" si="48"/>
        <v>379291.17157367611</v>
      </c>
      <c r="AR188" s="17">
        <f t="shared" si="46"/>
        <v>379291.17157367611</v>
      </c>
      <c r="AS188" s="16">
        <f t="shared" si="49"/>
        <v>0</v>
      </c>
    </row>
    <row r="189" spans="30:45">
      <c r="AD189" s="16">
        <v>8</v>
      </c>
      <c r="AE189" s="17">
        <v>60</v>
      </c>
      <c r="AF189" s="17">
        <f t="shared" si="47"/>
        <v>3.8579696458221076E-2</v>
      </c>
      <c r="AG189" s="17">
        <f>(AF189-AF188)*(INDEX([3]超r将兵属性验证!$AC$7:$AC$166,$AE189,1)*[3]战法技能效用!$AH$4+INDEX([3]超r将兵属性验证!$AX$7:$AX$166,$AE189,1)*[3]战法技能效用!$AI$4)+AG188</f>
        <v>361444913.39266682</v>
      </c>
      <c r="AH189" s="17">
        <f t="shared" si="45"/>
        <v>361444913.39266682</v>
      </c>
      <c r="AP189" s="17">
        <v>60</v>
      </c>
      <c r="AQ189" s="17">
        <f t="shared" si="48"/>
        <v>679002.65766469098</v>
      </c>
      <c r="AR189" s="17">
        <f t="shared" si="46"/>
        <v>679002.65766469098</v>
      </c>
      <c r="AS189" s="16">
        <f t="shared" si="49"/>
        <v>532.31737654134133</v>
      </c>
    </row>
    <row r="190" spans="30:45">
      <c r="AD190" s="16">
        <v>9</v>
      </c>
      <c r="AE190" s="17">
        <v>70</v>
      </c>
      <c r="AF190" s="17">
        <f t="shared" si="47"/>
        <v>7.630322567540368E-2</v>
      </c>
      <c r="AG190" s="17">
        <f>(AF190-AF189)*(INDEX([3]超r将兵属性验证!$AC$7:$AC$166,$AE190,1)*[3]战法技能效用!$AH$4+INDEX([3]超r将兵属性验证!$AX$7:$AX$166,$AE190,1)*[3]战法技能效用!$AI$4)+AG189</f>
        <v>1483015484.522404</v>
      </c>
      <c r="AH190" s="17">
        <f t="shared" si="45"/>
        <v>1483015484.522404</v>
      </c>
      <c r="AP190" s="17">
        <v>70</v>
      </c>
      <c r="AQ190" s="17">
        <f t="shared" si="48"/>
        <v>1254856.8726787968</v>
      </c>
      <c r="AR190" s="17">
        <f t="shared" si="46"/>
        <v>1254856.8726787968</v>
      </c>
      <c r="AS190" s="16">
        <f t="shared" si="49"/>
        <v>1181.8204265451782</v>
      </c>
    </row>
    <row r="191" spans="30:45">
      <c r="AD191" s="16">
        <v>10</v>
      </c>
      <c r="AE191" s="17">
        <v>80</v>
      </c>
      <c r="AF191" s="17">
        <f t="shared" si="47"/>
        <v>0.14540432719018789</v>
      </c>
      <c r="AG191" s="17">
        <f>(AF191-AF190)*(INDEX([3]超r将兵属性验证!$AC$7:$AC$166,$AE191,1)*[3]战法技能效用!$AH$4+INDEX([3]超r将兵属性验证!$AX$7:$AX$166,$AE191,1)*[3]战法技能效用!$AI$4)+AG190</f>
        <v>7508530316.4314098</v>
      </c>
      <c r="AH191" s="17">
        <f t="shared" si="45"/>
        <v>7508530316.4314098</v>
      </c>
      <c r="AP191" s="17">
        <v>80</v>
      </c>
      <c r="AQ191" s="17">
        <f t="shared" si="48"/>
        <v>2447337.1189104798</v>
      </c>
      <c r="AR191" s="17">
        <f t="shared" si="46"/>
        <v>2447337.1189104798</v>
      </c>
      <c r="AS191" s="16">
        <f t="shared" si="49"/>
        <v>3068.0408752898343</v>
      </c>
    </row>
    <row r="192" spans="30:45">
      <c r="AD192" s="16">
        <v>11</v>
      </c>
      <c r="AE192" s="17">
        <v>90</v>
      </c>
      <c r="AF192" s="17">
        <f t="shared" si="47"/>
        <v>0.20000000000000004</v>
      </c>
      <c r="AG192" s="17">
        <f>(AF192-AF191)*(INDEX([3]超r将兵属性验证!$AC$7:$AC$166,$AE192,1)*[3]战法技能效用!$AH$4+INDEX([3]超r将兵属性验证!$AX$7:$AX$166,$AE192,1)*[3]战法技能效用!$AI$4)+AG191</f>
        <v>18614431388.057945</v>
      </c>
      <c r="AH192" s="17">
        <f t="shared" si="45"/>
        <v>18614431388.057945</v>
      </c>
      <c r="AP192" s="17">
        <v>90</v>
      </c>
      <c r="AQ192" s="17">
        <f t="shared" si="48"/>
        <v>4561856.1245163316</v>
      </c>
      <c r="AR192" s="17">
        <f t="shared" si="46"/>
        <v>4561856.1245163316</v>
      </c>
      <c r="AS192" s="16">
        <f t="shared" si="49"/>
        <v>4080.4512198489228</v>
      </c>
    </row>
    <row r="193" spans="30:45">
      <c r="AD193" s="16">
        <v>12</v>
      </c>
      <c r="AE193" s="17">
        <v>100</v>
      </c>
      <c r="AF193" s="17">
        <f t="shared" si="47"/>
        <v>0.20000000000000004</v>
      </c>
      <c r="AG193" s="17">
        <f>(AF193-AF192)*(INDEX([3]超r将兵属性验证!$AC$7:$AC$166,$AE193,1)*[3]战法技能效用!$AH$4+INDEX([3]超r将兵属性验证!$AX$7:$AX$166,$AE193,1)*[3]战法技能效用!$AI$4)+AG192</f>
        <v>18614431388.057945</v>
      </c>
      <c r="AH193" s="17">
        <f t="shared" si="45"/>
        <v>18614431388.057945</v>
      </c>
      <c r="AP193" s="17">
        <v>100</v>
      </c>
      <c r="AQ193" s="17">
        <f t="shared" si="48"/>
        <v>8890149.7648877781</v>
      </c>
      <c r="AR193" s="17">
        <f t="shared" si="46"/>
        <v>8890149.7648877781</v>
      </c>
      <c r="AS193" s="16">
        <f t="shared" si="49"/>
        <v>2093.826524900272</v>
      </c>
    </row>
    <row r="194" spans="30:45">
      <c r="AD194" s="16">
        <v>13</v>
      </c>
      <c r="AE194" s="17">
        <v>110</v>
      </c>
      <c r="AF194" s="17">
        <f t="shared" si="47"/>
        <v>0.20000000000000004</v>
      </c>
      <c r="AG194" s="17">
        <f>(AF194-AF193)*(INDEX([3]超r将兵属性验证!$AC$7:$AC$166,$AE194,1)*[3]战法技能效用!$AH$4+INDEX([3]超r将兵属性验证!$AX$7:$AX$166,$AE194,1)*[3]战法技能效用!$AI$4)+AG193</f>
        <v>18614431388.057945</v>
      </c>
      <c r="AH194" s="17">
        <f t="shared" si="45"/>
        <v>18614431388.057945</v>
      </c>
      <c r="AP194" s="17">
        <v>110</v>
      </c>
      <c r="AQ194" s="17">
        <f t="shared" si="48"/>
        <v>17318746.214545555</v>
      </c>
      <c r="AR194" s="17">
        <f t="shared" si="46"/>
        <v>17318746.214545555</v>
      </c>
      <c r="AS194" s="16">
        <f t="shared" si="49"/>
        <v>1074.8140285365564</v>
      </c>
    </row>
    <row r="195" spans="30:45">
      <c r="AD195" s="16">
        <v>14</v>
      </c>
      <c r="AE195" s="17">
        <v>120</v>
      </c>
      <c r="AF195" s="17">
        <f t="shared" si="47"/>
        <v>0.20000000000000004</v>
      </c>
      <c r="AG195" s="17">
        <f>(AF195-AF194)*(INDEX([3]超r将兵属性验证!$AC$7:$AC$166,$AE195,1)*[3]战法技能效用!$AH$4+INDEX([3]超r将兵属性验证!$AX$7:$AX$166,$AE195,1)*[3]战法技能效用!$AI$4)+AG194</f>
        <v>18614431388.057945</v>
      </c>
      <c r="AH195" s="17">
        <f t="shared" si="45"/>
        <v>18614431388.057945</v>
      </c>
      <c r="AP195" s="17">
        <v>120</v>
      </c>
      <c r="AQ195" s="17">
        <f t="shared" si="48"/>
        <v>33814850.781167865</v>
      </c>
      <c r="AR195" s="17">
        <f t="shared" si="46"/>
        <v>33814850.781167865</v>
      </c>
      <c r="AS195" s="16">
        <f t="shared" si="49"/>
        <v>550.48095608999927</v>
      </c>
    </row>
    <row r="196" spans="30:45">
      <c r="AD196" s="16">
        <v>15</v>
      </c>
      <c r="AE196" s="17">
        <v>130</v>
      </c>
      <c r="AF196" s="17">
        <f t="shared" si="47"/>
        <v>0.20000000000000004</v>
      </c>
      <c r="AG196" s="17">
        <f>(AF196-AF195)*(INDEX([3]超r将兵属性验证!$AC$7:$AC$166,$AE196,1)*[3]战法技能效用!$AH$4+INDEX([3]超r将兵属性验证!$AX$7:$AX$166,$AE196,1)*[3]战法技能效用!$AI$4)+AG195</f>
        <v>18614431388.057945</v>
      </c>
      <c r="AH196" s="17">
        <f t="shared" si="45"/>
        <v>18614431388.057945</v>
      </c>
      <c r="AP196" s="17">
        <v>130</v>
      </c>
      <c r="AQ196" s="17">
        <f t="shared" si="48"/>
        <v>66828395.589792967</v>
      </c>
      <c r="AR196" s="17">
        <f t="shared" si="46"/>
        <v>66828395.589792967</v>
      </c>
      <c r="AS196" s="16">
        <f t="shared" si="49"/>
        <v>278.5407493891866</v>
      </c>
    </row>
    <row r="197" spans="30:45">
      <c r="AD197" s="16">
        <v>16</v>
      </c>
      <c r="AE197" s="17">
        <v>140</v>
      </c>
      <c r="AF197" s="17">
        <f t="shared" si="47"/>
        <v>0.20000000000000004</v>
      </c>
      <c r="AG197" s="17">
        <f>(AF197-AF196)*(INDEX([3]超r将兵属性验证!$AC$7:$AC$166,$AE197,1)*[3]战法技能效用!$AH$4+INDEX([3]超r将兵属性验证!$AX$7:$AX$166,$AE197,1)*[3]战法技能效用!$AI$4)+AG196</f>
        <v>18614431388.057945</v>
      </c>
      <c r="AH197" s="17">
        <f t="shared" si="45"/>
        <v>18614431388.057945</v>
      </c>
      <c r="AP197" s="17">
        <v>140</v>
      </c>
      <c r="AQ197" s="17">
        <f t="shared" si="48"/>
        <v>131233366.53524967</v>
      </c>
      <c r="AR197" s="17">
        <f t="shared" si="46"/>
        <v>131233366.53524967</v>
      </c>
      <c r="AS197" s="16">
        <f t="shared" si="49"/>
        <v>141.84221497554933</v>
      </c>
    </row>
    <row r="198" spans="30:45">
      <c r="AD198" s="16">
        <v>17</v>
      </c>
      <c r="AE198" s="17">
        <v>150</v>
      </c>
      <c r="AF198" s="17">
        <f t="shared" si="47"/>
        <v>0.20000000000000004</v>
      </c>
      <c r="AG198" s="17">
        <f>(AF198-AF197)*(INDEX([3]超r将兵属性验证!$AC$7:$AC$166,$AE198,1)*[3]战法技能效用!$AH$4+INDEX([3]超r将兵属性验证!$AX$7:$AX$166,$AE198,1)*[3]战法技能效用!$AI$4)+AG197</f>
        <v>18614431388.057945</v>
      </c>
      <c r="AH198" s="17">
        <f t="shared" si="45"/>
        <v>18614431388.057945</v>
      </c>
      <c r="AP198" s="17">
        <v>150</v>
      </c>
      <c r="AQ198" s="17">
        <f t="shared" si="48"/>
        <v>260624561.12845051</v>
      </c>
      <c r="AR198" s="17">
        <f t="shared" si="46"/>
        <v>260624561.12845051</v>
      </c>
      <c r="AS198" s="16">
        <f t="shared" si="49"/>
        <v>71.422398976755304</v>
      </c>
    </row>
    <row r="199" spans="30:45">
      <c r="AD199" s="16">
        <v>18</v>
      </c>
      <c r="AE199" s="17">
        <v>160</v>
      </c>
      <c r="AF199" s="17">
        <f t="shared" si="47"/>
        <v>0.20000000000000004</v>
      </c>
      <c r="AG199" s="17">
        <f>(AF199-AF198)*(INDEX([3]超r将兵属性验证!$AC$7:$AC$166,$AE199,1)*[3]战法技能效用!$AH$4+INDEX([3]超r将兵属性验证!$AX$7:$AX$166,$AE199,1)*[3]战法技能效用!$AI$4)+AG198</f>
        <v>18614431388.057945</v>
      </c>
      <c r="AH199" s="17">
        <f t="shared" si="45"/>
        <v>18614431388.057945</v>
      </c>
      <c r="AP199" s="17">
        <v>160</v>
      </c>
      <c r="AQ199" s="17">
        <f t="shared" si="48"/>
        <v>2052126380.7639832</v>
      </c>
      <c r="AR199" s="17">
        <f t="shared" si="46"/>
        <v>2052126380.7639832</v>
      </c>
      <c r="AS199" s="16">
        <f t="shared" si="49"/>
        <v>9.0708016633595463</v>
      </c>
    </row>
    <row r="200" spans="30:45">
      <c r="AD200" s="16">
        <v>19</v>
      </c>
    </row>
    <row r="201" spans="30:45">
      <c r="AD201" s="16">
        <v>20</v>
      </c>
    </row>
    <row r="202" spans="30:45">
      <c r="AD202" s="16">
        <v>21</v>
      </c>
    </row>
    <row r="203" spans="30:45">
      <c r="AD203" s="16">
        <v>22</v>
      </c>
    </row>
    <row r="204" spans="30:45">
      <c r="AD204" s="16">
        <v>23</v>
      </c>
    </row>
    <row r="205" spans="30:45">
      <c r="AD205" s="16">
        <v>24</v>
      </c>
    </row>
    <row r="206" spans="30:45">
      <c r="AD206" s="16">
        <v>25</v>
      </c>
    </row>
    <row r="207" spans="30:45">
      <c r="AD207" s="16">
        <v>26</v>
      </c>
    </row>
    <row r="208" spans="30:45">
      <c r="AD208" s="16">
        <v>27</v>
      </c>
    </row>
    <row r="209" spans="30:30">
      <c r="AD209" s="16">
        <v>28</v>
      </c>
    </row>
    <row r="210" spans="30:30">
      <c r="AD210" s="16">
        <v>29</v>
      </c>
    </row>
    <row r="211" spans="30:30">
      <c r="AD211" s="16">
        <v>30</v>
      </c>
    </row>
    <row r="212" spans="30:30">
      <c r="AD212" s="16">
        <v>31</v>
      </c>
    </row>
    <row r="213" spans="30:30">
      <c r="AD213" s="16">
        <v>32</v>
      </c>
    </row>
    <row r="214" spans="30:30">
      <c r="AD214" s="16">
        <v>33</v>
      </c>
    </row>
    <row r="215" spans="30:30">
      <c r="AD215" s="16">
        <v>34</v>
      </c>
    </row>
    <row r="216" spans="30:30">
      <c r="AD216" s="16">
        <v>35</v>
      </c>
    </row>
    <row r="217" spans="30:30">
      <c r="AD217" s="16">
        <v>36</v>
      </c>
    </row>
    <row r="218" spans="30:30">
      <c r="AD218" s="16">
        <v>37</v>
      </c>
    </row>
    <row r="219" spans="30:30">
      <c r="AD219" s="16">
        <v>38</v>
      </c>
    </row>
    <row r="220" spans="30:30">
      <c r="AD220" s="16">
        <v>39</v>
      </c>
    </row>
    <row r="221" spans="30:30">
      <c r="AD221" s="16">
        <v>40</v>
      </c>
    </row>
    <row r="222" spans="30:30">
      <c r="AD222" s="16">
        <v>41</v>
      </c>
    </row>
    <row r="223" spans="30:30">
      <c r="AD223" s="16">
        <v>42</v>
      </c>
    </row>
    <row r="224" spans="30:30">
      <c r="AD224" s="16">
        <v>43</v>
      </c>
    </row>
    <row r="225" spans="30:30">
      <c r="AD225" s="16">
        <v>44</v>
      </c>
    </row>
    <row r="226" spans="30:30">
      <c r="AD226" s="16">
        <v>45</v>
      </c>
    </row>
  </sheetData>
  <mergeCells count="20">
    <mergeCell ref="AM80:AM81"/>
    <mergeCell ref="AG92:AH92"/>
    <mergeCell ref="AM106:AM107"/>
    <mergeCell ref="AG137:AH137"/>
    <mergeCell ref="AG182:AH182"/>
    <mergeCell ref="AM2:AM3"/>
    <mergeCell ref="AQ2:AR2"/>
    <mergeCell ref="AM28:AM29"/>
    <mergeCell ref="AG47:AH47"/>
    <mergeCell ref="AM54:AM55"/>
    <mergeCell ref="W4:AA4"/>
    <mergeCell ref="N30:R30"/>
    <mergeCell ref="B4:B13"/>
    <mergeCell ref="B16:B25"/>
    <mergeCell ref="AG2:AH2"/>
    <mergeCell ref="N108:R108"/>
    <mergeCell ref="B29:B38"/>
    <mergeCell ref="N56:R56"/>
    <mergeCell ref="N82:R82"/>
    <mergeCell ref="N4:R4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B2:BV175"/>
  <sheetViews>
    <sheetView workbookViewId="0">
      <selection activeCell="G47" sqref="G47"/>
    </sheetView>
  </sheetViews>
  <sheetFormatPr defaultColWidth="6.625" defaultRowHeight="11.25"/>
  <cols>
    <col min="1" max="7" width="6.625" style="16"/>
    <col min="8" max="8" width="6.625" style="13"/>
    <col min="9" max="29" width="6.625" style="16"/>
    <col min="30" max="30" width="10.375" style="16" customWidth="1"/>
    <col min="31" max="37" width="6.625" style="16"/>
    <col min="38" max="38" width="15.25" style="16" customWidth="1"/>
    <col min="39" max="47" width="6.625" style="16"/>
    <col min="48" max="48" width="6.625" style="13" customWidth="1"/>
    <col min="49" max="76" width="6.625" style="16" customWidth="1"/>
    <col min="77" max="16384" width="6.625" style="16"/>
  </cols>
  <sheetData>
    <row r="2" spans="2:74">
      <c r="B2" s="48" t="s">
        <v>448</v>
      </c>
      <c r="C2" s="16" t="s">
        <v>333</v>
      </c>
      <c r="D2" s="16">
        <v>100</v>
      </c>
      <c r="E2" s="16" t="s">
        <v>449</v>
      </c>
    </row>
    <row r="4" spans="2:74" ht="13.5" customHeight="1">
      <c r="J4" s="16">
        <v>1</v>
      </c>
      <c r="K4" s="17" t="s">
        <v>74</v>
      </c>
      <c r="L4" s="170" t="s">
        <v>436</v>
      </c>
      <c r="M4" s="170"/>
      <c r="N4" s="170"/>
      <c r="O4" s="170"/>
      <c r="P4" s="170" t="s">
        <v>437</v>
      </c>
      <c r="Q4" s="170"/>
      <c r="R4" s="170"/>
      <c r="S4" s="170"/>
      <c r="T4" s="170" t="s">
        <v>438</v>
      </c>
      <c r="U4" s="170"/>
      <c r="V4" s="170"/>
      <c r="W4" s="170"/>
      <c r="Z4" s="170" t="s">
        <v>462</v>
      </c>
      <c r="AA4" s="170"/>
      <c r="AB4" s="170"/>
      <c r="AC4" s="170"/>
      <c r="AD4" s="178" t="s">
        <v>464</v>
      </c>
      <c r="AG4" s="17" t="s">
        <v>74</v>
      </c>
      <c r="AH4" s="170" t="s">
        <v>440</v>
      </c>
      <c r="AI4" s="170"/>
      <c r="AJ4" s="170"/>
      <c r="AK4" s="170"/>
      <c r="AL4" s="178" t="s">
        <v>441</v>
      </c>
      <c r="AM4" s="16" t="s">
        <v>441</v>
      </c>
      <c r="AP4" s="164" t="s">
        <v>442</v>
      </c>
      <c r="AQ4" s="164"/>
      <c r="AR4" s="164"/>
      <c r="AS4" s="164"/>
      <c r="AT4" s="164"/>
      <c r="AY4" s="170" t="s">
        <v>445</v>
      </c>
      <c r="AZ4" s="170"/>
      <c r="BA4" s="170"/>
      <c r="BB4" s="170"/>
      <c r="BC4" s="170"/>
      <c r="BF4" s="164" t="s">
        <v>444</v>
      </c>
      <c r="BG4" s="164"/>
      <c r="BH4" s="164"/>
      <c r="BI4" s="164"/>
      <c r="BJ4" s="164"/>
      <c r="BM4" s="164" t="s">
        <v>298</v>
      </c>
      <c r="BN4" s="164"/>
      <c r="BO4" s="164"/>
      <c r="BP4" s="164"/>
      <c r="BQ4" s="164"/>
      <c r="BR4" s="164" t="s">
        <v>454</v>
      </c>
      <c r="BS4" s="164"/>
      <c r="BT4" s="164"/>
      <c r="BU4" s="164"/>
      <c r="BV4" s="164"/>
    </row>
    <row r="5" spans="2:74">
      <c r="C5" s="16" t="s">
        <v>1</v>
      </c>
      <c r="D5" s="16" t="s">
        <v>2</v>
      </c>
      <c r="E5" s="16" t="s">
        <v>0</v>
      </c>
      <c r="F5" s="16" t="s">
        <v>205</v>
      </c>
      <c r="G5" s="16" t="s">
        <v>29</v>
      </c>
      <c r="J5" s="16">
        <v>2</v>
      </c>
      <c r="K5" s="17" t="s">
        <v>161</v>
      </c>
      <c r="L5" s="17" t="s">
        <v>1</v>
      </c>
      <c r="M5" s="17" t="s">
        <v>2</v>
      </c>
      <c r="N5" s="17" t="s">
        <v>0</v>
      </c>
      <c r="O5" s="17" t="s">
        <v>205</v>
      </c>
      <c r="P5" s="17" t="s">
        <v>1</v>
      </c>
      <c r="Q5" s="17" t="s">
        <v>2</v>
      </c>
      <c r="R5" s="17" t="s">
        <v>0</v>
      </c>
      <c r="S5" s="17" t="s">
        <v>205</v>
      </c>
      <c r="T5" s="17" t="s">
        <v>1</v>
      </c>
      <c r="U5" s="17" t="s">
        <v>2</v>
      </c>
      <c r="V5" s="17" t="s">
        <v>0</v>
      </c>
      <c r="W5" s="17" t="s">
        <v>205</v>
      </c>
      <c r="Z5" s="17" t="s">
        <v>1</v>
      </c>
      <c r="AA5" s="17" t="s">
        <v>2</v>
      </c>
      <c r="AB5" s="17" t="s">
        <v>0</v>
      </c>
      <c r="AC5" s="17" t="s">
        <v>205</v>
      </c>
      <c r="AD5" s="178"/>
      <c r="AG5" s="17" t="s">
        <v>161</v>
      </c>
      <c r="AH5" s="17" t="s">
        <v>1</v>
      </c>
      <c r="AI5" s="17" t="s">
        <v>2</v>
      </c>
      <c r="AJ5" s="17" t="s">
        <v>0</v>
      </c>
      <c r="AK5" s="17" t="s">
        <v>205</v>
      </c>
      <c r="AL5" s="178"/>
      <c r="AO5" s="16" t="s">
        <v>401</v>
      </c>
      <c r="AP5" s="16" t="s">
        <v>74</v>
      </c>
      <c r="AQ5" s="16" t="s">
        <v>75</v>
      </c>
      <c r="AR5" s="16" t="s">
        <v>76</v>
      </c>
      <c r="AS5" s="16" t="s">
        <v>77</v>
      </c>
      <c r="AT5" s="16" t="s">
        <v>78</v>
      </c>
      <c r="AX5" s="69" t="s">
        <v>161</v>
      </c>
      <c r="AY5" s="17" t="s">
        <v>254</v>
      </c>
      <c r="AZ5" s="17" t="s">
        <v>255</v>
      </c>
      <c r="BA5" s="17" t="s">
        <v>256</v>
      </c>
      <c r="BB5" s="17" t="s">
        <v>257</v>
      </c>
      <c r="BC5" s="17" t="s">
        <v>258</v>
      </c>
      <c r="BE5" s="16" t="s">
        <v>401</v>
      </c>
      <c r="BF5" s="16" t="s">
        <v>74</v>
      </c>
      <c r="BG5" s="16" t="s">
        <v>75</v>
      </c>
      <c r="BH5" s="16" t="s">
        <v>76</v>
      </c>
      <c r="BI5" s="16" t="s">
        <v>77</v>
      </c>
      <c r="BJ5" s="16" t="s">
        <v>78</v>
      </c>
      <c r="BM5" s="16" t="s">
        <v>74</v>
      </c>
      <c r="BN5" s="16" t="s">
        <v>75</v>
      </c>
      <c r="BO5" s="16" t="s">
        <v>76</v>
      </c>
      <c r="BP5" s="16" t="s">
        <v>77</v>
      </c>
      <c r="BQ5" s="16" t="s">
        <v>78</v>
      </c>
      <c r="BR5" s="16" t="s">
        <v>74</v>
      </c>
      <c r="BS5" s="16" t="s">
        <v>75</v>
      </c>
      <c r="BT5" s="16" t="s">
        <v>76</v>
      </c>
      <c r="BU5" s="16" t="s">
        <v>77</v>
      </c>
      <c r="BV5" s="16" t="s">
        <v>78</v>
      </c>
    </row>
    <row r="6" spans="2:74">
      <c r="B6" s="48" t="s">
        <v>435</v>
      </c>
      <c r="C6" s="16">
        <f>基础状态预期!C$8</f>
        <v>4</v>
      </c>
      <c r="D6" s="16">
        <f>基础状态预期!D$8</f>
        <v>9</v>
      </c>
      <c r="E6" s="16">
        <f>基础状态预期!E$8</f>
        <v>8</v>
      </c>
      <c r="F6" s="16">
        <f>基础状态预期!F$8</f>
        <v>6</v>
      </c>
      <c r="G6" s="16">
        <v>1</v>
      </c>
      <c r="J6" s="16">
        <v>3</v>
      </c>
      <c r="K6" s="17">
        <f>基础状态预期!C17</f>
        <v>50</v>
      </c>
      <c r="L6" s="17">
        <f>宝物升星!N6</f>
        <v>0</v>
      </c>
      <c r="M6" s="17">
        <f>宝物升星!O6</f>
        <v>0</v>
      </c>
      <c r="N6" s="17">
        <f>宝物升星!P6</f>
        <v>0</v>
      </c>
      <c r="O6" s="17">
        <f>宝物升星!Q6</f>
        <v>0</v>
      </c>
      <c r="P6" s="17">
        <f>基础状态预期!I17</f>
        <v>0</v>
      </c>
      <c r="Q6" s="17">
        <f>基础状态预期!J17</f>
        <v>0</v>
      </c>
      <c r="R6" s="17">
        <f>基础状态预期!K17</f>
        <v>0</v>
      </c>
      <c r="S6" s="17">
        <f>基础状态预期!L17</f>
        <v>0</v>
      </c>
      <c r="T6" s="17">
        <f>IF(L6=0,0,同名需求(P6,L6,C$6))</f>
        <v>0</v>
      </c>
      <c r="U6" s="17">
        <f>IF(M6=0,0,同名需求(Q6,M6,D$6))</f>
        <v>0</v>
      </c>
      <c r="V6" s="17">
        <f>IF(N6=0,0,同名需求(R6,N6,E$6))</f>
        <v>0</v>
      </c>
      <c r="W6" s="17">
        <f>IF(O6=0,0,同名需求(S6,O6,F$6))</f>
        <v>0</v>
      </c>
      <c r="Z6" s="17">
        <f>投放验证!AL17*C$7</f>
        <v>49.61456456947095</v>
      </c>
      <c r="AA6" s="17">
        <f>投放验证!AM17*D$7</f>
        <v>81.49094094911824</v>
      </c>
      <c r="AB6" s="17">
        <f>投放验证!AN17*E$7</f>
        <v>75.02184685420643</v>
      </c>
      <c r="AC6" s="17">
        <f>投放验证!AO17*F$7</f>
        <v>92.029129138941883</v>
      </c>
      <c r="AD6" s="17">
        <f>投放验证!Q17/投放验证!$E$25*投放验证!$E$24/$D$2</f>
        <v>122.70550551858919</v>
      </c>
      <c r="AE6" s="16">
        <v>289.64781623962512</v>
      </c>
      <c r="AF6" s="16">
        <f>SUM(Z6:AD6)/AE6</f>
        <v>1.4530128087765326</v>
      </c>
      <c r="AG6" s="17">
        <f>K6</f>
        <v>50</v>
      </c>
      <c r="AH6" s="17">
        <f t="shared" ref="AH6:AH26" si="0">L6*P6*C$7</f>
        <v>0</v>
      </c>
      <c r="AI6" s="17">
        <f t="shared" ref="AI6:AI26" si="1">M6*Q6*D$7</f>
        <v>0</v>
      </c>
      <c r="AJ6" s="17">
        <f t="shared" ref="AJ6:AJ26" si="2">N6*R6*E$7</f>
        <v>0</v>
      </c>
      <c r="AK6" s="17">
        <f t="shared" ref="AK6:AK26" si="3">O6*S6*F$7</f>
        <v>0</v>
      </c>
      <c r="AL6" s="17">
        <f>SUM(Z6:AD6)-SUM(AH6:AK6)</f>
        <v>420.86198703032665</v>
      </c>
      <c r="AM6" s="16">
        <v>289.64781623962512</v>
      </c>
      <c r="AO6" s="16">
        <v>1</v>
      </c>
      <c r="AP6" s="16">
        <f t="shared" ref="AP6:AP37" si="4">求节点($K$6:$K$26,$AL$6:$AL$26,$AO6)</f>
        <v>8.4172397406065329</v>
      </c>
      <c r="AQ6" s="16">
        <f t="shared" ref="AQ6:AQ37" si="5">求节点($K$32:$K$52,$AL$32:$AL$52,$AO6)</f>
        <v>10.132877638676575</v>
      </c>
      <c r="AR6" s="16">
        <f t="shared" ref="AR6:AR37" si="6">求节点($K$58:$K$78,$AL$58:$AL$78,$AO6)</f>
        <v>13.720984576294882</v>
      </c>
      <c r="AS6" s="16">
        <f t="shared" ref="AS6:AS37" si="7">求节点($K$84:$K$104,$AL$84:$AL$104,$AO6)</f>
        <v>26.794689669107584</v>
      </c>
      <c r="AT6" s="16">
        <f t="shared" ref="AT6:AT37" si="8">求节点($K$110:$K$130,$AL$110:$AL$130,$AO6)</f>
        <v>38.164613975691054</v>
      </c>
      <c r="AX6" s="69">
        <v>50</v>
      </c>
      <c r="AY6" s="17">
        <f>宝物升星!V6</f>
        <v>0</v>
      </c>
      <c r="AZ6" s="17">
        <f>宝物升星!V32</f>
        <v>0</v>
      </c>
      <c r="BA6" s="17">
        <f>宝物升星!V58</f>
        <v>0</v>
      </c>
      <c r="BB6" s="17">
        <f>宝物升星!V84</f>
        <v>0</v>
      </c>
      <c r="BC6" s="17">
        <f>宝物升星!V110</f>
        <v>0</v>
      </c>
      <c r="BE6" s="16">
        <v>1</v>
      </c>
      <c r="BF6" s="16">
        <f>求节点($AX$6:$AX$26,AY$6:AY$26,$BE6)</f>
        <v>0</v>
      </c>
      <c r="BG6" s="16">
        <f t="shared" ref="BG6:BJ6" si="9">求节点($AX$6:$AX$26,AZ$6:AZ$26,$BE6)</f>
        <v>0</v>
      </c>
      <c r="BH6" s="16">
        <f t="shared" si="9"/>
        <v>0</v>
      </c>
      <c r="BI6" s="16">
        <f t="shared" si="9"/>
        <v>0</v>
      </c>
      <c r="BJ6" s="16">
        <f t="shared" si="9"/>
        <v>0</v>
      </c>
      <c r="BM6" s="16" t="e">
        <f>AP6/BF6</f>
        <v>#DIV/0!</v>
      </c>
      <c r="BN6" s="16" t="e">
        <f t="shared" ref="BN6:BQ6" si="10">AQ6/BG6</f>
        <v>#DIV/0!</v>
      </c>
      <c r="BO6" s="16" t="e">
        <f t="shared" si="10"/>
        <v>#DIV/0!</v>
      </c>
      <c r="BP6" s="16" t="e">
        <f t="shared" si="10"/>
        <v>#DIV/0!</v>
      </c>
      <c r="BQ6" s="16" t="e">
        <f t="shared" si="10"/>
        <v>#DIV/0!</v>
      </c>
      <c r="BR6" s="16">
        <f>(BF6-AP6)*$D$2/'[1]资源-钻石'!L4</f>
        <v>-0.80870045796992829</v>
      </c>
      <c r="BS6" s="16">
        <f>(BG6-AQ6)*$D$2/'[1]资源-钻石'!M4</f>
        <v>-0.86683463587607368</v>
      </c>
      <c r="BT6" s="16">
        <f>(BH6-AR6)*$D$2/'[1]资源-钻石'!N4</f>
        <v>-0.94482999892800856</v>
      </c>
      <c r="BU6" s="16">
        <f>(BI6-AS6)*$D$2/'[1]资源-钻石'!O4</f>
        <v>-1.0672019351715321</v>
      </c>
      <c r="BV6" s="16">
        <f>(BJ6-AT6)*$D$2/'[1]资源-钻石'!P4</f>
        <v>-1.2531821207963258</v>
      </c>
    </row>
    <row r="7" spans="2:74">
      <c r="B7" s="48" t="s">
        <v>439</v>
      </c>
      <c r="C7" s="16">
        <f>投放验证!E10/$D$2</f>
        <v>1</v>
      </c>
      <c r="D7" s="16">
        <f>投放验证!F10/$D$2</f>
        <v>5</v>
      </c>
      <c r="E7" s="16">
        <f>投放验证!G10/$D$2</f>
        <v>25</v>
      </c>
      <c r="F7" s="16">
        <f>投放验证!H10/$D$2</f>
        <v>100</v>
      </c>
      <c r="G7" s="16">
        <f>投放验证!I10/$D$2</f>
        <v>300</v>
      </c>
      <c r="J7" s="16">
        <v>4</v>
      </c>
      <c r="K7" s="17">
        <f>基础状态预期!C18</f>
        <v>60</v>
      </c>
      <c r="L7" s="17">
        <f>宝物升星!N7</f>
        <v>0</v>
      </c>
      <c r="M7" s="17">
        <f>宝物升星!O7</f>
        <v>3.7597014206746113</v>
      </c>
      <c r="N7" s="17">
        <f>宝物升星!P7</f>
        <v>1</v>
      </c>
      <c r="O7" s="17">
        <f>宝物升星!Q7</f>
        <v>1</v>
      </c>
      <c r="P7" s="17">
        <f>基础状态预期!I18</f>
        <v>0</v>
      </c>
      <c r="Q7" s="17">
        <f>基础状态预期!J18</f>
        <v>0.33873433232608008</v>
      </c>
      <c r="R7" s="17">
        <f>基础状态预期!K18</f>
        <v>3.8788022814352239</v>
      </c>
      <c r="S7" s="17">
        <f>基础状态预期!L18</f>
        <v>1.7824633862386956</v>
      </c>
      <c r="T7" s="17">
        <f>IF(L7=0,0,同名需求(P7,L7,C$6))</f>
        <v>0</v>
      </c>
      <c r="U7" s="17">
        <f>IF(M7=0,0,同名需求(Q7,M7,D$6))</f>
        <v>25.176047118397584</v>
      </c>
      <c r="V7" s="17">
        <f>IF(N7=0,0,同名需求(R7,N7,E$6))</f>
        <v>3.8788022814352239</v>
      </c>
      <c r="W7" s="17">
        <f>IF(O7=0,0,同名需求(S7,O7,F$6))</f>
        <v>1.7824633862386956</v>
      </c>
      <c r="Z7" s="17">
        <f>投放验证!AL18*C$7</f>
        <v>105.70701454333339</v>
      </c>
      <c r="AA7" s="17">
        <f>投放验证!AM18*D$7</f>
        <v>169.18656393035749</v>
      </c>
      <c r="AB7" s="17">
        <f>投放验证!AN18*E$7</f>
        <v>158.88475396790218</v>
      </c>
      <c r="AC7" s="17">
        <f>投放验证!AO18*F$7</f>
        <v>178.24633862386955</v>
      </c>
      <c r="AD7" s="17">
        <f>投放验证!Q18/投放验证!$E$25*投放验证!$E$24/$D$2</f>
        <v>237.66178483182605</v>
      </c>
      <c r="AE7" s="16">
        <v>565.52358288012965</v>
      </c>
      <c r="AF7" s="16">
        <f t="shared" ref="AF7:AF70" si="11">SUM(Z7:AD7)/AE7</f>
        <v>1.5024774945192536</v>
      </c>
      <c r="AG7" s="17">
        <f t="shared" ref="AG7:AG26" si="12">K7</f>
        <v>60</v>
      </c>
      <c r="AH7" s="17">
        <f t="shared" si="0"/>
        <v>0</v>
      </c>
      <c r="AI7" s="17">
        <f t="shared" si="1"/>
        <v>6.3676997523881465</v>
      </c>
      <c r="AJ7" s="17">
        <f t="shared" si="2"/>
        <v>96.9700570358806</v>
      </c>
      <c r="AK7" s="17">
        <f t="shared" si="3"/>
        <v>178.24633862386955</v>
      </c>
      <c r="AL7" s="17">
        <f t="shared" ref="AL7:AL26" si="13">SUM(Z7:AD7)-SUM(AH7:AK7)</f>
        <v>568.10236048515026</v>
      </c>
      <c r="AM7" s="16">
        <v>312.76411426401296</v>
      </c>
      <c r="AO7" s="16">
        <v>2</v>
      </c>
      <c r="AP7" s="16">
        <f t="shared" si="4"/>
        <v>16.834479481213066</v>
      </c>
      <c r="AQ7" s="16">
        <f t="shared" si="5"/>
        <v>20.265755277353151</v>
      </c>
      <c r="AR7" s="16">
        <f t="shared" si="6"/>
        <v>27.441969152589763</v>
      </c>
      <c r="AS7" s="16">
        <f t="shared" si="7"/>
        <v>53.58937933821494</v>
      </c>
      <c r="AT7" s="16">
        <f t="shared" si="8"/>
        <v>76.329227951382109</v>
      </c>
      <c r="AX7" s="69">
        <v>60</v>
      </c>
      <c r="AY7" s="17">
        <f>宝物升星!V7</f>
        <v>103.82712165667306</v>
      </c>
      <c r="AZ7" s="17">
        <f>宝物升星!V33</f>
        <v>0</v>
      </c>
      <c r="BA7" s="17">
        <f>宝物升星!V59</f>
        <v>27.628798830090176</v>
      </c>
      <c r="BB7" s="17">
        <f>宝物升星!V85</f>
        <v>270.94868907210179</v>
      </c>
      <c r="BC7" s="17">
        <f>宝物升星!V111</f>
        <v>1057.4357227646194</v>
      </c>
      <c r="BE7" s="16">
        <v>2</v>
      </c>
      <c r="BF7" s="16">
        <f t="shared" ref="BF7:BF70" si="14">求节点($AX$6:$AX$26,AY$6:AY$26,$BE7)</f>
        <v>0</v>
      </c>
      <c r="BG7" s="16">
        <f t="shared" ref="BG7:BG70" si="15">求节点($AX$6:$AX$26,AZ$6:AZ$26,$BE7)</f>
        <v>0</v>
      </c>
      <c r="BH7" s="16">
        <f t="shared" ref="BH7:BH70" si="16">求节点($AX$6:$AX$26,BA$6:BA$26,$BE7)</f>
        <v>0</v>
      </c>
      <c r="BI7" s="16">
        <f t="shared" ref="BI7:BI70" si="17">求节点($AX$6:$AX$26,BB$6:BB$26,$BE7)</f>
        <v>0</v>
      </c>
      <c r="BJ7" s="16">
        <f t="shared" ref="BJ7:BJ70" si="18">求节点($AX$6:$AX$26,BC$6:BC$26,$BE7)</f>
        <v>0</v>
      </c>
      <c r="BM7" s="16" t="e">
        <f>AP7/BF7</f>
        <v>#DIV/0!</v>
      </c>
      <c r="BN7" s="16" t="e">
        <f t="shared" ref="BN7:BN70" si="19">AQ7/BG7</f>
        <v>#DIV/0!</v>
      </c>
      <c r="BO7" s="16" t="e">
        <f t="shared" ref="BO7:BO70" si="20">AR7/BH7</f>
        <v>#DIV/0!</v>
      </c>
      <c r="BP7" s="16" t="e">
        <f t="shared" ref="BP7:BP70" si="21">AS7/BI7</f>
        <v>#DIV/0!</v>
      </c>
      <c r="BQ7" s="16" t="e">
        <f t="shared" ref="BQ7:BQ70" si="22">AT7/BJ7</f>
        <v>#DIV/0!</v>
      </c>
      <c r="BR7" s="16">
        <f>(BF7-AP7)*$D$2/'[1]资源-钻石'!L5</f>
        <v>-0.78068425201267444</v>
      </c>
      <c r="BS7" s="16">
        <f>(BG7-AQ7)*$D$2/'[1]资源-钻石'!M5</f>
        <v>-0.82884436914757231</v>
      </c>
      <c r="BT7" s="16">
        <f>(BH7-AR7)*$D$2/'[1]资源-钻石'!N5</f>
        <v>-0.89425926004314038</v>
      </c>
      <c r="BU7" s="16">
        <f>(BI7-AS7)*$D$2/'[1]资源-钻石'!O5</f>
        <v>-0.99600632991081239</v>
      </c>
      <c r="BV7" s="16">
        <f>(BJ7-AT7)*$D$2/'[1]资源-钻石'!P5</f>
        <v>-1.1515589775381112</v>
      </c>
    </row>
    <row r="8" spans="2:74">
      <c r="J8" s="16">
        <v>5</v>
      </c>
      <c r="K8" s="17">
        <f>基础状态预期!C19</f>
        <v>70</v>
      </c>
      <c r="L8" s="17">
        <f>宝物升星!N8</f>
        <v>0</v>
      </c>
      <c r="M8" s="17">
        <f>宝物升星!O8</f>
        <v>4</v>
      </c>
      <c r="N8" s="17">
        <f>宝物升星!P8</f>
        <v>1.5325174058161057</v>
      </c>
      <c r="O8" s="17">
        <f>宝物升星!Q8</f>
        <v>1</v>
      </c>
      <c r="P8" s="17">
        <f>基础状态预期!I19</f>
        <v>0</v>
      </c>
      <c r="Q8" s="17">
        <f>基础状态预期!J19</f>
        <v>1.0170839818254924</v>
      </c>
      <c r="R8" s="17">
        <f>基础状态预期!K19</f>
        <v>1.7442029359982258</v>
      </c>
      <c r="S8" s="17">
        <f>基础状态预期!L19</f>
        <v>3.2387130821762815</v>
      </c>
      <c r="T8" s="17">
        <f>IF(L8=0,0,同名需求(P8,L8,C$6))</f>
        <v>0</v>
      </c>
      <c r="U8" s="17">
        <f>IF(M8=0,0,同名需求(Q8,M8,D$6))</f>
        <v>28.017083981825493</v>
      </c>
      <c r="V8" s="17">
        <f>IF(N8=0,0,同名需求(R8,N8,E$6))</f>
        <v>6.004342182527072</v>
      </c>
      <c r="W8" s="17">
        <f>IF(O8=0,0,同名需求(S8,O8,F$6))</f>
        <v>3.2387130821762815</v>
      </c>
      <c r="Z8" s="17">
        <f>投放验证!AL19*C$7</f>
        <v>223.41869934021267</v>
      </c>
      <c r="AA8" s="17">
        <f>投放验证!AM19*D$7</f>
        <v>328.54710525848964</v>
      </c>
      <c r="AB8" s="17">
        <f>投放验证!AN19*E$7</f>
        <v>306.50348116322112</v>
      </c>
      <c r="AC8" s="17">
        <f>投放验证!AO19*F$7</f>
        <v>323.87130821762815</v>
      </c>
      <c r="AD8" s="17">
        <f>投放验证!Q19/投放验证!$E$25*投放验证!$E$24/$D$2</f>
        <v>431.82841095683744</v>
      </c>
      <c r="AE8" s="16">
        <v>1112.8346801905459</v>
      </c>
      <c r="AF8" s="16">
        <f t="shared" si="11"/>
        <v>1.4505020679801259</v>
      </c>
      <c r="AG8" s="17">
        <f t="shared" si="12"/>
        <v>70</v>
      </c>
      <c r="AH8" s="17">
        <f t="shared" si="0"/>
        <v>0</v>
      </c>
      <c r="AI8" s="17">
        <f t="shared" si="1"/>
        <v>20.341679636509848</v>
      </c>
      <c r="AJ8" s="17">
        <f t="shared" si="2"/>
        <v>66.825533967320908</v>
      </c>
      <c r="AK8" s="17">
        <f t="shared" si="3"/>
        <v>323.87130821762815</v>
      </c>
      <c r="AL8" s="17">
        <f t="shared" si="13"/>
        <v>1203.13048311493</v>
      </c>
      <c r="AM8" s="16">
        <v>732.1965047511062</v>
      </c>
      <c r="AO8" s="16">
        <v>3</v>
      </c>
      <c r="AP8" s="16">
        <f t="shared" si="4"/>
        <v>25.251719221819599</v>
      </c>
      <c r="AQ8" s="16">
        <f t="shared" si="5"/>
        <v>30.398632916029669</v>
      </c>
      <c r="AR8" s="16">
        <f t="shared" si="6"/>
        <v>41.162953728884645</v>
      </c>
      <c r="AS8" s="16">
        <f t="shared" si="7"/>
        <v>80.384069007322523</v>
      </c>
      <c r="AT8" s="16">
        <f t="shared" si="8"/>
        <v>114.49384192707316</v>
      </c>
      <c r="AX8" s="69">
        <v>70</v>
      </c>
      <c r="AY8" s="17">
        <f>宝物升星!V8</f>
        <v>399.98286163845188</v>
      </c>
      <c r="AZ8" s="17">
        <f>宝物升星!V34</f>
        <v>136.47384622332413</v>
      </c>
      <c r="BA8" s="17">
        <f>宝物升星!V60</f>
        <v>121.93459041021742</v>
      </c>
      <c r="BB8" s="17">
        <f>宝物升星!V86</f>
        <v>1451.4818649991396</v>
      </c>
      <c r="BC8" s="17">
        <f>宝物升星!V112</f>
        <v>6158.8048503596738</v>
      </c>
      <c r="BE8" s="16">
        <v>3</v>
      </c>
      <c r="BF8" s="16">
        <f t="shared" si="14"/>
        <v>0</v>
      </c>
      <c r="BG8" s="16">
        <f t="shared" si="15"/>
        <v>0</v>
      </c>
      <c r="BH8" s="16">
        <f t="shared" si="16"/>
        <v>0</v>
      </c>
      <c r="BI8" s="16">
        <f t="shared" si="17"/>
        <v>0</v>
      </c>
      <c r="BJ8" s="16">
        <f t="shared" si="18"/>
        <v>0</v>
      </c>
      <c r="BM8" s="16" t="e">
        <f t="shared" ref="BM8:BM70" si="23">AP8/BF8</f>
        <v>#DIV/0!</v>
      </c>
      <c r="BN8" s="16" t="e">
        <f t="shared" si="19"/>
        <v>#DIV/0!</v>
      </c>
      <c r="BO8" s="16" t="e">
        <f t="shared" si="20"/>
        <v>#DIV/0!</v>
      </c>
      <c r="BP8" s="16" t="e">
        <f t="shared" si="21"/>
        <v>#DIV/0!</v>
      </c>
      <c r="BQ8" s="16" t="e">
        <f t="shared" si="22"/>
        <v>#DIV/0!</v>
      </c>
      <c r="BR8" s="16">
        <f>(BF8-AP8)*$D$2/'[1]资源-钻石'!L6</f>
        <v>-0.7533372472633586</v>
      </c>
      <c r="BS8" s="16">
        <f>(BG8-AQ8)*$D$2/'[1]资源-钻石'!M6</f>
        <v>-0.79395714618395519</v>
      </c>
      <c r="BT8" s="16">
        <f>(BH8-AR8)*$D$2/'[1]资源-钻石'!N6</f>
        <v>-0.84901136882396577</v>
      </c>
      <c r="BU8" s="16">
        <f>(BI8-AS8)*$D$2/'[1]资源-钻石'!O6</f>
        <v>-0.93814258821320518</v>
      </c>
      <c r="BV8" s="16">
        <f>(BJ8-AT8)*$D$2/'[1]资源-钻石'!P6</f>
        <v>-1.0787791702907348</v>
      </c>
    </row>
    <row r="9" spans="2:74">
      <c r="J9" s="16">
        <v>6</v>
      </c>
      <c r="K9" s="17">
        <f>基础状态预期!C20</f>
        <v>75</v>
      </c>
      <c r="L9" s="17">
        <f>宝物升星!N9</f>
        <v>0</v>
      </c>
      <c r="M9" s="17">
        <f>宝物升星!O9</f>
        <v>4</v>
      </c>
      <c r="N9" s="17">
        <f>宝物升星!P9</f>
        <v>2.083183037397494</v>
      </c>
      <c r="O9" s="17">
        <f>宝物升星!Q9</f>
        <v>1</v>
      </c>
      <c r="P9" s="17">
        <f>基础状态预期!I20</f>
        <v>0</v>
      </c>
      <c r="Q9" s="17">
        <f>基础状态预期!J20</f>
        <v>1.2172771418705972</v>
      </c>
      <c r="R9" s="17">
        <f>基础状态预期!K20</f>
        <v>0.4997227796061352</v>
      </c>
      <c r="S9" s="17">
        <f>基础状态预期!L20</f>
        <v>4.2830000785232674</v>
      </c>
      <c r="T9" s="17">
        <f>IF(L9=0,0,同名需求(P9,L9,C$6))</f>
        <v>0</v>
      </c>
      <c r="U9" s="17">
        <f>IF(M9=0,0,同名需求(Q9,M9,D$6))</f>
        <v>28.217277141870596</v>
      </c>
      <c r="V9" s="17">
        <f>IF(N9=0,0,同名需求(R9,N9,E$6))</f>
        <v>9.1651870787860865</v>
      </c>
      <c r="W9" s="17">
        <f>IF(O9=0,0,同名需求(S9,O9,F$6))</f>
        <v>4.2830000785232674</v>
      </c>
      <c r="Z9" s="17">
        <f>投放验证!AL20*C$7</f>
        <v>312.82876431696604</v>
      </c>
      <c r="AA9" s="17">
        <f>投放验证!AM20*D$7</f>
        <v>447.05655429469203</v>
      </c>
      <c r="AB9" s="17">
        <f>投放验证!AN20*E$7</f>
        <v>416.63660747949882</v>
      </c>
      <c r="AC9" s="17">
        <f>投放验证!AO20*F$7</f>
        <v>428.30000785232676</v>
      </c>
      <c r="AD9" s="17">
        <f>投放验证!Q20/投放验证!$E$25*投放验证!$E$24/$D$2</f>
        <v>571.0666771364356</v>
      </c>
      <c r="AE9" s="16">
        <v>1515.8568649377366</v>
      </c>
      <c r="AF9" s="16">
        <f t="shared" si="11"/>
        <v>1.435418251821087</v>
      </c>
      <c r="AG9" s="17">
        <f t="shared" si="12"/>
        <v>75</v>
      </c>
      <c r="AH9" s="17">
        <f t="shared" si="0"/>
        <v>0</v>
      </c>
      <c r="AI9" s="17">
        <f t="shared" si="1"/>
        <v>24.345542837411944</v>
      </c>
      <c r="AJ9" s="17">
        <f t="shared" si="2"/>
        <v>26.025350446915681</v>
      </c>
      <c r="AK9" s="17">
        <f t="shared" si="3"/>
        <v>428.30000785232676</v>
      </c>
      <c r="AL9" s="17">
        <f t="shared" si="13"/>
        <v>1697.2177099432652</v>
      </c>
      <c r="AM9" s="16">
        <v>1121.6261391876392</v>
      </c>
      <c r="AO9" s="16">
        <v>4</v>
      </c>
      <c r="AP9" s="16">
        <f t="shared" si="4"/>
        <v>33.668958962426132</v>
      </c>
      <c r="AQ9" s="16">
        <f t="shared" si="5"/>
        <v>40.531510554706244</v>
      </c>
      <c r="AR9" s="16">
        <f t="shared" si="6"/>
        <v>54.883938305179527</v>
      </c>
      <c r="AS9" s="16">
        <f t="shared" si="7"/>
        <v>107.17875867643011</v>
      </c>
      <c r="AT9" s="16">
        <f t="shared" si="8"/>
        <v>152.65845590276399</v>
      </c>
      <c r="AX9" s="69">
        <v>75</v>
      </c>
      <c r="AY9" s="17">
        <f>宝物升星!V9</f>
        <v>470.63022966003234</v>
      </c>
      <c r="AZ9" s="17">
        <f>宝物升星!V35</f>
        <v>136.47384622332413</v>
      </c>
      <c r="BA9" s="17">
        <f>宝物升星!V61</f>
        <v>133.30262465763278</v>
      </c>
      <c r="BB9" s="17">
        <f>宝物升星!V87</f>
        <v>2406.0524372510831</v>
      </c>
      <c r="BC9" s="17">
        <f>宝物升星!V113</f>
        <v>6158.8048503596738</v>
      </c>
      <c r="BE9" s="16">
        <v>4</v>
      </c>
      <c r="BF9" s="16">
        <f t="shared" si="14"/>
        <v>0</v>
      </c>
      <c r="BG9" s="16">
        <f t="shared" si="15"/>
        <v>0</v>
      </c>
      <c r="BH9" s="16">
        <f t="shared" si="16"/>
        <v>0</v>
      </c>
      <c r="BI9" s="16">
        <f t="shared" si="17"/>
        <v>0</v>
      </c>
      <c r="BJ9" s="16">
        <f t="shared" si="18"/>
        <v>0</v>
      </c>
      <c r="BM9" s="16" t="e">
        <f t="shared" si="23"/>
        <v>#DIV/0!</v>
      </c>
      <c r="BN9" s="16" t="e">
        <f t="shared" si="19"/>
        <v>#DIV/0!</v>
      </c>
      <c r="BO9" s="16" t="e">
        <f t="shared" si="20"/>
        <v>#DIV/0!</v>
      </c>
      <c r="BP9" s="16" t="e">
        <f t="shared" si="21"/>
        <v>#DIV/0!</v>
      </c>
      <c r="BQ9" s="16" t="e">
        <f t="shared" si="22"/>
        <v>#DIV/0!</v>
      </c>
      <c r="BR9" s="16">
        <f>(BF9-AP9)*$D$2/'[1]资源-钻石'!L7</f>
        <v>-0.72665783933524908</v>
      </c>
      <c r="BS9" s="16">
        <f>(BG9-AQ9)*$D$2/'[1]资源-钻石'!M7</f>
        <v>-0.76224031783388158</v>
      </c>
      <c r="BT9" s="16">
        <f>(BH9-AR9)*$D$2/'[1]资源-钻石'!N7</f>
        <v>-0.81030805594517918</v>
      </c>
      <c r="BU9" s="16">
        <f>(BI9-AS9)*$D$2/'[1]资源-钻石'!O7</f>
        <v>-0.89121022995978227</v>
      </c>
      <c r="BV9" s="16">
        <f>(BJ9-AT9)*$D$2/'[1]资源-钻石'!P7</f>
        <v>-1.0160529258947302</v>
      </c>
    </row>
    <row r="10" spans="2:74">
      <c r="J10" s="16">
        <v>7</v>
      </c>
      <c r="K10" s="17">
        <f>基础状态预期!C21</f>
        <v>80</v>
      </c>
      <c r="L10" s="17">
        <f>宝物升星!N10</f>
        <v>0</v>
      </c>
      <c r="M10" s="17">
        <f>宝物升星!O10</f>
        <v>4</v>
      </c>
      <c r="N10" s="17">
        <f>宝物升星!P10</f>
        <v>0</v>
      </c>
      <c r="O10" s="17">
        <f>宝物升星!Q10</f>
        <v>1</v>
      </c>
      <c r="P10" s="17">
        <f>基础状态预期!I21</f>
        <v>0</v>
      </c>
      <c r="Q10" s="17">
        <f>基础状态预期!J21</f>
        <v>0.39191615890648013</v>
      </c>
      <c r="R10" s="17">
        <f>基础状态预期!K21</f>
        <v>0</v>
      </c>
      <c r="S10" s="17">
        <f>基础状态预期!L21</f>
        <v>5.6080838410935199</v>
      </c>
      <c r="T10" s="17">
        <f>IF(L10=0,0,同名需求(P10,L10,C$6))</f>
        <v>0</v>
      </c>
      <c r="U10" s="17">
        <f>IF(M10=0,0,同名需求(Q10,M10,D$6))</f>
        <v>27.391916158906479</v>
      </c>
      <c r="V10" s="17">
        <f>IF(N10=0,0,同名需求(R10,N10,E$6))</f>
        <v>0</v>
      </c>
      <c r="W10" s="17">
        <f>IF(O10=0,0,同名需求(S10,O10,F$6))</f>
        <v>5.6080838410935199</v>
      </c>
      <c r="Z10" s="17">
        <f>投放验证!AL21*C$7</f>
        <v>431.68563728607455</v>
      </c>
      <c r="AA10" s="17">
        <f>投放验证!AM21*D$7</f>
        <v>602.00746850159283</v>
      </c>
      <c r="AB10" s="17">
        <f>投放验证!AN21*E$7</f>
        <v>561.00628808201407</v>
      </c>
      <c r="AC10" s="17">
        <f>投放验证!AO21*F$7</f>
        <v>560.808384109352</v>
      </c>
      <c r="AD10" s="17">
        <f>投放验证!Q21/投放验证!$E$25*投放验证!$E$24/$D$2</f>
        <v>747.74451214580256</v>
      </c>
      <c r="AE10" s="16">
        <v>2181.7451952925558</v>
      </c>
      <c r="AF10" s="16">
        <f t="shared" si="11"/>
        <v>1.3307018144873384</v>
      </c>
      <c r="AG10" s="17">
        <f t="shared" si="12"/>
        <v>80</v>
      </c>
      <c r="AH10" s="17">
        <f t="shared" si="0"/>
        <v>0</v>
      </c>
      <c r="AI10" s="17">
        <f t="shared" si="1"/>
        <v>7.8383231781296026</v>
      </c>
      <c r="AJ10" s="17">
        <f t="shared" si="2"/>
        <v>0</v>
      </c>
      <c r="AK10" s="17">
        <f t="shared" si="3"/>
        <v>560.808384109352</v>
      </c>
      <c r="AL10" s="17">
        <f t="shared" si="13"/>
        <v>2334.6055828373546</v>
      </c>
      <c r="AM10" s="16">
        <v>1765.7344589020258</v>
      </c>
      <c r="AO10" s="16">
        <v>5</v>
      </c>
      <c r="AP10" s="16">
        <f t="shared" si="4"/>
        <v>42.086198703032665</v>
      </c>
      <c r="AQ10" s="16">
        <f t="shared" si="5"/>
        <v>50.66438819338282</v>
      </c>
      <c r="AR10" s="16">
        <f t="shared" si="6"/>
        <v>68.604922881474408</v>
      </c>
      <c r="AS10" s="16">
        <f t="shared" si="7"/>
        <v>133.97344834553746</v>
      </c>
      <c r="AT10" s="16">
        <f t="shared" si="8"/>
        <v>190.82306987845504</v>
      </c>
      <c r="AX10" s="69">
        <v>80</v>
      </c>
      <c r="AY10" s="17">
        <f>宝物升星!V10</f>
        <v>470.63022966003234</v>
      </c>
      <c r="AZ10" s="17">
        <f>宝物升星!V36</f>
        <v>136.47384622332413</v>
      </c>
      <c r="BA10" s="17">
        <f>宝物升星!V62</f>
        <v>133.30262465763278</v>
      </c>
      <c r="BB10" s="17">
        <f>宝物升星!V88</f>
        <v>2406.0524372510831</v>
      </c>
      <c r="BC10" s="17">
        <f>宝物升星!V114</f>
        <v>7648.9918758043823</v>
      </c>
      <c r="BE10" s="16">
        <v>5</v>
      </c>
      <c r="BF10" s="16">
        <f t="shared" si="14"/>
        <v>0</v>
      </c>
      <c r="BG10" s="16">
        <f t="shared" si="15"/>
        <v>0</v>
      </c>
      <c r="BH10" s="16">
        <f t="shared" si="16"/>
        <v>0</v>
      </c>
      <c r="BI10" s="16">
        <f t="shared" si="17"/>
        <v>0</v>
      </c>
      <c r="BJ10" s="16">
        <f t="shared" si="18"/>
        <v>0</v>
      </c>
      <c r="BM10" s="16" t="e">
        <f t="shared" si="23"/>
        <v>#DIV/0!</v>
      </c>
      <c r="BN10" s="16" t="e">
        <f t="shared" si="19"/>
        <v>#DIV/0!</v>
      </c>
      <c r="BO10" s="16" t="e">
        <f t="shared" si="20"/>
        <v>#DIV/0!</v>
      </c>
      <c r="BP10" s="16" t="e">
        <f t="shared" si="21"/>
        <v>#DIV/0!</v>
      </c>
      <c r="BQ10" s="16" t="e">
        <f t="shared" si="22"/>
        <v>#DIV/0!</v>
      </c>
      <c r="BR10" s="16">
        <f>(BF10-AP10)*$D$2/'[1]资源-钻石'!L8</f>
        <v>-0.70064378977174047</v>
      </c>
      <c r="BS10" s="16">
        <f>(BG10-AQ10)*$D$2/'[1]资源-钻石'!M8</f>
        <v>-0.73529796504143707</v>
      </c>
      <c r="BT10" s="16">
        <f>(BH10-AR10)*$D$2/'[1]资源-钻石'!N8</f>
        <v>-0.78038502816301425</v>
      </c>
      <c r="BU10" s="16">
        <f>(BI10-AS10)*$D$2/'[1]资源-钻石'!O8</f>
        <v>-0.85667474664694598</v>
      </c>
      <c r="BV10" s="16">
        <f>(BJ10-AT10)*$D$2/'[1]资源-钻石'!P8</f>
        <v>-0.97486177525817475</v>
      </c>
    </row>
    <row r="11" spans="2:74">
      <c r="J11" s="16">
        <v>8</v>
      </c>
      <c r="K11" s="17">
        <f>基础状态预期!C22</f>
        <v>85</v>
      </c>
      <c r="L11" s="17">
        <f>宝物升星!N11</f>
        <v>0</v>
      </c>
      <c r="M11" s="17">
        <f>宝物升星!O11</f>
        <v>0</v>
      </c>
      <c r="N11" s="17">
        <f>宝物升星!P11</f>
        <v>0</v>
      </c>
      <c r="O11" s="17">
        <f>宝物升星!Q11</f>
        <v>1.2467281905358565</v>
      </c>
      <c r="P11" s="17">
        <f>基础状态预期!I22</f>
        <v>0</v>
      </c>
      <c r="Q11" s="17">
        <f>基础状态预期!J22</f>
        <v>0</v>
      </c>
      <c r="R11" s="17">
        <f>基础状态预期!K22</f>
        <v>0</v>
      </c>
      <c r="S11" s="17">
        <f>基础状态预期!L22</f>
        <v>6</v>
      </c>
      <c r="T11" s="17">
        <f>IF(L11=0,0,同名需求(P11,L11,C$6))</f>
        <v>0</v>
      </c>
      <c r="U11" s="17">
        <f>IF(M11=0,0,同名需求(Q11,M11,D$6))</f>
        <v>0</v>
      </c>
      <c r="V11" s="17">
        <f>IF(N11=0,0,同名需求(R11,N11,E$6))</f>
        <v>0</v>
      </c>
      <c r="W11" s="17">
        <f>IF(O11=0,0,同名需求(S11,O11,F$6))</f>
        <v>7.4803691432151389</v>
      </c>
      <c r="Z11" s="17">
        <f>投放验证!AL22*C$7</f>
        <v>599.69133271096382</v>
      </c>
      <c r="AA11" s="17">
        <f>投放验证!AM22*D$7</f>
        <v>821.00230902630165</v>
      </c>
      <c r="AB11" s="17">
        <f>投放验证!AN22*E$7</f>
        <v>765.05088892164292</v>
      </c>
      <c r="AC11" s="17">
        <f>投放验证!AO22*F$7</f>
        <v>748.0369143215139</v>
      </c>
      <c r="AD11" s="17">
        <f>投放验证!Q22/投放验证!$E$25*投放验证!$E$24/$D$2</f>
        <v>997.38255242868536</v>
      </c>
      <c r="AE11" s="16">
        <v>3111.347203945566</v>
      </c>
      <c r="AF11" s="16">
        <f t="shared" si="11"/>
        <v>1.2634925451019785</v>
      </c>
      <c r="AG11" s="17">
        <f t="shared" si="12"/>
        <v>85</v>
      </c>
      <c r="AH11" s="17">
        <f t="shared" si="0"/>
        <v>0</v>
      </c>
      <c r="AI11" s="17">
        <f t="shared" si="1"/>
        <v>0</v>
      </c>
      <c r="AJ11" s="17">
        <f t="shared" si="2"/>
        <v>0</v>
      </c>
      <c r="AK11" s="17">
        <f t="shared" si="3"/>
        <v>748.0369143215139</v>
      </c>
      <c r="AL11" s="17">
        <f t="shared" si="13"/>
        <v>3183.1270830875937</v>
      </c>
      <c r="AM11" s="16">
        <v>2518.0818472610299</v>
      </c>
      <c r="AO11" s="16">
        <v>6</v>
      </c>
      <c r="AP11" s="16">
        <f t="shared" si="4"/>
        <v>50.503438443639197</v>
      </c>
      <c r="AQ11" s="16">
        <f t="shared" si="5"/>
        <v>60.797265832059395</v>
      </c>
      <c r="AR11" s="16">
        <f t="shared" si="6"/>
        <v>82.32590745776929</v>
      </c>
      <c r="AS11" s="16">
        <f t="shared" si="7"/>
        <v>160.76813801464505</v>
      </c>
      <c r="AT11" s="16">
        <f t="shared" si="8"/>
        <v>228.98768385414587</v>
      </c>
      <c r="AX11" s="69">
        <v>85</v>
      </c>
      <c r="AY11" s="17">
        <f>宝物升星!V11</f>
        <v>470.63022966003234</v>
      </c>
      <c r="AZ11" s="17">
        <f>宝物升星!V37</f>
        <v>136.47384622332413</v>
      </c>
      <c r="BA11" s="17">
        <f>宝物升星!V63</f>
        <v>327.69121041087169</v>
      </c>
      <c r="BB11" s="17">
        <f>宝物升星!V89</f>
        <v>8792.4091642144904</v>
      </c>
      <c r="BC11" s="17">
        <f>宝物升星!V115</f>
        <v>30240</v>
      </c>
      <c r="BE11" s="16">
        <v>6</v>
      </c>
      <c r="BF11" s="16">
        <f t="shared" si="14"/>
        <v>0</v>
      </c>
      <c r="BG11" s="16">
        <f t="shared" si="15"/>
        <v>0</v>
      </c>
      <c r="BH11" s="16">
        <f t="shared" si="16"/>
        <v>0</v>
      </c>
      <c r="BI11" s="16">
        <f t="shared" si="17"/>
        <v>0</v>
      </c>
      <c r="BJ11" s="16">
        <f t="shared" si="18"/>
        <v>0</v>
      </c>
      <c r="BM11" s="16" t="e">
        <f t="shared" si="23"/>
        <v>#DIV/0!</v>
      </c>
      <c r="BN11" s="16" t="e">
        <f t="shared" si="19"/>
        <v>#DIV/0!</v>
      </c>
      <c r="BO11" s="16" t="e">
        <f t="shared" si="20"/>
        <v>#DIV/0!</v>
      </c>
      <c r="BP11" s="16" t="e">
        <f t="shared" si="21"/>
        <v>#DIV/0!</v>
      </c>
      <c r="BQ11" s="16" t="e">
        <f t="shared" si="22"/>
        <v>#DIV/0!</v>
      </c>
      <c r="BR11" s="16">
        <f>(BF11-AP11)*$D$2/'[1]资源-钻石'!L9</f>
        <v>-0.67529223366941171</v>
      </c>
      <c r="BS11" s="16">
        <f>(BG11-AQ11)*$D$2/'[1]资源-钻石'!M9</f>
        <v>-0.70769435044654672</v>
      </c>
      <c r="BT11" s="16">
        <f>(BH11-AR11)*$D$2/'[1]资源-钻石'!N9</f>
        <v>-0.75039184675193293</v>
      </c>
      <c r="BU11" s="16">
        <f>(BI11-AS11)*$D$2/'[1]资源-钻石'!O9</f>
        <v>-0.82015400026278307</v>
      </c>
      <c r="BV11" s="16">
        <f>(BJ11-AT11)*$D$2/'[1]资源-钻石'!P9</f>
        <v>-0.92593030425111256</v>
      </c>
    </row>
    <row r="12" spans="2:74">
      <c r="J12" s="16">
        <v>9</v>
      </c>
      <c r="K12" s="17">
        <f>基础状态预期!C23</f>
        <v>90</v>
      </c>
      <c r="L12" s="17">
        <f>宝物升星!N12</f>
        <v>0</v>
      </c>
      <c r="M12" s="17">
        <f>宝物升星!O12</f>
        <v>0</v>
      </c>
      <c r="N12" s="17">
        <f>宝物升星!P12</f>
        <v>0</v>
      </c>
      <c r="O12" s="17">
        <f>宝物升星!Q12</f>
        <v>1.6483307979029902</v>
      </c>
      <c r="P12" s="17">
        <f>基础状态预期!I23</f>
        <v>0</v>
      </c>
      <c r="Q12" s="17">
        <f>基础状态预期!J23</f>
        <v>0</v>
      </c>
      <c r="R12" s="17">
        <f>基础状态预期!K23</f>
        <v>0</v>
      </c>
      <c r="S12" s="17">
        <f>基础状态预期!L23</f>
        <v>6</v>
      </c>
      <c r="T12" s="17">
        <f>IF(L12=0,0,同名需求(P12,L12,C$6))</f>
        <v>0</v>
      </c>
      <c r="U12" s="17">
        <f>IF(M12=0,0,同名需求(Q12,M12,D$6))</f>
        <v>0</v>
      </c>
      <c r="V12" s="17">
        <f>IF(N12=0,0,同名需求(R12,N12,E$6))</f>
        <v>0</v>
      </c>
      <c r="W12" s="17">
        <f>IF(O12=0,0,同名需求(S12,O12,F$6))</f>
        <v>9.8899847874179407</v>
      </c>
      <c r="Z12" s="17">
        <f>投放验证!AL23*C$7</f>
        <v>825.37748460229568</v>
      </c>
      <c r="AA12" s="17">
        <f>投放验证!AM23*D$7</f>
        <v>1110.8581473619615</v>
      </c>
      <c r="AB12" s="17">
        <f>投放验证!AN23*E$7</f>
        <v>1035.7488590563455</v>
      </c>
      <c r="AC12" s="17">
        <f>投放验证!AO23*F$7</f>
        <v>988.99847874179409</v>
      </c>
      <c r="AD12" s="17">
        <f>投放验证!Q23/投放验证!$E$25*投放验证!$E$24/$D$2</f>
        <v>1318.6646383223922</v>
      </c>
      <c r="AE12" s="16">
        <v>4168.3069590541818</v>
      </c>
      <c r="AF12" s="16">
        <f t="shared" si="11"/>
        <v>1.2666167966868684</v>
      </c>
      <c r="AG12" s="17">
        <f t="shared" si="12"/>
        <v>90</v>
      </c>
      <c r="AH12" s="17">
        <f t="shared" si="0"/>
        <v>0</v>
      </c>
      <c r="AI12" s="17">
        <f t="shared" si="1"/>
        <v>0</v>
      </c>
      <c r="AJ12" s="17">
        <f t="shared" si="2"/>
        <v>0</v>
      </c>
      <c r="AK12" s="17">
        <f t="shared" si="3"/>
        <v>988.99847874179409</v>
      </c>
      <c r="AL12" s="17">
        <f t="shared" si="13"/>
        <v>4290.6491293429954</v>
      </c>
      <c r="AM12" s="16">
        <v>3373.5026660141893</v>
      </c>
      <c r="AO12" s="16">
        <v>7</v>
      </c>
      <c r="AP12" s="16">
        <f t="shared" si="4"/>
        <v>58.92067818424573</v>
      </c>
      <c r="AQ12" s="16">
        <f t="shared" si="5"/>
        <v>70.93014347073597</v>
      </c>
      <c r="AR12" s="16">
        <f t="shared" si="6"/>
        <v>96.046892034064058</v>
      </c>
      <c r="AS12" s="16">
        <f t="shared" si="7"/>
        <v>187.5628276837524</v>
      </c>
      <c r="AT12" s="16">
        <f t="shared" si="8"/>
        <v>267.15229782983693</v>
      </c>
      <c r="AX12" s="69">
        <v>90</v>
      </c>
      <c r="AY12" s="17">
        <f>宝物升星!V12</f>
        <v>470.63022966003234</v>
      </c>
      <c r="AZ12" s="17">
        <f>宝物升星!V38</f>
        <v>214.82107809004401</v>
      </c>
      <c r="BA12" s="17">
        <f>宝物升星!V64</f>
        <v>1133.8696795238995</v>
      </c>
      <c r="BB12" s="17">
        <f>宝物升星!V90</f>
        <v>30240</v>
      </c>
      <c r="BC12" s="17">
        <f>宝物升星!V116</f>
        <v>30240</v>
      </c>
      <c r="BE12" s="16">
        <v>7</v>
      </c>
      <c r="BF12" s="16">
        <f t="shared" si="14"/>
        <v>0</v>
      </c>
      <c r="BG12" s="16">
        <f t="shared" si="15"/>
        <v>0</v>
      </c>
      <c r="BH12" s="16">
        <f t="shared" si="16"/>
        <v>0</v>
      </c>
      <c r="BI12" s="16">
        <f t="shared" si="17"/>
        <v>0</v>
      </c>
      <c r="BJ12" s="16">
        <f t="shared" si="18"/>
        <v>0</v>
      </c>
      <c r="BM12" s="16" t="e">
        <f t="shared" si="23"/>
        <v>#DIV/0!</v>
      </c>
      <c r="BN12" s="16" t="e">
        <f t="shared" si="19"/>
        <v>#DIV/0!</v>
      </c>
      <c r="BO12" s="16" t="e">
        <f t="shared" si="20"/>
        <v>#DIV/0!</v>
      </c>
      <c r="BP12" s="16" t="e">
        <f t="shared" si="21"/>
        <v>#DIV/0!</v>
      </c>
      <c r="BQ12" s="16" t="e">
        <f t="shared" si="22"/>
        <v>#DIV/0!</v>
      </c>
      <c r="BR12" s="16">
        <f>(BF12-AP12)*$D$2/'[1]资源-钻石'!L10</f>
        <v>-0.65059968939162405</v>
      </c>
      <c r="BS12" s="16">
        <f>(BG12-AQ12)*$D$2/'[1]资源-钻石'!M10</f>
        <v>-0.67918634820846457</v>
      </c>
      <c r="BT12" s="16">
        <f>(BH12-AR12)*$D$2/'[1]资源-钻石'!N10</f>
        <v>-0.71823626809150209</v>
      </c>
      <c r="BU12" s="16">
        <f>(BI12-AS12)*$D$2/'[1]资源-钻石'!O10</f>
        <v>-0.78649745526740789</v>
      </c>
      <c r="BV12" s="16">
        <f>(BJ12-AT12)*$D$2/'[1]资源-钻石'!P10</f>
        <v>-0.89507548890161881</v>
      </c>
    </row>
    <row r="13" spans="2:74">
      <c r="J13" s="16">
        <v>10</v>
      </c>
      <c r="K13" s="17">
        <f>基础状态预期!C24</f>
        <v>95</v>
      </c>
      <c r="L13" s="17">
        <f>宝物升星!N13</f>
        <v>0</v>
      </c>
      <c r="M13" s="17">
        <f>宝物升星!O13</f>
        <v>0</v>
      </c>
      <c r="N13" s="17">
        <f>宝物升星!P13</f>
        <v>0</v>
      </c>
      <c r="O13" s="17">
        <f>宝物升星!Q13</f>
        <v>2.2156528354524823</v>
      </c>
      <c r="P13" s="17">
        <f>基础状态预期!I24</f>
        <v>0</v>
      </c>
      <c r="Q13" s="17">
        <f>基础状态预期!J24</f>
        <v>0</v>
      </c>
      <c r="R13" s="17">
        <f>基础状态预期!K24</f>
        <v>0</v>
      </c>
      <c r="S13" s="17">
        <f>基础状态预期!L24</f>
        <v>6</v>
      </c>
      <c r="T13" s="17">
        <f>IF(L13=0,0,同名需求(P13,L13,C$6))</f>
        <v>0</v>
      </c>
      <c r="U13" s="17">
        <f>IF(M13=0,0,同名需求(Q13,M13,D$6))</f>
        <v>0</v>
      </c>
      <c r="V13" s="17">
        <f>IF(N13=0,0,同名需求(R13,N13,E$6))</f>
        <v>0</v>
      </c>
      <c r="W13" s="17">
        <f>IF(O13=0,0,同名需求(S13,O13,F$6))</f>
        <v>13.293917012714893</v>
      </c>
      <c r="Z13" s="17">
        <f>投放验证!AL24*C$7</f>
        <v>1144.3569565047599</v>
      </c>
      <c r="AA13" s="17">
        <f>投放验证!AM24*D$7</f>
        <v>1520.4612968325218</v>
      </c>
      <c r="AB13" s="17">
        <f>投放验证!AN24*E$7</f>
        <v>1418.2901823146319</v>
      </c>
      <c r="AC13" s="17">
        <f>投放验证!AO24*F$7</f>
        <v>1329.3917012714894</v>
      </c>
      <c r="AD13" s="17">
        <f>投放验证!Q24/投放验证!$E$25*投放验证!$E$24/$D$2</f>
        <v>1772.5222683619859</v>
      </c>
      <c r="AE13" s="16">
        <v>5313.7390028480959</v>
      </c>
      <c r="AF13" s="16">
        <f t="shared" si="11"/>
        <v>1.3521594495767122</v>
      </c>
      <c r="AG13" s="17">
        <f t="shared" si="12"/>
        <v>95</v>
      </c>
      <c r="AH13" s="17">
        <f t="shared" si="0"/>
        <v>0</v>
      </c>
      <c r="AI13" s="17">
        <f t="shared" si="1"/>
        <v>0</v>
      </c>
      <c r="AJ13" s="17">
        <f t="shared" si="2"/>
        <v>0</v>
      </c>
      <c r="AK13" s="17">
        <f t="shared" si="3"/>
        <v>1329.3917012714892</v>
      </c>
      <c r="AL13" s="17">
        <f t="shared" si="13"/>
        <v>5855.6307040139</v>
      </c>
      <c r="AM13" s="16">
        <v>4300.5260573897722</v>
      </c>
      <c r="AO13" s="16">
        <v>8</v>
      </c>
      <c r="AP13" s="16">
        <f t="shared" si="4"/>
        <v>67.337917924852263</v>
      </c>
      <c r="AQ13" s="16">
        <f t="shared" si="5"/>
        <v>81.063021109412546</v>
      </c>
      <c r="AR13" s="16">
        <f t="shared" si="6"/>
        <v>109.76787661035894</v>
      </c>
      <c r="AS13" s="16">
        <f t="shared" si="7"/>
        <v>214.35751735285999</v>
      </c>
      <c r="AT13" s="16">
        <f t="shared" si="8"/>
        <v>305.31691180552798</v>
      </c>
      <c r="AX13" s="69">
        <v>95</v>
      </c>
      <c r="AY13" s="17">
        <f>宝物升星!V13</f>
        <v>470.63022966003234</v>
      </c>
      <c r="AZ13" s="17">
        <f>宝物升星!V39</f>
        <v>670.49631947661669</v>
      </c>
      <c r="BA13" s="17">
        <f>宝物升星!V65</f>
        <v>5342.2177004326568</v>
      </c>
      <c r="BB13" s="17">
        <f>宝物升星!V91</f>
        <v>30240</v>
      </c>
      <c r="BC13" s="17">
        <f>宝物升星!V117</f>
        <v>30240</v>
      </c>
      <c r="BE13" s="16">
        <v>8</v>
      </c>
      <c r="BF13" s="16">
        <f t="shared" si="14"/>
        <v>0</v>
      </c>
      <c r="BG13" s="16">
        <f t="shared" si="15"/>
        <v>0</v>
      </c>
      <c r="BH13" s="16">
        <f t="shared" si="16"/>
        <v>0</v>
      </c>
      <c r="BI13" s="16">
        <f t="shared" si="17"/>
        <v>0</v>
      </c>
      <c r="BJ13" s="16">
        <f t="shared" si="18"/>
        <v>0</v>
      </c>
      <c r="BM13" s="16" t="e">
        <f t="shared" si="23"/>
        <v>#DIV/0!</v>
      </c>
      <c r="BN13" s="16" t="e">
        <f t="shared" si="19"/>
        <v>#DIV/0!</v>
      </c>
      <c r="BO13" s="16" t="e">
        <f t="shared" si="20"/>
        <v>#DIV/0!</v>
      </c>
      <c r="BP13" s="16" t="e">
        <f t="shared" si="21"/>
        <v>#DIV/0!</v>
      </c>
      <c r="BQ13" s="16" t="e">
        <f t="shared" si="22"/>
        <v>#DIV/0!</v>
      </c>
      <c r="BR13" s="16">
        <f>(BF13-AP13)*$D$2/'[1]资源-钻石'!L11</f>
        <v>-0.62656207030836641</v>
      </c>
      <c r="BS13" s="16">
        <f>(BG13-AQ13)*$D$2/'[1]资源-钻石'!M11</f>
        <v>-0.65716592377516825</v>
      </c>
      <c r="BT13" s="16">
        <f>(BH13-AR13)*$D$2/'[1]资源-钻石'!N11</f>
        <v>-0.69940664977426981</v>
      </c>
      <c r="BU13" s="16">
        <f>(BI13-AS13)*$D$2/'[1]资源-钻石'!O11</f>
        <v>-0.76860501427633887</v>
      </c>
      <c r="BV13" s="16">
        <f>(BJ13-AT13)*$D$2/'[1]资源-钻石'!P11</f>
        <v>-0.87244589436176223</v>
      </c>
    </row>
    <row r="14" spans="2:74">
      <c r="J14" s="16">
        <v>11</v>
      </c>
      <c r="K14" s="17">
        <f>基础状态预期!C25</f>
        <v>100</v>
      </c>
      <c r="L14" s="17">
        <f>宝物升星!N14</f>
        <v>0</v>
      </c>
      <c r="M14" s="17">
        <f>宝物升星!O14</f>
        <v>0</v>
      </c>
      <c r="N14" s="17">
        <f>宝物升星!P14</f>
        <v>0</v>
      </c>
      <c r="O14" s="17">
        <f>宝物升星!Q14</f>
        <v>2.9574751714591101</v>
      </c>
      <c r="P14" s="17">
        <f>基础状态预期!I25</f>
        <v>0</v>
      </c>
      <c r="Q14" s="17">
        <f>基础状态预期!J25</f>
        <v>0</v>
      </c>
      <c r="R14" s="17">
        <f>基础状态预期!K25</f>
        <v>0</v>
      </c>
      <c r="S14" s="17">
        <f>基础状态预期!L25</f>
        <v>6</v>
      </c>
      <c r="T14" s="17">
        <f>IF(L14=0,0,同名需求(P14,L14,C$6))</f>
        <v>0</v>
      </c>
      <c r="U14" s="17">
        <f>IF(M14=0,0,同名需求(Q14,M14,D$6))</f>
        <v>0</v>
      </c>
      <c r="V14" s="17">
        <f>IF(N14=0,0,同名需求(R14,N14,E$6))</f>
        <v>0</v>
      </c>
      <c r="W14" s="17">
        <f>IF(O14=0,0,同名需求(S14,O14,F$6))</f>
        <v>17.74485102875466</v>
      </c>
      <c r="Z14" s="17">
        <f>投放验证!AL25*C$7</f>
        <v>1577.3143966691316</v>
      </c>
      <c r="AA14" s="17">
        <f>投放验证!AM25*D$7</f>
        <v>2069.4815341400217</v>
      </c>
      <c r="AB14" s="17">
        <f>投放验证!AN25*E$7</f>
        <v>1932.0638271565997</v>
      </c>
      <c r="AC14" s="17">
        <f>投放验证!AO25*F$7</f>
        <v>1774.4851028754661</v>
      </c>
      <c r="AD14" s="17">
        <f>投放验证!Q25/投放验证!$E$25*投放验证!$E$24/$D$2</f>
        <v>2365.9801371672884</v>
      </c>
      <c r="AE14" s="16">
        <v>6584.289757194947</v>
      </c>
      <c r="AF14" s="16">
        <f t="shared" si="11"/>
        <v>1.476138711451416</v>
      </c>
      <c r="AG14" s="17">
        <f t="shared" si="12"/>
        <v>100</v>
      </c>
      <c r="AH14" s="17">
        <f t="shared" si="0"/>
        <v>0</v>
      </c>
      <c r="AI14" s="17">
        <f t="shared" si="1"/>
        <v>0</v>
      </c>
      <c r="AJ14" s="17">
        <f t="shared" si="2"/>
        <v>0</v>
      </c>
      <c r="AK14" s="17">
        <f t="shared" si="3"/>
        <v>1774.4851028754661</v>
      </c>
      <c r="AL14" s="17">
        <f t="shared" si="13"/>
        <v>7944.83989513304</v>
      </c>
      <c r="AM14" s="16">
        <v>5328.8107780687915</v>
      </c>
      <c r="AO14" s="16">
        <v>9</v>
      </c>
      <c r="AP14" s="16">
        <f t="shared" si="4"/>
        <v>75.755157665458796</v>
      </c>
      <c r="AQ14" s="16">
        <f t="shared" si="5"/>
        <v>91.195898748089121</v>
      </c>
      <c r="AR14" s="16">
        <f t="shared" si="6"/>
        <v>123.48886118665382</v>
      </c>
      <c r="AS14" s="16">
        <f t="shared" si="7"/>
        <v>241.15220702196757</v>
      </c>
      <c r="AT14" s="16">
        <f t="shared" si="8"/>
        <v>343.48152578121881</v>
      </c>
      <c r="AX14" s="69">
        <v>100</v>
      </c>
      <c r="AY14" s="17">
        <f>宝物升星!V14</f>
        <v>694.48510287546605</v>
      </c>
      <c r="AZ14" s="17">
        <f>宝物升星!V40</f>
        <v>2926.1826691631704</v>
      </c>
      <c r="BA14" s="17">
        <f>宝物升星!V66</f>
        <v>30240</v>
      </c>
      <c r="BB14" s="17">
        <f>宝物升星!V92</f>
        <v>30240</v>
      </c>
      <c r="BC14" s="17">
        <f>宝物升星!V118</f>
        <v>30240</v>
      </c>
      <c r="BE14" s="16">
        <v>9</v>
      </c>
      <c r="BF14" s="16">
        <f t="shared" si="14"/>
        <v>0</v>
      </c>
      <c r="BG14" s="16">
        <f t="shared" si="15"/>
        <v>0</v>
      </c>
      <c r="BH14" s="16">
        <f t="shared" si="16"/>
        <v>0</v>
      </c>
      <c r="BI14" s="16">
        <f t="shared" si="17"/>
        <v>0</v>
      </c>
      <c r="BJ14" s="16">
        <f t="shared" si="18"/>
        <v>0</v>
      </c>
      <c r="BM14" s="16" t="e">
        <f t="shared" si="23"/>
        <v>#DIV/0!</v>
      </c>
      <c r="BN14" s="16" t="e">
        <f t="shared" si="19"/>
        <v>#DIV/0!</v>
      </c>
      <c r="BO14" s="16" t="e">
        <f t="shared" si="20"/>
        <v>#DIV/0!</v>
      </c>
      <c r="BP14" s="16" t="e">
        <f t="shared" si="21"/>
        <v>#DIV/0!</v>
      </c>
      <c r="BQ14" s="16" t="e">
        <f t="shared" si="22"/>
        <v>#DIV/0!</v>
      </c>
      <c r="BR14" s="16">
        <f>(BF14-AP14)*$D$2/'[1]资源-钻石'!L12</f>
        <v>-0.60317469848516947</v>
      </c>
      <c r="BS14" s="16">
        <f>(BG14-AQ14)*$D$2/'[1]资源-钻石'!M12</f>
        <v>-0.63285923807647537</v>
      </c>
      <c r="BT14" s="16">
        <f>(BH14-AR14)*$D$2/'[1]资源-钻石'!N12</f>
        <v>-0.67093951312380551</v>
      </c>
      <c r="BU14" s="16">
        <f>(BI14-AS14)*$D$2/'[1]资源-钻石'!O12</f>
        <v>-0.73182425294756615</v>
      </c>
      <c r="BV14" s="16">
        <f>(BJ14-AT14)*$D$2/'[1]资源-钻石'!P12</f>
        <v>-0.82859013585579722</v>
      </c>
    </row>
    <row r="15" spans="2:74">
      <c r="J15" s="16">
        <v>12</v>
      </c>
      <c r="K15" s="17">
        <f>基础状态预期!C26</f>
        <v>105</v>
      </c>
      <c r="L15" s="17">
        <f>宝物升星!N15</f>
        <v>0</v>
      </c>
      <c r="M15" s="17">
        <f>宝物升星!O15</f>
        <v>0</v>
      </c>
      <c r="N15" s="17">
        <f>宝物升星!P15</f>
        <v>0</v>
      </c>
      <c r="O15" s="17">
        <f>宝物升星!Q15</f>
        <v>4.0055424254691507</v>
      </c>
      <c r="P15" s="17">
        <f>基础状态预期!I26</f>
        <v>0</v>
      </c>
      <c r="Q15" s="17">
        <f>基础状态预期!J26</f>
        <v>0</v>
      </c>
      <c r="R15" s="17">
        <f>基础状态预期!K26</f>
        <v>0</v>
      </c>
      <c r="S15" s="17">
        <f>基础状态预期!L26</f>
        <v>6</v>
      </c>
      <c r="T15" s="17">
        <f>IF(L15=0,0,同名需求(P15,L15,C$6))</f>
        <v>0</v>
      </c>
      <c r="U15" s="17">
        <f>IF(M15=0,0,同名需求(Q15,M15,D$6))</f>
        <v>0</v>
      </c>
      <c r="V15" s="17">
        <f>IF(N15=0,0,同名需求(R15,N15,E$6))</f>
        <v>0</v>
      </c>
      <c r="W15" s="17">
        <f>IF(O15=0,0,同名需求(S15,O15,F$6))</f>
        <v>24.033254552814903</v>
      </c>
      <c r="Z15" s="17">
        <f>投放验证!AL26*C$7</f>
        <v>2189.3002941473769</v>
      </c>
      <c r="AA15" s="17">
        <f>投放验证!AM26*D$7</f>
        <v>2845.3994225366705</v>
      </c>
      <c r="AB15" s="17">
        <f>投放验证!AN26*E$7</f>
        <v>2658.1869041831474</v>
      </c>
      <c r="AC15" s="17">
        <f>投放验证!AO26*F$7</f>
        <v>2403.3254552814901</v>
      </c>
      <c r="AD15" s="17">
        <f>投放验证!Q26/投放验证!$E$25*投放验证!$E$24/$D$2</f>
        <v>3204.4339403753202</v>
      </c>
      <c r="AE15" s="16">
        <v>8031.7850889123929</v>
      </c>
      <c r="AF15" s="16">
        <f t="shared" si="11"/>
        <v>1.656001233758744</v>
      </c>
      <c r="AG15" s="17">
        <f t="shared" si="12"/>
        <v>105</v>
      </c>
      <c r="AH15" s="17">
        <f t="shared" si="0"/>
        <v>0</v>
      </c>
      <c r="AI15" s="17">
        <f t="shared" si="1"/>
        <v>0</v>
      </c>
      <c r="AJ15" s="17">
        <f t="shared" si="2"/>
        <v>0</v>
      </c>
      <c r="AK15" s="17">
        <f t="shared" si="3"/>
        <v>2403.3254552814901</v>
      </c>
      <c r="AL15" s="17">
        <f t="shared" si="13"/>
        <v>10897.320561242515</v>
      </c>
      <c r="AM15" s="16">
        <v>6500.3006439926567</v>
      </c>
      <c r="AO15" s="16">
        <v>10</v>
      </c>
      <c r="AP15" s="16">
        <f t="shared" si="4"/>
        <v>84.172397406065329</v>
      </c>
      <c r="AQ15" s="16">
        <f t="shared" si="5"/>
        <v>101.3287763867657</v>
      </c>
      <c r="AR15" s="16">
        <f t="shared" si="6"/>
        <v>137.2098457629487</v>
      </c>
      <c r="AS15" s="16">
        <f t="shared" si="7"/>
        <v>267.94689669107493</v>
      </c>
      <c r="AT15" s="16">
        <f t="shared" si="8"/>
        <v>381.64613975690986</v>
      </c>
      <c r="AX15" s="69">
        <v>105</v>
      </c>
      <c r="AY15" s="17">
        <f>宝物升星!V15</f>
        <v>3040.5705544341831</v>
      </c>
      <c r="AZ15" s="17">
        <f>宝物升星!V41</f>
        <v>18351.170554557408</v>
      </c>
      <c r="BA15" s="17">
        <f>宝物升星!V67</f>
        <v>30240</v>
      </c>
      <c r="BB15" s="17">
        <f>宝物升星!V93</f>
        <v>30240</v>
      </c>
      <c r="BC15" s="17">
        <f>宝物升星!V119</f>
        <v>30240</v>
      </c>
      <c r="BE15" s="16">
        <v>10</v>
      </c>
      <c r="BF15" s="16">
        <f t="shared" si="14"/>
        <v>0</v>
      </c>
      <c r="BG15" s="16">
        <f t="shared" si="15"/>
        <v>0</v>
      </c>
      <c r="BH15" s="16">
        <f t="shared" si="16"/>
        <v>0</v>
      </c>
      <c r="BI15" s="16">
        <f t="shared" si="17"/>
        <v>0</v>
      </c>
      <c r="BJ15" s="16">
        <f t="shared" si="18"/>
        <v>0</v>
      </c>
      <c r="BM15" s="16" t="e">
        <f t="shared" si="23"/>
        <v>#DIV/0!</v>
      </c>
      <c r="BN15" s="16" t="e">
        <f t="shared" si="19"/>
        <v>#DIV/0!</v>
      </c>
      <c r="BO15" s="16" t="e">
        <f t="shared" si="20"/>
        <v>#DIV/0!</v>
      </c>
      <c r="BP15" s="16" t="e">
        <f t="shared" si="21"/>
        <v>#DIV/0!</v>
      </c>
      <c r="BQ15" s="16" t="e">
        <f t="shared" si="22"/>
        <v>#DIV/0!</v>
      </c>
      <c r="BR15" s="16">
        <f>(BF15-AP15)*$D$2/'[1]资源-钻石'!L13</f>
        <v>-0.58043232023187719</v>
      </c>
      <c r="BS15" s="16">
        <f>(BG15-AQ15)*$D$2/'[1]资源-钻石'!M13</f>
        <v>-0.60629033081722183</v>
      </c>
      <c r="BT15" s="16">
        <f>(BH15-AR15)*$D$2/'[1]资源-钻石'!N13</f>
        <v>-0.64096014024944803</v>
      </c>
      <c r="BU15" s="16">
        <f>(BI15-AS15)*$D$2/'[1]资源-钻石'!O13</f>
        <v>-0.69577705608568685</v>
      </c>
      <c r="BV15" s="16">
        <f>(BJ15-AT15)*$D$2/'[1]资源-钻石'!P13</f>
        <v>-0.78158840510817762</v>
      </c>
    </row>
    <row r="16" spans="2:74">
      <c r="J16" s="16">
        <v>13</v>
      </c>
      <c r="K16" s="17">
        <f>基础状态预期!C27</f>
        <v>110</v>
      </c>
      <c r="L16" s="17">
        <f>宝物升星!N16</f>
        <v>0</v>
      </c>
      <c r="M16" s="17">
        <f>宝物升星!O16</f>
        <v>0</v>
      </c>
      <c r="N16" s="17">
        <f>宝物升星!P16</f>
        <v>0</v>
      </c>
      <c r="O16" s="17">
        <f>宝物升星!Q16</f>
        <v>5.4030039313946601</v>
      </c>
      <c r="P16" s="17">
        <f>基础状态预期!I27</f>
        <v>0</v>
      </c>
      <c r="Q16" s="17">
        <f>基础状态预期!J27</f>
        <v>0</v>
      </c>
      <c r="R16" s="17">
        <f>基础状态预期!K27</f>
        <v>0</v>
      </c>
      <c r="S16" s="17">
        <f>基础状态预期!L27</f>
        <v>6</v>
      </c>
      <c r="T16" s="17">
        <f>IF(L16=0,0,同名需求(P16,L16,C$6))</f>
        <v>0</v>
      </c>
      <c r="U16" s="17">
        <f>IF(M16=0,0,同名需求(Q16,M16,D$6))</f>
        <v>0</v>
      </c>
      <c r="V16" s="17">
        <f>IF(N16=0,0,同名需求(R16,N16,E$6))</f>
        <v>0</v>
      </c>
      <c r="W16" s="17">
        <f>IF(O16=0,0,同名需求(S16,O16,F$6))</f>
        <v>32.418023588367959</v>
      </c>
      <c r="Z16" s="17">
        <f>投放验证!AL27*C$7</f>
        <v>3029.3602246497967</v>
      </c>
      <c r="AA16" s="17">
        <f>投放验证!AM27*D$7</f>
        <v>3900.3483141077959</v>
      </c>
      <c r="AB16" s="17">
        <f>投放验证!AN27*E$7</f>
        <v>3646.9517691275973</v>
      </c>
      <c r="AC16" s="17">
        <f>投放验证!AO27*F$7</f>
        <v>3241.802358836796</v>
      </c>
      <c r="AD16" s="17">
        <f>投放验证!Q27/投放验证!$E$25*投放验证!$E$24/$D$2</f>
        <v>4322.403145115728</v>
      </c>
      <c r="AE16" s="16">
        <v>9729.5178417357129</v>
      </c>
      <c r="AF16" s="16">
        <f t="shared" si="11"/>
        <v>1.8645184794276963</v>
      </c>
      <c r="AG16" s="17">
        <f t="shared" si="12"/>
        <v>110</v>
      </c>
      <c r="AH16" s="17">
        <f t="shared" si="0"/>
        <v>0</v>
      </c>
      <c r="AI16" s="17">
        <f t="shared" si="1"/>
        <v>0</v>
      </c>
      <c r="AJ16" s="17">
        <f t="shared" si="2"/>
        <v>0</v>
      </c>
      <c r="AK16" s="17">
        <f t="shared" si="3"/>
        <v>3241.802358836796</v>
      </c>
      <c r="AL16" s="17">
        <f t="shared" si="13"/>
        <v>14899.063453000917</v>
      </c>
      <c r="AM16" s="16">
        <v>7874.3131685233948</v>
      </c>
      <c r="AO16" s="16">
        <v>11</v>
      </c>
      <c r="AP16" s="16">
        <f t="shared" si="4"/>
        <v>92.589637146671862</v>
      </c>
      <c r="AQ16" s="16">
        <f t="shared" si="5"/>
        <v>111.46165402544227</v>
      </c>
      <c r="AR16" s="16">
        <f t="shared" si="6"/>
        <v>150.93083033924358</v>
      </c>
      <c r="AS16" s="16">
        <f t="shared" si="7"/>
        <v>294.74158636018251</v>
      </c>
      <c r="AT16" s="16">
        <f t="shared" si="8"/>
        <v>419.81075373260092</v>
      </c>
      <c r="AX16" s="69">
        <v>110</v>
      </c>
      <c r="AY16" s="17">
        <f>宝物升星!V16</f>
        <v>18347.838313381631</v>
      </c>
      <c r="AZ16" s="17">
        <f>宝物升星!V42</f>
        <v>30240</v>
      </c>
      <c r="BA16" s="17">
        <f>宝物升星!V68</f>
        <v>30240</v>
      </c>
      <c r="BB16" s="17">
        <f>宝物升星!V94</f>
        <v>30240</v>
      </c>
      <c r="BC16" s="17">
        <f>宝物升星!V120</f>
        <v>30240</v>
      </c>
      <c r="BE16" s="16">
        <v>11</v>
      </c>
      <c r="BF16" s="16">
        <f t="shared" si="14"/>
        <v>0</v>
      </c>
      <c r="BG16" s="16">
        <f t="shared" si="15"/>
        <v>0</v>
      </c>
      <c r="BH16" s="16">
        <f t="shared" si="16"/>
        <v>0</v>
      </c>
      <c r="BI16" s="16">
        <f t="shared" si="17"/>
        <v>0</v>
      </c>
      <c r="BJ16" s="16">
        <f t="shared" si="18"/>
        <v>0</v>
      </c>
      <c r="BM16" s="16" t="e">
        <f t="shared" si="23"/>
        <v>#DIV/0!</v>
      </c>
      <c r="BN16" s="16" t="e">
        <f t="shared" si="19"/>
        <v>#DIV/0!</v>
      </c>
      <c r="BO16" s="16" t="e">
        <f t="shared" si="20"/>
        <v>#DIV/0!</v>
      </c>
      <c r="BP16" s="16" t="e">
        <f t="shared" si="21"/>
        <v>#DIV/0!</v>
      </c>
      <c r="BQ16" s="16" t="e">
        <f t="shared" si="22"/>
        <v>#DIV/0!</v>
      </c>
      <c r="BR16" s="16">
        <f>(BF16-AP16)*$D$2/'[1]资源-钻石'!L14</f>
        <v>-0.58876457445479424</v>
      </c>
      <c r="BS16" s="16">
        <f>(BG16-AQ16)*$D$2/'[1]资源-钻石'!M14</f>
        <v>-0.58150175073045918</v>
      </c>
      <c r="BT16" s="16">
        <f>(BH16-AR16)*$D$2/'[1]资源-钻石'!N14</f>
        <v>-0.61184889226721895</v>
      </c>
      <c r="BU16" s="16">
        <f>(BI16-AS16)*$D$2/'[1]资源-钻石'!O14</f>
        <v>-0.66436321027896039</v>
      </c>
      <c r="BV16" s="16">
        <f>(BJ16-AT16)*$D$2/'[1]资源-钻石'!P14</f>
        <v>-0.73937584159908032</v>
      </c>
    </row>
    <row r="17" spans="10:74">
      <c r="J17" s="16">
        <v>14</v>
      </c>
      <c r="K17" s="17">
        <f>基础状态预期!C28</f>
        <v>115</v>
      </c>
      <c r="L17" s="17">
        <f>宝物升星!N17</f>
        <v>0</v>
      </c>
      <c r="M17" s="17">
        <f>宝物升星!O17</f>
        <v>0</v>
      </c>
      <c r="N17" s="17">
        <f>宝物升星!P17</f>
        <v>0</v>
      </c>
      <c r="O17" s="17">
        <f>宝物升星!Q17</f>
        <v>6</v>
      </c>
      <c r="P17" s="17">
        <f>基础状态预期!I28</f>
        <v>0</v>
      </c>
      <c r="Q17" s="17">
        <f>基础状态预期!J28</f>
        <v>0</v>
      </c>
      <c r="R17" s="17">
        <f>基础状态预期!K28</f>
        <v>0</v>
      </c>
      <c r="S17" s="17">
        <f>基础状态预期!L28</f>
        <v>6</v>
      </c>
      <c r="T17" s="17">
        <f>IF(L17=0,0,同名需求(P17,L17,C$6))</f>
        <v>0</v>
      </c>
      <c r="U17" s="17">
        <f>IF(M17=0,0,同名需求(Q17,M17,D$6))</f>
        <v>0</v>
      </c>
      <c r="V17" s="17">
        <f>IF(N17=0,0,同名需求(R17,N17,E$6))</f>
        <v>0</v>
      </c>
      <c r="W17" s="17">
        <f>IF(O17=0,0,同名需求(S17,O17,F$6))</f>
        <v>36</v>
      </c>
      <c r="Z17" s="17">
        <f>投放验证!AL28*C$7</f>
        <v>4216.8947817793196</v>
      </c>
      <c r="AA17" s="17">
        <f>投放验证!AM28*D$7</f>
        <v>5391.4553611894817</v>
      </c>
      <c r="AB17" s="17">
        <f>投放验证!AN28*E$7</f>
        <v>5044.5420664402409</v>
      </c>
      <c r="AC17" s="17">
        <f>投放验证!AO28*F$7</f>
        <v>4426.6085879949087</v>
      </c>
      <c r="AD17" s="17">
        <f>投放验证!Q28/投放验证!$E$25*投放验证!$E$24/$D$2</f>
        <v>5902.1447839932116</v>
      </c>
      <c r="AE17" s="16">
        <v>11781.139749300224</v>
      </c>
      <c r="AF17" s="16">
        <f t="shared" si="11"/>
        <v>2.12047782413251</v>
      </c>
      <c r="AG17" s="17">
        <f t="shared" si="12"/>
        <v>115</v>
      </c>
      <c r="AH17" s="17">
        <f t="shared" si="0"/>
        <v>0</v>
      </c>
      <c r="AI17" s="17">
        <f t="shared" si="1"/>
        <v>0</v>
      </c>
      <c r="AJ17" s="17">
        <f t="shared" si="2"/>
        <v>0</v>
      </c>
      <c r="AK17" s="17">
        <f t="shared" si="3"/>
        <v>3600</v>
      </c>
      <c r="AL17" s="17">
        <f t="shared" si="13"/>
        <v>21381.645581397162</v>
      </c>
      <c r="AM17" s="16">
        <v>9621.1397493002241</v>
      </c>
      <c r="AO17" s="16">
        <v>12</v>
      </c>
      <c r="AP17" s="16">
        <f t="shared" si="4"/>
        <v>101.00687688727839</v>
      </c>
      <c r="AQ17" s="16">
        <f t="shared" si="5"/>
        <v>121.59453166411885</v>
      </c>
      <c r="AR17" s="16">
        <f t="shared" si="6"/>
        <v>164.65181491553847</v>
      </c>
      <c r="AS17" s="16">
        <f t="shared" si="7"/>
        <v>321.53627602928998</v>
      </c>
      <c r="AT17" s="16">
        <f t="shared" si="8"/>
        <v>457.97536770829174</v>
      </c>
      <c r="AX17" s="69">
        <v>115</v>
      </c>
      <c r="AY17" s="17">
        <f>宝物升星!V17</f>
        <v>30240</v>
      </c>
      <c r="AZ17" s="17">
        <f>宝物升星!V43</f>
        <v>30240</v>
      </c>
      <c r="BA17" s="17">
        <f>宝物升星!V69</f>
        <v>30240</v>
      </c>
      <c r="BB17" s="17">
        <f>宝物升星!V95</f>
        <v>30240</v>
      </c>
      <c r="BC17" s="17">
        <f>宝物升星!V121</f>
        <v>30240</v>
      </c>
      <c r="BE17" s="16">
        <v>12</v>
      </c>
      <c r="BF17" s="16">
        <f t="shared" si="14"/>
        <v>0</v>
      </c>
      <c r="BG17" s="16">
        <f t="shared" si="15"/>
        <v>0</v>
      </c>
      <c r="BH17" s="16">
        <f t="shared" si="16"/>
        <v>0</v>
      </c>
      <c r="BI17" s="16">
        <f t="shared" si="17"/>
        <v>0</v>
      </c>
      <c r="BJ17" s="16">
        <f t="shared" si="18"/>
        <v>0</v>
      </c>
      <c r="BM17" s="16" t="e">
        <f t="shared" si="23"/>
        <v>#DIV/0!</v>
      </c>
      <c r="BN17" s="16" t="e">
        <f t="shared" si="19"/>
        <v>#DIV/0!</v>
      </c>
      <c r="BO17" s="16" t="e">
        <f t="shared" si="20"/>
        <v>#DIV/0!</v>
      </c>
      <c r="BP17" s="16" t="e">
        <f t="shared" si="21"/>
        <v>#DIV/0!</v>
      </c>
      <c r="BQ17" s="16" t="e">
        <f t="shared" si="22"/>
        <v>#DIV/0!</v>
      </c>
      <c r="BR17" s="16">
        <f>(BF17-AP17)*$D$2/'[1]资源-钻石'!L15</f>
        <v>-0.59281957673784624</v>
      </c>
      <c r="BS17" s="16">
        <f>(BG17-AQ17)*$D$2/'[1]资源-钻石'!M15</f>
        <v>-0.5838856351929671</v>
      </c>
      <c r="BT17" s="16">
        <f>(BH17-AR17)*$D$2/'[1]资源-钻石'!N15</f>
        <v>-0.58545551637153059</v>
      </c>
      <c r="BU17" s="16">
        <f>(BI17-AS17)*$D$2/'[1]资源-钻石'!O15</f>
        <v>-0.63017931414892436</v>
      </c>
      <c r="BV17" s="16">
        <f>(BJ17-AT17)*$D$2/'[1]资源-钻石'!P15</f>
        <v>-0.70085192087256543</v>
      </c>
    </row>
    <row r="18" spans="10:74">
      <c r="J18" s="16">
        <v>15</v>
      </c>
      <c r="K18" s="17">
        <f>基础状态预期!C29</f>
        <v>120</v>
      </c>
      <c r="L18" s="17">
        <f>宝物升星!N18</f>
        <v>0</v>
      </c>
      <c r="M18" s="17">
        <f>宝物升星!O18</f>
        <v>0</v>
      </c>
      <c r="N18" s="17">
        <f>宝物升星!P18</f>
        <v>0</v>
      </c>
      <c r="O18" s="17">
        <f>宝物升星!Q18</f>
        <v>6</v>
      </c>
      <c r="P18" s="17">
        <f>基础状态预期!I29</f>
        <v>0</v>
      </c>
      <c r="Q18" s="17">
        <f>基础状态预期!J29</f>
        <v>0</v>
      </c>
      <c r="R18" s="17">
        <f>基础状态预期!K29</f>
        <v>0</v>
      </c>
      <c r="S18" s="17">
        <f>基础状态预期!L29</f>
        <v>6</v>
      </c>
      <c r="T18" s="17">
        <f>IF(L18=0,0,同名需求(P18,L18,C$6))</f>
        <v>0</v>
      </c>
      <c r="U18" s="17">
        <f>IF(M18=0,0,同名需求(Q18,M18,D$6))</f>
        <v>0</v>
      </c>
      <c r="V18" s="17">
        <f>IF(N18=0,0,同名需求(R18,N18,E$6))</f>
        <v>0</v>
      </c>
      <c r="W18" s="17">
        <f>IF(O18=0,0,同名需求(S18,O18,F$6))</f>
        <v>36</v>
      </c>
      <c r="Z18" s="17">
        <f>投放验证!AL29*C$7</f>
        <v>5858.6488534400496</v>
      </c>
      <c r="AA18" s="17">
        <f>投放验证!AM29*D$7</f>
        <v>7437.4101620915508</v>
      </c>
      <c r="AB18" s="17">
        <f>投放验证!AN29*E$7</f>
        <v>6964.5231123129761</v>
      </c>
      <c r="AC18" s="17">
        <f>投放验证!AO29*F$7</f>
        <v>6026.8308164173004</v>
      </c>
      <c r="AD18" s="17">
        <f>投放验证!Q29/投放验证!$E$25*投放验证!$E$24/$D$2</f>
        <v>8035.7744218897342</v>
      </c>
      <c r="AE18" s="16">
        <v>14333.236499076478</v>
      </c>
      <c r="AF18" s="16">
        <f t="shared" si="11"/>
        <v>2.3946571570463604</v>
      </c>
      <c r="AG18" s="17">
        <f t="shared" si="12"/>
        <v>120</v>
      </c>
      <c r="AH18" s="17">
        <f t="shared" si="0"/>
        <v>0</v>
      </c>
      <c r="AI18" s="17">
        <f t="shared" si="1"/>
        <v>0</v>
      </c>
      <c r="AJ18" s="17">
        <f t="shared" si="2"/>
        <v>0</v>
      </c>
      <c r="AK18" s="17">
        <f t="shared" si="3"/>
        <v>3600</v>
      </c>
      <c r="AL18" s="17">
        <f t="shared" si="13"/>
        <v>30723.187366151607</v>
      </c>
      <c r="AM18" s="16">
        <v>12173.236499076478</v>
      </c>
      <c r="AO18" s="16">
        <v>13</v>
      </c>
      <c r="AP18" s="16">
        <f t="shared" si="4"/>
        <v>109.42411662788493</v>
      </c>
      <c r="AQ18" s="16">
        <f t="shared" si="5"/>
        <v>131.72740930279542</v>
      </c>
      <c r="AR18" s="16">
        <f t="shared" si="6"/>
        <v>178.37279949183329</v>
      </c>
      <c r="AS18" s="16">
        <f t="shared" si="7"/>
        <v>348.33096569839756</v>
      </c>
      <c r="AT18" s="16">
        <f t="shared" si="8"/>
        <v>496.1399816839828</v>
      </c>
      <c r="AX18" s="69">
        <v>120</v>
      </c>
      <c r="AY18" s="17">
        <f>宝物升星!V18</f>
        <v>30240</v>
      </c>
      <c r="AZ18" s="17">
        <f>宝物升星!V44</f>
        <v>30240</v>
      </c>
      <c r="BA18" s="17">
        <f>宝物升星!V70</f>
        <v>30240</v>
      </c>
      <c r="BB18" s="17">
        <f>宝物升星!V96</f>
        <v>30240</v>
      </c>
      <c r="BC18" s="17">
        <f>宝物升星!V122</f>
        <v>30240</v>
      </c>
      <c r="BE18" s="16">
        <v>13</v>
      </c>
      <c r="BF18" s="16">
        <f t="shared" si="14"/>
        <v>0</v>
      </c>
      <c r="BG18" s="16">
        <f t="shared" si="15"/>
        <v>0</v>
      </c>
      <c r="BH18" s="16">
        <f t="shared" si="16"/>
        <v>0</v>
      </c>
      <c r="BI18" s="16">
        <f t="shared" si="17"/>
        <v>0</v>
      </c>
      <c r="BJ18" s="16">
        <f t="shared" si="18"/>
        <v>0</v>
      </c>
      <c r="BM18" s="16" t="e">
        <f t="shared" si="23"/>
        <v>#DIV/0!</v>
      </c>
      <c r="BN18" s="16" t="e">
        <f t="shared" si="19"/>
        <v>#DIV/0!</v>
      </c>
      <c r="BO18" s="16" t="e">
        <f t="shared" si="20"/>
        <v>#DIV/0!</v>
      </c>
      <c r="BP18" s="16" t="e">
        <f t="shared" si="21"/>
        <v>#DIV/0!</v>
      </c>
      <c r="BQ18" s="16" t="e">
        <f t="shared" si="22"/>
        <v>#DIV/0!</v>
      </c>
      <c r="BR18" s="16">
        <f>(BF18-AP18)*$D$2/'[1]资源-钻石'!L16</f>
        <v>-0.59324965979626321</v>
      </c>
      <c r="BS18" s="16">
        <f>(BG18-AQ18)*$D$2/'[1]资源-钻石'!M16</f>
        <v>-0.58486880028257837</v>
      </c>
      <c r="BT18" s="16">
        <f>(BH18-AR18)*$D$2/'[1]资源-钻石'!N16</f>
        <v>-0.56513187175844981</v>
      </c>
      <c r="BU18" s="16">
        <f>(BI18-AS18)*$D$2/'[1]资源-钻石'!O16</f>
        <v>-0.59832628796034426</v>
      </c>
      <c r="BV18" s="16">
        <f>(BJ18-AT18)*$D$2/'[1]资源-钻石'!P16</f>
        <v>-0.66305208599044518</v>
      </c>
    </row>
    <row r="19" spans="10:74">
      <c r="J19" s="16">
        <v>16</v>
      </c>
      <c r="K19" s="17">
        <f>基础状态预期!C30</f>
        <v>125</v>
      </c>
      <c r="L19" s="17">
        <f>宝物升星!N19</f>
        <v>0</v>
      </c>
      <c r="M19" s="17">
        <f>宝物升星!O19</f>
        <v>0</v>
      </c>
      <c r="N19" s="17">
        <f>宝物升星!P19</f>
        <v>0</v>
      </c>
      <c r="O19" s="17">
        <f>宝物升星!Q19</f>
        <v>6</v>
      </c>
      <c r="P19" s="17">
        <f>基础状态预期!I30</f>
        <v>0</v>
      </c>
      <c r="Q19" s="17">
        <f>基础状态预期!J30</f>
        <v>0</v>
      </c>
      <c r="R19" s="17">
        <f>基础状态预期!K30</f>
        <v>0</v>
      </c>
      <c r="S19" s="17">
        <f>基础状态预期!L30</f>
        <v>6</v>
      </c>
      <c r="T19" s="17">
        <f>IF(L19=0,0,同名需求(P19,L19,C$6))</f>
        <v>0</v>
      </c>
      <c r="U19" s="17">
        <f>IF(M19=0,0,同名需求(Q19,M19,D$6))</f>
        <v>0</v>
      </c>
      <c r="V19" s="17">
        <f>IF(N19=0,0,同名需求(R19,N19,E$6))</f>
        <v>0</v>
      </c>
      <c r="W19" s="17">
        <f>IF(O19=0,0,同名需求(S19,O19,F$6))</f>
        <v>36</v>
      </c>
      <c r="Z19" s="17">
        <f>投放验证!AL30*C$7</f>
        <v>8179.6794530952529</v>
      </c>
      <c r="AA19" s="17">
        <f>投放验证!AM30*D$7</f>
        <v>10329.560065248517</v>
      </c>
      <c r="AB19" s="17">
        <f>投放验证!AN30*E$7</f>
        <v>9678.6459350325003</v>
      </c>
      <c r="AC19" s="17">
        <f>投放验证!AO30*F$7</f>
        <v>8288.3662455258418</v>
      </c>
      <c r="AD19" s="17">
        <f>投放验证!Q30/投放验证!$E$25*投放验证!$E$24/$D$2</f>
        <v>11051.154994034458</v>
      </c>
      <c r="AE19" s="16">
        <v>17593.111558335117</v>
      </c>
      <c r="AF19" s="16">
        <f t="shared" si="11"/>
        <v>2.7014781629358469</v>
      </c>
      <c r="AG19" s="17">
        <f t="shared" si="12"/>
        <v>125</v>
      </c>
      <c r="AH19" s="17">
        <f t="shared" si="0"/>
        <v>0</v>
      </c>
      <c r="AI19" s="17">
        <f t="shared" si="1"/>
        <v>0</v>
      </c>
      <c r="AJ19" s="17">
        <f t="shared" si="2"/>
        <v>0</v>
      </c>
      <c r="AK19" s="17">
        <f t="shared" si="3"/>
        <v>3600</v>
      </c>
      <c r="AL19" s="17">
        <f t="shared" si="13"/>
        <v>43927.406692936565</v>
      </c>
      <c r="AM19" s="16">
        <v>15433.111558335117</v>
      </c>
      <c r="AO19" s="16">
        <v>14</v>
      </c>
      <c r="AP19" s="16">
        <f t="shared" si="4"/>
        <v>117.84135636849146</v>
      </c>
      <c r="AQ19" s="16">
        <f t="shared" si="5"/>
        <v>141.860286941472</v>
      </c>
      <c r="AR19" s="16">
        <f t="shared" si="6"/>
        <v>192.09378406812817</v>
      </c>
      <c r="AS19" s="16">
        <f t="shared" si="7"/>
        <v>375.12565536750503</v>
      </c>
      <c r="AT19" s="16">
        <f t="shared" si="8"/>
        <v>534.30459565967385</v>
      </c>
      <c r="AX19" s="69">
        <v>125</v>
      </c>
      <c r="AY19" s="17">
        <f>宝物升星!V19</f>
        <v>30240</v>
      </c>
      <c r="AZ19" s="17">
        <f>宝物升星!V45</f>
        <v>30240</v>
      </c>
      <c r="BA19" s="17">
        <f>宝物升星!V71</f>
        <v>30240</v>
      </c>
      <c r="BB19" s="17">
        <f>宝物升星!V97</f>
        <v>30240</v>
      </c>
      <c r="BC19" s="17">
        <f>宝物升星!V123</f>
        <v>30240</v>
      </c>
      <c r="BE19" s="16">
        <v>14</v>
      </c>
      <c r="BF19" s="16">
        <f t="shared" si="14"/>
        <v>0</v>
      </c>
      <c r="BG19" s="16">
        <f t="shared" si="15"/>
        <v>0</v>
      </c>
      <c r="BH19" s="16">
        <f t="shared" si="16"/>
        <v>0</v>
      </c>
      <c r="BI19" s="16">
        <f t="shared" si="17"/>
        <v>0</v>
      </c>
      <c r="BJ19" s="16">
        <f t="shared" si="18"/>
        <v>0</v>
      </c>
      <c r="BM19" s="16" t="e">
        <f t="shared" si="23"/>
        <v>#DIV/0!</v>
      </c>
      <c r="BN19" s="16" t="e">
        <f t="shared" si="19"/>
        <v>#DIV/0!</v>
      </c>
      <c r="BO19" s="16" t="e">
        <f t="shared" si="20"/>
        <v>#DIV/0!</v>
      </c>
      <c r="BP19" s="16" t="e">
        <f t="shared" si="21"/>
        <v>#DIV/0!</v>
      </c>
      <c r="BQ19" s="16" t="e">
        <f t="shared" si="22"/>
        <v>#DIV/0!</v>
      </c>
      <c r="BR19" s="16">
        <f>(BF19-AP19)*$D$2/'[1]资源-钻石'!L17</f>
        <v>-0.59061539841162314</v>
      </c>
      <c r="BS19" s="16">
        <f>(BG19-AQ19)*$D$2/'[1]资源-钻石'!M17</f>
        <v>-0.58554110059486675</v>
      </c>
      <c r="BT19" s="16">
        <f>(BH19-AR19)*$D$2/'[1]资源-钻石'!N17</f>
        <v>-0.56909237766909471</v>
      </c>
      <c r="BU19" s="16">
        <f>(BI19-AS19)*$D$2/'[1]资源-钻石'!O17</f>
        <v>-0.57543098672239668</v>
      </c>
      <c r="BV19" s="16">
        <f>(BJ19-AT19)*$D$2/'[1]资源-钻石'!P17</f>
        <v>-0.63862437358534452</v>
      </c>
    </row>
    <row r="20" spans="10:74">
      <c r="J20" s="16">
        <v>17</v>
      </c>
      <c r="K20" s="17">
        <f>基础状态预期!C31</f>
        <v>130</v>
      </c>
      <c r="L20" s="17">
        <f>宝物升星!N20</f>
        <v>0</v>
      </c>
      <c r="M20" s="17">
        <f>宝物升星!O20</f>
        <v>0</v>
      </c>
      <c r="N20" s="17">
        <f>宝物升星!P20</f>
        <v>0</v>
      </c>
      <c r="O20" s="17">
        <f>宝物升星!Q20</f>
        <v>6</v>
      </c>
      <c r="P20" s="17">
        <f>基础状态预期!I31</f>
        <v>0</v>
      </c>
      <c r="Q20" s="17">
        <f>基础状态预期!J31</f>
        <v>0</v>
      </c>
      <c r="R20" s="17">
        <f>基础状态预期!K31</f>
        <v>0</v>
      </c>
      <c r="S20" s="17">
        <f>基础状态预期!L31</f>
        <v>6</v>
      </c>
      <c r="T20" s="17">
        <f>IF(L20=0,0,同名需求(P20,L20,C$6))</f>
        <v>0</v>
      </c>
      <c r="U20" s="17">
        <f>IF(M20=0,0,同名需求(Q20,M20,D$6))</f>
        <v>0</v>
      </c>
      <c r="V20" s="17">
        <f>IF(N20=0,0,同名需求(R20,N20,E$6))</f>
        <v>0</v>
      </c>
      <c r="W20" s="17">
        <f>IF(O20=0,0,同名需求(S20,O20,F$6))</f>
        <v>36</v>
      </c>
      <c r="Z20" s="17">
        <f>投放验证!AL31*C$7</f>
        <v>11405.494346103147</v>
      </c>
      <c r="AA20" s="17">
        <f>投放验证!AM31*D$7</f>
        <v>14325.314249863379</v>
      </c>
      <c r="AB20" s="17">
        <f>投放验证!AN31*E$7</f>
        <v>13432.068151307622</v>
      </c>
      <c r="AC20" s="17">
        <f>投放验证!AO31*F$7</f>
        <v>11373.424201743494</v>
      </c>
      <c r="AD20" s="17">
        <f>投放验证!Q31/投放验证!$E$25*投放验证!$E$24/$D$2</f>
        <v>15164.565602324661</v>
      </c>
      <c r="AE20" s="16">
        <v>21853.936302017246</v>
      </c>
      <c r="AF20" s="16">
        <f t="shared" si="11"/>
        <v>3.0063630479822407</v>
      </c>
      <c r="AG20" s="17">
        <f t="shared" si="12"/>
        <v>130</v>
      </c>
      <c r="AH20" s="17">
        <f t="shared" si="0"/>
        <v>0</v>
      </c>
      <c r="AI20" s="17">
        <f t="shared" si="1"/>
        <v>0</v>
      </c>
      <c r="AJ20" s="17">
        <f t="shared" si="2"/>
        <v>0</v>
      </c>
      <c r="AK20" s="17">
        <f t="shared" si="3"/>
        <v>3600</v>
      </c>
      <c r="AL20" s="17">
        <f t="shared" si="13"/>
        <v>62100.866551342304</v>
      </c>
      <c r="AM20" s="16">
        <v>19693.936302017246</v>
      </c>
      <c r="AO20" s="16">
        <v>15</v>
      </c>
      <c r="AP20" s="16">
        <f t="shared" si="4"/>
        <v>126.25859610909799</v>
      </c>
      <c r="AQ20" s="16">
        <f t="shared" si="5"/>
        <v>151.99316458014857</v>
      </c>
      <c r="AR20" s="16">
        <f t="shared" si="6"/>
        <v>205.81476864442305</v>
      </c>
      <c r="AS20" s="16">
        <f t="shared" si="7"/>
        <v>401.9203450366125</v>
      </c>
      <c r="AT20" s="16">
        <f t="shared" si="8"/>
        <v>572.46920963536468</v>
      </c>
      <c r="AX20" s="69">
        <v>130</v>
      </c>
      <c r="AY20" s="17">
        <f>宝物升星!V20</f>
        <v>30240</v>
      </c>
      <c r="AZ20" s="17">
        <f>宝物升星!V46</f>
        <v>30240</v>
      </c>
      <c r="BA20" s="17">
        <f>宝物升星!V72</f>
        <v>30240</v>
      </c>
      <c r="BB20" s="17">
        <f>宝物升星!V98</f>
        <v>30240</v>
      </c>
      <c r="BC20" s="17">
        <f>宝物升星!V124</f>
        <v>30240</v>
      </c>
      <c r="BE20" s="16">
        <v>15</v>
      </c>
      <c r="BF20" s="16">
        <f t="shared" si="14"/>
        <v>0</v>
      </c>
      <c r="BG20" s="16">
        <f t="shared" si="15"/>
        <v>0</v>
      </c>
      <c r="BH20" s="16">
        <f t="shared" si="16"/>
        <v>0</v>
      </c>
      <c r="BI20" s="16">
        <f t="shared" si="17"/>
        <v>0</v>
      </c>
      <c r="BJ20" s="16">
        <f t="shared" si="18"/>
        <v>0</v>
      </c>
      <c r="BM20" s="16" t="e">
        <f t="shared" si="23"/>
        <v>#DIV/0!</v>
      </c>
      <c r="BN20" s="16" t="e">
        <f t="shared" si="19"/>
        <v>#DIV/0!</v>
      </c>
      <c r="BO20" s="16" t="e">
        <f t="shared" si="20"/>
        <v>#DIV/0!</v>
      </c>
      <c r="BP20" s="16" t="e">
        <f t="shared" si="21"/>
        <v>#DIV/0!</v>
      </c>
      <c r="BQ20" s="16" t="e">
        <f t="shared" si="22"/>
        <v>#DIV/0!</v>
      </c>
      <c r="BR20" s="16">
        <f>(BF20-AP20)*$D$2/'[1]资源-钻石'!L18</f>
        <v>-0.58539981015833054</v>
      </c>
      <c r="BS20" s="16">
        <f>(BG20-AQ20)*$D$2/'[1]资源-钻石'!M18</f>
        <v>-0.58233660534058007</v>
      </c>
      <c r="BT20" s="16">
        <f>(BH20-AR20)*$D$2/'[1]资源-钻石'!N18</f>
        <v>-0.56888572658506342</v>
      </c>
      <c r="BU20" s="16">
        <f>(BI20-AS20)*$D$2/'[1]资源-钻石'!O18</f>
        <v>-0.54968337357406649</v>
      </c>
      <c r="BV20" s="16">
        <f>(BJ20-AT20)*$D$2/'[1]资源-钻石'!P18</f>
        <v>-0.60761398932472932</v>
      </c>
    </row>
    <row r="21" spans="10:74">
      <c r="J21" s="16">
        <v>18</v>
      </c>
      <c r="K21" s="17">
        <f>基础状态预期!C32</f>
        <v>135</v>
      </c>
      <c r="L21" s="17">
        <f>宝物升星!N21</f>
        <v>0</v>
      </c>
      <c r="M21" s="17">
        <f>宝物升星!O21</f>
        <v>0</v>
      </c>
      <c r="N21" s="17">
        <f>宝物升星!P21</f>
        <v>0</v>
      </c>
      <c r="O21" s="17">
        <f>宝物升星!Q21</f>
        <v>6</v>
      </c>
      <c r="P21" s="17">
        <f>基础状态预期!I32</f>
        <v>0</v>
      </c>
      <c r="Q21" s="17">
        <f>基础状态预期!J32</f>
        <v>0</v>
      </c>
      <c r="R21" s="17">
        <f>基础状态预期!K32</f>
        <v>0</v>
      </c>
      <c r="S21" s="17">
        <f>基础状态预期!L32</f>
        <v>6</v>
      </c>
      <c r="T21" s="17">
        <f>IF(L21=0,0,同名需求(P21,L21,C$6))</f>
        <v>0</v>
      </c>
      <c r="U21" s="17">
        <f>IF(M21=0,0,同名需求(Q21,M21,D$6))</f>
        <v>0</v>
      </c>
      <c r="V21" s="17">
        <f>IF(N21=0,0,同名需求(R21,N21,E$6))</f>
        <v>0</v>
      </c>
      <c r="W21" s="17">
        <f>IF(O21=0,0,同名需求(S21,O21,F$6))</f>
        <v>36</v>
      </c>
      <c r="Z21" s="17">
        <f>投放验证!AL32*C$7</f>
        <v>15966.327166863563</v>
      </c>
      <c r="AA21" s="17">
        <f>投放验证!AM32*D$7</f>
        <v>19974.233425260663</v>
      </c>
      <c r="AB21" s="17">
        <f>投放验证!AN32*E$7</f>
        <v>18738.471228921684</v>
      </c>
      <c r="AC21" s="17">
        <f>投放验证!AO32*F$7</f>
        <v>15734.038302860594</v>
      </c>
      <c r="AD21" s="17">
        <f>投放验证!Q32/投放验证!$E$25*投放验证!$E$24/$D$2</f>
        <v>20978.717737147457</v>
      </c>
      <c r="AE21" s="16">
        <v>27530.317664664144</v>
      </c>
      <c r="AF21" s="16">
        <f t="shared" si="11"/>
        <v>3.3196779265049172</v>
      </c>
      <c r="AG21" s="17">
        <f t="shared" si="12"/>
        <v>135</v>
      </c>
      <c r="AH21" s="17">
        <f t="shared" si="0"/>
        <v>0</v>
      </c>
      <c r="AI21" s="17">
        <f t="shared" si="1"/>
        <v>0</v>
      </c>
      <c r="AJ21" s="17">
        <f t="shared" si="2"/>
        <v>0</v>
      </c>
      <c r="AK21" s="17">
        <f t="shared" si="3"/>
        <v>3600</v>
      </c>
      <c r="AL21" s="17">
        <f t="shared" si="13"/>
        <v>87791.787861053963</v>
      </c>
      <c r="AM21" s="16">
        <v>25370.317664664144</v>
      </c>
      <c r="AO21" s="16">
        <v>16</v>
      </c>
      <c r="AP21" s="16">
        <f t="shared" si="4"/>
        <v>134.67583584970453</v>
      </c>
      <c r="AQ21" s="16">
        <f t="shared" si="5"/>
        <v>162.12604221882515</v>
      </c>
      <c r="AR21" s="16">
        <f t="shared" si="6"/>
        <v>219.53575322071788</v>
      </c>
      <c r="AS21" s="16">
        <f t="shared" si="7"/>
        <v>428.71503470571997</v>
      </c>
      <c r="AT21" s="16">
        <f t="shared" si="8"/>
        <v>610.63382361105573</v>
      </c>
      <c r="AX21" s="69">
        <v>135</v>
      </c>
      <c r="AY21" s="17">
        <f>宝物升星!V21</f>
        <v>30240</v>
      </c>
      <c r="AZ21" s="17">
        <f>宝物升星!V47</f>
        <v>30240</v>
      </c>
      <c r="BA21" s="17">
        <f>宝物升星!V73</f>
        <v>30240</v>
      </c>
      <c r="BB21" s="17">
        <f>宝物升星!V99</f>
        <v>30240</v>
      </c>
      <c r="BC21" s="17">
        <f>宝物升星!V125</f>
        <v>30240</v>
      </c>
      <c r="BE21" s="16">
        <v>16</v>
      </c>
      <c r="BF21" s="16">
        <f t="shared" si="14"/>
        <v>0</v>
      </c>
      <c r="BG21" s="16">
        <f t="shared" si="15"/>
        <v>0</v>
      </c>
      <c r="BH21" s="16">
        <f t="shared" si="16"/>
        <v>0</v>
      </c>
      <c r="BI21" s="16">
        <f t="shared" si="17"/>
        <v>0</v>
      </c>
      <c r="BJ21" s="16">
        <f t="shared" si="18"/>
        <v>0</v>
      </c>
      <c r="BM21" s="16" t="e">
        <f t="shared" si="23"/>
        <v>#DIV/0!</v>
      </c>
      <c r="BN21" s="16" t="e">
        <f t="shared" si="19"/>
        <v>#DIV/0!</v>
      </c>
      <c r="BO21" s="16" t="e">
        <f t="shared" si="20"/>
        <v>#DIV/0!</v>
      </c>
      <c r="BP21" s="16" t="e">
        <f t="shared" si="21"/>
        <v>#DIV/0!</v>
      </c>
      <c r="BQ21" s="16" t="e">
        <f t="shared" si="22"/>
        <v>#DIV/0!</v>
      </c>
      <c r="BR21" s="16">
        <f>(BF21-AP21)*$D$2/'[1]资源-钻石'!L19</f>
        <v>-0.57802002477591718</v>
      </c>
      <c r="BS21" s="16">
        <f>(BG21-AQ21)*$D$2/'[1]资源-钻石'!M19</f>
        <v>-0.57642364664903445</v>
      </c>
      <c r="BT21" s="16">
        <f>(BH21-AR21)*$D$2/'[1]资源-钻石'!N19</f>
        <v>-0.56648332505703969</v>
      </c>
      <c r="BU21" s="16">
        <f>(BI21-AS21)*$D$2/'[1]资源-钻石'!O19</f>
        <v>-0.53819420592798606</v>
      </c>
      <c r="BV21" s="16">
        <f>(BJ21-AT21)*$D$2/'[1]资源-钻石'!P19</f>
        <v>-0.5745840043214171</v>
      </c>
    </row>
    <row r="22" spans="10:74">
      <c r="J22" s="16">
        <v>19</v>
      </c>
      <c r="K22" s="17">
        <f>基础状态预期!C33</f>
        <v>140</v>
      </c>
      <c r="L22" s="17">
        <f>宝物升星!N22</f>
        <v>0</v>
      </c>
      <c r="M22" s="17">
        <f>宝物升星!O22</f>
        <v>0</v>
      </c>
      <c r="N22" s="17">
        <f>宝物升星!P22</f>
        <v>0</v>
      </c>
      <c r="O22" s="17">
        <f>宝物升星!Q22</f>
        <v>6</v>
      </c>
      <c r="P22" s="17">
        <f>基础状态预期!I33</f>
        <v>0</v>
      </c>
      <c r="Q22" s="17">
        <f>基础状态预期!J33</f>
        <v>0</v>
      </c>
      <c r="R22" s="17">
        <f>基础状态预期!K33</f>
        <v>0</v>
      </c>
      <c r="S22" s="17">
        <f>基础状态预期!L33</f>
        <v>6</v>
      </c>
      <c r="T22" s="17">
        <f>IF(L22=0,0,同名需求(P22,L22,C$6))</f>
        <v>0</v>
      </c>
      <c r="U22" s="17">
        <f>IF(M22=0,0,同名需求(Q22,M22,D$6))</f>
        <v>0</v>
      </c>
      <c r="V22" s="17">
        <f>IF(N22=0,0,同名需求(R22,N22,E$6))</f>
        <v>0</v>
      </c>
      <c r="W22" s="17">
        <f>IF(O22=0,0,同名需求(S22,O22,F$6))</f>
        <v>36</v>
      </c>
      <c r="Z22" s="17">
        <f>投放验证!AL33*C$7</f>
        <v>22331.424174727523</v>
      </c>
      <c r="AA22" s="17">
        <f>投放验证!AM33*D$7</f>
        <v>27821.520497570673</v>
      </c>
      <c r="AB22" s="17">
        <f>投放验证!AN33*E$7</f>
        <v>26115.516494244184</v>
      </c>
      <c r="AC22" s="17">
        <f>投放验证!AO33*F$7</f>
        <v>21731.088658992245</v>
      </c>
      <c r="AD22" s="17">
        <f>投放验证!Q33/投放验证!$E$25*投放验证!$E$24/$D$2</f>
        <v>28974.78487865633</v>
      </c>
      <c r="AE22" s="16">
        <v>35208.598396158006</v>
      </c>
      <c r="AF22" s="16">
        <f t="shared" si="11"/>
        <v>3.6063444865231129</v>
      </c>
      <c r="AG22" s="17">
        <f t="shared" si="12"/>
        <v>140</v>
      </c>
      <c r="AH22" s="17">
        <f t="shared" si="0"/>
        <v>0</v>
      </c>
      <c r="AI22" s="17">
        <f t="shared" si="1"/>
        <v>0</v>
      </c>
      <c r="AJ22" s="17">
        <f t="shared" si="2"/>
        <v>0</v>
      </c>
      <c r="AK22" s="17">
        <f t="shared" si="3"/>
        <v>3600</v>
      </c>
      <c r="AL22" s="17">
        <f t="shared" si="13"/>
        <v>123374.33470419094</v>
      </c>
      <c r="AM22" s="16">
        <v>33048.598396158006</v>
      </c>
      <c r="AO22" s="16">
        <v>17</v>
      </c>
      <c r="AP22" s="16">
        <f t="shared" si="4"/>
        <v>143.09307559031106</v>
      </c>
      <c r="AQ22" s="16">
        <f t="shared" si="5"/>
        <v>172.25891985750172</v>
      </c>
      <c r="AR22" s="16">
        <f t="shared" si="6"/>
        <v>233.25673779701276</v>
      </c>
      <c r="AS22" s="16">
        <f t="shared" si="7"/>
        <v>455.50972437482756</v>
      </c>
      <c r="AT22" s="16">
        <f t="shared" si="8"/>
        <v>648.79843758674656</v>
      </c>
      <c r="AX22" s="69">
        <v>140</v>
      </c>
      <c r="AY22" s="17">
        <f>宝物升星!V22</f>
        <v>30240</v>
      </c>
      <c r="AZ22" s="17">
        <f>宝物升星!V48</f>
        <v>30240</v>
      </c>
      <c r="BA22" s="17">
        <f>宝物升星!V74</f>
        <v>30240</v>
      </c>
      <c r="BB22" s="17">
        <f>宝物升星!V100</f>
        <v>30240</v>
      </c>
      <c r="BC22" s="17">
        <f>宝物升星!V126</f>
        <v>30240</v>
      </c>
      <c r="BE22" s="16">
        <v>17</v>
      </c>
      <c r="BF22" s="16">
        <f t="shared" si="14"/>
        <v>0</v>
      </c>
      <c r="BG22" s="16">
        <f t="shared" si="15"/>
        <v>0</v>
      </c>
      <c r="BH22" s="16">
        <f t="shared" si="16"/>
        <v>0</v>
      </c>
      <c r="BI22" s="16">
        <f t="shared" si="17"/>
        <v>0</v>
      </c>
      <c r="BJ22" s="16">
        <f t="shared" si="18"/>
        <v>0</v>
      </c>
      <c r="BM22" s="16" t="e">
        <f t="shared" si="23"/>
        <v>#DIV/0!</v>
      </c>
      <c r="BN22" s="16" t="e">
        <f t="shared" si="19"/>
        <v>#DIV/0!</v>
      </c>
      <c r="BO22" s="16" t="e">
        <f t="shared" si="20"/>
        <v>#DIV/0!</v>
      </c>
      <c r="BP22" s="16" t="e">
        <f t="shared" si="21"/>
        <v>#DIV/0!</v>
      </c>
      <c r="BQ22" s="16" t="e">
        <f t="shared" si="22"/>
        <v>#DIV/0!</v>
      </c>
      <c r="BR22" s="16">
        <f>(BF22-AP22)*$D$2/'[1]资源-钻石'!L20</f>
        <v>-0.56883693640891153</v>
      </c>
      <c r="BS22" s="16">
        <f>(BG22-AQ22)*$D$2/'[1]资源-钻石'!M20</f>
        <v>-0.57012092397001735</v>
      </c>
      <c r="BT22" s="16">
        <f>(BH22-AR22)*$D$2/'[1]资源-钻石'!N20</f>
        <v>-0.56351536957926329</v>
      </c>
      <c r="BU22" s="16">
        <f>(BI22-AS22)*$D$2/'[1]资源-钻石'!O20</f>
        <v>-0.53973465330787074</v>
      </c>
      <c r="BV22" s="16">
        <f>(BJ22-AT22)*$D$2/'[1]资源-钻石'!P20</f>
        <v>-0.55580161696435992</v>
      </c>
    </row>
    <row r="23" spans="10:74">
      <c r="J23" s="16">
        <v>20</v>
      </c>
      <c r="K23" s="17">
        <f>基础状态预期!C34</f>
        <v>145</v>
      </c>
      <c r="L23" s="17">
        <f>宝物升星!N23</f>
        <v>0</v>
      </c>
      <c r="M23" s="17">
        <f>宝物升星!O23</f>
        <v>0</v>
      </c>
      <c r="N23" s="17">
        <f>宝物升星!P23</f>
        <v>0</v>
      </c>
      <c r="O23" s="17">
        <f>宝物升星!Q23</f>
        <v>6</v>
      </c>
      <c r="P23" s="17">
        <f>基础状态预期!I34</f>
        <v>0</v>
      </c>
      <c r="Q23" s="17">
        <f>基础状态预期!J34</f>
        <v>0</v>
      </c>
      <c r="R23" s="17">
        <f>基础状态预期!K34</f>
        <v>0</v>
      </c>
      <c r="S23" s="17">
        <f>基础状态预期!L34</f>
        <v>6</v>
      </c>
      <c r="T23" s="17">
        <f>IF(L23=0,0,同名需求(P23,L23,C$6))</f>
        <v>0</v>
      </c>
      <c r="U23" s="17">
        <f>IF(M23=0,0,同名需求(Q23,M23,D$6))</f>
        <v>0</v>
      </c>
      <c r="V23" s="17">
        <f>IF(N23=0,0,同名需求(R23,N23,E$6))</f>
        <v>0</v>
      </c>
      <c r="W23" s="17">
        <f>IF(O23=0,0,同名需求(S23,O23,F$6))</f>
        <v>36</v>
      </c>
      <c r="Z23" s="17">
        <f>投放验证!AL34*C$7</f>
        <v>31331.279677477665</v>
      </c>
      <c r="AA23" s="17">
        <f>投放验证!AM34*D$7</f>
        <v>38916.341950414091</v>
      </c>
      <c r="AB23" s="17">
        <f>投放验证!AN34*E$7</f>
        <v>36545.607441316279</v>
      </c>
      <c r="AC23" s="17">
        <f>投放验证!AO34*F$7</f>
        <v>30208.696583685058</v>
      </c>
      <c r="AD23" s="17">
        <f>投放验证!Q34/投放验证!$E$25*投放验证!$E$24/$D$2</f>
        <v>40278.262111580087</v>
      </c>
      <c r="AE23" s="16">
        <v>45717.992365581427</v>
      </c>
      <c r="AF23" s="16">
        <f t="shared" si="11"/>
        <v>3.8776896926457716</v>
      </c>
      <c r="AG23" s="17">
        <f t="shared" si="12"/>
        <v>145</v>
      </c>
      <c r="AH23" s="17">
        <f t="shared" si="0"/>
        <v>0</v>
      </c>
      <c r="AI23" s="17">
        <f t="shared" si="1"/>
        <v>0</v>
      </c>
      <c r="AJ23" s="17">
        <f t="shared" si="2"/>
        <v>0</v>
      </c>
      <c r="AK23" s="17">
        <f t="shared" si="3"/>
        <v>3600</v>
      </c>
      <c r="AL23" s="17">
        <f t="shared" si="13"/>
        <v>173680.18776447317</v>
      </c>
      <c r="AM23" s="16">
        <v>43557.992365581427</v>
      </c>
      <c r="AO23" s="16">
        <v>18</v>
      </c>
      <c r="AP23" s="16">
        <f t="shared" si="4"/>
        <v>151.51031533091759</v>
      </c>
      <c r="AQ23" s="16">
        <f t="shared" si="5"/>
        <v>182.3917974961783</v>
      </c>
      <c r="AR23" s="16">
        <f t="shared" si="6"/>
        <v>246.97772237330764</v>
      </c>
      <c r="AS23" s="16">
        <f t="shared" si="7"/>
        <v>482.30441404393503</v>
      </c>
      <c r="AT23" s="16">
        <f t="shared" si="8"/>
        <v>686.96305156243761</v>
      </c>
      <c r="AX23" s="69">
        <v>145</v>
      </c>
      <c r="AY23" s="17">
        <f>宝物升星!V23</f>
        <v>30240</v>
      </c>
      <c r="AZ23" s="17">
        <f>宝物升星!V49</f>
        <v>30240</v>
      </c>
      <c r="BA23" s="17">
        <f>宝物升星!V75</f>
        <v>30240</v>
      </c>
      <c r="BB23" s="17">
        <f>宝物升星!V101</f>
        <v>30240</v>
      </c>
      <c r="BC23" s="17">
        <f>宝物升星!V127</f>
        <v>30240</v>
      </c>
      <c r="BE23" s="16">
        <v>18</v>
      </c>
      <c r="BF23" s="16">
        <f t="shared" si="14"/>
        <v>0</v>
      </c>
      <c r="BG23" s="16">
        <f t="shared" si="15"/>
        <v>0</v>
      </c>
      <c r="BH23" s="16">
        <f t="shared" si="16"/>
        <v>0</v>
      </c>
      <c r="BI23" s="16">
        <f t="shared" si="17"/>
        <v>0</v>
      </c>
      <c r="BJ23" s="16">
        <f t="shared" si="18"/>
        <v>0</v>
      </c>
      <c r="BM23" s="16" t="e">
        <f t="shared" si="23"/>
        <v>#DIV/0!</v>
      </c>
      <c r="BN23" s="16" t="e">
        <f t="shared" si="19"/>
        <v>#DIV/0!</v>
      </c>
      <c r="BO23" s="16" t="e">
        <f t="shared" si="20"/>
        <v>#DIV/0!</v>
      </c>
      <c r="BP23" s="16" t="e">
        <f t="shared" si="21"/>
        <v>#DIV/0!</v>
      </c>
      <c r="BQ23" s="16" t="e">
        <f t="shared" si="22"/>
        <v>#DIV/0!</v>
      </c>
      <c r="BR23" s="16">
        <f>(BF23-AP23)*$D$2/'[1]资源-钻石'!L21</f>
        <v>-0.55816323660467981</v>
      </c>
      <c r="BS23" s="16">
        <f>(BG23-AQ23)*$D$2/'[1]资源-钻石'!M21</f>
        <v>-0.56003864811891535</v>
      </c>
      <c r="BT23" s="16">
        <f>(BH23-AR23)*$D$2/'[1]资源-钻石'!N21</f>
        <v>-0.55473444280380513</v>
      </c>
      <c r="BU23" s="16">
        <f>(BI23-AS23)*$D$2/'[1]资源-钻石'!O21</f>
        <v>-0.53602974969915385</v>
      </c>
      <c r="BV23" s="16">
        <f>(BJ23-AT23)*$D$2/'[1]资源-钻石'!P21</f>
        <v>-0.52974312266400647</v>
      </c>
    </row>
    <row r="24" spans="10:74">
      <c r="J24" s="16">
        <v>21</v>
      </c>
      <c r="K24" s="17">
        <f>基础状态预期!C35</f>
        <v>150</v>
      </c>
      <c r="L24" s="17">
        <f>宝物升星!N24</f>
        <v>0</v>
      </c>
      <c r="M24" s="17">
        <f>宝物升星!O24</f>
        <v>0</v>
      </c>
      <c r="N24" s="17">
        <f>宝物升星!P24</f>
        <v>0</v>
      </c>
      <c r="O24" s="17">
        <f>宝物升星!Q24</f>
        <v>6</v>
      </c>
      <c r="P24" s="17">
        <f>基础状态预期!I35</f>
        <v>0</v>
      </c>
      <c r="Q24" s="17">
        <f>基础状态预期!J35</f>
        <v>0</v>
      </c>
      <c r="R24" s="17">
        <f>基础状态预期!K35</f>
        <v>0</v>
      </c>
      <c r="S24" s="17">
        <f>基础状态预期!L35</f>
        <v>6</v>
      </c>
      <c r="T24" s="17">
        <f>IF(L24=0,0,同名需求(P24,L24,C$6))</f>
        <v>0</v>
      </c>
      <c r="U24" s="17">
        <f>IF(M24=0,0,同名需求(Q24,M24,D$6))</f>
        <v>0</v>
      </c>
      <c r="V24" s="17">
        <f>IF(N24=0,0,同名需求(R24,N24,E$6))</f>
        <v>0</v>
      </c>
      <c r="W24" s="17">
        <f>IF(O24=0,0,同名需求(S24,O24,F$6))</f>
        <v>36</v>
      </c>
      <c r="Z24" s="17">
        <f>投放验证!AL35*C$7</f>
        <v>43931.677387001459</v>
      </c>
      <c r="AA24" s="17">
        <f>投放验证!AM35*D$7</f>
        <v>54394.588918027221</v>
      </c>
      <c r="AB24" s="17">
        <f>投放验证!AN35*E$7</f>
        <v>51105.003512655094</v>
      </c>
      <c r="AC24" s="17">
        <f>投放验证!AO35*F$7</f>
        <v>41943.204683540105</v>
      </c>
      <c r="AD24" s="17">
        <f>投放验证!Q35/投放验证!$E$25*投放验证!$E$24/$D$2</f>
        <v>55924.272911386819</v>
      </c>
      <c r="AE24" s="16">
        <v>60231.185072698769</v>
      </c>
      <c r="AF24" s="16">
        <f t="shared" si="11"/>
        <v>4.1058256966739446</v>
      </c>
      <c r="AG24" s="17">
        <f t="shared" si="12"/>
        <v>150</v>
      </c>
      <c r="AH24" s="17">
        <f t="shared" si="0"/>
        <v>0</v>
      </c>
      <c r="AI24" s="17">
        <f t="shared" si="1"/>
        <v>0</v>
      </c>
      <c r="AJ24" s="17">
        <f t="shared" si="2"/>
        <v>0</v>
      </c>
      <c r="AK24" s="17">
        <f t="shared" si="3"/>
        <v>3600</v>
      </c>
      <c r="AL24" s="17">
        <f t="shared" si="13"/>
        <v>243698.74741261071</v>
      </c>
      <c r="AM24" s="16">
        <v>58071.185072698769</v>
      </c>
      <c r="AO24" s="16">
        <v>19</v>
      </c>
      <c r="AP24" s="16">
        <f t="shared" si="4"/>
        <v>159.92755507152413</v>
      </c>
      <c r="AQ24" s="16">
        <f t="shared" si="5"/>
        <v>192.52467513485487</v>
      </c>
      <c r="AR24" s="16">
        <f t="shared" si="6"/>
        <v>260.69870694960252</v>
      </c>
      <c r="AS24" s="16">
        <f t="shared" si="7"/>
        <v>509.0991037130425</v>
      </c>
      <c r="AT24" s="16">
        <f t="shared" si="8"/>
        <v>725.12766553812867</v>
      </c>
      <c r="AX24" s="69">
        <v>150</v>
      </c>
      <c r="AY24" s="17">
        <f>宝物升星!V24</f>
        <v>30240</v>
      </c>
      <c r="AZ24" s="17">
        <f>宝物升星!V50</f>
        <v>30240</v>
      </c>
      <c r="BA24" s="17">
        <f>宝物升星!V76</f>
        <v>30240</v>
      </c>
      <c r="BB24" s="17">
        <f>宝物升星!V102</f>
        <v>30240</v>
      </c>
      <c r="BC24" s="17">
        <f>宝物升星!V128</f>
        <v>30240</v>
      </c>
      <c r="BE24" s="16">
        <v>19</v>
      </c>
      <c r="BF24" s="16">
        <f t="shared" si="14"/>
        <v>0</v>
      </c>
      <c r="BG24" s="16">
        <f t="shared" si="15"/>
        <v>0</v>
      </c>
      <c r="BH24" s="16">
        <f t="shared" si="16"/>
        <v>0</v>
      </c>
      <c r="BI24" s="16">
        <f t="shared" si="17"/>
        <v>0</v>
      </c>
      <c r="BJ24" s="16">
        <f t="shared" si="18"/>
        <v>0</v>
      </c>
      <c r="BM24" s="16" t="e">
        <f t="shared" si="23"/>
        <v>#DIV/0!</v>
      </c>
      <c r="BN24" s="16" t="e">
        <f t="shared" si="19"/>
        <v>#DIV/0!</v>
      </c>
      <c r="BO24" s="16" t="e">
        <f t="shared" si="20"/>
        <v>#DIV/0!</v>
      </c>
      <c r="BP24" s="16" t="e">
        <f t="shared" si="21"/>
        <v>#DIV/0!</v>
      </c>
      <c r="BQ24" s="16" t="e">
        <f t="shared" si="22"/>
        <v>#DIV/0!</v>
      </c>
      <c r="BR24" s="16">
        <f>(BF24-AP24)*$D$2/'[1]资源-钻石'!L22</f>
        <v>-0.5462701384221712</v>
      </c>
      <c r="BS24" s="16">
        <f>(BG24-AQ24)*$D$2/'[1]资源-钻石'!M22</f>
        <v>-0.54889438993605733</v>
      </c>
      <c r="BT24" s="16">
        <f>(BH24-AR24)*$D$2/'[1]资源-钻石'!N22</f>
        <v>-0.54642670004081484</v>
      </c>
      <c r="BU24" s="16">
        <f>(BI24-AS24)*$D$2/'[1]资源-钻石'!O22</f>
        <v>-0.53263886743215605</v>
      </c>
      <c r="BV24" s="16">
        <f>(BJ24-AT24)*$D$2/'[1]资源-钻石'!P22</f>
        <v>-0.50542758375400687</v>
      </c>
    </row>
    <row r="25" spans="10:74">
      <c r="J25" s="16">
        <v>22</v>
      </c>
      <c r="K25" s="17">
        <f>基础状态预期!C36</f>
        <v>155</v>
      </c>
      <c r="L25" s="17">
        <f>宝物升星!N25</f>
        <v>0</v>
      </c>
      <c r="M25" s="17">
        <f>宝物升星!O25</f>
        <v>0</v>
      </c>
      <c r="N25" s="17">
        <f>宝物升星!P25</f>
        <v>0</v>
      </c>
      <c r="O25" s="17">
        <f>宝物升星!Q25</f>
        <v>6</v>
      </c>
      <c r="P25" s="17">
        <f>基础状态预期!I36</f>
        <v>0</v>
      </c>
      <c r="Q25" s="17">
        <f>基础状态预期!J36</f>
        <v>0</v>
      </c>
      <c r="R25" s="17">
        <f>基础状态预期!K36</f>
        <v>0</v>
      </c>
      <c r="S25" s="17">
        <f>基础状态预期!L36</f>
        <v>6</v>
      </c>
      <c r="T25" s="17">
        <f>IF(L25=0,0,同名需求(P25,L25,C$6))</f>
        <v>0</v>
      </c>
      <c r="U25" s="17">
        <f>IF(M25=0,0,同名需求(Q25,M25,D$6))</f>
        <v>0</v>
      </c>
      <c r="V25" s="17">
        <f>IF(N25=0,0,同名需求(R25,N25,E$6))</f>
        <v>0</v>
      </c>
      <c r="W25" s="17">
        <f>IF(O25=0,0,同名需求(S25,O25,F$6))</f>
        <v>36</v>
      </c>
      <c r="Z25" s="17">
        <f>投放验证!AL36*C$7</f>
        <v>61748.294525340083</v>
      </c>
      <c r="AA25" s="17">
        <f>投放验证!AM36*D$7</f>
        <v>76279.075378444599</v>
      </c>
      <c r="AB25" s="17">
        <f>投放验证!AN36*E$7</f>
        <v>71690.544606056763</v>
      </c>
      <c r="AC25" s="17">
        <f>投放验证!AO36*F$7</f>
        <v>58532.232798602388</v>
      </c>
      <c r="AD25" s="17">
        <f>投放验证!Q36/投放验证!$E$25*投放验证!$E$24/$D$2</f>
        <v>78042.977064803199</v>
      </c>
      <c r="AE25" s="16">
        <v>80406.604255675236</v>
      </c>
      <c r="AF25" s="16">
        <f t="shared" si="11"/>
        <v>4.3067746434373895</v>
      </c>
      <c r="AG25" s="17">
        <f t="shared" si="12"/>
        <v>155</v>
      </c>
      <c r="AH25" s="17">
        <f t="shared" si="0"/>
        <v>0</v>
      </c>
      <c r="AI25" s="17">
        <f t="shared" si="1"/>
        <v>0</v>
      </c>
      <c r="AJ25" s="17">
        <f t="shared" si="2"/>
        <v>0</v>
      </c>
      <c r="AK25" s="17">
        <f t="shared" si="3"/>
        <v>3600</v>
      </c>
      <c r="AL25" s="17">
        <f t="shared" si="13"/>
        <v>342693.12437324703</v>
      </c>
      <c r="AM25" s="16">
        <v>78246.604255675236</v>
      </c>
      <c r="AO25" s="16">
        <v>20</v>
      </c>
      <c r="AP25" s="16">
        <f t="shared" si="4"/>
        <v>168.34479481213066</v>
      </c>
      <c r="AQ25" s="16">
        <f t="shared" si="5"/>
        <v>202.65755277353145</v>
      </c>
      <c r="AR25" s="16">
        <f t="shared" si="6"/>
        <v>274.41969152589741</v>
      </c>
      <c r="AS25" s="16">
        <f t="shared" si="7"/>
        <v>535.89379338215008</v>
      </c>
      <c r="AT25" s="16">
        <f t="shared" si="8"/>
        <v>763.29227951381949</v>
      </c>
      <c r="AX25" s="69">
        <v>155</v>
      </c>
      <c r="AY25" s="17">
        <f>宝物升星!V25</f>
        <v>30240</v>
      </c>
      <c r="AZ25" s="17">
        <f>宝物升星!V51</f>
        <v>30240</v>
      </c>
      <c r="BA25" s="17">
        <f>宝物升星!V77</f>
        <v>30240</v>
      </c>
      <c r="BB25" s="17">
        <f>宝物升星!V103</f>
        <v>30240</v>
      </c>
      <c r="BC25" s="17">
        <f>宝物升星!V129</f>
        <v>30240</v>
      </c>
      <c r="BE25" s="16">
        <v>20</v>
      </c>
      <c r="BF25" s="16">
        <f t="shared" si="14"/>
        <v>0</v>
      </c>
      <c r="BG25" s="16">
        <f t="shared" si="15"/>
        <v>0</v>
      </c>
      <c r="BH25" s="16">
        <f t="shared" si="16"/>
        <v>0</v>
      </c>
      <c r="BI25" s="16">
        <f t="shared" si="17"/>
        <v>0</v>
      </c>
      <c r="BJ25" s="16">
        <f t="shared" si="18"/>
        <v>0</v>
      </c>
      <c r="BM25" s="16" t="e">
        <f t="shared" si="23"/>
        <v>#DIV/0!</v>
      </c>
      <c r="BN25" s="16" t="e">
        <f t="shared" si="19"/>
        <v>#DIV/0!</v>
      </c>
      <c r="BO25" s="16" t="e">
        <f t="shared" si="20"/>
        <v>#DIV/0!</v>
      </c>
      <c r="BP25" s="16" t="e">
        <f t="shared" si="21"/>
        <v>#DIV/0!</v>
      </c>
      <c r="BQ25" s="16" t="e">
        <f t="shared" si="22"/>
        <v>#DIV/0!</v>
      </c>
      <c r="BR25" s="16">
        <f>(BF25-AP25)*$D$2/'[1]资源-钻石'!L23</f>
        <v>-0.53339303555661632</v>
      </c>
      <c r="BS25" s="16">
        <f>(BG25-AQ25)*$D$2/'[1]资源-钻石'!M23</f>
        <v>-0.53786749132610534</v>
      </c>
      <c r="BT25" s="16">
        <f>(BH25-AR25)*$D$2/'[1]资源-钻石'!N23</f>
        <v>-0.5383748456305576</v>
      </c>
      <c r="BU25" s="16">
        <f>(BI25-AS25)*$D$2/'[1]资源-钻石'!O23</f>
        <v>-0.52794964772684172</v>
      </c>
      <c r="BV25" s="16">
        <f>(BJ25-AT25)*$D$2/'[1]资源-钻石'!P23</f>
        <v>-0.48535049954666232</v>
      </c>
    </row>
    <row r="26" spans="10:74">
      <c r="J26" s="16">
        <v>23</v>
      </c>
      <c r="K26" s="17">
        <f>基础状态预期!C37</f>
        <v>160</v>
      </c>
      <c r="L26" s="17">
        <f>宝物升星!N26</f>
        <v>0</v>
      </c>
      <c r="M26" s="17">
        <f>宝物升星!O26</f>
        <v>0</v>
      </c>
      <c r="N26" s="17">
        <f>宝物升星!P26</f>
        <v>0</v>
      </c>
      <c r="O26" s="17">
        <f>宝物升星!Q26</f>
        <v>6</v>
      </c>
      <c r="P26" s="17">
        <f>基础状态预期!I37</f>
        <v>0</v>
      </c>
      <c r="Q26" s="17">
        <f>基础状态预期!J37</f>
        <v>0</v>
      </c>
      <c r="R26" s="17">
        <f>基础状态预期!K37</f>
        <v>0</v>
      </c>
      <c r="S26" s="17">
        <f>基础状态预期!L37</f>
        <v>6</v>
      </c>
      <c r="T26" s="17">
        <f>IF(L26=0,0,同名需求(P26,L26,C$6))</f>
        <v>0</v>
      </c>
      <c r="U26" s="17">
        <f>IF(M26=0,0,同名需求(Q26,M26,D$6))</f>
        <v>0</v>
      </c>
      <c r="V26" s="17">
        <f>IF(N26=0,0,同名需求(R26,N26,E$6))</f>
        <v>0</v>
      </c>
      <c r="W26" s="17">
        <f>IF(O26=0,0,同名需求(S26,O26,F$6))</f>
        <v>36</v>
      </c>
      <c r="Z26" s="17">
        <f>投放验证!AL37*C$7</f>
        <v>86724.893412611258</v>
      </c>
      <c r="AA26" s="17">
        <f>投放验证!AM37*D$7</f>
        <v>106861.9084273769</v>
      </c>
      <c r="AB26" s="17">
        <f>投放验证!AN37*E$7</f>
        <v>100473.04195106978</v>
      </c>
      <c r="AC26" s="17">
        <f>投放验证!AO37*F$7</f>
        <v>81552.855934759689</v>
      </c>
      <c r="AD26" s="17">
        <f>投放验证!Q37/投放验证!$E$25*投放验证!$E$24/$D$2</f>
        <v>108737.14124634628</v>
      </c>
      <c r="AE26" s="16">
        <v>108589.62091403952</v>
      </c>
      <c r="AF26" s="16">
        <f t="shared" si="11"/>
        <v>4.4603695721120475</v>
      </c>
      <c r="AG26" s="17">
        <f t="shared" si="12"/>
        <v>160</v>
      </c>
      <c r="AH26" s="17">
        <f t="shared" si="0"/>
        <v>0</v>
      </c>
      <c r="AI26" s="17">
        <f t="shared" si="1"/>
        <v>0</v>
      </c>
      <c r="AJ26" s="17">
        <f t="shared" si="2"/>
        <v>0</v>
      </c>
      <c r="AK26" s="17">
        <f t="shared" si="3"/>
        <v>3600</v>
      </c>
      <c r="AL26" s="17">
        <f t="shared" si="13"/>
        <v>480749.84097216395</v>
      </c>
      <c r="AM26" s="16">
        <v>106429.62091403952</v>
      </c>
      <c r="AO26" s="16">
        <v>21</v>
      </c>
      <c r="AP26" s="16">
        <f t="shared" si="4"/>
        <v>176.76203455273719</v>
      </c>
      <c r="AQ26" s="16">
        <f t="shared" si="5"/>
        <v>212.79043041220802</v>
      </c>
      <c r="AR26" s="16">
        <f t="shared" si="6"/>
        <v>288.14067610219223</v>
      </c>
      <c r="AS26" s="16">
        <f t="shared" si="7"/>
        <v>562.68848305125755</v>
      </c>
      <c r="AT26" s="16">
        <f t="shared" si="8"/>
        <v>801.45689348951055</v>
      </c>
      <c r="AX26" s="69">
        <v>160</v>
      </c>
      <c r="AY26" s="17">
        <f>宝物升星!V26</f>
        <v>30240</v>
      </c>
      <c r="AZ26" s="17">
        <f>宝物升星!V52</f>
        <v>30240</v>
      </c>
      <c r="BA26" s="17">
        <f>宝物升星!V78</f>
        <v>30240</v>
      </c>
      <c r="BB26" s="17">
        <f>宝物升星!V104</f>
        <v>30240</v>
      </c>
      <c r="BC26" s="17">
        <f>宝物升星!V130</f>
        <v>30240</v>
      </c>
      <c r="BE26" s="16">
        <v>21</v>
      </c>
      <c r="BF26" s="16">
        <f t="shared" si="14"/>
        <v>0</v>
      </c>
      <c r="BG26" s="16">
        <f t="shared" si="15"/>
        <v>0</v>
      </c>
      <c r="BH26" s="16">
        <f t="shared" si="16"/>
        <v>0</v>
      </c>
      <c r="BI26" s="16">
        <f t="shared" si="17"/>
        <v>0</v>
      </c>
      <c r="BJ26" s="16">
        <f t="shared" si="18"/>
        <v>0</v>
      </c>
      <c r="BM26" s="16" t="e">
        <f t="shared" si="23"/>
        <v>#DIV/0!</v>
      </c>
      <c r="BN26" s="16" t="e">
        <f t="shared" si="19"/>
        <v>#DIV/0!</v>
      </c>
      <c r="BO26" s="16" t="e">
        <f t="shared" si="20"/>
        <v>#DIV/0!</v>
      </c>
      <c r="BP26" s="16" t="e">
        <f t="shared" si="21"/>
        <v>#DIV/0!</v>
      </c>
      <c r="BQ26" s="16" t="e">
        <f t="shared" si="22"/>
        <v>#DIV/0!</v>
      </c>
      <c r="BR26" s="16">
        <f>(BF26-AP26)*$D$2/'[1]资源-钻石'!L24</f>
        <v>-0.51973628953085715</v>
      </c>
      <c r="BS26" s="16">
        <f>(BG26-AQ26)*$D$2/'[1]资源-钻石'!M24</f>
        <v>-0.52562777623855605</v>
      </c>
      <c r="BT26" s="16">
        <f>(BH26-AR26)*$D$2/'[1]资源-钻石'!N24</f>
        <v>-0.5273270548404777</v>
      </c>
      <c r="BU26" s="16">
        <f>(BI26-AS26)*$D$2/'[1]资源-钻石'!O24</f>
        <v>-0.52052359140967264</v>
      </c>
      <c r="BV26" s="16">
        <f>(BJ26-AT26)*$D$2/'[1]资源-钻石'!P24</f>
        <v>-0.46148922364965844</v>
      </c>
    </row>
    <row r="27" spans="10:74">
      <c r="J27" s="16">
        <v>24</v>
      </c>
      <c r="AF27" s="16" t="e">
        <f t="shared" si="11"/>
        <v>#DIV/0!</v>
      </c>
      <c r="AO27" s="16">
        <v>22</v>
      </c>
      <c r="AP27" s="16">
        <f t="shared" si="4"/>
        <v>185.17927429334372</v>
      </c>
      <c r="AQ27" s="16">
        <f t="shared" si="5"/>
        <v>222.9233080508846</v>
      </c>
      <c r="AR27" s="16">
        <f t="shared" si="6"/>
        <v>301.86166067848711</v>
      </c>
      <c r="AS27" s="16">
        <f t="shared" si="7"/>
        <v>589.48317272036502</v>
      </c>
      <c r="AT27" s="16">
        <f t="shared" si="8"/>
        <v>839.62150746520138</v>
      </c>
      <c r="BE27" s="16">
        <v>22</v>
      </c>
      <c r="BF27" s="16">
        <f t="shared" si="14"/>
        <v>0</v>
      </c>
      <c r="BG27" s="16">
        <f t="shared" si="15"/>
        <v>0</v>
      </c>
      <c r="BH27" s="16">
        <f t="shared" si="16"/>
        <v>0</v>
      </c>
      <c r="BI27" s="16">
        <f t="shared" si="17"/>
        <v>0</v>
      </c>
      <c r="BJ27" s="16">
        <f t="shared" si="18"/>
        <v>0</v>
      </c>
      <c r="BM27" s="16" t="e">
        <f t="shared" si="23"/>
        <v>#DIV/0!</v>
      </c>
      <c r="BN27" s="16" t="e">
        <f t="shared" si="19"/>
        <v>#DIV/0!</v>
      </c>
      <c r="BO27" s="16" t="e">
        <f t="shared" si="20"/>
        <v>#DIV/0!</v>
      </c>
      <c r="BP27" s="16" t="e">
        <f t="shared" si="21"/>
        <v>#DIV/0!</v>
      </c>
      <c r="BQ27" s="16" t="e">
        <f t="shared" si="22"/>
        <v>#DIV/0!</v>
      </c>
      <c r="BR27" s="16">
        <f>(BF27-AP27)*$D$2/'[1]资源-钻石'!L25</f>
        <v>-0.50547729878236369</v>
      </c>
      <c r="BS27" s="16">
        <f>(BG27-AQ27)*$D$2/'[1]资源-钻石'!M25</f>
        <v>-0.51174484602810066</v>
      </c>
      <c r="BT27" s="16">
        <f>(BH27-AR27)*$D$2/'[1]资源-钻石'!N25</f>
        <v>-0.51475621100349356</v>
      </c>
      <c r="BU27" s="16">
        <f>(BI27-AS27)*$D$2/'[1]资源-钻石'!O25</f>
        <v>-0.51118738259259455</v>
      </c>
      <c r="BV27" s="16">
        <f>(BJ27-AT27)*$D$2/'[1]资源-钻石'!P25</f>
        <v>-0.45295885841796929</v>
      </c>
    </row>
    <row r="28" spans="10:74">
      <c r="J28" s="16">
        <v>25</v>
      </c>
      <c r="AF28" s="16" t="e">
        <f t="shared" si="11"/>
        <v>#DIV/0!</v>
      </c>
      <c r="AO28" s="16">
        <v>23</v>
      </c>
      <c r="AP28" s="16">
        <f t="shared" si="4"/>
        <v>193.59651403395026</v>
      </c>
      <c r="AQ28" s="16">
        <f t="shared" si="5"/>
        <v>233.05618568956118</v>
      </c>
      <c r="AR28" s="16">
        <f t="shared" si="6"/>
        <v>315.58264525478199</v>
      </c>
      <c r="AS28" s="16">
        <f t="shared" si="7"/>
        <v>616.27786238947249</v>
      </c>
      <c r="AT28" s="16">
        <f t="shared" si="8"/>
        <v>877.78612144089243</v>
      </c>
      <c r="BE28" s="16">
        <v>23</v>
      </c>
      <c r="BF28" s="16">
        <f t="shared" si="14"/>
        <v>0</v>
      </c>
      <c r="BG28" s="16">
        <f t="shared" si="15"/>
        <v>0</v>
      </c>
      <c r="BH28" s="16">
        <f t="shared" si="16"/>
        <v>0</v>
      </c>
      <c r="BI28" s="16">
        <f t="shared" si="17"/>
        <v>0</v>
      </c>
      <c r="BJ28" s="16">
        <f t="shared" si="18"/>
        <v>0</v>
      </c>
      <c r="BM28" s="16" t="e">
        <f t="shared" si="23"/>
        <v>#DIV/0!</v>
      </c>
      <c r="BN28" s="16" t="e">
        <f t="shared" si="19"/>
        <v>#DIV/0!</v>
      </c>
      <c r="BO28" s="16" t="e">
        <f t="shared" si="20"/>
        <v>#DIV/0!</v>
      </c>
      <c r="BP28" s="16" t="e">
        <f t="shared" si="21"/>
        <v>#DIV/0!</v>
      </c>
      <c r="BQ28" s="16" t="e">
        <f t="shared" si="22"/>
        <v>#DIV/0!</v>
      </c>
      <c r="BR28" s="16">
        <f>(BF28-AP28)*$D$2/'[1]资源-钻石'!L26</f>
        <v>-0.49076997300437858</v>
      </c>
      <c r="BS28" s="16">
        <f>(BG28-AQ28)*$D$2/'[1]资源-钻石'!M26</f>
        <v>-0.4983038627869576</v>
      </c>
      <c r="BT28" s="16">
        <f>(BH28-AR28)*$D$2/'[1]资源-钻石'!N26</f>
        <v>-0.50333734381551443</v>
      </c>
      <c r="BU28" s="16">
        <f>(BI28-AS28)*$D$2/'[1]资源-钻石'!O26</f>
        <v>-0.50283115749157414</v>
      </c>
      <c r="BV28" s="16">
        <f>(BJ28-AT28)*$D$2/'[1]资源-钻石'!P26</f>
        <v>-0.45187097741503512</v>
      </c>
    </row>
    <row r="29" spans="10:74">
      <c r="J29" s="16">
        <v>26</v>
      </c>
      <c r="AF29" s="16" t="e">
        <f t="shared" si="11"/>
        <v>#DIV/0!</v>
      </c>
      <c r="AO29" s="16">
        <v>24</v>
      </c>
      <c r="AP29" s="16">
        <f t="shared" si="4"/>
        <v>202.01375377455679</v>
      </c>
      <c r="AQ29" s="16">
        <f t="shared" si="5"/>
        <v>243.18906332823775</v>
      </c>
      <c r="AR29" s="16">
        <f t="shared" si="6"/>
        <v>329.30362983107682</v>
      </c>
      <c r="AS29" s="16">
        <f t="shared" si="7"/>
        <v>643.07255205858007</v>
      </c>
      <c r="AT29" s="16">
        <f t="shared" si="8"/>
        <v>915.95073541658348</v>
      </c>
      <c r="AX29" s="16">
        <v>50</v>
      </c>
      <c r="AY29" s="16">
        <v>0</v>
      </c>
      <c r="AZ29" s="16">
        <v>0</v>
      </c>
      <c r="BA29" s="16">
        <v>0</v>
      </c>
      <c r="BB29" s="16">
        <v>0</v>
      </c>
      <c r="BC29" s="16">
        <v>0</v>
      </c>
      <c r="BE29" s="16">
        <v>24</v>
      </c>
      <c r="BF29" s="16">
        <f t="shared" si="14"/>
        <v>0</v>
      </c>
      <c r="BG29" s="16">
        <f t="shared" si="15"/>
        <v>0</v>
      </c>
      <c r="BH29" s="16">
        <f t="shared" si="16"/>
        <v>0</v>
      </c>
      <c r="BI29" s="16">
        <f t="shared" si="17"/>
        <v>0</v>
      </c>
      <c r="BJ29" s="16">
        <f t="shared" si="18"/>
        <v>0</v>
      </c>
      <c r="BM29" s="16" t="e">
        <f t="shared" si="23"/>
        <v>#DIV/0!</v>
      </c>
      <c r="BN29" s="16" t="e">
        <f t="shared" si="19"/>
        <v>#DIV/0!</v>
      </c>
      <c r="BO29" s="16" t="e">
        <f t="shared" si="20"/>
        <v>#DIV/0!</v>
      </c>
      <c r="BP29" s="16" t="e">
        <f t="shared" si="21"/>
        <v>#DIV/0!</v>
      </c>
      <c r="BQ29" s="16" t="e">
        <f t="shared" si="22"/>
        <v>#DIV/0!</v>
      </c>
      <c r="BR29" s="16">
        <f>(BF29-AP29)*$D$2/'[1]资源-钻石'!L27</f>
        <v>-0.47574771226433354</v>
      </c>
      <c r="BS29" s="16">
        <f>(BG29-AQ29)*$D$2/'[1]资源-钻石'!M27</f>
        <v>-0.48336515811792502</v>
      </c>
      <c r="BT29" s="16">
        <f>(BH29-AR29)*$D$2/'[1]资源-钻石'!N27</f>
        <v>-0.48920571659931428</v>
      </c>
      <c r="BU29" s="16">
        <f>(BI29-AS29)*$D$2/'[1]资源-钻石'!O27</f>
        <v>-0.49178395547584985</v>
      </c>
      <c r="BV29" s="16">
        <f>(BJ29-AT29)*$D$2/'[1]资源-钻石'!P27</f>
        <v>-0.44742630102328024</v>
      </c>
    </row>
    <row r="30" spans="10:74">
      <c r="J30" s="16">
        <v>1</v>
      </c>
      <c r="K30" s="17" t="s">
        <v>75</v>
      </c>
      <c r="L30" s="170" t="s">
        <v>436</v>
      </c>
      <c r="M30" s="170"/>
      <c r="N30" s="170"/>
      <c r="O30" s="170"/>
      <c r="P30" s="170" t="s">
        <v>437</v>
      </c>
      <c r="Q30" s="170"/>
      <c r="R30" s="170"/>
      <c r="S30" s="170"/>
      <c r="T30" s="170" t="s">
        <v>438</v>
      </c>
      <c r="U30" s="170"/>
      <c r="V30" s="170"/>
      <c r="W30" s="170"/>
      <c r="Z30" s="170" t="s">
        <v>462</v>
      </c>
      <c r="AA30" s="170"/>
      <c r="AB30" s="170"/>
      <c r="AC30" s="170"/>
      <c r="AD30" s="178" t="s">
        <v>464</v>
      </c>
      <c r="AF30" s="16" t="e">
        <f t="shared" si="11"/>
        <v>#DIV/0!</v>
      </c>
      <c r="AG30" s="17" t="s">
        <v>75</v>
      </c>
      <c r="AH30" s="170" t="s">
        <v>440</v>
      </c>
      <c r="AI30" s="170"/>
      <c r="AJ30" s="170"/>
      <c r="AK30" s="170"/>
      <c r="AL30" s="178" t="s">
        <v>441</v>
      </c>
      <c r="AM30" s="16" t="s">
        <v>441</v>
      </c>
      <c r="AO30" s="16">
        <v>25</v>
      </c>
      <c r="AP30" s="16">
        <f t="shared" si="4"/>
        <v>210.43099351516332</v>
      </c>
      <c r="AQ30" s="16">
        <f t="shared" si="5"/>
        <v>253.32194096691433</v>
      </c>
      <c r="AR30" s="16">
        <f t="shared" si="6"/>
        <v>343.0246144073717</v>
      </c>
      <c r="AS30" s="16">
        <f t="shared" si="7"/>
        <v>669.86724172768754</v>
      </c>
      <c r="AT30" s="16">
        <f t="shared" si="8"/>
        <v>954.11534939227442</v>
      </c>
      <c r="AX30" s="16">
        <v>60</v>
      </c>
      <c r="AY30" s="16">
        <v>61.862860906201007</v>
      </c>
      <c r="AZ30" s="16">
        <v>81.877165418446609</v>
      </c>
      <c r="BA30" s="16">
        <v>255.38694859736401</v>
      </c>
      <c r="BB30" s="16">
        <v>6178.6715721402634</v>
      </c>
      <c r="BC30" s="16">
        <v>6398.1011554865372</v>
      </c>
      <c r="BE30" s="16">
        <v>25</v>
      </c>
      <c r="BF30" s="16">
        <f t="shared" si="14"/>
        <v>0</v>
      </c>
      <c r="BG30" s="16">
        <f t="shared" si="15"/>
        <v>0</v>
      </c>
      <c r="BH30" s="16">
        <f t="shared" si="16"/>
        <v>0</v>
      </c>
      <c r="BI30" s="16">
        <f t="shared" si="17"/>
        <v>0</v>
      </c>
      <c r="BJ30" s="16">
        <f t="shared" si="18"/>
        <v>0</v>
      </c>
      <c r="BM30" s="16" t="e">
        <f t="shared" si="23"/>
        <v>#DIV/0!</v>
      </c>
      <c r="BN30" s="16" t="e">
        <f t="shared" si="19"/>
        <v>#DIV/0!</v>
      </c>
      <c r="BO30" s="16" t="e">
        <f t="shared" si="20"/>
        <v>#DIV/0!</v>
      </c>
      <c r="BP30" s="16" t="e">
        <f t="shared" si="21"/>
        <v>#DIV/0!</v>
      </c>
      <c r="BQ30" s="16" t="e">
        <f t="shared" si="22"/>
        <v>#DIV/0!</v>
      </c>
      <c r="BR30" s="16">
        <f>(BF30-AP30)*$D$2/'[1]资源-钻石'!L28</f>
        <v>-0.46052597165621961</v>
      </c>
      <c r="BS30" s="16">
        <f>(BG30-AQ30)*$D$2/'[1]资源-钻石'!M28</f>
        <v>-0.46847987185592455</v>
      </c>
      <c r="BT30" s="16">
        <f>(BH30-AR30)*$D$2/'[1]资源-钻石'!N28</f>
        <v>-0.47559180793623695</v>
      </c>
      <c r="BU30" s="16">
        <f>(BI30-AS30)*$D$2/'[1]资源-钻石'!O28</f>
        <v>-0.48063990916814459</v>
      </c>
      <c r="BV30" s="16">
        <f>(BJ30-AT30)*$D$2/'[1]资源-钻石'!P28</f>
        <v>-0.44289782002512729</v>
      </c>
    </row>
    <row r="31" spans="10:74">
      <c r="J31" s="16">
        <v>2</v>
      </c>
      <c r="K31" s="17" t="s">
        <v>161</v>
      </c>
      <c r="L31" s="17" t="s">
        <v>1</v>
      </c>
      <c r="M31" s="17" t="s">
        <v>2</v>
      </c>
      <c r="N31" s="17" t="s">
        <v>0</v>
      </c>
      <c r="O31" s="17" t="s">
        <v>205</v>
      </c>
      <c r="P31" s="17" t="s">
        <v>1</v>
      </c>
      <c r="Q31" s="17" t="s">
        <v>2</v>
      </c>
      <c r="R31" s="17" t="s">
        <v>0</v>
      </c>
      <c r="S31" s="17" t="s">
        <v>205</v>
      </c>
      <c r="T31" s="17" t="s">
        <v>1</v>
      </c>
      <c r="U31" s="17" t="s">
        <v>2</v>
      </c>
      <c r="V31" s="17" t="s">
        <v>0</v>
      </c>
      <c r="W31" s="17" t="s">
        <v>205</v>
      </c>
      <c r="Z31" s="17" t="s">
        <v>1</v>
      </c>
      <c r="AA31" s="17" t="s">
        <v>2</v>
      </c>
      <c r="AB31" s="17" t="s">
        <v>0</v>
      </c>
      <c r="AC31" s="17" t="s">
        <v>205</v>
      </c>
      <c r="AD31" s="178"/>
      <c r="AF31" s="16" t="e">
        <f t="shared" si="11"/>
        <v>#DIV/0!</v>
      </c>
      <c r="AG31" s="17" t="s">
        <v>161</v>
      </c>
      <c r="AH31" s="17" t="s">
        <v>1</v>
      </c>
      <c r="AI31" s="17" t="s">
        <v>2</v>
      </c>
      <c r="AJ31" s="17" t="s">
        <v>0</v>
      </c>
      <c r="AK31" s="17" t="s">
        <v>205</v>
      </c>
      <c r="AL31" s="178"/>
      <c r="AO31" s="16">
        <v>26</v>
      </c>
      <c r="AP31" s="16">
        <f t="shared" si="4"/>
        <v>218.84823325576986</v>
      </c>
      <c r="AQ31" s="16">
        <f t="shared" si="5"/>
        <v>263.4548186055909</v>
      </c>
      <c r="AR31" s="16">
        <f t="shared" si="6"/>
        <v>356.74559898366658</v>
      </c>
      <c r="AS31" s="16">
        <f t="shared" si="7"/>
        <v>696.66193139679501</v>
      </c>
      <c r="AT31" s="16">
        <f t="shared" si="8"/>
        <v>992.27996336796537</v>
      </c>
      <c r="AX31" s="16">
        <v>70</v>
      </c>
      <c r="AY31" s="16">
        <v>344.91333265237154</v>
      </c>
      <c r="AZ31" s="16">
        <v>672.54144352340779</v>
      </c>
      <c r="BA31" s="16">
        <v>2755.638709218149</v>
      </c>
      <c r="BB31" s="16">
        <v>6178.6715721402634</v>
      </c>
      <c r="BC31" s="16">
        <v>6398.1011554865372</v>
      </c>
      <c r="BE31" s="16">
        <v>26</v>
      </c>
      <c r="BF31" s="16">
        <f t="shared" si="14"/>
        <v>0</v>
      </c>
      <c r="BG31" s="16">
        <f t="shared" si="15"/>
        <v>0</v>
      </c>
      <c r="BH31" s="16">
        <f t="shared" si="16"/>
        <v>0</v>
      </c>
      <c r="BI31" s="16">
        <f t="shared" si="17"/>
        <v>0</v>
      </c>
      <c r="BJ31" s="16">
        <f t="shared" si="18"/>
        <v>0</v>
      </c>
      <c r="BM31" s="16" t="e">
        <f t="shared" si="23"/>
        <v>#DIV/0!</v>
      </c>
      <c r="BN31" s="16" t="e">
        <f t="shared" si="19"/>
        <v>#DIV/0!</v>
      </c>
      <c r="BO31" s="16" t="e">
        <f t="shared" si="20"/>
        <v>#DIV/0!</v>
      </c>
      <c r="BP31" s="16" t="e">
        <f t="shared" si="21"/>
        <v>#DIV/0!</v>
      </c>
      <c r="BQ31" s="16" t="e">
        <f t="shared" si="22"/>
        <v>#DIV/0!</v>
      </c>
      <c r="BR31" s="16">
        <f>(BF31-AP31)*$D$2/'[1]资源-钻石'!L29</f>
        <v>-0.44520447737668117</v>
      </c>
      <c r="BS31" s="16">
        <f>(BG31-AQ31)*$D$2/'[1]资源-钻石'!M29</f>
        <v>-0.45360811816252922</v>
      </c>
      <c r="BT31" s="16">
        <f>(BH31-AR31)*$D$2/'[1]资源-钻石'!N29</f>
        <v>-0.46179068793820627</v>
      </c>
      <c r="BU31" s="16">
        <f>(BI31-AS31)*$D$2/'[1]资源-钻石'!O29</f>
        <v>-0.46960619801741749</v>
      </c>
      <c r="BV31" s="16">
        <f>(BJ31-AT31)*$D$2/'[1]资源-钻石'!P29</f>
        <v>-0.43724424852800886</v>
      </c>
    </row>
    <row r="32" spans="10:74">
      <c r="J32" s="16">
        <v>3</v>
      </c>
      <c r="K32" s="17">
        <f>基础状态预期!C43</f>
        <v>50</v>
      </c>
      <c r="L32" s="17">
        <f>宝物升星!N32</f>
        <v>0</v>
      </c>
      <c r="M32" s="17">
        <f>宝物升星!O32</f>
        <v>0</v>
      </c>
      <c r="N32" s="17">
        <f>宝物升星!P32</f>
        <v>0</v>
      </c>
      <c r="O32" s="17">
        <f>宝物升星!Q32</f>
        <v>0</v>
      </c>
      <c r="P32" s="17">
        <f>基础状态预期!I43</f>
        <v>0</v>
      </c>
      <c r="Q32" s="17">
        <f>基础状态预期!J43</f>
        <v>0</v>
      </c>
      <c r="R32" s="17">
        <f>基础状态预期!K43</f>
        <v>0</v>
      </c>
      <c r="S32" s="17">
        <f>基础状态预期!L43</f>
        <v>0</v>
      </c>
      <c r="T32" s="17">
        <f>IF(L32=0,0,同名需求(P32,L32,C$6))</f>
        <v>0</v>
      </c>
      <c r="U32" s="17">
        <f>IF(M32=0,0,同名需求(Q32,M32,D$6))</f>
        <v>0</v>
      </c>
      <c r="V32" s="17">
        <f>IF(N32=0,0,同名需求(R32,N32,E$6))</f>
        <v>0</v>
      </c>
      <c r="W32" s="17">
        <f>IF(O32=0,0,同名需求(S32,O32,F$6))</f>
        <v>0</v>
      </c>
      <c r="Z32" s="17">
        <f>投放验证!AL43*C$7</f>
        <v>59.135655388735323</v>
      </c>
      <c r="AA32" s="17">
        <f>投放验证!AM43*D$7</f>
        <v>97.475213647892204</v>
      </c>
      <c r="AB32" s="17">
        <f>投放验证!AN43*E$7</f>
        <v>89.245589083102999</v>
      </c>
      <c r="AC32" s="17">
        <f>投放验证!AO43*F$7</f>
        <v>111.76603877747064</v>
      </c>
      <c r="AD32" s="17">
        <f>投放验证!Q43/投放验证!$E$25*投放验证!$E$24/$D$2</f>
        <v>149.02138503662752</v>
      </c>
      <c r="AE32" s="16">
        <v>352.29060903681182</v>
      </c>
      <c r="AF32" s="16">
        <f t="shared" si="11"/>
        <v>1.4381418889337696</v>
      </c>
      <c r="AG32" s="17">
        <f t="shared" ref="AG32:AG52" si="24">K32</f>
        <v>50</v>
      </c>
      <c r="AH32" s="17">
        <f t="shared" ref="AH32:AH52" si="25">L32*P32*C$7</f>
        <v>0</v>
      </c>
      <c r="AI32" s="17">
        <f t="shared" ref="AI32:AI52" si="26">M32*Q32*D$7</f>
        <v>0</v>
      </c>
      <c r="AJ32" s="17">
        <f t="shared" ref="AJ32:AJ52" si="27">N32*R32*E$7</f>
        <v>0</v>
      </c>
      <c r="AK32" s="17">
        <f t="shared" ref="AK32:AK52" si="28">O32*S32*F$7</f>
        <v>0</v>
      </c>
      <c r="AL32" s="17">
        <f>SUM(Z32:AD32)-SUM(AH32:AK32)</f>
        <v>506.64388193382865</v>
      </c>
      <c r="AM32" s="16">
        <v>352.29060903681182</v>
      </c>
      <c r="AO32" s="16">
        <v>27</v>
      </c>
      <c r="AP32" s="16">
        <f t="shared" si="4"/>
        <v>227.26547299637639</v>
      </c>
      <c r="AQ32" s="16">
        <f t="shared" si="5"/>
        <v>273.58769624426748</v>
      </c>
      <c r="AR32" s="16">
        <f t="shared" si="6"/>
        <v>370.46658355996146</v>
      </c>
      <c r="AS32" s="16">
        <f t="shared" si="7"/>
        <v>723.4566210659026</v>
      </c>
      <c r="AT32" s="16">
        <f t="shared" si="8"/>
        <v>1030.4445773436564</v>
      </c>
      <c r="AX32" s="16">
        <v>75</v>
      </c>
      <c r="AY32" s="16">
        <v>920.65270822791308</v>
      </c>
      <c r="AZ32" s="16">
        <v>740.29165786328656</v>
      </c>
      <c r="BA32" s="16">
        <v>2755.638709218149</v>
      </c>
      <c r="BB32" s="16">
        <v>6178.6715721402634</v>
      </c>
      <c r="BC32" s="16">
        <v>6398.1011554865372</v>
      </c>
      <c r="BE32" s="16">
        <v>27</v>
      </c>
      <c r="BF32" s="16">
        <f t="shared" si="14"/>
        <v>0</v>
      </c>
      <c r="BG32" s="16">
        <f t="shared" si="15"/>
        <v>0</v>
      </c>
      <c r="BH32" s="16">
        <f t="shared" si="16"/>
        <v>0</v>
      </c>
      <c r="BI32" s="16">
        <f t="shared" si="17"/>
        <v>0</v>
      </c>
      <c r="BJ32" s="16">
        <f t="shared" si="18"/>
        <v>0</v>
      </c>
      <c r="BM32" s="16" t="e">
        <f t="shared" si="23"/>
        <v>#DIV/0!</v>
      </c>
      <c r="BN32" s="16" t="e">
        <f t="shared" si="19"/>
        <v>#DIV/0!</v>
      </c>
      <c r="BO32" s="16" t="e">
        <f t="shared" si="20"/>
        <v>#DIV/0!</v>
      </c>
      <c r="BP32" s="16" t="e">
        <f t="shared" si="21"/>
        <v>#DIV/0!</v>
      </c>
      <c r="BQ32" s="16" t="e">
        <f t="shared" si="22"/>
        <v>#DIV/0!</v>
      </c>
      <c r="BR32" s="16">
        <f>(BF32-AP32)*$D$2/'[1]资源-钻石'!L30</f>
        <v>-0.42986914826782857</v>
      </c>
      <c r="BS32" s="16">
        <f>(BG32-AQ32)*$D$2/'[1]资源-钻石'!M30</f>
        <v>-0.43865984492423643</v>
      </c>
      <c r="BT32" s="16">
        <f>(BH32-AR32)*$D$2/'[1]资源-钻石'!N30</f>
        <v>-0.44785436437514037</v>
      </c>
      <c r="BU32" s="16">
        <f>(BI32-AS32)*$D$2/'[1]资源-钻石'!O30</f>
        <v>-0.45785875099018936</v>
      </c>
      <c r="BV32" s="16">
        <f>(BJ32-AT32)*$D$2/'[1]资源-钻石'!P30</f>
        <v>-0.43037554152387258</v>
      </c>
    </row>
    <row r="33" spans="10:74">
      <c r="J33" s="16">
        <v>4</v>
      </c>
      <c r="K33" s="17">
        <f>基础状态预期!C44</f>
        <v>60</v>
      </c>
      <c r="L33" s="17">
        <f>宝物升星!N33</f>
        <v>1</v>
      </c>
      <c r="M33" s="17">
        <f>宝物升星!O33</f>
        <v>0</v>
      </c>
      <c r="N33" s="17">
        <f>宝物升星!P33</f>
        <v>1</v>
      </c>
      <c r="O33" s="17">
        <f>宝物升星!Q33</f>
        <v>1</v>
      </c>
      <c r="P33" s="17">
        <f>基础状态预期!I44</f>
        <v>3.0869418581458419E-2</v>
      </c>
      <c r="Q33" s="17">
        <f>基础状态预期!J44</f>
        <v>0</v>
      </c>
      <c r="R33" s="17">
        <f>基础状态预期!K44</f>
        <v>3.8293644210023707</v>
      </c>
      <c r="S33" s="17">
        <f>基础状态预期!L44</f>
        <v>2.1397661604161704</v>
      </c>
      <c r="T33" s="17">
        <f>IF(L33=0,0,同名需求(P33,L33,C$6))</f>
        <v>3.0869418581458419E-2</v>
      </c>
      <c r="U33" s="17">
        <f>IF(M33=0,0,同名需求(Q33,M33,D$6))</f>
        <v>0</v>
      </c>
      <c r="V33" s="17">
        <f>IF(N33=0,0,同名需求(R33,N33,E$6))</f>
        <v>3.8293644210023707</v>
      </c>
      <c r="W33" s="17">
        <f>IF(O33=0,0,同名需求(S33,O33,F$6))</f>
        <v>2.1397661604161704</v>
      </c>
      <c r="Z33" s="17">
        <f>投放验证!AL44*C$7</f>
        <v>123.70727814728093</v>
      </c>
      <c r="AA33" s="17">
        <f>投放验证!AM44*D$7</f>
        <v>197.05905674350501</v>
      </c>
      <c r="AB33" s="17">
        <f>投放验证!AN44*E$7</f>
        <v>182.43616203121283</v>
      </c>
      <c r="AC33" s="17">
        <f>投放验证!AO44*F$7</f>
        <v>213.97661604161704</v>
      </c>
      <c r="AD33" s="17">
        <f>投放验证!Q44/投放验证!$E$25*投放验证!$E$24/$D$2</f>
        <v>285.30215472215605</v>
      </c>
      <c r="AE33" s="16">
        <v>687.75741884467936</v>
      </c>
      <c r="AF33" s="16">
        <f t="shared" si="11"/>
        <v>1.4576088024899496</v>
      </c>
      <c r="AG33" s="17">
        <f t="shared" si="24"/>
        <v>60</v>
      </c>
      <c r="AH33" s="17">
        <f t="shared" si="25"/>
        <v>3.0869418581458419E-2</v>
      </c>
      <c r="AI33" s="17">
        <f t="shared" si="26"/>
        <v>0</v>
      </c>
      <c r="AJ33" s="17">
        <f t="shared" si="27"/>
        <v>95.734110525059265</v>
      </c>
      <c r="AK33" s="17">
        <f t="shared" si="28"/>
        <v>213.97661604161704</v>
      </c>
      <c r="AL33" s="17">
        <f t="shared" ref="AL33:AL52" si="29">SUM(Z33:AD33)-SUM(AH33:AK33)</f>
        <v>692.73967170051412</v>
      </c>
      <c r="AM33" s="16">
        <v>399.24901009203836</v>
      </c>
      <c r="AO33" s="16">
        <v>28</v>
      </c>
      <c r="AP33" s="16">
        <f t="shared" si="4"/>
        <v>235.68271273698292</v>
      </c>
      <c r="AQ33" s="16">
        <f t="shared" si="5"/>
        <v>283.720573882944</v>
      </c>
      <c r="AR33" s="16">
        <f t="shared" si="6"/>
        <v>384.18756813625635</v>
      </c>
      <c r="AS33" s="16">
        <f t="shared" si="7"/>
        <v>750.25131073501007</v>
      </c>
      <c r="AT33" s="16">
        <f t="shared" si="8"/>
        <v>1068.6091913193472</v>
      </c>
      <c r="AX33" s="16">
        <v>80</v>
      </c>
      <c r="AY33" s="16">
        <v>920.65270822791308</v>
      </c>
      <c r="AZ33" s="16">
        <v>740.29165786328656</v>
      </c>
      <c r="BA33" s="16">
        <v>2755.638709218149</v>
      </c>
      <c r="BB33" s="16">
        <v>6178.6715721402634</v>
      </c>
      <c r="BC33" s="16">
        <v>6398.1011554865372</v>
      </c>
      <c r="BE33" s="16">
        <v>28</v>
      </c>
      <c r="BF33" s="16">
        <f t="shared" si="14"/>
        <v>0</v>
      </c>
      <c r="BG33" s="16">
        <f t="shared" si="15"/>
        <v>0</v>
      </c>
      <c r="BH33" s="16">
        <f t="shared" si="16"/>
        <v>0</v>
      </c>
      <c r="BI33" s="16">
        <f t="shared" si="17"/>
        <v>0</v>
      </c>
      <c r="BJ33" s="16">
        <f t="shared" si="18"/>
        <v>0</v>
      </c>
      <c r="BM33" s="16" t="e">
        <f t="shared" si="23"/>
        <v>#DIV/0!</v>
      </c>
      <c r="BN33" s="16" t="e">
        <f t="shared" si="19"/>
        <v>#DIV/0!</v>
      </c>
      <c r="BO33" s="16" t="e">
        <f t="shared" si="20"/>
        <v>#DIV/0!</v>
      </c>
      <c r="BP33" s="16" t="e">
        <f t="shared" si="21"/>
        <v>#DIV/0!</v>
      </c>
      <c r="BQ33" s="16" t="e">
        <f t="shared" si="22"/>
        <v>#DIV/0!</v>
      </c>
      <c r="BR33" s="16">
        <f>(BF33-AP33)*$D$2/'[1]资源-钻石'!L31</f>
        <v>-0.41459376737688669</v>
      </c>
      <c r="BS33" s="16">
        <f>(BG33-AQ33)*$D$2/'[1]资源-钻石'!M31</f>
        <v>-0.42393081416808365</v>
      </c>
      <c r="BT33" s="16">
        <f>(BH33-AR33)*$D$2/'[1]资源-钻石'!N31</f>
        <v>-0.43443828758977482</v>
      </c>
      <c r="BU33" s="16">
        <f>(BI33-AS33)*$D$2/'[1]资源-钻石'!O31</f>
        <v>-0.44571288021356525</v>
      </c>
      <c r="BV33" s="16">
        <f>(BJ33-AT33)*$D$2/'[1]资源-钻石'!P31</f>
        <v>-0.42171520224265036</v>
      </c>
    </row>
    <row r="34" spans="10:74">
      <c r="J34" s="16">
        <v>5</v>
      </c>
      <c r="K34" s="17">
        <f>基础状态预期!C45</f>
        <v>70</v>
      </c>
      <c r="L34" s="17">
        <f>宝物升星!N34</f>
        <v>0</v>
      </c>
      <c r="M34" s="17">
        <f>宝物升星!O34</f>
        <v>4</v>
      </c>
      <c r="N34" s="17">
        <f>宝物升星!P34</f>
        <v>1.7927093690413809</v>
      </c>
      <c r="O34" s="17">
        <f>宝物升星!Q34</f>
        <v>1</v>
      </c>
      <c r="P34" s="17">
        <f>基础状态预期!I45</f>
        <v>0</v>
      </c>
      <c r="Q34" s="17">
        <f>基础状态预期!J45</f>
        <v>0.29368517593175891</v>
      </c>
      <c r="R34" s="17">
        <f>基础状态预期!K45</f>
        <v>1.6615109066245601</v>
      </c>
      <c r="S34" s="17">
        <f>基础状态预期!L45</f>
        <v>4.044803917443681</v>
      </c>
      <c r="T34" s="17">
        <f>IF(L34=0,0,同名需求(P34,L34,C$6))</f>
        <v>0</v>
      </c>
      <c r="U34" s="17">
        <f>IF(M34=0,0,同名需求(Q34,M34,D$6))</f>
        <v>27.29368517593176</v>
      </c>
      <c r="V34" s="17">
        <f>IF(N34=0,0,同名需求(R34,N34,E$6))</f>
        <v>8.0031858589556073</v>
      </c>
      <c r="W34" s="17">
        <f>IF(O34=0,0,同名需求(S34,O34,F$6))</f>
        <v>4.044803917443681</v>
      </c>
      <c r="Z34" s="17">
        <f>投放验证!AL45*C$7</f>
        <v>266.44596000365647</v>
      </c>
      <c r="AA34" s="17">
        <f>投放验证!AM45*D$7</f>
        <v>391.57786249746425</v>
      </c>
      <c r="AB34" s="17">
        <f>投放验证!AN45*E$7</f>
        <v>358.54187380827619</v>
      </c>
      <c r="AC34" s="17">
        <f>投放验证!AO45*F$7</f>
        <v>404.48039174436809</v>
      </c>
      <c r="AD34" s="17">
        <f>投放验证!Q45/投放验证!$E$25*投放验证!$E$24/$D$2</f>
        <v>539.30718899249086</v>
      </c>
      <c r="AE34" s="16">
        <v>1400.5817423803994</v>
      </c>
      <c r="AF34" s="16">
        <f t="shared" si="11"/>
        <v>1.3996707351864237</v>
      </c>
      <c r="AG34" s="17">
        <f t="shared" si="24"/>
        <v>70</v>
      </c>
      <c r="AH34" s="17">
        <f t="shared" si="25"/>
        <v>0</v>
      </c>
      <c r="AI34" s="17">
        <f t="shared" si="26"/>
        <v>5.8737035186351783</v>
      </c>
      <c r="AJ34" s="17">
        <f t="shared" si="27"/>
        <v>74.465154226757207</v>
      </c>
      <c r="AK34" s="17">
        <f t="shared" si="28"/>
        <v>404.48039174436809</v>
      </c>
      <c r="AL34" s="17">
        <f t="shared" si="29"/>
        <v>1475.5340275564954</v>
      </c>
      <c r="AM34" s="16">
        <v>994.47303379222853</v>
      </c>
      <c r="AO34" s="16">
        <v>29</v>
      </c>
      <c r="AP34" s="16">
        <f t="shared" si="4"/>
        <v>244.09995247758945</v>
      </c>
      <c r="AQ34" s="16">
        <f t="shared" si="5"/>
        <v>293.85345152162063</v>
      </c>
      <c r="AR34" s="16">
        <f t="shared" si="6"/>
        <v>397.90855271255117</v>
      </c>
      <c r="AS34" s="16">
        <f t="shared" si="7"/>
        <v>777.04600040411754</v>
      </c>
      <c r="AT34" s="16">
        <f t="shared" si="8"/>
        <v>1106.7738052950383</v>
      </c>
      <c r="AX34" s="16">
        <v>85</v>
      </c>
      <c r="AY34" s="16">
        <v>920.65270822791308</v>
      </c>
      <c r="AZ34" s="16">
        <v>740.29165786328656</v>
      </c>
      <c r="BA34" s="16">
        <v>2755.638709218149</v>
      </c>
      <c r="BB34" s="16">
        <v>6178.6715721402634</v>
      </c>
      <c r="BC34" s="16">
        <v>14490</v>
      </c>
      <c r="BE34" s="16">
        <v>29</v>
      </c>
      <c r="BF34" s="16">
        <f t="shared" si="14"/>
        <v>0</v>
      </c>
      <c r="BG34" s="16">
        <f t="shared" si="15"/>
        <v>0</v>
      </c>
      <c r="BH34" s="16">
        <f t="shared" si="16"/>
        <v>0</v>
      </c>
      <c r="BI34" s="16">
        <f t="shared" si="17"/>
        <v>0</v>
      </c>
      <c r="BJ34" s="16">
        <f t="shared" si="18"/>
        <v>0</v>
      </c>
      <c r="BM34" s="16" t="e">
        <f t="shared" si="23"/>
        <v>#DIV/0!</v>
      </c>
      <c r="BN34" s="16" t="e">
        <f t="shared" si="19"/>
        <v>#DIV/0!</v>
      </c>
      <c r="BO34" s="16" t="e">
        <f t="shared" si="20"/>
        <v>#DIV/0!</v>
      </c>
      <c r="BP34" s="16" t="e">
        <f t="shared" si="21"/>
        <v>#DIV/0!</v>
      </c>
      <c r="BQ34" s="16" t="e">
        <f t="shared" si="22"/>
        <v>#DIV/0!</v>
      </c>
      <c r="BR34" s="16">
        <f>(BF34-AP34)*$D$2/'[1]资源-钻石'!L32</f>
        <v>-0.39944144043561225</v>
      </c>
      <c r="BS34" s="16">
        <f>(BG34-AQ34)*$D$2/'[1]资源-钻石'!M32</f>
        <v>-0.4086436810275616</v>
      </c>
      <c r="BT34" s="16">
        <f>(BH34-AR34)*$D$2/'[1]资源-钻石'!N32</f>
        <v>-0.41877738424353206</v>
      </c>
      <c r="BU34" s="16">
        <f>(BI34-AS34)*$D$2/'[1]资源-钻石'!O32</f>
        <v>-0.43058699011475349</v>
      </c>
      <c r="BV34" s="16">
        <f>(BJ34-AT34)*$D$2/'[1]资源-钻石'!P32</f>
        <v>-0.41126896158753401</v>
      </c>
    </row>
    <row r="35" spans="10:74">
      <c r="J35" s="16">
        <v>6</v>
      </c>
      <c r="K35" s="17">
        <f>基础状态预期!C46</f>
        <v>75</v>
      </c>
      <c r="L35" s="17">
        <f>宝物升星!N35</f>
        <v>0</v>
      </c>
      <c r="M35" s="17">
        <f>宝物升星!O35</f>
        <v>4</v>
      </c>
      <c r="N35" s="17">
        <f>宝物升星!P35</f>
        <v>2.4331592146236485</v>
      </c>
      <c r="O35" s="17">
        <f>宝物升星!Q35</f>
        <v>1</v>
      </c>
      <c r="P35" s="17">
        <f>基础状态预期!I46</f>
        <v>0</v>
      </c>
      <c r="Q35" s="17">
        <f>基础状态预期!J46</f>
        <v>0.15889303795075893</v>
      </c>
      <c r="R35" s="17">
        <f>基础状态预期!K46</f>
        <v>0.45470422566467938</v>
      </c>
      <c r="S35" s="17">
        <f>基础状态预期!L46</f>
        <v>5.3864027363845617</v>
      </c>
      <c r="T35" s="17">
        <f>IF(L35=0,0,同名需求(P35,L35,C$6))</f>
        <v>0</v>
      </c>
      <c r="U35" s="17">
        <f>IF(M35=0,0,同名需求(Q35,M35,D$6))</f>
        <v>27.158893037950758</v>
      </c>
      <c r="V35" s="17">
        <f>IF(N35=0,0,同名需求(R35,N35,E$6))</f>
        <v>11.919977942653867</v>
      </c>
      <c r="W35" s="17">
        <f>IF(O35=0,0,同名需求(S35,O35,F$6))</f>
        <v>5.3864027363845617</v>
      </c>
      <c r="Z35" s="17">
        <f>投放验证!AL46*C$7</f>
        <v>372.78404715533577</v>
      </c>
      <c r="AA35" s="17">
        <f>投放验证!AM46*D$7</f>
        <v>532.94584742828192</v>
      </c>
      <c r="AB35" s="17">
        <f>投放验证!AN46*E$7</f>
        <v>486.63184292472971</v>
      </c>
      <c r="AC35" s="17">
        <f>投放验证!AO46*F$7</f>
        <v>538.64027363845616</v>
      </c>
      <c r="AD35" s="17">
        <f>投放验证!Q46/投放验证!$E$25*投放验证!$E$24/$D$2</f>
        <v>718.1870315179417</v>
      </c>
      <c r="AE35" s="16">
        <v>1917.3120634072068</v>
      </c>
      <c r="AF35" s="16">
        <f t="shared" si="11"/>
        <v>1.3817203225420374</v>
      </c>
      <c r="AG35" s="17">
        <f t="shared" si="24"/>
        <v>75</v>
      </c>
      <c r="AH35" s="17">
        <f t="shared" si="25"/>
        <v>0</v>
      </c>
      <c r="AI35" s="17">
        <f t="shared" si="26"/>
        <v>3.1778607590151786</v>
      </c>
      <c r="AJ35" s="17">
        <f t="shared" si="27"/>
        <v>27.659194415108139</v>
      </c>
      <c r="AK35" s="17">
        <f t="shared" si="28"/>
        <v>538.64027363845616</v>
      </c>
      <c r="AL35" s="17">
        <f t="shared" si="29"/>
        <v>2079.7117138521658</v>
      </c>
      <c r="AM35" s="16">
        <v>1502.6148424026912</v>
      </c>
      <c r="AO35" s="16">
        <v>30</v>
      </c>
      <c r="AP35" s="16">
        <f t="shared" si="4"/>
        <v>252.51719221819599</v>
      </c>
      <c r="AQ35" s="16">
        <f t="shared" si="5"/>
        <v>303.98632916029715</v>
      </c>
      <c r="AR35" s="16">
        <f t="shared" si="6"/>
        <v>411.62953728884605</v>
      </c>
      <c r="AS35" s="16">
        <f t="shared" si="7"/>
        <v>803.84069007322501</v>
      </c>
      <c r="AT35" s="16">
        <f t="shared" si="8"/>
        <v>1144.9384192707294</v>
      </c>
      <c r="AX35" s="16">
        <v>90</v>
      </c>
      <c r="AY35" s="16">
        <v>920.65270822791308</v>
      </c>
      <c r="AZ35" s="16">
        <v>740.29165786328656</v>
      </c>
      <c r="BA35" s="16">
        <v>2755.638709218149</v>
      </c>
      <c r="BB35" s="16">
        <v>14490</v>
      </c>
      <c r="BC35" s="16">
        <v>14490</v>
      </c>
      <c r="BE35" s="16">
        <v>30</v>
      </c>
      <c r="BF35" s="16">
        <f t="shared" si="14"/>
        <v>0</v>
      </c>
      <c r="BG35" s="16">
        <f t="shared" si="15"/>
        <v>0</v>
      </c>
      <c r="BH35" s="16">
        <f t="shared" si="16"/>
        <v>0</v>
      </c>
      <c r="BI35" s="16">
        <f t="shared" si="17"/>
        <v>0</v>
      </c>
      <c r="BJ35" s="16">
        <f t="shared" si="18"/>
        <v>0</v>
      </c>
      <c r="BM35" s="16" t="e">
        <f t="shared" si="23"/>
        <v>#DIV/0!</v>
      </c>
      <c r="BN35" s="16" t="e">
        <f t="shared" si="19"/>
        <v>#DIV/0!</v>
      </c>
      <c r="BO35" s="16" t="e">
        <f t="shared" si="20"/>
        <v>#DIV/0!</v>
      </c>
      <c r="BP35" s="16" t="e">
        <f t="shared" si="21"/>
        <v>#DIV/0!</v>
      </c>
      <c r="BQ35" s="16" t="e">
        <f t="shared" si="22"/>
        <v>#DIV/0!</v>
      </c>
      <c r="BR35" s="16">
        <f>(BF35-AP35)*$D$2/'[1]资源-钻石'!L33</f>
        <v>-0.38446587197076115</v>
      </c>
      <c r="BS35" s="16">
        <f>(BG35-AQ35)*$D$2/'[1]资源-钻石'!M33</f>
        <v>-0.39363738088725786</v>
      </c>
      <c r="BT35" s="16">
        <f>(BH35-AR35)*$D$2/'[1]资源-钻石'!N33</f>
        <v>-0.40407927990973774</v>
      </c>
      <c r="BU35" s="16">
        <f>(BI35-AS35)*$D$2/'[1]资源-钻石'!O33</f>
        <v>-0.41720387216172128</v>
      </c>
      <c r="BV35" s="16">
        <f>(BJ35-AT35)*$D$2/'[1]资源-钻石'!P33</f>
        <v>-0.4018221056838675</v>
      </c>
    </row>
    <row r="36" spans="10:74">
      <c r="J36" s="16">
        <v>7</v>
      </c>
      <c r="K36" s="17">
        <f>基础状态预期!C47</f>
        <v>80</v>
      </c>
      <c r="L36" s="17">
        <f>宝物升星!N36</f>
        <v>0</v>
      </c>
      <c r="M36" s="17">
        <f>宝物升星!O36</f>
        <v>0</v>
      </c>
      <c r="N36" s="17">
        <f>宝物升星!P36</f>
        <v>0</v>
      </c>
      <c r="O36" s="17">
        <f>宝物升星!Q36</f>
        <v>1.2015565142676679</v>
      </c>
      <c r="P36" s="17">
        <f>基础状态预期!I47</f>
        <v>0</v>
      </c>
      <c r="Q36" s="17">
        <f>基础状态预期!J47</f>
        <v>0</v>
      </c>
      <c r="R36" s="17">
        <f>基础状态预期!K47</f>
        <v>0</v>
      </c>
      <c r="S36" s="17">
        <f>基础状态预期!L47</f>
        <v>6</v>
      </c>
      <c r="T36" s="17">
        <f>IF(L36=0,0,同名需求(P36,L36,C$6))</f>
        <v>0</v>
      </c>
      <c r="U36" s="17">
        <f>IF(M36=0,0,同名需求(Q36,M36,D$6))</f>
        <v>0</v>
      </c>
      <c r="V36" s="17">
        <f>IF(N36=0,0,同名需求(R36,N36,E$6))</f>
        <v>0</v>
      </c>
      <c r="W36" s="17">
        <f>IF(O36=0,0,同名需求(S36,O36,F$6))</f>
        <v>7.2093390856060076</v>
      </c>
      <c r="Z36" s="17">
        <f>投放验证!AL47*C$7</f>
        <v>519.95165326927281</v>
      </c>
      <c r="AA36" s="17">
        <f>投放验证!AM47*D$7</f>
        <v>727.05042346349148</v>
      </c>
      <c r="AB36" s="17">
        <f>投放验证!AN47*E$7</f>
        <v>662.55143142045063</v>
      </c>
      <c r="AC36" s="17">
        <f>投放验证!AO47*F$7</f>
        <v>720.93390856060068</v>
      </c>
      <c r="AD36" s="17">
        <f>投放验证!Q47/投放验证!$E$25*投放验证!$E$24/$D$2</f>
        <v>961.24521141413436</v>
      </c>
      <c r="AE36" s="16">
        <v>2712.5193506524929</v>
      </c>
      <c r="AF36" s="16">
        <f t="shared" si="11"/>
        <v>1.3241316148634896</v>
      </c>
      <c r="AG36" s="17">
        <f t="shared" si="24"/>
        <v>80</v>
      </c>
      <c r="AH36" s="17">
        <f t="shared" si="25"/>
        <v>0</v>
      </c>
      <c r="AI36" s="17">
        <f t="shared" si="26"/>
        <v>0</v>
      </c>
      <c r="AJ36" s="17">
        <f t="shared" si="27"/>
        <v>0</v>
      </c>
      <c r="AK36" s="17">
        <f t="shared" si="28"/>
        <v>720.9339085606008</v>
      </c>
      <c r="AL36" s="17">
        <f t="shared" si="29"/>
        <v>2870.7987195673491</v>
      </c>
      <c r="AM36" s="16">
        <v>2195.3016778585852</v>
      </c>
      <c r="AO36" s="16">
        <v>31</v>
      </c>
      <c r="AP36" s="16">
        <f t="shared" si="4"/>
        <v>260.93443195880252</v>
      </c>
      <c r="AQ36" s="16">
        <f t="shared" si="5"/>
        <v>314.11920679897378</v>
      </c>
      <c r="AR36" s="16">
        <f t="shared" si="6"/>
        <v>425.35052186514093</v>
      </c>
      <c r="AS36" s="16">
        <f t="shared" si="7"/>
        <v>830.63537974233259</v>
      </c>
      <c r="AT36" s="16">
        <f t="shared" si="8"/>
        <v>1183.1030332464202</v>
      </c>
      <c r="AX36" s="16">
        <v>95</v>
      </c>
      <c r="AY36" s="16">
        <v>920.65270822791308</v>
      </c>
      <c r="AZ36" s="16">
        <v>1246.8041062004686</v>
      </c>
      <c r="BA36" s="16">
        <v>5749.4912531752443</v>
      </c>
      <c r="BB36" s="16">
        <v>14490</v>
      </c>
      <c r="BC36" s="16">
        <v>14490</v>
      </c>
      <c r="BE36" s="16">
        <v>31</v>
      </c>
      <c r="BF36" s="16">
        <f t="shared" si="14"/>
        <v>0</v>
      </c>
      <c r="BG36" s="16">
        <f t="shared" si="15"/>
        <v>0</v>
      </c>
      <c r="BH36" s="16">
        <f t="shared" si="16"/>
        <v>0</v>
      </c>
      <c r="BI36" s="16">
        <f t="shared" si="17"/>
        <v>0</v>
      </c>
      <c r="BJ36" s="16">
        <f t="shared" si="18"/>
        <v>0</v>
      </c>
      <c r="BM36" s="16" t="e">
        <f t="shared" si="23"/>
        <v>#DIV/0!</v>
      </c>
      <c r="BN36" s="16" t="e">
        <f t="shared" si="19"/>
        <v>#DIV/0!</v>
      </c>
      <c r="BO36" s="16" t="e">
        <f t="shared" si="20"/>
        <v>#DIV/0!</v>
      </c>
      <c r="BP36" s="16" t="e">
        <f t="shared" si="21"/>
        <v>#DIV/0!</v>
      </c>
      <c r="BQ36" s="16" t="e">
        <f t="shared" si="22"/>
        <v>#DIV/0!</v>
      </c>
      <c r="BR36" s="16">
        <f>(BF36-AP36)*$D$2/'[1]资源-钻石'!L34</f>
        <v>-0.37845743121118952</v>
      </c>
      <c r="BS36" s="16">
        <f>(BG36-AQ36)*$D$2/'[1]资源-钻石'!M34</f>
        <v>-0.37856177326877549</v>
      </c>
      <c r="BT36" s="16">
        <f>(BH36-AR36)*$D$2/'[1]资源-钻石'!N34</f>
        <v>-0.38934518174281141</v>
      </c>
      <c r="BU36" s="16">
        <f>(BI36-AS36)*$D$2/'[1]资源-钻石'!O34</f>
        <v>-0.4037877515494751</v>
      </c>
      <c r="BV36" s="16">
        <f>(BJ36-AT36)*$D$2/'[1]资源-钻石'!P34</f>
        <v>-0.39165936911226445</v>
      </c>
    </row>
    <row r="37" spans="10:74">
      <c r="J37" s="16">
        <v>8</v>
      </c>
      <c r="K37" s="17">
        <f>基础状态预期!C48</f>
        <v>85</v>
      </c>
      <c r="L37" s="17">
        <f>宝物升星!N37</f>
        <v>0</v>
      </c>
      <c r="M37" s="17">
        <f>宝物升星!O37</f>
        <v>0</v>
      </c>
      <c r="N37" s="17">
        <f>宝物升星!P37</f>
        <v>0</v>
      </c>
      <c r="O37" s="17">
        <f>宝物升星!Q37</f>
        <v>1.610564672114273</v>
      </c>
      <c r="P37" s="17">
        <f>基础状态预期!I48</f>
        <v>0</v>
      </c>
      <c r="Q37" s="17">
        <f>基础状态预期!J48</f>
        <v>0</v>
      </c>
      <c r="R37" s="17">
        <f>基础状态预期!K48</f>
        <v>0</v>
      </c>
      <c r="S37" s="17">
        <f>基础状态预期!L48</f>
        <v>6</v>
      </c>
      <c r="T37" s="17">
        <f>IF(L37=0,0,同名需求(P37,L37,C$6))</f>
        <v>0</v>
      </c>
      <c r="U37" s="17">
        <f>IF(M37=0,0,同名需求(Q37,M37,D$6))</f>
        <v>0</v>
      </c>
      <c r="V37" s="17">
        <f>IF(N37=0,0,同名需求(R37,N37,E$6))</f>
        <v>0</v>
      </c>
      <c r="W37" s="17">
        <f>IF(O37=0,0,同名需求(S37,O37,F$6))</f>
        <v>9.6633880326856385</v>
      </c>
      <c r="Z37" s="17">
        <f>投放验证!AL48*C$7</f>
        <v>720.37202411908322</v>
      </c>
      <c r="AA37" s="17">
        <f>投放验证!AM48*D$7</f>
        <v>990.08936106103374</v>
      </c>
      <c r="AB37" s="17">
        <f>投放验证!AN48*E$7</f>
        <v>900.98657607747316</v>
      </c>
      <c r="AC37" s="17">
        <f>投放验证!AO48*F$7</f>
        <v>966.33880326856388</v>
      </c>
      <c r="AD37" s="17">
        <f>投放验证!Q48/投放验证!$E$25*投放验证!$E$24/$D$2</f>
        <v>1288.4517376914187</v>
      </c>
      <c r="AE37" s="16">
        <v>3863.0716486091387</v>
      </c>
      <c r="AF37" s="16">
        <f t="shared" si="11"/>
        <v>1.2596811410343929</v>
      </c>
      <c r="AG37" s="17">
        <f t="shared" si="24"/>
        <v>85</v>
      </c>
      <c r="AH37" s="17">
        <f t="shared" si="25"/>
        <v>0</v>
      </c>
      <c r="AI37" s="17">
        <f t="shared" si="26"/>
        <v>0</v>
      </c>
      <c r="AJ37" s="17">
        <f t="shared" si="27"/>
        <v>0</v>
      </c>
      <c r="AK37" s="17">
        <f t="shared" si="28"/>
        <v>966.33880326856388</v>
      </c>
      <c r="AL37" s="17">
        <f t="shared" si="29"/>
        <v>3899.8996989490092</v>
      </c>
      <c r="AM37" s="16">
        <v>3126.4690037472265</v>
      </c>
      <c r="AO37" s="16">
        <v>32</v>
      </c>
      <c r="AP37" s="16">
        <f t="shared" si="4"/>
        <v>269.35167169940905</v>
      </c>
      <c r="AQ37" s="16">
        <f t="shared" si="5"/>
        <v>324.2520844376503</v>
      </c>
      <c r="AR37" s="16">
        <f t="shared" si="6"/>
        <v>439.07150644143576</v>
      </c>
      <c r="AS37" s="16">
        <f t="shared" si="7"/>
        <v>857.43006941144006</v>
      </c>
      <c r="AT37" s="16">
        <f t="shared" si="8"/>
        <v>1221.2676472221112</v>
      </c>
      <c r="AX37" s="16">
        <v>100</v>
      </c>
      <c r="AY37" s="16">
        <v>976.43693737846593</v>
      </c>
      <c r="AZ37" s="16">
        <v>3806.4189518947983</v>
      </c>
      <c r="BA37" s="16">
        <v>14490</v>
      </c>
      <c r="BB37" s="16">
        <v>14490</v>
      </c>
      <c r="BC37" s="16">
        <v>14490</v>
      </c>
      <c r="BE37" s="16">
        <v>32</v>
      </c>
      <c r="BF37" s="16">
        <f t="shared" si="14"/>
        <v>0</v>
      </c>
      <c r="BG37" s="16">
        <f t="shared" si="15"/>
        <v>0</v>
      </c>
      <c r="BH37" s="16">
        <f t="shared" si="16"/>
        <v>0</v>
      </c>
      <c r="BI37" s="16">
        <f t="shared" si="17"/>
        <v>0</v>
      </c>
      <c r="BJ37" s="16">
        <f t="shared" si="18"/>
        <v>0</v>
      </c>
      <c r="BM37" s="16" t="e">
        <f t="shared" si="23"/>
        <v>#DIV/0!</v>
      </c>
      <c r="BN37" s="16" t="e">
        <f t="shared" si="19"/>
        <v>#DIV/0!</v>
      </c>
      <c r="BO37" s="16" t="e">
        <f t="shared" si="20"/>
        <v>#DIV/0!</v>
      </c>
      <c r="BP37" s="16" t="e">
        <f t="shared" si="21"/>
        <v>#DIV/0!</v>
      </c>
      <c r="BQ37" s="16" t="e">
        <f t="shared" si="22"/>
        <v>#DIV/0!</v>
      </c>
      <c r="BR37" s="16">
        <f>(BF37-AP37)*$D$2/'[1]资源-钻石'!L35</f>
        <v>-0.37178545755922132</v>
      </c>
      <c r="BS37" s="16">
        <f>(BG37-AQ37)*$D$2/'[1]资源-钻石'!M35</f>
        <v>-0.36600352415727505</v>
      </c>
      <c r="BT37" s="16">
        <f>(BH37-AR37)*$D$2/'[1]资源-钻石'!N35</f>
        <v>-0.37524063122685103</v>
      </c>
      <c r="BU37" s="16">
        <f>(BI37-AS37)*$D$2/'[1]资源-钻石'!O35</f>
        <v>-0.39016318529449634</v>
      </c>
      <c r="BV37" s="16">
        <f>(BJ37-AT37)*$D$2/'[1]资源-钻石'!P35</f>
        <v>-0.3815344360607878</v>
      </c>
    </row>
    <row r="38" spans="10:74">
      <c r="J38" s="16">
        <v>9</v>
      </c>
      <c r="K38" s="17">
        <f>基础状态预期!C49</f>
        <v>90</v>
      </c>
      <c r="L38" s="17">
        <f>宝物升星!N38</f>
        <v>0</v>
      </c>
      <c r="M38" s="17">
        <f>宝物升星!O38</f>
        <v>0</v>
      </c>
      <c r="N38" s="17">
        <f>宝物升星!P38</f>
        <v>0</v>
      </c>
      <c r="O38" s="17">
        <f>宝物升星!Q38</f>
        <v>2.1580351301500733</v>
      </c>
      <c r="P38" s="17">
        <f>基础状态预期!I49</f>
        <v>0</v>
      </c>
      <c r="Q38" s="17">
        <f>基础状态预期!J49</f>
        <v>0</v>
      </c>
      <c r="R38" s="17">
        <f>基础状态预期!K49</f>
        <v>0</v>
      </c>
      <c r="S38" s="17">
        <f>基础状态预期!L49</f>
        <v>6</v>
      </c>
      <c r="T38" s="17">
        <f>IF(L38=0,0,同名需求(P38,L38,C$6))</f>
        <v>0</v>
      </c>
      <c r="U38" s="17">
        <f>IF(M38=0,0,同名需求(Q38,M38,D$6))</f>
        <v>0</v>
      </c>
      <c r="V38" s="17">
        <f>IF(N38=0,0,同名需求(R38,N38,E$6))</f>
        <v>0</v>
      </c>
      <c r="W38" s="17">
        <f>IF(O38=0,0,同名需求(S38,O38,F$6))</f>
        <v>12.948210780900439</v>
      </c>
      <c r="Z38" s="17">
        <f>投放验证!AL49*C$7</f>
        <v>993.00709987399455</v>
      </c>
      <c r="AA38" s="17">
        <f>投放验证!AM49*D$7</f>
        <v>1345.4637226846944</v>
      </c>
      <c r="AB38" s="17">
        <f>投放验证!AN49*E$7</f>
        <v>1223.1946485675332</v>
      </c>
      <c r="AC38" s="17">
        <f>投放验证!AO49*F$7</f>
        <v>1294.821078090044</v>
      </c>
      <c r="AD38" s="17">
        <f>投放验证!Q49/投放验证!$E$25*投放验证!$E$24/$D$2</f>
        <v>1726.4281041200591</v>
      </c>
      <c r="AE38" s="16">
        <v>5393.4518355134442</v>
      </c>
      <c r="AF38" s="16">
        <f t="shared" si="11"/>
        <v>1.2205383220428161</v>
      </c>
      <c r="AG38" s="17">
        <f t="shared" si="24"/>
        <v>90</v>
      </c>
      <c r="AH38" s="17">
        <f t="shared" si="25"/>
        <v>0</v>
      </c>
      <c r="AI38" s="17">
        <f t="shared" si="26"/>
        <v>0</v>
      </c>
      <c r="AJ38" s="17">
        <f t="shared" si="27"/>
        <v>0</v>
      </c>
      <c r="AK38" s="17">
        <f t="shared" si="28"/>
        <v>1294.821078090044</v>
      </c>
      <c r="AL38" s="17">
        <f t="shared" si="29"/>
        <v>5288.093575246281</v>
      </c>
      <c r="AM38" s="16">
        <v>4365.0394092502875</v>
      </c>
      <c r="AO38" s="16">
        <v>33</v>
      </c>
      <c r="AP38" s="16">
        <f t="shared" ref="AP38:AP69" si="30">求节点($K$6:$K$26,$AL$6:$AL$26,$AO38)</f>
        <v>277.76891144001559</v>
      </c>
      <c r="AQ38" s="16">
        <f t="shared" ref="AQ38:AQ69" si="31">求节点($K$32:$K$52,$AL$32:$AL$52,$AO38)</f>
        <v>334.38496207632693</v>
      </c>
      <c r="AR38" s="16">
        <f t="shared" ref="AR38:AR69" si="32">求节点($K$58:$K$78,$AL$58:$AL$78,$AO38)</f>
        <v>452.79249101773064</v>
      </c>
      <c r="AS38" s="16">
        <f t="shared" ref="AS38:AS69" si="33">求节点($K$84:$K$104,$AL$84:$AL$104,$AO38)</f>
        <v>884.22475908054753</v>
      </c>
      <c r="AT38" s="16">
        <f t="shared" ref="AT38:AT69" si="34">求节点($K$110:$K$130,$AL$110:$AL$130,$AO38)</f>
        <v>1259.4322611978023</v>
      </c>
      <c r="AX38" s="16">
        <v>105</v>
      </c>
      <c r="AY38" s="16">
        <v>2353.3600042776275</v>
      </c>
      <c r="AZ38" s="16">
        <v>12361.210675499155</v>
      </c>
      <c r="BA38" s="16">
        <v>14490</v>
      </c>
      <c r="BB38" s="16">
        <v>14490</v>
      </c>
      <c r="BC38" s="16">
        <v>14490</v>
      </c>
      <c r="BE38" s="16">
        <v>33</v>
      </c>
      <c r="BF38" s="16">
        <f t="shared" si="14"/>
        <v>0</v>
      </c>
      <c r="BG38" s="16">
        <f t="shared" si="15"/>
        <v>0</v>
      </c>
      <c r="BH38" s="16">
        <f t="shared" si="16"/>
        <v>0</v>
      </c>
      <c r="BI38" s="16">
        <f t="shared" si="17"/>
        <v>0</v>
      </c>
      <c r="BJ38" s="16">
        <f t="shared" si="18"/>
        <v>0</v>
      </c>
      <c r="BM38" s="16" t="e">
        <f t="shared" si="23"/>
        <v>#DIV/0!</v>
      </c>
      <c r="BN38" s="16" t="e">
        <f t="shared" si="19"/>
        <v>#DIV/0!</v>
      </c>
      <c r="BO38" s="16" t="e">
        <f t="shared" si="20"/>
        <v>#DIV/0!</v>
      </c>
      <c r="BP38" s="16" t="e">
        <f t="shared" si="21"/>
        <v>#DIV/0!</v>
      </c>
      <c r="BQ38" s="16" t="e">
        <f t="shared" si="22"/>
        <v>#DIV/0!</v>
      </c>
      <c r="BR38" s="16">
        <f>(BF38-AP38)*$D$2/'[1]资源-钻石'!L36</f>
        <v>-0.36452251711632144</v>
      </c>
      <c r="BS38" s="16">
        <f>(BG38-AQ38)*$D$2/'[1]资源-钻石'!M36</f>
        <v>-0.35914466478259716</v>
      </c>
      <c r="BT38" s="16">
        <f>(BH38-AR38)*$D$2/'[1]资源-钻石'!N36</f>
        <v>-0.36186352396074767</v>
      </c>
      <c r="BU38" s="16">
        <f>(BI38-AS38)*$D$2/'[1]资源-钻石'!O36</f>
        <v>-0.37700636054908843</v>
      </c>
      <c r="BV38" s="16">
        <f>(BJ38-AT38)*$D$2/'[1]资源-钻石'!P36</f>
        <v>-0.37133413509894231</v>
      </c>
    </row>
    <row r="39" spans="10:74">
      <c r="J39" s="16">
        <v>10</v>
      </c>
      <c r="K39" s="17">
        <f>基础状态预期!C50</f>
        <v>95</v>
      </c>
      <c r="L39" s="17">
        <f>宝物升星!N39</f>
        <v>0</v>
      </c>
      <c r="M39" s="17">
        <f>宝物升星!O39</f>
        <v>0</v>
      </c>
      <c r="N39" s="17">
        <f>宝物升星!P39</f>
        <v>0</v>
      </c>
      <c r="O39" s="17">
        <f>宝物升星!Q39</f>
        <v>2.917493865794361</v>
      </c>
      <c r="P39" s="17">
        <f>基础状态预期!I50</f>
        <v>0</v>
      </c>
      <c r="Q39" s="17">
        <f>基础状态预期!J50</f>
        <v>0</v>
      </c>
      <c r="R39" s="17">
        <f>基础状态预期!K50</f>
        <v>0</v>
      </c>
      <c r="S39" s="17">
        <f>基础状态预期!L50</f>
        <v>6</v>
      </c>
      <c r="T39" s="17">
        <f>IF(L39=0,0,同名需求(P39,L39,C$6))</f>
        <v>0</v>
      </c>
      <c r="U39" s="17">
        <f>IF(M39=0,0,同名需求(Q39,M39,D$6))</f>
        <v>0</v>
      </c>
      <c r="V39" s="17">
        <f>IF(N39=0,0,同名需求(R39,N39,E$6))</f>
        <v>0</v>
      </c>
      <c r="W39" s="17">
        <f>IF(O39=0,0,同名需求(S39,O39,F$6))</f>
        <v>17.504963194766166</v>
      </c>
      <c r="Z39" s="17">
        <f>投放验证!AL50*C$7</f>
        <v>1375.2137336722676</v>
      </c>
      <c r="AA39" s="17">
        <f>投放验证!AM50*D$7</f>
        <v>1841.4592998873195</v>
      </c>
      <c r="AB39" s="17">
        <f>投放验证!AN50*E$7</f>
        <v>1672.9675324054942</v>
      </c>
      <c r="AC39" s="17">
        <f>投放验证!AO50*F$7</f>
        <v>1750.4963194766167</v>
      </c>
      <c r="AD39" s="17">
        <f>投放验证!Q50/投放验证!$E$25*投放验证!$E$24/$D$2</f>
        <v>2333.9950926354891</v>
      </c>
      <c r="AE39" s="16">
        <v>7056.9316226911897</v>
      </c>
      <c r="AF39" s="16">
        <f t="shared" si="11"/>
        <v>1.27167619836663</v>
      </c>
      <c r="AG39" s="17">
        <f t="shared" si="24"/>
        <v>95</v>
      </c>
      <c r="AH39" s="17">
        <f t="shared" si="25"/>
        <v>0</v>
      </c>
      <c r="AI39" s="17">
        <f t="shared" si="26"/>
        <v>0</v>
      </c>
      <c r="AJ39" s="17">
        <f t="shared" si="27"/>
        <v>0</v>
      </c>
      <c r="AK39" s="17">
        <f t="shared" si="28"/>
        <v>1750.4963194766167</v>
      </c>
      <c r="AL39" s="17">
        <f t="shared" si="29"/>
        <v>7223.6356586005695</v>
      </c>
      <c r="AM39" s="16">
        <v>5711.3302539576998</v>
      </c>
      <c r="AO39" s="16">
        <v>34</v>
      </c>
      <c r="AP39" s="16">
        <f t="shared" si="30"/>
        <v>286.18615118062212</v>
      </c>
      <c r="AQ39" s="16">
        <f t="shared" si="31"/>
        <v>344.51783971500345</v>
      </c>
      <c r="AR39" s="16">
        <f t="shared" si="32"/>
        <v>466.51347559402552</v>
      </c>
      <c r="AS39" s="16">
        <f t="shared" si="33"/>
        <v>911.01944874965511</v>
      </c>
      <c r="AT39" s="16">
        <f t="shared" si="34"/>
        <v>1297.5968751734931</v>
      </c>
      <c r="AX39" s="16">
        <v>110</v>
      </c>
      <c r="AY39" s="16">
        <v>6260.5261767325919</v>
      </c>
      <c r="AZ39" s="16">
        <v>14490</v>
      </c>
      <c r="BA39" s="16">
        <v>14490</v>
      </c>
      <c r="BB39" s="16">
        <v>14490</v>
      </c>
      <c r="BC39" s="16">
        <v>14490</v>
      </c>
      <c r="BE39" s="16">
        <v>34</v>
      </c>
      <c r="BF39" s="16">
        <f t="shared" si="14"/>
        <v>0</v>
      </c>
      <c r="BG39" s="16">
        <f t="shared" si="15"/>
        <v>0</v>
      </c>
      <c r="BH39" s="16">
        <f t="shared" si="16"/>
        <v>0</v>
      </c>
      <c r="BI39" s="16">
        <f t="shared" si="17"/>
        <v>0</v>
      </c>
      <c r="BJ39" s="16">
        <f t="shared" si="18"/>
        <v>0</v>
      </c>
      <c r="BM39" s="16" t="e">
        <f t="shared" si="23"/>
        <v>#DIV/0!</v>
      </c>
      <c r="BN39" s="16" t="e">
        <f t="shared" si="19"/>
        <v>#DIV/0!</v>
      </c>
      <c r="BO39" s="16" t="e">
        <f t="shared" si="20"/>
        <v>#DIV/0!</v>
      </c>
      <c r="BP39" s="16" t="e">
        <f t="shared" si="21"/>
        <v>#DIV/0!</v>
      </c>
      <c r="BQ39" s="16" t="e">
        <f t="shared" si="22"/>
        <v>#DIV/0!</v>
      </c>
      <c r="BR39" s="16">
        <f>(BF39-AP39)*$D$2/'[1]资源-钻石'!L37</f>
        <v>-0.35673960493231172</v>
      </c>
      <c r="BS39" s="16">
        <f>(BG39-AQ39)*$D$2/'[1]资源-钻石'!M37</f>
        <v>-0.35121339640141147</v>
      </c>
      <c r="BT39" s="16">
        <f>(BH39-AR39)*$D$2/'[1]资源-钻石'!N37</f>
        <v>-0.34742462054342654</v>
      </c>
      <c r="BU39" s="16">
        <f>(BI39-AS39)*$D$2/'[1]资源-钻石'!O37</f>
        <v>-0.36282482746280931</v>
      </c>
      <c r="BV39" s="16">
        <f>(BJ39-AT39)*$D$2/'[1]资源-钻石'!P37</f>
        <v>-0.36020215592202504</v>
      </c>
    </row>
    <row r="40" spans="10:74">
      <c r="J40" s="16">
        <v>11</v>
      </c>
      <c r="K40" s="17">
        <f>基础状态预期!C51</f>
        <v>100</v>
      </c>
      <c r="L40" s="17">
        <f>宝物升星!N40</f>
        <v>0</v>
      </c>
      <c r="M40" s="17">
        <f>宝物升星!O40</f>
        <v>0</v>
      </c>
      <c r="N40" s="17">
        <f>宝物升星!P40</f>
        <v>0</v>
      </c>
      <c r="O40" s="17">
        <f>宝物升星!Q40</f>
        <v>3.9676239777031448</v>
      </c>
      <c r="P40" s="17">
        <f>基础状态预期!I51</f>
        <v>0</v>
      </c>
      <c r="Q40" s="17">
        <f>基础状态预期!J51</f>
        <v>0</v>
      </c>
      <c r="R40" s="17">
        <f>基础状态预期!K51</f>
        <v>0</v>
      </c>
      <c r="S40" s="17">
        <f>基础状态预期!L51</f>
        <v>6</v>
      </c>
      <c r="T40" s="17">
        <f>IF(L40=0,0,同名需求(P40,L40,C$6))</f>
        <v>0</v>
      </c>
      <c r="U40" s="17">
        <f>IF(M40=0,0,同名需求(Q40,M40,D$6))</f>
        <v>0</v>
      </c>
      <c r="V40" s="17">
        <f>IF(N40=0,0,同名需求(R40,N40,E$6))</f>
        <v>0</v>
      </c>
      <c r="W40" s="17">
        <f>IF(O40=0,0,同名需求(S40,O40,F$6))</f>
        <v>23.805743866218869</v>
      </c>
      <c r="Z40" s="17">
        <f>投放验证!AL51*C$7</f>
        <v>1910.8144406474159</v>
      </c>
      <c r="AA40" s="17">
        <f>投放验证!AM51*D$7</f>
        <v>2532.6449339637297</v>
      </c>
      <c r="AB40" s="17">
        <f>投放验证!AN51*E$7</f>
        <v>2299.8594499664155</v>
      </c>
      <c r="AC40" s="17">
        <f>投放验证!AO51*F$7</f>
        <v>2380.5743866218868</v>
      </c>
      <c r="AD40" s="17">
        <f>投放验证!Q51/投放验证!$E$25*投放验证!$E$24/$D$2</f>
        <v>3174.0991821625157</v>
      </c>
      <c r="AE40" s="16">
        <v>8878.5058583880782</v>
      </c>
      <c r="AF40" s="16">
        <f t="shared" si="11"/>
        <v>1.3851421161977704</v>
      </c>
      <c r="AG40" s="17">
        <f t="shared" si="24"/>
        <v>100</v>
      </c>
      <c r="AH40" s="17">
        <f t="shared" si="25"/>
        <v>0</v>
      </c>
      <c r="AI40" s="17">
        <f t="shared" si="26"/>
        <v>0</v>
      </c>
      <c r="AJ40" s="17">
        <f t="shared" si="27"/>
        <v>0</v>
      </c>
      <c r="AK40" s="17">
        <f t="shared" si="28"/>
        <v>2380.5743866218868</v>
      </c>
      <c r="AL40" s="17">
        <f t="shared" si="29"/>
        <v>9917.4180067400775</v>
      </c>
      <c r="AM40" s="16">
        <v>7185.570419288656</v>
      </c>
      <c r="AO40" s="16">
        <v>35</v>
      </c>
      <c r="AP40" s="16">
        <f t="shared" si="30"/>
        <v>294.60339092122865</v>
      </c>
      <c r="AQ40" s="16">
        <f t="shared" si="31"/>
        <v>354.65071735368008</v>
      </c>
      <c r="AR40" s="16">
        <f t="shared" si="32"/>
        <v>480.2344601703204</v>
      </c>
      <c r="AS40" s="16">
        <f t="shared" si="33"/>
        <v>937.81413841876258</v>
      </c>
      <c r="AT40" s="16">
        <f t="shared" si="34"/>
        <v>1335.7614891491839</v>
      </c>
      <c r="AX40" s="16">
        <v>115</v>
      </c>
      <c r="AY40" s="16">
        <v>14490</v>
      </c>
      <c r="AZ40" s="16">
        <v>14490</v>
      </c>
      <c r="BA40" s="16">
        <v>14490</v>
      </c>
      <c r="BB40" s="16">
        <v>14490</v>
      </c>
      <c r="BC40" s="16">
        <v>14490</v>
      </c>
      <c r="BE40" s="16">
        <v>35</v>
      </c>
      <c r="BF40" s="16">
        <f t="shared" si="14"/>
        <v>0</v>
      </c>
      <c r="BG40" s="16">
        <f t="shared" si="15"/>
        <v>0</v>
      </c>
      <c r="BH40" s="16">
        <f t="shared" si="16"/>
        <v>0</v>
      </c>
      <c r="BI40" s="16">
        <f t="shared" si="17"/>
        <v>0</v>
      </c>
      <c r="BJ40" s="16">
        <f t="shared" si="18"/>
        <v>0</v>
      </c>
      <c r="BM40" s="16" t="e">
        <f t="shared" si="23"/>
        <v>#DIV/0!</v>
      </c>
      <c r="BN40" s="16" t="e">
        <f t="shared" si="19"/>
        <v>#DIV/0!</v>
      </c>
      <c r="BO40" s="16" t="e">
        <f t="shared" si="20"/>
        <v>#DIV/0!</v>
      </c>
      <c r="BP40" s="16" t="e">
        <f t="shared" si="21"/>
        <v>#DIV/0!</v>
      </c>
      <c r="BQ40" s="16" t="e">
        <f t="shared" si="22"/>
        <v>#DIV/0!</v>
      </c>
      <c r="BR40" s="16">
        <f>(BF40-AP40)*$D$2/'[1]资源-钻石'!L38</f>
        <v>-0.34850565071130291</v>
      </c>
      <c r="BS40" s="16">
        <f>(BG40-AQ40)*$D$2/'[1]资源-钻石'!M38</f>
        <v>-0.34257706536334387</v>
      </c>
      <c r="BT40" s="16">
        <f>(BH40-AR40)*$D$2/'[1]资源-钻石'!N38</f>
        <v>-0.3373073205575744</v>
      </c>
      <c r="BU40" s="16">
        <f>(BI40-AS40)*$D$2/'[1]资源-钻石'!O38</f>
        <v>-0.34934573843770961</v>
      </c>
      <c r="BV40" s="16">
        <f>(BJ40-AT40)*$D$2/'[1]资源-钻石'!P38</f>
        <v>-0.34932678434541692</v>
      </c>
    </row>
    <row r="41" spans="10:74">
      <c r="J41" s="16">
        <v>12</v>
      </c>
      <c r="K41" s="17">
        <f>基础状态预期!C52</f>
        <v>105</v>
      </c>
      <c r="L41" s="17">
        <f>宝物升星!N41</f>
        <v>0</v>
      </c>
      <c r="M41" s="17">
        <f>宝物升星!O41</f>
        <v>0</v>
      </c>
      <c r="N41" s="17">
        <f>宝物升星!P41</f>
        <v>0</v>
      </c>
      <c r="O41" s="17">
        <f>宝物升星!Q41</f>
        <v>5.403171212578183</v>
      </c>
      <c r="P41" s="17">
        <f>基础状态预期!I52</f>
        <v>0</v>
      </c>
      <c r="Q41" s="17">
        <f>基础状态预期!J52</f>
        <v>0</v>
      </c>
      <c r="R41" s="17">
        <f>基础状态预期!K52</f>
        <v>0</v>
      </c>
      <c r="S41" s="17">
        <f>基础状态预期!L52</f>
        <v>6</v>
      </c>
      <c r="T41" s="17">
        <f>IF(L41=0,0,同名需求(P41,L41,C$6))</f>
        <v>0</v>
      </c>
      <c r="U41" s="17">
        <f>IF(M41=0,0,同名需求(Q41,M41,D$6))</f>
        <v>0</v>
      </c>
      <c r="V41" s="17">
        <f>IF(N41=0,0,同名需求(R41,N41,E$6))</f>
        <v>0</v>
      </c>
      <c r="W41" s="17">
        <f>IF(O41=0,0,同名需求(S41,O41,F$6))</f>
        <v>32.419027275469098</v>
      </c>
      <c r="Z41" s="17">
        <f>投放验证!AL52*C$7</f>
        <v>2649.7202900593311</v>
      </c>
      <c r="AA41" s="17">
        <f>投放验证!AM52*D$7</f>
        <v>3482.5771359751416</v>
      </c>
      <c r="AB41" s="17">
        <f>投放验证!AN52*E$7</f>
        <v>3161.5413027558907</v>
      </c>
      <c r="AC41" s="17">
        <f>投放验证!AO52*F$7</f>
        <v>3241.9027275469098</v>
      </c>
      <c r="AD41" s="17">
        <f>投放验证!Q52/投放验证!$E$25*投放验证!$E$24/$D$2</f>
        <v>4322.5369700625461</v>
      </c>
      <c r="AE41" s="16">
        <v>10914.506764952919</v>
      </c>
      <c r="AF41" s="16">
        <f t="shared" si="11"/>
        <v>1.5445753793046038</v>
      </c>
      <c r="AG41" s="17">
        <f t="shared" si="24"/>
        <v>105</v>
      </c>
      <c r="AH41" s="17">
        <f t="shared" si="25"/>
        <v>0</v>
      </c>
      <c r="AI41" s="17">
        <f t="shared" si="26"/>
        <v>0</v>
      </c>
      <c r="AJ41" s="17">
        <f t="shared" si="27"/>
        <v>0</v>
      </c>
      <c r="AK41" s="17">
        <f t="shared" si="28"/>
        <v>3241.9027275469098</v>
      </c>
      <c r="AL41" s="17">
        <f t="shared" si="29"/>
        <v>13616.375698852909</v>
      </c>
      <c r="AM41" s="16">
        <v>8833.3508140085069</v>
      </c>
      <c r="AO41" s="16">
        <v>36</v>
      </c>
      <c r="AP41" s="16">
        <f t="shared" si="30"/>
        <v>303.02063066183518</v>
      </c>
      <c r="AQ41" s="16">
        <f t="shared" si="31"/>
        <v>364.7835949923566</v>
      </c>
      <c r="AR41" s="16">
        <f t="shared" si="32"/>
        <v>493.95544474661529</v>
      </c>
      <c r="AS41" s="16">
        <f t="shared" si="33"/>
        <v>964.60882808787005</v>
      </c>
      <c r="AT41" s="16">
        <f t="shared" si="34"/>
        <v>1373.926103124875</v>
      </c>
      <c r="AX41" s="16">
        <v>120</v>
      </c>
      <c r="AY41" s="16">
        <v>14490</v>
      </c>
      <c r="AZ41" s="16">
        <v>14490</v>
      </c>
      <c r="BA41" s="16">
        <v>14490</v>
      </c>
      <c r="BB41" s="16">
        <v>14490</v>
      </c>
      <c r="BC41" s="16">
        <v>14490</v>
      </c>
      <c r="BE41" s="16">
        <v>36</v>
      </c>
      <c r="BF41" s="16">
        <f t="shared" si="14"/>
        <v>0</v>
      </c>
      <c r="BG41" s="16">
        <f t="shared" si="15"/>
        <v>0</v>
      </c>
      <c r="BH41" s="16">
        <f t="shared" si="16"/>
        <v>0</v>
      </c>
      <c r="BI41" s="16">
        <f t="shared" si="17"/>
        <v>0</v>
      </c>
      <c r="BJ41" s="16">
        <f t="shared" si="18"/>
        <v>0</v>
      </c>
      <c r="BM41" s="16" t="e">
        <f t="shared" si="23"/>
        <v>#DIV/0!</v>
      </c>
      <c r="BN41" s="16" t="e">
        <f t="shared" si="19"/>
        <v>#DIV/0!</v>
      </c>
      <c r="BO41" s="16" t="e">
        <f t="shared" si="20"/>
        <v>#DIV/0!</v>
      </c>
      <c r="BP41" s="16" t="e">
        <f t="shared" si="21"/>
        <v>#DIV/0!</v>
      </c>
      <c r="BQ41" s="16" t="e">
        <f t="shared" si="22"/>
        <v>#DIV/0!</v>
      </c>
      <c r="BR41" s="16">
        <f>(BF41-AP41)*$D$2/'[1]资源-钻石'!L39</f>
        <v>-0.33988708834161613</v>
      </c>
      <c r="BS41" s="16">
        <f>(BG41-AQ41)*$D$2/'[1]资源-钻石'!M39</f>
        <v>-0.33363465877500248</v>
      </c>
      <c r="BT41" s="16">
        <f>(BH41-AR41)*$D$2/'[1]资源-钻石'!N39</f>
        <v>-0.32851478316272525</v>
      </c>
      <c r="BU41" s="16">
        <f>(BI41-AS41)*$D$2/'[1]资源-钻石'!O39</f>
        <v>-0.33662222410550485</v>
      </c>
      <c r="BV41" s="16">
        <f>(BJ41-AT41)*$D$2/'[1]资源-钻石'!P39</f>
        <v>-0.33974265123390313</v>
      </c>
    </row>
    <row r="42" spans="10:74">
      <c r="J42" s="16">
        <v>13</v>
      </c>
      <c r="K42" s="17">
        <f>基础状态预期!C53</f>
        <v>110</v>
      </c>
      <c r="L42" s="17">
        <f>宝物升星!N42</f>
        <v>0</v>
      </c>
      <c r="M42" s="17">
        <f>宝物升星!O42</f>
        <v>0</v>
      </c>
      <c r="N42" s="17">
        <f>宝物升星!P42</f>
        <v>0</v>
      </c>
      <c r="O42" s="17">
        <f>宝物升星!Q42</f>
        <v>6</v>
      </c>
      <c r="P42" s="17">
        <f>基础状态预期!I53</f>
        <v>0</v>
      </c>
      <c r="Q42" s="17">
        <f>基础状态预期!J53</f>
        <v>0</v>
      </c>
      <c r="R42" s="17">
        <f>基础状态预期!K53</f>
        <v>0</v>
      </c>
      <c r="S42" s="17">
        <f>基础状态预期!L53</f>
        <v>6</v>
      </c>
      <c r="T42" s="17">
        <f>IF(L42=0,0,同名需求(P42,L42,C$6))</f>
        <v>0</v>
      </c>
      <c r="U42" s="17">
        <f>IF(M42=0,0,同名需求(Q42,M42,D$6))</f>
        <v>0</v>
      </c>
      <c r="V42" s="17">
        <f>IF(N42=0,0,同名需求(R42,N42,E$6))</f>
        <v>0</v>
      </c>
      <c r="W42" s="17">
        <f>IF(O42=0,0,同名需求(S42,O42,F$6))</f>
        <v>36</v>
      </c>
      <c r="Z42" s="17">
        <f>投放验证!AL53*C$7</f>
        <v>3676.5987695856688</v>
      </c>
      <c r="AA42" s="17">
        <f>投放验证!AM53*D$7</f>
        <v>4797.2796055874842</v>
      </c>
      <c r="AB42" s="17">
        <f>投放验证!AN53*E$7</f>
        <v>4354.2746831912946</v>
      </c>
      <c r="AC42" s="17">
        <f>投放验证!AO53*F$7</f>
        <v>4426.9932575883922</v>
      </c>
      <c r="AD42" s="17">
        <f>投放验证!Q53/投放验证!$E$25*投放验证!$E$24/$D$2</f>
        <v>5902.6576767845227</v>
      </c>
      <c r="AE42" s="16">
        <v>13253.020031971198</v>
      </c>
      <c r="AF42" s="16">
        <f t="shared" si="11"/>
        <v>1.747360521365859</v>
      </c>
      <c r="AG42" s="17">
        <f t="shared" si="24"/>
        <v>110</v>
      </c>
      <c r="AH42" s="17">
        <f t="shared" si="25"/>
        <v>0</v>
      </c>
      <c r="AI42" s="17">
        <f t="shared" si="26"/>
        <v>0</v>
      </c>
      <c r="AJ42" s="17">
        <f t="shared" si="27"/>
        <v>0</v>
      </c>
      <c r="AK42" s="17">
        <f t="shared" si="28"/>
        <v>3600</v>
      </c>
      <c r="AL42" s="17">
        <f t="shared" si="29"/>
        <v>19557.803992737365</v>
      </c>
      <c r="AM42" s="16">
        <v>11093.020031971198</v>
      </c>
      <c r="AO42" s="16">
        <v>37</v>
      </c>
      <c r="AP42" s="16">
        <f t="shared" si="30"/>
        <v>311.43787040244172</v>
      </c>
      <c r="AQ42" s="16">
        <f t="shared" si="31"/>
        <v>374.91647263103323</v>
      </c>
      <c r="AR42" s="16">
        <f t="shared" si="32"/>
        <v>507.67642932291011</v>
      </c>
      <c r="AS42" s="16">
        <f t="shared" si="33"/>
        <v>991.40351775697764</v>
      </c>
      <c r="AT42" s="16">
        <f t="shared" si="34"/>
        <v>1412.0907171005661</v>
      </c>
      <c r="AX42" s="16">
        <v>125</v>
      </c>
      <c r="AY42" s="16">
        <v>14490</v>
      </c>
      <c r="AZ42" s="16">
        <v>14490</v>
      </c>
      <c r="BA42" s="16">
        <v>14490</v>
      </c>
      <c r="BB42" s="16">
        <v>14490</v>
      </c>
      <c r="BC42" s="16">
        <v>14490</v>
      </c>
      <c r="BE42" s="16">
        <v>37</v>
      </c>
      <c r="BF42" s="16">
        <f t="shared" si="14"/>
        <v>0</v>
      </c>
      <c r="BG42" s="16">
        <f t="shared" si="15"/>
        <v>0</v>
      </c>
      <c r="BH42" s="16">
        <f t="shared" si="16"/>
        <v>0</v>
      </c>
      <c r="BI42" s="16">
        <f t="shared" si="17"/>
        <v>0</v>
      </c>
      <c r="BJ42" s="16">
        <f t="shared" si="18"/>
        <v>0</v>
      </c>
      <c r="BM42" s="16" t="e">
        <f t="shared" si="23"/>
        <v>#DIV/0!</v>
      </c>
      <c r="BN42" s="16" t="e">
        <f t="shared" si="19"/>
        <v>#DIV/0!</v>
      </c>
      <c r="BO42" s="16" t="e">
        <f t="shared" si="20"/>
        <v>#DIV/0!</v>
      </c>
      <c r="BP42" s="16" t="e">
        <f t="shared" si="21"/>
        <v>#DIV/0!</v>
      </c>
      <c r="BQ42" s="16" t="e">
        <f t="shared" si="22"/>
        <v>#DIV/0!</v>
      </c>
      <c r="BR42" s="16">
        <f>(BF42-AP42)*$D$2/'[1]资源-钻石'!L40</f>
        <v>-0.33094749106010185</v>
      </c>
      <c r="BS42" s="16">
        <f>(BG42-AQ42)*$D$2/'[1]资源-钻石'!M40</f>
        <v>-0.32477657532141696</v>
      </c>
      <c r="BT42" s="16">
        <f>(BH42-AR42)*$D$2/'[1]资源-钻石'!N40</f>
        <v>-0.31948819448533844</v>
      </c>
      <c r="BU42" s="16">
        <f>(BI42-AS42)*$D$2/'[1]资源-钻石'!O40</f>
        <v>-0.32464437030342552</v>
      </c>
      <c r="BV42" s="16">
        <f>(BJ42-AT42)*$D$2/'[1]资源-钻石'!P40</f>
        <v>-0.32869687479657689</v>
      </c>
    </row>
    <row r="43" spans="10:74">
      <c r="J43" s="16">
        <v>14</v>
      </c>
      <c r="K43" s="17">
        <f>基础状态预期!C54</f>
        <v>115</v>
      </c>
      <c r="L43" s="17">
        <f>宝物升星!N43</f>
        <v>0</v>
      </c>
      <c r="M43" s="17">
        <f>宝物升星!O43</f>
        <v>0</v>
      </c>
      <c r="N43" s="17">
        <f>宝物升星!P43</f>
        <v>0</v>
      </c>
      <c r="O43" s="17">
        <f>宝物升星!Q43</f>
        <v>6</v>
      </c>
      <c r="P43" s="17">
        <f>基础状态预期!I54</f>
        <v>0</v>
      </c>
      <c r="Q43" s="17">
        <f>基础状态预期!J54</f>
        <v>0</v>
      </c>
      <c r="R43" s="17">
        <f>基础状态预期!K54</f>
        <v>0</v>
      </c>
      <c r="S43" s="17">
        <f>基础状态预期!L54</f>
        <v>6</v>
      </c>
      <c r="T43" s="17">
        <f>IF(L43=0,0,同名需求(P43,L43,C$6))</f>
        <v>0</v>
      </c>
      <c r="U43" s="17">
        <f>IF(M43=0,0,同名需求(Q43,M43,D$6))</f>
        <v>0</v>
      </c>
      <c r="V43" s="17">
        <f>IF(N43=0,0,同名需求(R43,N43,E$6))</f>
        <v>0</v>
      </c>
      <c r="W43" s="17">
        <f>IF(O43=0,0,同名需求(S43,O43,F$6))</f>
        <v>36</v>
      </c>
      <c r="Z43" s="17">
        <f>投放验证!AL54*C$7</f>
        <v>5125.7543099869654</v>
      </c>
      <c r="AA43" s="17">
        <f>投放验证!AM54*D$7</f>
        <v>6647.2650791611959</v>
      </c>
      <c r="AB43" s="17">
        <f>投放验证!AN54*E$7</f>
        <v>6032.7980865699428</v>
      </c>
      <c r="AC43" s="17">
        <f>投放验证!AO54*F$7</f>
        <v>6087.6990333395752</v>
      </c>
      <c r="AD43" s="17">
        <f>投放验证!Q54/投放验证!$E$25*投放验证!$E$24/$D$2</f>
        <v>8116.9320444527675</v>
      </c>
      <c r="AE43" s="16">
        <v>16038.824609764517</v>
      </c>
      <c r="AF43" s="16">
        <f t="shared" si="11"/>
        <v>1.9958101252645613</v>
      </c>
      <c r="AG43" s="17">
        <f t="shared" si="24"/>
        <v>115</v>
      </c>
      <c r="AH43" s="17">
        <f t="shared" si="25"/>
        <v>0</v>
      </c>
      <c r="AI43" s="17">
        <f t="shared" si="26"/>
        <v>0</v>
      </c>
      <c r="AJ43" s="17">
        <f t="shared" si="27"/>
        <v>0</v>
      </c>
      <c r="AK43" s="17">
        <f t="shared" si="28"/>
        <v>3600</v>
      </c>
      <c r="AL43" s="17">
        <f t="shared" si="29"/>
        <v>28410.448553510447</v>
      </c>
      <c r="AM43" s="16">
        <v>13878.824609764517</v>
      </c>
      <c r="AO43" s="16">
        <v>38</v>
      </c>
      <c r="AP43" s="16">
        <f t="shared" si="30"/>
        <v>319.85511014304825</v>
      </c>
      <c r="AQ43" s="16">
        <f t="shared" si="31"/>
        <v>385.04935026970975</v>
      </c>
      <c r="AR43" s="16">
        <f t="shared" si="32"/>
        <v>521.39741389920505</v>
      </c>
      <c r="AS43" s="16">
        <f t="shared" si="33"/>
        <v>1018.198207426085</v>
      </c>
      <c r="AT43" s="16">
        <f t="shared" si="34"/>
        <v>1450.2553310762569</v>
      </c>
      <c r="AX43" s="16">
        <v>130</v>
      </c>
      <c r="AY43" s="16">
        <v>14490</v>
      </c>
      <c r="AZ43" s="16">
        <v>14490</v>
      </c>
      <c r="BA43" s="16">
        <v>14490</v>
      </c>
      <c r="BB43" s="16">
        <v>14490</v>
      </c>
      <c r="BC43" s="16">
        <v>14490</v>
      </c>
      <c r="BE43" s="16">
        <v>38</v>
      </c>
      <c r="BF43" s="16">
        <f t="shared" si="14"/>
        <v>0</v>
      </c>
      <c r="BG43" s="16">
        <f t="shared" si="15"/>
        <v>0</v>
      </c>
      <c r="BH43" s="16">
        <f t="shared" si="16"/>
        <v>0</v>
      </c>
      <c r="BI43" s="16">
        <f t="shared" si="17"/>
        <v>0</v>
      </c>
      <c r="BJ43" s="16">
        <f t="shared" si="18"/>
        <v>0</v>
      </c>
      <c r="BM43" s="16" t="e">
        <f t="shared" si="23"/>
        <v>#DIV/0!</v>
      </c>
      <c r="BN43" s="16" t="e">
        <f t="shared" si="19"/>
        <v>#DIV/0!</v>
      </c>
      <c r="BO43" s="16" t="e">
        <f t="shared" si="20"/>
        <v>#DIV/0!</v>
      </c>
      <c r="BP43" s="16" t="e">
        <f t="shared" si="21"/>
        <v>#DIV/0!</v>
      </c>
      <c r="BQ43" s="16" t="e">
        <f t="shared" si="22"/>
        <v>#DIV/0!</v>
      </c>
      <c r="BR43" s="16">
        <f>(BF43-AP43)*$D$2/'[1]资源-钻石'!L41</f>
        <v>-0.32174727236967904</v>
      </c>
      <c r="BS43" s="16">
        <f>(BG43-AQ43)*$D$2/'[1]资源-钻石'!M41</f>
        <v>-0.31573066662118909</v>
      </c>
      <c r="BT43" s="16">
        <f>(BH43-AR43)*$D$2/'[1]资源-钻石'!N41</f>
        <v>-0.31074056144037743</v>
      </c>
      <c r="BU43" s="16">
        <f>(BI43-AS43)*$D$2/'[1]资源-钻石'!O41</f>
        <v>-0.31271854622465522</v>
      </c>
      <c r="BV43" s="16">
        <f>(BJ43-AT43)*$D$2/'[1]资源-钻石'!P41</f>
        <v>-0.31822063090735153</v>
      </c>
    </row>
    <row r="44" spans="10:74">
      <c r="J44" s="16">
        <v>15</v>
      </c>
      <c r="K44" s="17">
        <f>基础状态预期!C55</f>
        <v>120</v>
      </c>
      <c r="L44" s="17">
        <f>宝物升星!N44</f>
        <v>0</v>
      </c>
      <c r="M44" s="17">
        <f>宝物升星!O44</f>
        <v>0</v>
      </c>
      <c r="N44" s="17">
        <f>宝物升星!P44</f>
        <v>0</v>
      </c>
      <c r="O44" s="17">
        <f>宝物升星!Q44</f>
        <v>6</v>
      </c>
      <c r="P44" s="17">
        <f>基础状态预期!I55</f>
        <v>0</v>
      </c>
      <c r="Q44" s="17">
        <f>基础状态预期!J55</f>
        <v>0</v>
      </c>
      <c r="R44" s="17">
        <f>基础状态预期!K55</f>
        <v>0</v>
      </c>
      <c r="S44" s="17">
        <f>基础状态预期!L55</f>
        <v>6</v>
      </c>
      <c r="T44" s="17">
        <f>IF(L44=0,0,同名需求(P44,L44,C$6))</f>
        <v>0</v>
      </c>
      <c r="U44" s="17">
        <f>IF(M44=0,0,同名需求(Q44,M44,D$6))</f>
        <v>0</v>
      </c>
      <c r="V44" s="17">
        <f>IF(N44=0,0,同名需求(R44,N44,E$6))</f>
        <v>0</v>
      </c>
      <c r="W44" s="17">
        <f>IF(O44=0,0,同名需求(S44,O44,F$6))</f>
        <v>36</v>
      </c>
      <c r="Z44" s="17">
        <f>投放验证!AL55*C$7</f>
        <v>7158.7833416366502</v>
      </c>
      <c r="AA44" s="17">
        <f>投放验证!AM55*D$7</f>
        <v>9234.3044120257873</v>
      </c>
      <c r="AB44" s="17">
        <f>投放验证!AN55*E$7</f>
        <v>8380.3230429152663</v>
      </c>
      <c r="AC44" s="17">
        <f>投放验证!AO55*F$7</f>
        <v>8399.3052572203542</v>
      </c>
      <c r="AD44" s="17">
        <f>投放验证!Q55/投放验证!$E$25*投放验证!$E$24/$D$2</f>
        <v>11199.073676293807</v>
      </c>
      <c r="AE44" s="16">
        <v>19452.952706105996</v>
      </c>
      <c r="AF44" s="16">
        <f t="shared" si="11"/>
        <v>2.2809796744205428</v>
      </c>
      <c r="AG44" s="17">
        <f t="shared" si="24"/>
        <v>120</v>
      </c>
      <c r="AH44" s="17">
        <f t="shared" si="25"/>
        <v>0</v>
      </c>
      <c r="AI44" s="17">
        <f t="shared" si="26"/>
        <v>0</v>
      </c>
      <c r="AJ44" s="17">
        <f t="shared" si="27"/>
        <v>0</v>
      </c>
      <c r="AK44" s="17">
        <f t="shared" si="28"/>
        <v>3600</v>
      </c>
      <c r="AL44" s="17">
        <f t="shared" si="29"/>
        <v>40771.78973009187</v>
      </c>
      <c r="AM44" s="16">
        <v>17292.952706105996</v>
      </c>
      <c r="AO44" s="16">
        <v>39</v>
      </c>
      <c r="AP44" s="16">
        <f t="shared" si="30"/>
        <v>328.27234988365478</v>
      </c>
      <c r="AQ44" s="16">
        <f t="shared" si="31"/>
        <v>395.18222790838632</v>
      </c>
      <c r="AR44" s="16">
        <f t="shared" si="32"/>
        <v>535.11839847549982</v>
      </c>
      <c r="AS44" s="16">
        <f t="shared" si="33"/>
        <v>1044.9928970951926</v>
      </c>
      <c r="AT44" s="16">
        <f t="shared" si="34"/>
        <v>1488.4199450519479</v>
      </c>
      <c r="AX44" s="16">
        <v>135</v>
      </c>
      <c r="AY44" s="16">
        <v>14490</v>
      </c>
      <c r="AZ44" s="16">
        <v>14490</v>
      </c>
      <c r="BA44" s="16">
        <v>14490</v>
      </c>
      <c r="BB44" s="16">
        <v>14490</v>
      </c>
      <c r="BC44" s="16">
        <v>14490</v>
      </c>
      <c r="BE44" s="16">
        <v>39</v>
      </c>
      <c r="BF44" s="16">
        <f t="shared" si="14"/>
        <v>0</v>
      </c>
      <c r="BG44" s="16">
        <f t="shared" si="15"/>
        <v>0</v>
      </c>
      <c r="BH44" s="16">
        <f t="shared" si="16"/>
        <v>0</v>
      </c>
      <c r="BI44" s="16">
        <f t="shared" si="17"/>
        <v>0</v>
      </c>
      <c r="BJ44" s="16">
        <f t="shared" si="18"/>
        <v>0</v>
      </c>
      <c r="BM44" s="16" t="e">
        <f t="shared" si="23"/>
        <v>#DIV/0!</v>
      </c>
      <c r="BN44" s="16" t="e">
        <f t="shared" si="19"/>
        <v>#DIV/0!</v>
      </c>
      <c r="BO44" s="16" t="e">
        <f t="shared" si="20"/>
        <v>#DIV/0!</v>
      </c>
      <c r="BP44" s="16" t="e">
        <f t="shared" si="21"/>
        <v>#DIV/0!</v>
      </c>
      <c r="BQ44" s="16" t="e">
        <f t="shared" si="22"/>
        <v>#DIV/0!</v>
      </c>
      <c r="BR44" s="16">
        <f>(BF44-AP44)*$D$2/'[1]资源-钻石'!L42</f>
        <v>-0.31234345133313618</v>
      </c>
      <c r="BS44" s="16">
        <f>(BG44-AQ44)*$D$2/'[1]资源-钻石'!M42</f>
        <v>-0.30671050022670915</v>
      </c>
      <c r="BT44" s="16">
        <f>(BH44-AR44)*$D$2/'[1]资源-钻石'!N42</f>
        <v>-0.30182567168035618</v>
      </c>
      <c r="BU44" s="16">
        <f>(BI44-AS44)*$D$2/'[1]资源-钻石'!O42</f>
        <v>-0.30266123694539088</v>
      </c>
      <c r="BV44" s="16">
        <f>(BJ44-AT44)*$D$2/'[1]资源-钻石'!P42</f>
        <v>-0.30713170748044127</v>
      </c>
    </row>
    <row r="45" spans="10:74">
      <c r="J45" s="16">
        <v>16</v>
      </c>
      <c r="K45" s="17">
        <f>基础状态预期!C56</f>
        <v>125</v>
      </c>
      <c r="L45" s="17">
        <f>宝物升星!N45</f>
        <v>0</v>
      </c>
      <c r="M45" s="17">
        <f>宝物升星!O45</f>
        <v>0</v>
      </c>
      <c r="N45" s="17">
        <f>宝物升星!P45</f>
        <v>0</v>
      </c>
      <c r="O45" s="17">
        <f>宝物升星!Q45</f>
        <v>6</v>
      </c>
      <c r="P45" s="17">
        <f>基础状态预期!I56</f>
        <v>0</v>
      </c>
      <c r="Q45" s="17">
        <f>基础状态预期!J56</f>
        <v>0</v>
      </c>
      <c r="R45" s="17">
        <f>基础状态预期!K56</f>
        <v>0</v>
      </c>
      <c r="S45" s="17">
        <f>基础状态预期!L56</f>
        <v>6</v>
      </c>
      <c r="T45" s="17">
        <f>IF(L45=0,0,同名需求(P45,L45,C$6))</f>
        <v>0</v>
      </c>
      <c r="U45" s="17">
        <f>IF(M45=0,0,同名需求(Q45,M45,D$6))</f>
        <v>0</v>
      </c>
      <c r="V45" s="17">
        <f>IF(N45=0,0,同名需求(R45,N45,E$6))</f>
        <v>0</v>
      </c>
      <c r="W45" s="17">
        <f>IF(O45=0,0,同名需求(S45,O45,F$6))</f>
        <v>36</v>
      </c>
      <c r="Z45" s="17">
        <f>投放验证!AL56*C$7</f>
        <v>9985.4775581164668</v>
      </c>
      <c r="AA45" s="17">
        <f>投放验证!AM56*D$7</f>
        <v>12823.189691690497</v>
      </c>
      <c r="AB45" s="17">
        <f>投放验证!AN56*E$7</f>
        <v>11637.194570956402</v>
      </c>
      <c r="AC45" s="17">
        <f>投放验证!AO56*F$7</f>
        <v>11595.60198343616</v>
      </c>
      <c r="AD45" s="17">
        <f>投放验证!Q56/投放验证!$E$25*投放验证!$E$24/$D$2</f>
        <v>15460.802644581549</v>
      </c>
      <c r="AE45" s="16">
        <v>23714.645041837281</v>
      </c>
      <c r="AF45" s="16">
        <f t="shared" si="11"/>
        <v>2.5934297705185561</v>
      </c>
      <c r="AG45" s="17">
        <f t="shared" si="24"/>
        <v>125</v>
      </c>
      <c r="AH45" s="17">
        <f t="shared" si="25"/>
        <v>0</v>
      </c>
      <c r="AI45" s="17">
        <f t="shared" si="26"/>
        <v>0</v>
      </c>
      <c r="AJ45" s="17">
        <f t="shared" si="27"/>
        <v>0</v>
      </c>
      <c r="AK45" s="17">
        <f t="shared" si="28"/>
        <v>3600</v>
      </c>
      <c r="AL45" s="17">
        <f t="shared" si="29"/>
        <v>57902.266448781076</v>
      </c>
      <c r="AM45" s="16">
        <v>21554.645041837281</v>
      </c>
      <c r="AO45" s="16">
        <v>40</v>
      </c>
      <c r="AP45" s="16">
        <f t="shared" si="30"/>
        <v>336.68958962426132</v>
      </c>
      <c r="AQ45" s="16">
        <f t="shared" si="31"/>
        <v>405.3151055470629</v>
      </c>
      <c r="AR45" s="16">
        <f t="shared" si="32"/>
        <v>548.8393830517947</v>
      </c>
      <c r="AS45" s="16">
        <f t="shared" si="33"/>
        <v>1071.7875867643002</v>
      </c>
      <c r="AT45" s="16">
        <f t="shared" si="34"/>
        <v>1526.584559027639</v>
      </c>
      <c r="AX45" s="16">
        <v>140</v>
      </c>
      <c r="AY45" s="16">
        <v>14490</v>
      </c>
      <c r="AZ45" s="16">
        <v>14490</v>
      </c>
      <c r="BA45" s="16">
        <v>14490</v>
      </c>
      <c r="BB45" s="16">
        <v>14490</v>
      </c>
      <c r="BC45" s="16">
        <v>14490</v>
      </c>
      <c r="BE45" s="16">
        <v>40</v>
      </c>
      <c r="BF45" s="16">
        <f t="shared" si="14"/>
        <v>0</v>
      </c>
      <c r="BG45" s="16">
        <f t="shared" si="15"/>
        <v>0</v>
      </c>
      <c r="BH45" s="16">
        <f t="shared" si="16"/>
        <v>0</v>
      </c>
      <c r="BI45" s="16">
        <f t="shared" si="17"/>
        <v>0</v>
      </c>
      <c r="BJ45" s="16">
        <f t="shared" si="18"/>
        <v>0</v>
      </c>
      <c r="BM45" s="16" t="e">
        <f t="shared" si="23"/>
        <v>#DIV/0!</v>
      </c>
      <c r="BN45" s="16" t="e">
        <f t="shared" si="19"/>
        <v>#DIV/0!</v>
      </c>
      <c r="BO45" s="16" t="e">
        <f t="shared" si="20"/>
        <v>#DIV/0!</v>
      </c>
      <c r="BP45" s="16" t="e">
        <f t="shared" si="21"/>
        <v>#DIV/0!</v>
      </c>
      <c r="BQ45" s="16" t="e">
        <f t="shared" si="22"/>
        <v>#DIV/0!</v>
      </c>
      <c r="BR45" s="16">
        <f>(BF45-AP45)*$D$2/'[1]资源-钻石'!L43</f>
        <v>-0.30278976132238788</v>
      </c>
      <c r="BS45" s="16">
        <f>(BG45-AQ45)*$D$2/'[1]资源-钻石'!M43</f>
        <v>-0.29760108797941204</v>
      </c>
      <c r="BT45" s="16">
        <f>(BH45-AR45)*$D$2/'[1]资源-钻石'!N43</f>
        <v>-0.29234377492571939</v>
      </c>
      <c r="BU45" s="16">
        <f>(BI45-AS45)*$D$2/'[1]资源-钻石'!O43</f>
        <v>-0.29247514684246795</v>
      </c>
      <c r="BV45" s="16">
        <f>(BJ45-AT45)*$D$2/'[1]资源-钻石'!P43</f>
        <v>-0.29559698657672684</v>
      </c>
    </row>
    <row r="46" spans="10:74">
      <c r="J46" s="16">
        <v>17</v>
      </c>
      <c r="K46" s="17">
        <f>基础状态预期!C57</f>
        <v>130</v>
      </c>
      <c r="L46" s="17">
        <f>宝物升星!N46</f>
        <v>0</v>
      </c>
      <c r="M46" s="17">
        <f>宝物升星!O46</f>
        <v>0</v>
      </c>
      <c r="N46" s="17">
        <f>宝物升星!P46</f>
        <v>0</v>
      </c>
      <c r="O46" s="17">
        <f>宝物升星!Q46</f>
        <v>6</v>
      </c>
      <c r="P46" s="17">
        <f>基础状态预期!I57</f>
        <v>0</v>
      </c>
      <c r="Q46" s="17">
        <f>基础状态预期!J57</f>
        <v>0</v>
      </c>
      <c r="R46" s="17">
        <f>基础状态预期!K57</f>
        <v>0</v>
      </c>
      <c r="S46" s="17">
        <f>基础状态预期!L57</f>
        <v>6</v>
      </c>
      <c r="T46" s="17">
        <f>IF(L46=0,0,同名需求(P46,L46,C$6))</f>
        <v>0</v>
      </c>
      <c r="U46" s="17">
        <f>IF(M46=0,0,同名需求(Q46,M46,D$6))</f>
        <v>0</v>
      </c>
      <c r="V46" s="17">
        <f>IF(N46=0,0,同名需求(R46,N46,E$6))</f>
        <v>0</v>
      </c>
      <c r="W46" s="17">
        <f>IF(O46=0,0,同名需求(S46,O46,F$6))</f>
        <v>36</v>
      </c>
      <c r="Z46" s="17">
        <f>投放验证!AL57*C$7</f>
        <v>13945.529686092787</v>
      </c>
      <c r="AA46" s="17">
        <f>投放验证!AM57*D$7</f>
        <v>17838.62096275268</v>
      </c>
      <c r="AB46" s="17">
        <f>投放验证!AN57*E$7</f>
        <v>16189.030088311973</v>
      </c>
      <c r="AC46" s="17">
        <f>投放验证!AO57*F$7</f>
        <v>16046.275451082627</v>
      </c>
      <c r="AD46" s="17">
        <f>投放验证!Q57/投放验证!$E$25*投放验证!$E$24/$D$2</f>
        <v>21395.033934776839</v>
      </c>
      <c r="AE46" s="16">
        <v>29197.541487148937</v>
      </c>
      <c r="AF46" s="16">
        <f t="shared" si="11"/>
        <v>2.9254000772842947</v>
      </c>
      <c r="AG46" s="17">
        <f t="shared" si="24"/>
        <v>130</v>
      </c>
      <c r="AH46" s="17">
        <f t="shared" si="25"/>
        <v>0</v>
      </c>
      <c r="AI46" s="17">
        <f t="shared" si="26"/>
        <v>0</v>
      </c>
      <c r="AJ46" s="17">
        <f t="shared" si="27"/>
        <v>0</v>
      </c>
      <c r="AK46" s="17">
        <f t="shared" si="28"/>
        <v>3600</v>
      </c>
      <c r="AL46" s="17">
        <f t="shared" si="29"/>
        <v>81814.490123016905</v>
      </c>
      <c r="AM46" s="16">
        <v>27037.541487148937</v>
      </c>
      <c r="AO46" s="16">
        <v>41</v>
      </c>
      <c r="AP46" s="16">
        <f t="shared" si="30"/>
        <v>345.10682936486785</v>
      </c>
      <c r="AQ46" s="16">
        <f t="shared" si="31"/>
        <v>415.44798318573947</v>
      </c>
      <c r="AR46" s="16">
        <f t="shared" si="32"/>
        <v>562.56036762808958</v>
      </c>
      <c r="AS46" s="16">
        <f t="shared" si="33"/>
        <v>1098.5822764334075</v>
      </c>
      <c r="AT46" s="16">
        <f t="shared" si="34"/>
        <v>1564.7491730033298</v>
      </c>
      <c r="AX46" s="16">
        <v>145</v>
      </c>
      <c r="AY46" s="16">
        <v>14490</v>
      </c>
      <c r="AZ46" s="16">
        <v>14490</v>
      </c>
      <c r="BA46" s="16">
        <v>14490</v>
      </c>
      <c r="BB46" s="16">
        <v>14490</v>
      </c>
      <c r="BC46" s="16">
        <v>14490</v>
      </c>
      <c r="BE46" s="16">
        <v>41</v>
      </c>
      <c r="BF46" s="16">
        <f t="shared" si="14"/>
        <v>0</v>
      </c>
      <c r="BG46" s="16">
        <f t="shared" si="15"/>
        <v>0</v>
      </c>
      <c r="BH46" s="16">
        <f t="shared" si="16"/>
        <v>0</v>
      </c>
      <c r="BI46" s="16">
        <f t="shared" si="17"/>
        <v>0</v>
      </c>
      <c r="BJ46" s="16">
        <f t="shared" si="18"/>
        <v>0</v>
      </c>
      <c r="BM46" s="16" t="e">
        <f t="shared" si="23"/>
        <v>#DIV/0!</v>
      </c>
      <c r="BN46" s="16" t="e">
        <f t="shared" si="19"/>
        <v>#DIV/0!</v>
      </c>
      <c r="BO46" s="16" t="e">
        <f t="shared" si="20"/>
        <v>#DIV/0!</v>
      </c>
      <c r="BP46" s="16" t="e">
        <f t="shared" si="21"/>
        <v>#DIV/0!</v>
      </c>
      <c r="BQ46" s="16" t="e">
        <f t="shared" si="22"/>
        <v>#DIV/0!</v>
      </c>
      <c r="BR46" s="16">
        <f>(BF46-AP46)*$D$2/'[1]资源-钻石'!L44</f>
        <v>-0.29313567987832273</v>
      </c>
      <c r="BS46" s="16">
        <f>(BG46-AQ46)*$D$2/'[1]资源-钻石'!M44</f>
        <v>-0.28792949786601296</v>
      </c>
      <c r="BT46" s="16">
        <f>(BH46-AR46)*$D$2/'[1]资源-钻石'!N44</f>
        <v>-0.28242361486256584</v>
      </c>
      <c r="BU46" s="16">
        <f>(BI46-AS46)*$D$2/'[1]资源-钻石'!O44</f>
        <v>-0.28214453173801779</v>
      </c>
      <c r="BV46" s="16">
        <f>(BJ46-AT46)*$D$2/'[1]资源-钻石'!P44</f>
        <v>-0.28385947933958317</v>
      </c>
    </row>
    <row r="47" spans="10:74">
      <c r="J47" s="16">
        <v>18</v>
      </c>
      <c r="K47" s="17">
        <f>基础状态预期!C58</f>
        <v>135</v>
      </c>
      <c r="L47" s="17">
        <f>宝物升星!N47</f>
        <v>0</v>
      </c>
      <c r="M47" s="17">
        <f>宝物升星!O47</f>
        <v>0</v>
      </c>
      <c r="N47" s="17">
        <f>宝物升星!P47</f>
        <v>0</v>
      </c>
      <c r="O47" s="17">
        <f>宝物升星!Q47</f>
        <v>6</v>
      </c>
      <c r="P47" s="17">
        <f>基础状态预期!I58</f>
        <v>0</v>
      </c>
      <c r="Q47" s="17">
        <f>基础状态预期!J58</f>
        <v>0</v>
      </c>
      <c r="R47" s="17">
        <f>基础状态预期!K58</f>
        <v>0</v>
      </c>
      <c r="S47" s="17">
        <f>基础状态预期!L58</f>
        <v>6</v>
      </c>
      <c r="T47" s="17">
        <f>IF(L47=0,0,同名需求(P47,L47,C$6))</f>
        <v>0</v>
      </c>
      <c r="U47" s="17">
        <f>IF(M47=0,0,同名需求(Q47,M47,D$6))</f>
        <v>0</v>
      </c>
      <c r="V47" s="17">
        <f>IF(N47=0,0,同名需求(R47,N47,E$6))</f>
        <v>0</v>
      </c>
      <c r="W47" s="17">
        <f>IF(O47=0,0,同名需求(S47,O47,F$6))</f>
        <v>36</v>
      </c>
      <c r="Z47" s="17">
        <f>投放验证!AL58*C$7</f>
        <v>19502.53442793023</v>
      </c>
      <c r="AA47" s="17">
        <f>投放验证!AM58*D$7</f>
        <v>24864.038923988301</v>
      </c>
      <c r="AB47" s="17">
        <f>投放验证!AN58*E$7</f>
        <v>22565.457361982455</v>
      </c>
      <c r="AC47" s="17">
        <f>投放验证!AO58*F$7</f>
        <v>22264.244757640387</v>
      </c>
      <c r="AD47" s="17">
        <f>投放验证!Q58/投放验证!$E$25*投放验证!$E$24/$D$2</f>
        <v>29685.659676853851</v>
      </c>
      <c r="AE47" s="16">
        <v>36379.325869480293</v>
      </c>
      <c r="AF47" s="16">
        <f t="shared" si="11"/>
        <v>3.2678432683143486</v>
      </c>
      <c r="AG47" s="17">
        <f t="shared" si="24"/>
        <v>135</v>
      </c>
      <c r="AH47" s="17">
        <f t="shared" si="25"/>
        <v>0</v>
      </c>
      <c r="AI47" s="17">
        <f t="shared" si="26"/>
        <v>0</v>
      </c>
      <c r="AJ47" s="17">
        <f t="shared" si="27"/>
        <v>0</v>
      </c>
      <c r="AK47" s="17">
        <f t="shared" si="28"/>
        <v>3600</v>
      </c>
      <c r="AL47" s="17">
        <f t="shared" si="29"/>
        <v>115281.93514839522</v>
      </c>
      <c r="AM47" s="16">
        <v>34219.325869480293</v>
      </c>
      <c r="AO47" s="16">
        <v>42</v>
      </c>
      <c r="AP47" s="16">
        <f t="shared" si="30"/>
        <v>353.52406910547438</v>
      </c>
      <c r="AQ47" s="16">
        <f t="shared" si="31"/>
        <v>425.58086082441605</v>
      </c>
      <c r="AR47" s="16">
        <f t="shared" si="32"/>
        <v>576.28135220438446</v>
      </c>
      <c r="AS47" s="16">
        <f t="shared" si="33"/>
        <v>1125.3769661025151</v>
      </c>
      <c r="AT47" s="16">
        <f t="shared" si="34"/>
        <v>1602.9137869790209</v>
      </c>
      <c r="AX47" s="16">
        <v>150</v>
      </c>
      <c r="AY47" s="16">
        <v>14490</v>
      </c>
      <c r="AZ47" s="16">
        <v>14490</v>
      </c>
      <c r="BA47" s="16">
        <v>14490</v>
      </c>
      <c r="BB47" s="16">
        <v>14490</v>
      </c>
      <c r="BC47" s="16">
        <v>14490</v>
      </c>
      <c r="BE47" s="16">
        <v>42</v>
      </c>
      <c r="BF47" s="16">
        <f t="shared" si="14"/>
        <v>0</v>
      </c>
      <c r="BG47" s="16">
        <f t="shared" si="15"/>
        <v>0</v>
      </c>
      <c r="BH47" s="16">
        <f t="shared" si="16"/>
        <v>0</v>
      </c>
      <c r="BI47" s="16">
        <f t="shared" si="17"/>
        <v>0</v>
      </c>
      <c r="BJ47" s="16">
        <f t="shared" si="18"/>
        <v>0</v>
      </c>
      <c r="BM47" s="16" t="e">
        <f t="shared" si="23"/>
        <v>#DIV/0!</v>
      </c>
      <c r="BN47" s="16" t="e">
        <f t="shared" si="19"/>
        <v>#DIV/0!</v>
      </c>
      <c r="BO47" s="16" t="e">
        <f t="shared" si="20"/>
        <v>#DIV/0!</v>
      </c>
      <c r="BP47" s="16" t="e">
        <f t="shared" si="21"/>
        <v>#DIV/0!</v>
      </c>
      <c r="BQ47" s="16" t="e">
        <f t="shared" si="22"/>
        <v>#DIV/0!</v>
      </c>
      <c r="BR47" s="16">
        <f>(BF47-AP47)*$D$2/'[1]资源-钻石'!L45</f>
        <v>-0.28342721183323399</v>
      </c>
      <c r="BS47" s="16">
        <f>(BG47-AQ47)*$D$2/'[1]资源-钻石'!M45</f>
        <v>-0.27808549821973705</v>
      </c>
      <c r="BT47" s="16">
        <f>(BH47-AR47)*$D$2/'[1]资源-钻石'!N45</f>
        <v>-0.2720713426931467</v>
      </c>
      <c r="BU47" s="16">
        <f>(BI47-AS47)*$D$2/'[1]资源-钻石'!O45</f>
        <v>-0.27143119918751979</v>
      </c>
      <c r="BV47" s="16">
        <f>(BJ47-AT47)*$D$2/'[1]资源-钻石'!P45</f>
        <v>-0.27229701981120252</v>
      </c>
    </row>
    <row r="48" spans="10:74">
      <c r="J48" s="16">
        <v>19</v>
      </c>
      <c r="K48" s="17">
        <f>基础状态预期!C59</f>
        <v>140</v>
      </c>
      <c r="L48" s="17">
        <f>宝物升星!N48</f>
        <v>0</v>
      </c>
      <c r="M48" s="17">
        <f>宝物升星!O48</f>
        <v>0</v>
      </c>
      <c r="N48" s="17">
        <f>宝物升星!P48</f>
        <v>0</v>
      </c>
      <c r="O48" s="17">
        <f>宝物升星!Q48</f>
        <v>6</v>
      </c>
      <c r="P48" s="17">
        <f>基础状态预期!I59</f>
        <v>0</v>
      </c>
      <c r="Q48" s="17">
        <f>基础状态预期!J59</f>
        <v>0</v>
      </c>
      <c r="R48" s="17">
        <f>基础状态预期!K59</f>
        <v>0</v>
      </c>
      <c r="S48" s="17">
        <f>基础状态预期!L59</f>
        <v>6</v>
      </c>
      <c r="T48" s="17">
        <f>IF(L48=0,0,同名需求(P48,L48,C$6))</f>
        <v>0</v>
      </c>
      <c r="U48" s="17">
        <f>IF(M48=0,0,同名需求(Q48,M48,D$6))</f>
        <v>0</v>
      </c>
      <c r="V48" s="17">
        <f>IF(N48=0,0,同名需求(R48,N48,E$6))</f>
        <v>0</v>
      </c>
      <c r="W48" s="17">
        <f>IF(O48=0,0,同名需求(S48,O48,F$6))</f>
        <v>36</v>
      </c>
      <c r="Z48" s="17">
        <f>投放验证!AL59*C$7</f>
        <v>27406.095867274642</v>
      </c>
      <c r="AA48" s="17">
        <f>投放验证!AM59*D$7</f>
        <v>34837.231916169105</v>
      </c>
      <c r="AB48" s="17">
        <f>投放验证!AN59*E$7</f>
        <v>31617.946555962248</v>
      </c>
      <c r="AC48" s="17">
        <f>投放验证!AO59*F$7</f>
        <v>31066.609354616328</v>
      </c>
      <c r="AD48" s="17">
        <f>投放验证!Q59/投放验证!$E$25*投放验证!$E$24/$D$2</f>
        <v>41422.145806155102</v>
      </c>
      <c r="AE48" s="16">
        <v>46175.867417867405</v>
      </c>
      <c r="AF48" s="16">
        <f t="shared" si="11"/>
        <v>3.6025317725988084</v>
      </c>
      <c r="AG48" s="17">
        <f t="shared" si="24"/>
        <v>140</v>
      </c>
      <c r="AH48" s="17">
        <f t="shared" si="25"/>
        <v>0</v>
      </c>
      <c r="AI48" s="17">
        <f t="shared" si="26"/>
        <v>0</v>
      </c>
      <c r="AJ48" s="17">
        <f t="shared" si="27"/>
        <v>0</v>
      </c>
      <c r="AK48" s="17">
        <f t="shared" si="28"/>
        <v>3600</v>
      </c>
      <c r="AL48" s="17">
        <f t="shared" si="29"/>
        <v>162750.02950017742</v>
      </c>
      <c r="AM48" s="16">
        <v>44015.867417867405</v>
      </c>
      <c r="AO48" s="16">
        <v>43</v>
      </c>
      <c r="AP48" s="16">
        <f t="shared" si="30"/>
        <v>361.94130884608091</v>
      </c>
      <c r="AQ48" s="16">
        <f t="shared" si="31"/>
        <v>435.71373846309262</v>
      </c>
      <c r="AR48" s="16">
        <f t="shared" si="32"/>
        <v>590.00233678067934</v>
      </c>
      <c r="AS48" s="16">
        <f t="shared" si="33"/>
        <v>1152.1716557716227</v>
      </c>
      <c r="AT48" s="16">
        <f t="shared" si="34"/>
        <v>1641.0784009547119</v>
      </c>
      <c r="AX48" s="16">
        <v>155</v>
      </c>
      <c r="AY48" s="16">
        <v>14490</v>
      </c>
      <c r="AZ48" s="16">
        <v>14490</v>
      </c>
      <c r="BA48" s="16">
        <v>14490</v>
      </c>
      <c r="BB48" s="16">
        <v>14490</v>
      </c>
      <c r="BC48" s="16">
        <v>14490</v>
      </c>
      <c r="BE48" s="16">
        <v>43</v>
      </c>
      <c r="BF48" s="16">
        <f t="shared" si="14"/>
        <v>0</v>
      </c>
      <c r="BG48" s="16">
        <f t="shared" si="15"/>
        <v>0</v>
      </c>
      <c r="BH48" s="16">
        <f t="shared" si="16"/>
        <v>0</v>
      </c>
      <c r="BI48" s="16">
        <f t="shared" si="17"/>
        <v>0</v>
      </c>
      <c r="BJ48" s="16">
        <f t="shared" si="18"/>
        <v>0</v>
      </c>
      <c r="BM48" s="16" t="e">
        <f t="shared" si="23"/>
        <v>#DIV/0!</v>
      </c>
      <c r="BN48" s="16" t="e">
        <f t="shared" si="19"/>
        <v>#DIV/0!</v>
      </c>
      <c r="BO48" s="16" t="e">
        <f t="shared" si="20"/>
        <v>#DIV/0!</v>
      </c>
      <c r="BP48" s="16" t="e">
        <f t="shared" si="21"/>
        <v>#DIV/0!</v>
      </c>
      <c r="BQ48" s="16" t="e">
        <f t="shared" si="22"/>
        <v>#DIV/0!</v>
      </c>
      <c r="BR48" s="16">
        <f>(BF48-AP48)*$D$2/'[1]资源-钻石'!L46</f>
        <v>-0.27370662757682329</v>
      </c>
      <c r="BS48" s="16">
        <f>(BG48-AQ48)*$D$2/'[1]资源-钻石'!M46</f>
        <v>-0.26879984550511665</v>
      </c>
      <c r="BT48" s="16">
        <f>(BH48-AR48)*$D$2/'[1]资源-钻石'!N46</f>
        <v>-0.26231002155299349</v>
      </c>
      <c r="BU48" s="16">
        <f>(BI48-AS48)*$D$2/'[1]资源-钻石'!O46</f>
        <v>-0.26182288724111624</v>
      </c>
      <c r="BV48" s="16">
        <f>(BJ48-AT48)*$D$2/'[1]资源-钻石'!P46</f>
        <v>-0.26199362943244586</v>
      </c>
    </row>
    <row r="49" spans="10:74">
      <c r="J49" s="16">
        <v>20</v>
      </c>
      <c r="K49" s="17">
        <f>基础状态预期!C60</f>
        <v>145</v>
      </c>
      <c r="L49" s="17">
        <f>宝物升星!N49</f>
        <v>0</v>
      </c>
      <c r="M49" s="17">
        <f>宝物升星!O49</f>
        <v>0</v>
      </c>
      <c r="N49" s="17">
        <f>宝物升星!P49</f>
        <v>0</v>
      </c>
      <c r="O49" s="17">
        <f>宝物升星!Q49</f>
        <v>6</v>
      </c>
      <c r="P49" s="17">
        <f>基础状态预期!I60</f>
        <v>0</v>
      </c>
      <c r="Q49" s="17">
        <f>基础状态预期!J60</f>
        <v>0</v>
      </c>
      <c r="R49" s="17">
        <f>基础状态预期!K60</f>
        <v>0</v>
      </c>
      <c r="S49" s="17">
        <f>基础状态预期!L60</f>
        <v>6</v>
      </c>
      <c r="T49" s="17">
        <f>IF(L49=0,0,同名需求(P49,L49,C$6))</f>
        <v>0</v>
      </c>
      <c r="U49" s="17">
        <f>IF(M49=0,0,同名需求(Q49,M49,D$6))</f>
        <v>0</v>
      </c>
      <c r="V49" s="17">
        <f>IF(N49=0,0,同名需求(R49,N49,E$6))</f>
        <v>0</v>
      </c>
      <c r="W49" s="17">
        <f>IF(O49=0,0,同名需求(S49,O49,F$6))</f>
        <v>36</v>
      </c>
      <c r="Z49" s="17">
        <f>投放验证!AL60*C$7</f>
        <v>38484.579525589339</v>
      </c>
      <c r="AA49" s="17">
        <f>投放验证!AM60*D$7</f>
        <v>48797.255139231274</v>
      </c>
      <c r="AB49" s="17">
        <f>投放验证!AN60*E$7</f>
        <v>44289.826463179932</v>
      </c>
      <c r="AC49" s="17">
        <f>投放验证!AO60*F$7</f>
        <v>43362.305012893215</v>
      </c>
      <c r="AD49" s="17">
        <f>投放验证!Q60/投放验证!$E$25*投放验证!$E$24/$D$2</f>
        <v>57816.406683857625</v>
      </c>
      <c r="AE49" s="16">
        <v>59394.220888560376</v>
      </c>
      <c r="AF49" s="16">
        <f t="shared" si="11"/>
        <v>3.9187377044890281</v>
      </c>
      <c r="AG49" s="17">
        <f t="shared" si="24"/>
        <v>145</v>
      </c>
      <c r="AH49" s="17">
        <f t="shared" si="25"/>
        <v>0</v>
      </c>
      <c r="AI49" s="17">
        <f t="shared" si="26"/>
        <v>0</v>
      </c>
      <c r="AJ49" s="17">
        <f t="shared" si="27"/>
        <v>0</v>
      </c>
      <c r="AK49" s="17">
        <f t="shared" si="28"/>
        <v>3600</v>
      </c>
      <c r="AL49" s="17">
        <f t="shared" si="29"/>
        <v>229150.37282475136</v>
      </c>
      <c r="AM49" s="16">
        <v>57234.220888560376</v>
      </c>
      <c r="AO49" s="16">
        <v>44</v>
      </c>
      <c r="AP49" s="16">
        <f t="shared" si="30"/>
        <v>370.35854858668745</v>
      </c>
      <c r="AQ49" s="16">
        <f t="shared" si="31"/>
        <v>445.8466161017692</v>
      </c>
      <c r="AR49" s="16">
        <f t="shared" si="32"/>
        <v>603.72332135697422</v>
      </c>
      <c r="AS49" s="16">
        <f t="shared" si="33"/>
        <v>1178.96634544073</v>
      </c>
      <c r="AT49" s="16">
        <f t="shared" si="34"/>
        <v>1679.2430149304028</v>
      </c>
      <c r="AX49" s="16">
        <v>160</v>
      </c>
      <c r="AY49" s="16">
        <v>14490</v>
      </c>
      <c r="AZ49" s="16">
        <v>14490</v>
      </c>
      <c r="BA49" s="16">
        <v>14490</v>
      </c>
      <c r="BB49" s="16">
        <v>14490</v>
      </c>
      <c r="BC49" s="16">
        <v>14490</v>
      </c>
      <c r="BE49" s="16">
        <v>44</v>
      </c>
      <c r="BF49" s="16">
        <f t="shared" si="14"/>
        <v>0</v>
      </c>
      <c r="BG49" s="16">
        <f t="shared" si="15"/>
        <v>0</v>
      </c>
      <c r="BH49" s="16">
        <f t="shared" si="16"/>
        <v>0</v>
      </c>
      <c r="BI49" s="16">
        <f t="shared" si="17"/>
        <v>0</v>
      </c>
      <c r="BJ49" s="16">
        <f t="shared" si="18"/>
        <v>0</v>
      </c>
      <c r="BM49" s="16" t="e">
        <f t="shared" si="23"/>
        <v>#DIV/0!</v>
      </c>
      <c r="BN49" s="16" t="e">
        <f t="shared" si="19"/>
        <v>#DIV/0!</v>
      </c>
      <c r="BO49" s="16" t="e">
        <f t="shared" si="20"/>
        <v>#DIV/0!</v>
      </c>
      <c r="BP49" s="16" t="e">
        <f t="shared" si="21"/>
        <v>#DIV/0!</v>
      </c>
      <c r="BQ49" s="16" t="e">
        <f t="shared" si="22"/>
        <v>#DIV/0!</v>
      </c>
      <c r="BR49" s="16">
        <f>(BF49-AP49)*$D$2/'[1]资源-钻石'!L47</f>
        <v>-0.26401247126944544</v>
      </c>
      <c r="BS49" s="16">
        <f>(BG49-AQ49)*$D$2/'[1]资源-钻石'!M47</f>
        <v>-0.25955538424032043</v>
      </c>
      <c r="BT49" s="16">
        <f>(BH49-AR49)*$D$2/'[1]资源-钻石'!N47</f>
        <v>-0.25337140555453619</v>
      </c>
      <c r="BU49" s="16">
        <f>(BI49-AS49)*$D$2/'[1]资源-钻石'!O47</f>
        <v>-0.25228987163250371</v>
      </c>
      <c r="BV49" s="16">
        <f>(BJ49-AT49)*$D$2/'[1]资源-钻石'!P47</f>
        <v>-0.25200237909830192</v>
      </c>
    </row>
    <row r="50" spans="10:74">
      <c r="J50" s="16">
        <v>21</v>
      </c>
      <c r="K50" s="17">
        <f>基础状态预期!C61</f>
        <v>150</v>
      </c>
      <c r="L50" s="17">
        <f>宝物升星!N50</f>
        <v>0</v>
      </c>
      <c r="M50" s="17">
        <f>宝物升星!O50</f>
        <v>0</v>
      </c>
      <c r="N50" s="17">
        <f>宝物升星!P50</f>
        <v>0</v>
      </c>
      <c r="O50" s="17">
        <f>宝物升星!Q50</f>
        <v>6</v>
      </c>
      <c r="P50" s="17">
        <f>基础状态预期!I61</f>
        <v>0</v>
      </c>
      <c r="Q50" s="17">
        <f>基础状态预期!J61</f>
        <v>0</v>
      </c>
      <c r="R50" s="17">
        <f>基础状态预期!K61</f>
        <v>0</v>
      </c>
      <c r="S50" s="17">
        <f>基础状态预期!L61</f>
        <v>6</v>
      </c>
      <c r="T50" s="17">
        <f>IF(L50=0,0,同名需求(P50,L50,C$6))</f>
        <v>0</v>
      </c>
      <c r="U50" s="17">
        <f>IF(M50=0,0,同名需求(Q50,M50,D$6))</f>
        <v>0</v>
      </c>
      <c r="V50" s="17">
        <f>IF(N50=0,0,同名需求(R50,N50,E$6))</f>
        <v>0</v>
      </c>
      <c r="W50" s="17">
        <f>IF(O50=0,0,同名需求(S50,O50,F$6))</f>
        <v>36</v>
      </c>
      <c r="Z50" s="17">
        <f>投放验证!AL61*C$7</f>
        <v>53906.254305903174</v>
      </c>
      <c r="AA50" s="17">
        <f>投放验证!AM61*D$7</f>
        <v>68202.130107736652</v>
      </c>
      <c r="AB50" s="17">
        <f>投放验证!AN61*E$7</f>
        <v>61905.028648990039</v>
      </c>
      <c r="AC50" s="17">
        <f>投放验证!AO61*F$7</f>
        <v>60417.05299865338</v>
      </c>
      <c r="AD50" s="17">
        <f>投放验证!Q61/投放验证!$E$25*投放验证!$E$24/$D$2</f>
        <v>80556.070664871178</v>
      </c>
      <c r="AE50" s="16">
        <v>77349.777094938501</v>
      </c>
      <c r="AF50" s="16">
        <f t="shared" si="11"/>
        <v>4.2015187235416152</v>
      </c>
      <c r="AG50" s="17">
        <f t="shared" si="24"/>
        <v>150</v>
      </c>
      <c r="AH50" s="17">
        <f t="shared" si="25"/>
        <v>0</v>
      </c>
      <c r="AI50" s="17">
        <f t="shared" si="26"/>
        <v>0</v>
      </c>
      <c r="AJ50" s="17">
        <f t="shared" si="27"/>
        <v>0</v>
      </c>
      <c r="AK50" s="17">
        <f t="shared" si="28"/>
        <v>3600</v>
      </c>
      <c r="AL50" s="17">
        <f t="shared" si="29"/>
        <v>321386.53672615445</v>
      </c>
      <c r="AM50" s="16">
        <v>75189.777094938501</v>
      </c>
      <c r="AO50" s="16">
        <v>45</v>
      </c>
      <c r="AP50" s="16">
        <f t="shared" si="30"/>
        <v>378.77578832729398</v>
      </c>
      <c r="AQ50" s="16">
        <f t="shared" si="31"/>
        <v>455.97949374044578</v>
      </c>
      <c r="AR50" s="16">
        <f t="shared" si="32"/>
        <v>617.44430593326911</v>
      </c>
      <c r="AS50" s="16">
        <f t="shared" si="33"/>
        <v>1205.7610351098376</v>
      </c>
      <c r="AT50" s="16">
        <f t="shared" si="34"/>
        <v>1717.4076289060938</v>
      </c>
      <c r="BE50" s="16">
        <v>45</v>
      </c>
      <c r="BF50" s="16">
        <f t="shared" si="14"/>
        <v>0</v>
      </c>
      <c r="BG50" s="16">
        <f t="shared" si="15"/>
        <v>0</v>
      </c>
      <c r="BH50" s="16">
        <f t="shared" si="16"/>
        <v>0</v>
      </c>
      <c r="BI50" s="16">
        <f t="shared" si="17"/>
        <v>0</v>
      </c>
      <c r="BJ50" s="16">
        <f t="shared" si="18"/>
        <v>0</v>
      </c>
      <c r="BM50" s="16" t="e">
        <f t="shared" si="23"/>
        <v>#DIV/0!</v>
      </c>
      <c r="BN50" s="16" t="e">
        <f t="shared" si="19"/>
        <v>#DIV/0!</v>
      </c>
      <c r="BO50" s="16" t="e">
        <f t="shared" si="20"/>
        <v>#DIV/0!</v>
      </c>
      <c r="BP50" s="16" t="e">
        <f t="shared" si="21"/>
        <v>#DIV/0!</v>
      </c>
      <c r="BQ50" s="16" t="e">
        <f t="shared" si="22"/>
        <v>#DIV/0!</v>
      </c>
      <c r="BR50" s="16">
        <f>(BF50-AP50)*$D$2/'[1]资源-钻石'!L48</f>
        <v>-0.25437962857750968</v>
      </c>
      <c r="BS50" s="16">
        <f>(BG50-AQ50)*$D$2/'[1]资源-钻石'!M48</f>
        <v>-0.25031544033151343</v>
      </c>
      <c r="BT50" s="16">
        <f>(BH50-AR50)*$D$2/'[1]资源-钻石'!N48</f>
        <v>-0.24489034377457808</v>
      </c>
      <c r="BU50" s="16">
        <f>(BI50-AS50)*$D$2/'[1]资源-钻石'!O48</f>
        <v>-0.24278405122044661</v>
      </c>
      <c r="BV50" s="16">
        <f>(BJ50-AT50)*$D$2/'[1]资源-钻石'!P48</f>
        <v>-0.24211852548286453</v>
      </c>
    </row>
    <row r="51" spans="10:74">
      <c r="J51" s="16">
        <v>22</v>
      </c>
      <c r="K51" s="17">
        <f>基础状态预期!C62</f>
        <v>155</v>
      </c>
      <c r="L51" s="17">
        <f>宝物升星!N51</f>
        <v>0</v>
      </c>
      <c r="M51" s="17">
        <f>宝物升星!O51</f>
        <v>0</v>
      </c>
      <c r="N51" s="17">
        <f>宝物升星!P51</f>
        <v>0</v>
      </c>
      <c r="O51" s="17">
        <f>宝物升星!Q51</f>
        <v>6</v>
      </c>
      <c r="P51" s="17">
        <f>基础状态预期!I62</f>
        <v>0</v>
      </c>
      <c r="Q51" s="17">
        <f>基础状态预期!J62</f>
        <v>0</v>
      </c>
      <c r="R51" s="17">
        <f>基础状态预期!K62</f>
        <v>0</v>
      </c>
      <c r="S51" s="17">
        <f>基础状态预期!L62</f>
        <v>6</v>
      </c>
      <c r="T51" s="17">
        <f>IF(L51=0,0,同名需求(P51,L51,C$6))</f>
        <v>0</v>
      </c>
      <c r="U51" s="17">
        <f>IF(M51=0,0,同名需求(Q51,M51,D$6))</f>
        <v>0</v>
      </c>
      <c r="V51" s="17">
        <f>IF(N51=0,0,同名需求(R51,N51,E$6))</f>
        <v>0</v>
      </c>
      <c r="W51" s="17">
        <f>IF(O51=0,0,同名需求(S51,O51,F$6))</f>
        <v>36</v>
      </c>
      <c r="Z51" s="17">
        <f>投放验证!AL62*C$7</f>
        <v>85272.109276281059</v>
      </c>
      <c r="AA51" s="17">
        <f>投放验证!AM62*D$7</f>
        <v>107627.08594084157</v>
      </c>
      <c r="AB51" s="17">
        <f>投放验证!AN62*E$7</f>
        <v>97695.239992837814</v>
      </c>
      <c r="AC51" s="17">
        <f>投放验证!AO62*F$7</f>
        <v>95011.871629439411</v>
      </c>
      <c r="AD51" s="17">
        <f>投放验证!Q62/投放验证!$E$25*投放验证!$E$24/$D$2</f>
        <v>126682.49550591921</v>
      </c>
      <c r="AE51" s="16">
        <v>112862.35096885265</v>
      </c>
      <c r="AF51" s="16">
        <f t="shared" si="11"/>
        <v>4.5390584012085542</v>
      </c>
      <c r="AG51" s="17">
        <f t="shared" si="24"/>
        <v>155</v>
      </c>
      <c r="AH51" s="17">
        <f t="shared" si="25"/>
        <v>0</v>
      </c>
      <c r="AI51" s="17">
        <f t="shared" si="26"/>
        <v>0</v>
      </c>
      <c r="AJ51" s="17">
        <f t="shared" si="27"/>
        <v>0</v>
      </c>
      <c r="AK51" s="17">
        <f t="shared" si="28"/>
        <v>3600</v>
      </c>
      <c r="AL51" s="17">
        <f t="shared" si="29"/>
        <v>508688.80234531907</v>
      </c>
      <c r="AM51" s="16">
        <v>110702.35096885265</v>
      </c>
      <c r="AO51" s="16">
        <v>46</v>
      </c>
      <c r="AP51" s="16">
        <f t="shared" si="30"/>
        <v>387.19302806790051</v>
      </c>
      <c r="AQ51" s="16">
        <f t="shared" si="31"/>
        <v>466.11237137912235</v>
      </c>
      <c r="AR51" s="16">
        <f t="shared" si="32"/>
        <v>631.16529050956387</v>
      </c>
      <c r="AS51" s="16">
        <f t="shared" si="33"/>
        <v>1232.555724778945</v>
      </c>
      <c r="AT51" s="16">
        <f t="shared" si="34"/>
        <v>1755.5722428817849</v>
      </c>
      <c r="AY51" s="16">
        <f t="shared" ref="AY51:AY70" si="35">AY7/AY30</f>
        <v>1.6783433571573738</v>
      </c>
      <c r="AZ51" s="16">
        <f t="shared" ref="AZ51:BC51" si="36">AZ7/AZ30</f>
        <v>0</v>
      </c>
      <c r="BA51" s="16">
        <f t="shared" si="36"/>
        <v>0.10818406728234564</v>
      </c>
      <c r="BB51" s="16">
        <f t="shared" si="36"/>
        <v>4.3852256250973769E-2</v>
      </c>
      <c r="BC51" s="16">
        <f t="shared" si="36"/>
        <v>0.16527336737366852</v>
      </c>
      <c r="BE51" s="16">
        <v>46</v>
      </c>
      <c r="BF51" s="16">
        <f t="shared" si="14"/>
        <v>0</v>
      </c>
      <c r="BG51" s="16">
        <f t="shared" si="15"/>
        <v>0</v>
      </c>
      <c r="BH51" s="16">
        <f t="shared" si="16"/>
        <v>0</v>
      </c>
      <c r="BI51" s="16">
        <f t="shared" si="17"/>
        <v>0</v>
      </c>
      <c r="BJ51" s="16">
        <f t="shared" si="18"/>
        <v>0</v>
      </c>
      <c r="BM51" s="16" t="e">
        <f t="shared" si="23"/>
        <v>#DIV/0!</v>
      </c>
      <c r="BN51" s="16" t="e">
        <f t="shared" si="19"/>
        <v>#DIV/0!</v>
      </c>
      <c r="BO51" s="16" t="e">
        <f t="shared" si="20"/>
        <v>#DIV/0!</v>
      </c>
      <c r="BP51" s="16" t="e">
        <f t="shared" si="21"/>
        <v>#DIV/0!</v>
      </c>
      <c r="BQ51" s="16" t="e">
        <f t="shared" si="22"/>
        <v>#DIV/0!</v>
      </c>
      <c r="BR51" s="16">
        <f>(BF51-AP51)*$D$2/'[1]资源-钻石'!L49</f>
        <v>-0.24483942639522344</v>
      </c>
      <c r="BS51" s="16">
        <f>(BG51-AQ51)*$D$2/'[1]资源-钻石'!M49</f>
        <v>-0.24125076105172691</v>
      </c>
      <c r="BT51" s="16">
        <f>(BH51-AR51)*$D$2/'[1]资源-钻石'!N49</f>
        <v>-0.23649762056928911</v>
      </c>
      <c r="BU51" s="16">
        <f>(BI51-AS51)*$D$2/'[1]资源-钻石'!O49</f>
        <v>-0.23356236650848028</v>
      </c>
      <c r="BV51" s="16">
        <f>(BJ51-AT51)*$D$2/'[1]资源-钻石'!P49</f>
        <v>-0.23305918403848505</v>
      </c>
    </row>
    <row r="52" spans="10:74">
      <c r="J52" s="16">
        <v>23</v>
      </c>
      <c r="K52" s="17">
        <f>基础状态预期!C63</f>
        <v>160</v>
      </c>
      <c r="L52" s="17">
        <f>宝物升星!N52</f>
        <v>0</v>
      </c>
      <c r="M52" s="17">
        <f>宝物升星!O52</f>
        <v>0</v>
      </c>
      <c r="N52" s="17">
        <f>宝物升星!P52</f>
        <v>0</v>
      </c>
      <c r="O52" s="17">
        <f>宝物升星!Q52</f>
        <v>6</v>
      </c>
      <c r="P52" s="17">
        <f>基础状态预期!I63</f>
        <v>0</v>
      </c>
      <c r="Q52" s="17">
        <f>基础状态预期!J63</f>
        <v>0</v>
      </c>
      <c r="R52" s="17">
        <f>基础状态预期!K63</f>
        <v>0</v>
      </c>
      <c r="S52" s="17">
        <f>基础状态预期!L63</f>
        <v>6</v>
      </c>
      <c r="T52" s="17">
        <f>IF(L52=0,0,同名需求(P52,L52,C$6))</f>
        <v>0</v>
      </c>
      <c r="U52" s="17">
        <f>IF(M52=0,0,同名需求(Q52,M52,D$6))</f>
        <v>0</v>
      </c>
      <c r="V52" s="17">
        <f>IF(N52=0,0,同名需求(R52,N52,E$6))</f>
        <v>0</v>
      </c>
      <c r="W52" s="17">
        <f>IF(O52=0,0,同名需求(S52,O52,F$6))</f>
        <v>36</v>
      </c>
      <c r="Z52" s="17">
        <f>投放验证!AL63*C$7</f>
        <v>126041.6320004591</v>
      </c>
      <c r="AA52" s="17">
        <f>投放验证!AM63*D$7</f>
        <v>158769.46138261317</v>
      </c>
      <c r="AB52" s="17">
        <f>投放验证!AN63*E$7</f>
        <v>144125.84705526769</v>
      </c>
      <c r="AC52" s="17">
        <f>投放验证!AO63*F$7</f>
        <v>139754.19607369023</v>
      </c>
      <c r="AD52" s="17">
        <f>投放验证!Q63/投放验证!$E$25*投放验证!$E$24/$D$2</f>
        <v>186338.92809825364</v>
      </c>
      <c r="AE52" s="16">
        <v>158490.8387266733</v>
      </c>
      <c r="AF52" s="16">
        <f t="shared" si="11"/>
        <v>4.7638719731452568</v>
      </c>
      <c r="AG52" s="17">
        <f t="shared" si="24"/>
        <v>160</v>
      </c>
      <c r="AH52" s="17">
        <f t="shared" si="25"/>
        <v>0</v>
      </c>
      <c r="AI52" s="17">
        <f t="shared" si="26"/>
        <v>0</v>
      </c>
      <c r="AJ52" s="17">
        <f t="shared" si="27"/>
        <v>0</v>
      </c>
      <c r="AK52" s="17">
        <f t="shared" si="28"/>
        <v>3600</v>
      </c>
      <c r="AL52" s="17">
        <f t="shared" si="29"/>
        <v>751430.06461028382</v>
      </c>
      <c r="AM52" s="16">
        <v>156330.8387266733</v>
      </c>
      <c r="AO52" s="16">
        <v>47</v>
      </c>
      <c r="AP52" s="16">
        <f t="shared" si="30"/>
        <v>395.61026780850705</v>
      </c>
      <c r="AQ52" s="16">
        <f t="shared" si="31"/>
        <v>476.24524901779893</v>
      </c>
      <c r="AR52" s="16">
        <f t="shared" si="32"/>
        <v>644.88627508585876</v>
      </c>
      <c r="AS52" s="16">
        <f t="shared" si="33"/>
        <v>1259.3504144480526</v>
      </c>
      <c r="AT52" s="16">
        <f t="shared" si="34"/>
        <v>1793.7368568574757</v>
      </c>
      <c r="AY52" s="16">
        <f t="shared" si="35"/>
        <v>1.1596619317745638</v>
      </c>
      <c r="AZ52" s="16">
        <f t="shared" ref="AZ52:BC52" si="37">AZ8/AZ31</f>
        <v>0.20292258200230029</v>
      </c>
      <c r="BA52" s="16">
        <f t="shared" si="37"/>
        <v>4.424912090337621E-2</v>
      </c>
      <c r="BB52" s="16">
        <f t="shared" si="37"/>
        <v>0.23491811274512411</v>
      </c>
      <c r="BC52" s="16">
        <f t="shared" si="37"/>
        <v>0.96259885561176839</v>
      </c>
      <c r="BE52" s="16">
        <v>47</v>
      </c>
      <c r="BF52" s="16">
        <f t="shared" si="14"/>
        <v>0</v>
      </c>
      <c r="BG52" s="16">
        <f t="shared" si="15"/>
        <v>0</v>
      </c>
      <c r="BH52" s="16">
        <f t="shared" si="16"/>
        <v>0</v>
      </c>
      <c r="BI52" s="16">
        <f t="shared" si="17"/>
        <v>0</v>
      </c>
      <c r="BJ52" s="16">
        <f t="shared" si="18"/>
        <v>0</v>
      </c>
      <c r="BM52" s="16" t="e">
        <f t="shared" si="23"/>
        <v>#DIV/0!</v>
      </c>
      <c r="BN52" s="16" t="e">
        <f t="shared" si="19"/>
        <v>#DIV/0!</v>
      </c>
      <c r="BO52" s="16" t="e">
        <f t="shared" si="20"/>
        <v>#DIV/0!</v>
      </c>
      <c r="BP52" s="16" t="e">
        <f t="shared" si="21"/>
        <v>#DIV/0!</v>
      </c>
      <c r="BQ52" s="16" t="e">
        <f t="shared" si="22"/>
        <v>#DIV/0!</v>
      </c>
      <c r="BR52" s="16">
        <f>(BF52-AP52)*$D$2/'[1]资源-钻石'!L50</f>
        <v>-0.23541975913538465</v>
      </c>
      <c r="BS52" s="16">
        <f>(BG52-AQ52)*$D$2/'[1]资源-钻石'!M50</f>
        <v>-0.23224922754882249</v>
      </c>
      <c r="BT52" s="16">
        <f>(BH52-AR52)*$D$2/'[1]资源-钻石'!N50</f>
        <v>-0.22808985441680518</v>
      </c>
      <c r="BU52" s="16">
        <f>(BI52-AS52)*$D$2/'[1]资源-钻石'!O50</f>
        <v>-0.22452536839406573</v>
      </c>
      <c r="BV52" s="16">
        <f>(BJ52-AT52)*$D$2/'[1]资源-钻石'!P50</f>
        <v>-0.2252851804327673</v>
      </c>
    </row>
    <row r="53" spans="10:74">
      <c r="J53" s="16">
        <v>24</v>
      </c>
      <c r="AE53" s="16">
        <v>0</v>
      </c>
      <c r="AF53" s="16" t="e">
        <f t="shared" si="11"/>
        <v>#DIV/0!</v>
      </c>
      <c r="AO53" s="16">
        <v>48</v>
      </c>
      <c r="AP53" s="16">
        <f t="shared" si="30"/>
        <v>404.02750754911358</v>
      </c>
      <c r="AQ53" s="16">
        <f t="shared" si="31"/>
        <v>486.3781266564755</v>
      </c>
      <c r="AR53" s="16">
        <f t="shared" si="32"/>
        <v>658.60725966215364</v>
      </c>
      <c r="AS53" s="16">
        <f t="shared" si="33"/>
        <v>1286.1451041171601</v>
      </c>
      <c r="AT53" s="16">
        <f t="shared" si="34"/>
        <v>1831.9014708331667</v>
      </c>
      <c r="AY53" s="16">
        <f t="shared" si="35"/>
        <v>0.51119192444011696</v>
      </c>
      <c r="AZ53" s="16">
        <f t="shared" ref="AZ53:BC53" si="38">AZ9/AZ32</f>
        <v>0.1843514576636327</v>
      </c>
      <c r="BA53" s="16">
        <f t="shared" si="38"/>
        <v>4.8374492712600345E-2</v>
      </c>
      <c r="BB53" s="16">
        <f t="shared" si="38"/>
        <v>0.38941257989824463</v>
      </c>
      <c r="BC53" s="16">
        <f t="shared" si="38"/>
        <v>0.96259885561176839</v>
      </c>
      <c r="BE53" s="16">
        <v>48</v>
      </c>
      <c r="BF53" s="16">
        <f t="shared" si="14"/>
        <v>0</v>
      </c>
      <c r="BG53" s="16">
        <f t="shared" si="15"/>
        <v>0</v>
      </c>
      <c r="BH53" s="16">
        <f t="shared" si="16"/>
        <v>0</v>
      </c>
      <c r="BI53" s="16">
        <f t="shared" si="17"/>
        <v>0</v>
      </c>
      <c r="BJ53" s="16">
        <f t="shared" si="18"/>
        <v>0</v>
      </c>
      <c r="BM53" s="16" t="e">
        <f t="shared" si="23"/>
        <v>#DIV/0!</v>
      </c>
      <c r="BN53" s="16" t="e">
        <f t="shared" si="19"/>
        <v>#DIV/0!</v>
      </c>
      <c r="BO53" s="16" t="e">
        <f t="shared" si="20"/>
        <v>#DIV/0!</v>
      </c>
      <c r="BP53" s="16" t="e">
        <f t="shared" si="21"/>
        <v>#DIV/0!</v>
      </c>
      <c r="BQ53" s="16" t="e">
        <f t="shared" si="22"/>
        <v>#DIV/0!</v>
      </c>
      <c r="BR53" s="16">
        <f>(BF53-AP53)*$D$2/'[1]资源-钻石'!L51</f>
        <v>-0.22614523642535805</v>
      </c>
      <c r="BS53" s="16">
        <f>(BG53-AQ53)*$D$2/'[1]资源-钻石'!M51</f>
        <v>-0.22351127394098488</v>
      </c>
      <c r="BT53" s="16">
        <f>(BH53-AR53)*$D$2/'[1]资源-钻石'!N51</f>
        <v>-0.21969806759700686</v>
      </c>
      <c r="BU53" s="16">
        <f>(BI53-AS53)*$D$2/'[1]资源-钻石'!O51</f>
        <v>-0.21654009401619306</v>
      </c>
      <c r="BV53" s="16">
        <f>(BJ53-AT53)*$D$2/'[1]资源-钻石'!P51</f>
        <v>-0.21774368615104403</v>
      </c>
    </row>
    <row r="54" spans="10:74">
      <c r="J54" s="16">
        <v>25</v>
      </c>
      <c r="AE54" s="16">
        <v>0</v>
      </c>
      <c r="AF54" s="16" t="e">
        <f t="shared" si="11"/>
        <v>#DIV/0!</v>
      </c>
      <c r="AO54" s="16">
        <v>49</v>
      </c>
      <c r="AP54" s="16">
        <f t="shared" si="30"/>
        <v>412.44474728972011</v>
      </c>
      <c r="AQ54" s="16">
        <f t="shared" si="31"/>
        <v>496.51100429515208</v>
      </c>
      <c r="AR54" s="16">
        <f t="shared" si="32"/>
        <v>672.32824423844852</v>
      </c>
      <c r="AS54" s="16">
        <f t="shared" si="33"/>
        <v>1312.9397937862675</v>
      </c>
      <c r="AT54" s="16">
        <f t="shared" si="34"/>
        <v>1870.0660848088576</v>
      </c>
      <c r="AY54" s="16">
        <f t="shared" si="35"/>
        <v>0.51119192444011696</v>
      </c>
      <c r="AZ54" s="16">
        <f t="shared" ref="AZ54:BC54" si="39">AZ10/AZ33</f>
        <v>0.1843514576636327</v>
      </c>
      <c r="BA54" s="16">
        <f t="shared" si="39"/>
        <v>4.8374492712600345E-2</v>
      </c>
      <c r="BB54" s="16">
        <f t="shared" si="39"/>
        <v>0.38941257989824463</v>
      </c>
      <c r="BC54" s="16">
        <f t="shared" si="39"/>
        <v>1.1955096816881636</v>
      </c>
      <c r="BE54" s="16">
        <v>49</v>
      </c>
      <c r="BF54" s="16">
        <f t="shared" si="14"/>
        <v>0</v>
      </c>
      <c r="BG54" s="16">
        <f t="shared" si="15"/>
        <v>0</v>
      </c>
      <c r="BH54" s="16">
        <f t="shared" si="16"/>
        <v>0</v>
      </c>
      <c r="BI54" s="16">
        <f t="shared" si="17"/>
        <v>0</v>
      </c>
      <c r="BJ54" s="16">
        <f t="shared" si="18"/>
        <v>0</v>
      </c>
      <c r="BM54" s="16" t="e">
        <f t="shared" si="23"/>
        <v>#DIV/0!</v>
      </c>
      <c r="BN54" s="16" t="e">
        <f t="shared" si="19"/>
        <v>#DIV/0!</v>
      </c>
      <c r="BO54" s="16" t="e">
        <f t="shared" si="20"/>
        <v>#DIV/0!</v>
      </c>
      <c r="BP54" s="16" t="e">
        <f t="shared" si="21"/>
        <v>#DIV/0!</v>
      </c>
      <c r="BQ54" s="16" t="e">
        <f t="shared" si="22"/>
        <v>#DIV/0!</v>
      </c>
      <c r="BR54" s="16">
        <f>(BF54-AP54)*$D$2/'[1]资源-钻石'!L52</f>
        <v>-0.21703734738195546</v>
      </c>
      <c r="BS54" s="16">
        <f>(BG54-AQ54)*$D$2/'[1]资源-钻石'!M52</f>
        <v>-0.21471128590503191</v>
      </c>
      <c r="BT54" s="16">
        <f>(BH54-AR54)*$D$2/'[1]资源-钻石'!N52</f>
        <v>-0.21171942573592981</v>
      </c>
      <c r="BU54" s="16">
        <f>(BI54-AS54)*$D$2/'[1]资源-钻石'!O52</f>
        <v>-0.20948323750552331</v>
      </c>
      <c r="BV54" s="16">
        <f>(BJ54-AT54)*$D$2/'[1]资源-钻石'!P52</f>
        <v>-0.20955120045640921</v>
      </c>
    </row>
    <row r="55" spans="10:74">
      <c r="J55" s="16">
        <v>26</v>
      </c>
      <c r="AE55" s="16">
        <v>0</v>
      </c>
      <c r="AF55" s="16" t="e">
        <f t="shared" si="11"/>
        <v>#DIV/0!</v>
      </c>
      <c r="AO55" s="16">
        <v>50</v>
      </c>
      <c r="AP55" s="16">
        <f t="shared" si="30"/>
        <v>420.86198703032665</v>
      </c>
      <c r="AQ55" s="16">
        <f t="shared" si="31"/>
        <v>506.64388193382865</v>
      </c>
      <c r="AR55" s="16">
        <f t="shared" si="32"/>
        <v>686.0492288147434</v>
      </c>
      <c r="AS55" s="16">
        <f t="shared" si="33"/>
        <v>1339.7344834553751</v>
      </c>
      <c r="AT55" s="16">
        <f t="shared" si="34"/>
        <v>1908.2306987845486</v>
      </c>
      <c r="AY55" s="16">
        <f t="shared" si="35"/>
        <v>0.51119192444011696</v>
      </c>
      <c r="AZ55" s="16">
        <f t="shared" ref="AZ55:BC55" si="40">AZ11/AZ34</f>
        <v>0.1843514576636327</v>
      </c>
      <c r="BA55" s="16">
        <f t="shared" si="40"/>
        <v>0.11891660881184485</v>
      </c>
      <c r="BB55" s="16">
        <f t="shared" si="40"/>
        <v>1.4230258173714256</v>
      </c>
      <c r="BC55" s="16">
        <f t="shared" si="40"/>
        <v>2.0869565217391304</v>
      </c>
      <c r="BE55" s="16">
        <v>50</v>
      </c>
      <c r="BF55" s="16">
        <f t="shared" si="14"/>
        <v>0</v>
      </c>
      <c r="BG55" s="16">
        <f t="shared" si="15"/>
        <v>0</v>
      </c>
      <c r="BH55" s="16">
        <f t="shared" si="16"/>
        <v>0</v>
      </c>
      <c r="BI55" s="16">
        <f t="shared" si="17"/>
        <v>0</v>
      </c>
      <c r="BJ55" s="16">
        <f t="shared" si="18"/>
        <v>0</v>
      </c>
      <c r="BM55" s="16" t="e">
        <f t="shared" si="23"/>
        <v>#DIV/0!</v>
      </c>
      <c r="BN55" s="16" t="e">
        <f t="shared" si="19"/>
        <v>#DIV/0!</v>
      </c>
      <c r="BO55" s="16" t="e">
        <f t="shared" si="20"/>
        <v>#DIV/0!</v>
      </c>
      <c r="BP55" s="16" t="e">
        <f t="shared" si="21"/>
        <v>#DIV/0!</v>
      </c>
      <c r="BQ55" s="16" t="e">
        <f t="shared" si="22"/>
        <v>#DIV/0!</v>
      </c>
      <c r="BR55" s="16">
        <f>(BF55-AP55)*$D$2/'[1]资源-钻石'!L53</f>
        <v>-0.20786994833644964</v>
      </c>
      <c r="BS55" s="16">
        <f>(BG55-AQ55)*$D$2/'[1]资源-钻石'!M53</f>
        <v>-0.20604888222334247</v>
      </c>
      <c r="BT55" s="16">
        <f>(BH55-AR55)*$D$2/'[1]资源-钻石'!N53</f>
        <v>-0.20384040559892569</v>
      </c>
      <c r="BU55" s="16">
        <f>(BI55-AS55)*$D$2/'[1]资源-钻石'!O53</f>
        <v>-0.20192667716071314</v>
      </c>
      <c r="BV55" s="16">
        <f>(BJ55-AT55)*$D$2/'[1]资源-钻石'!P53</f>
        <v>-0.20124177326535861</v>
      </c>
    </row>
    <row r="56" spans="10:74">
      <c r="J56" s="16">
        <v>1</v>
      </c>
      <c r="K56" s="17" t="s">
        <v>76</v>
      </c>
      <c r="L56" s="170" t="s">
        <v>436</v>
      </c>
      <c r="M56" s="170"/>
      <c r="N56" s="170"/>
      <c r="O56" s="170"/>
      <c r="P56" s="170" t="s">
        <v>437</v>
      </c>
      <c r="Q56" s="170"/>
      <c r="R56" s="170"/>
      <c r="S56" s="170"/>
      <c r="T56" s="170" t="s">
        <v>438</v>
      </c>
      <c r="U56" s="170"/>
      <c r="V56" s="170"/>
      <c r="W56" s="170"/>
      <c r="Z56" s="170" t="s">
        <v>462</v>
      </c>
      <c r="AA56" s="170"/>
      <c r="AB56" s="170"/>
      <c r="AC56" s="170"/>
      <c r="AD56" s="178" t="s">
        <v>464</v>
      </c>
      <c r="AE56" s="16">
        <v>0</v>
      </c>
      <c r="AF56" s="16" t="e">
        <f t="shared" si="11"/>
        <v>#DIV/0!</v>
      </c>
      <c r="AG56" s="17" t="s">
        <v>76</v>
      </c>
      <c r="AH56" s="170" t="s">
        <v>440</v>
      </c>
      <c r="AI56" s="170"/>
      <c r="AJ56" s="170"/>
      <c r="AK56" s="170"/>
      <c r="AL56" s="178" t="s">
        <v>441</v>
      </c>
      <c r="AM56" s="16" t="s">
        <v>441</v>
      </c>
      <c r="AO56" s="16">
        <v>51</v>
      </c>
      <c r="AP56" s="16">
        <f t="shared" si="30"/>
        <v>435.58602437580902</v>
      </c>
      <c r="AQ56" s="16">
        <f t="shared" si="31"/>
        <v>525.25346091049721</v>
      </c>
      <c r="AR56" s="16">
        <f t="shared" si="32"/>
        <v>710.20379209723865</v>
      </c>
      <c r="AS56" s="16">
        <f t="shared" si="33"/>
        <v>1377.9480137362045</v>
      </c>
      <c r="AT56" s="16">
        <f t="shared" si="34"/>
        <v>1956.2139142284057</v>
      </c>
      <c r="AY56" s="16">
        <f t="shared" si="35"/>
        <v>0.51119192444011696</v>
      </c>
      <c r="AZ56" s="16">
        <f t="shared" ref="AZ56:BC56" si="41">AZ12/AZ35</f>
        <v>0.29018438315256029</v>
      </c>
      <c r="BA56" s="16">
        <f t="shared" si="41"/>
        <v>0.41147254744639938</v>
      </c>
      <c r="BB56" s="16">
        <f t="shared" si="41"/>
        <v>2.0869565217391304</v>
      </c>
      <c r="BC56" s="16">
        <f t="shared" si="41"/>
        <v>2.0869565217391304</v>
      </c>
      <c r="BE56" s="16">
        <v>51</v>
      </c>
      <c r="BF56" s="16">
        <f t="shared" si="14"/>
        <v>10.382712165667305</v>
      </c>
      <c r="BG56" s="16">
        <f t="shared" si="15"/>
        <v>0</v>
      </c>
      <c r="BH56" s="16">
        <f t="shared" si="16"/>
        <v>2.7628798830090178</v>
      </c>
      <c r="BI56" s="16">
        <f t="shared" si="17"/>
        <v>27.094868907210177</v>
      </c>
      <c r="BJ56" s="16">
        <f t="shared" si="18"/>
        <v>105.74357227646195</v>
      </c>
      <c r="BM56" s="16">
        <f t="shared" si="23"/>
        <v>41.953009717072661</v>
      </c>
      <c r="BN56" s="16" t="e">
        <f t="shared" si="19"/>
        <v>#DIV/0!</v>
      </c>
      <c r="BO56" s="16">
        <f t="shared" si="20"/>
        <v>257.05199725286815</v>
      </c>
      <c r="BP56" s="16">
        <f t="shared" si="21"/>
        <v>50.856419289392491</v>
      </c>
      <c r="BQ56" s="16">
        <f t="shared" si="22"/>
        <v>18.499601177780999</v>
      </c>
      <c r="BR56" s="16">
        <f>(BF56-AP56)*$D$2/'[1]资源-钻石'!L54</f>
        <v>-0.19678239699247074</v>
      </c>
      <c r="BS56" s="16">
        <f>(BG56-AQ56)*$D$2/'[1]资源-钻石'!M54</f>
        <v>-0.20146676828155755</v>
      </c>
      <c r="BT56" s="16">
        <f>(BH56-AR56)*$D$2/'[1]资源-钻石'!N54</f>
        <v>-0.19830020433123272</v>
      </c>
      <c r="BU56" s="16">
        <f>(BI56-AS56)*$D$2/'[1]资源-钻石'!O54</f>
        <v>-0.19218119723909338</v>
      </c>
      <c r="BV56" s="16">
        <f>(BJ56-AT56)*$D$2/'[1]资源-钻石'!P54</f>
        <v>-0.18403876015880297</v>
      </c>
    </row>
    <row r="57" spans="10:74">
      <c r="J57" s="16">
        <v>2</v>
      </c>
      <c r="K57" s="17" t="s">
        <v>161</v>
      </c>
      <c r="L57" s="17" t="s">
        <v>1</v>
      </c>
      <c r="M57" s="17" t="s">
        <v>2</v>
      </c>
      <c r="N57" s="17" t="s">
        <v>0</v>
      </c>
      <c r="O57" s="17" t="s">
        <v>205</v>
      </c>
      <c r="P57" s="17" t="s">
        <v>1</v>
      </c>
      <c r="Q57" s="17" t="s">
        <v>2</v>
      </c>
      <c r="R57" s="17" t="s">
        <v>0</v>
      </c>
      <c r="S57" s="17" t="s">
        <v>205</v>
      </c>
      <c r="T57" s="17" t="s">
        <v>1</v>
      </c>
      <c r="U57" s="17" t="s">
        <v>2</v>
      </c>
      <c r="V57" s="17" t="s">
        <v>0</v>
      </c>
      <c r="W57" s="17" t="s">
        <v>205</v>
      </c>
      <c r="Z57" s="17" t="s">
        <v>1</v>
      </c>
      <c r="AA57" s="17" t="s">
        <v>2</v>
      </c>
      <c r="AB57" s="17" t="s">
        <v>0</v>
      </c>
      <c r="AC57" s="17" t="s">
        <v>205</v>
      </c>
      <c r="AD57" s="178"/>
      <c r="AE57" s="16">
        <v>0</v>
      </c>
      <c r="AF57" s="16" t="e">
        <f t="shared" si="11"/>
        <v>#DIV/0!</v>
      </c>
      <c r="AG57" s="17" t="s">
        <v>161</v>
      </c>
      <c r="AH57" s="17" t="s">
        <v>1</v>
      </c>
      <c r="AI57" s="17" t="s">
        <v>2</v>
      </c>
      <c r="AJ57" s="17" t="s">
        <v>0</v>
      </c>
      <c r="AK57" s="17" t="s">
        <v>205</v>
      </c>
      <c r="AL57" s="178"/>
      <c r="AO57" s="16">
        <v>52</v>
      </c>
      <c r="AP57" s="16">
        <f t="shared" si="30"/>
        <v>450.31006172129139</v>
      </c>
      <c r="AQ57" s="16">
        <f t="shared" si="31"/>
        <v>543.86303988716577</v>
      </c>
      <c r="AR57" s="16">
        <f t="shared" si="32"/>
        <v>734.35835537973389</v>
      </c>
      <c r="AS57" s="16">
        <f t="shared" si="33"/>
        <v>1416.161544017034</v>
      </c>
      <c r="AT57" s="16">
        <f t="shared" si="34"/>
        <v>2004.1971296722625</v>
      </c>
      <c r="AY57" s="16">
        <f t="shared" si="35"/>
        <v>0.51119192444011696</v>
      </c>
      <c r="AZ57" s="16">
        <f t="shared" ref="AZ57:BC57" si="42">AZ13/AZ36</f>
        <v>0.53777198530400916</v>
      </c>
      <c r="BA57" s="16">
        <f t="shared" si="42"/>
        <v>0.92916354946750035</v>
      </c>
      <c r="BB57" s="16">
        <f t="shared" si="42"/>
        <v>2.0869565217391304</v>
      </c>
      <c r="BC57" s="16">
        <f t="shared" si="42"/>
        <v>2.0869565217391304</v>
      </c>
      <c r="BE57" s="16">
        <v>52</v>
      </c>
      <c r="BF57" s="16">
        <f t="shared" si="14"/>
        <v>20.765424331334611</v>
      </c>
      <c r="BG57" s="16">
        <f t="shared" si="15"/>
        <v>0</v>
      </c>
      <c r="BH57" s="16">
        <f t="shared" si="16"/>
        <v>5.5257597660180355</v>
      </c>
      <c r="BI57" s="16">
        <f t="shared" si="17"/>
        <v>54.189737814420354</v>
      </c>
      <c r="BJ57" s="16">
        <f t="shared" si="18"/>
        <v>211.48714455292389</v>
      </c>
      <c r="BM57" s="16">
        <f t="shared" si="23"/>
        <v>21.68556994242504</v>
      </c>
      <c r="BN57" s="16" t="e">
        <f t="shared" si="19"/>
        <v>#DIV/0!</v>
      </c>
      <c r="BO57" s="16">
        <f t="shared" si="20"/>
        <v>132.89726417276481</v>
      </c>
      <c r="BP57" s="16">
        <f t="shared" si="21"/>
        <v>26.133389847111996</v>
      </c>
      <c r="BQ57" s="16">
        <f t="shared" si="22"/>
        <v>9.476685374465962</v>
      </c>
      <c r="BR57" s="16">
        <f>(BF57-AP57)*$D$2/'[1]资源-钻石'!L55</f>
        <v>-0.18621699468920092</v>
      </c>
      <c r="BS57" s="16">
        <f>(BG57-AQ57)*$D$2/'[1]资源-钻石'!M55</f>
        <v>-0.19565109031779979</v>
      </c>
      <c r="BT57" s="16">
        <f>(BH57-AR57)*$D$2/'[1]资源-钻石'!N55</f>
        <v>-0.19176507016105704</v>
      </c>
      <c r="BU57" s="16">
        <f>(BI57-AS57)*$D$2/'[1]资源-钻石'!O55</f>
        <v>-0.18232266114501527</v>
      </c>
      <c r="BV57" s="16">
        <f>(BJ57-AT57)*$D$2/'[1]资源-钻石'!P55</f>
        <v>-0.16776999309677404</v>
      </c>
    </row>
    <row r="58" spans="10:74">
      <c r="J58" s="16">
        <v>3</v>
      </c>
      <c r="K58" s="17">
        <f>基础状态预期!C69</f>
        <v>50</v>
      </c>
      <c r="L58" s="17">
        <f>宝物升星!N58</f>
        <v>0</v>
      </c>
      <c r="M58" s="17">
        <f>宝物升星!O58</f>
        <v>0</v>
      </c>
      <c r="N58" s="17">
        <f>宝物升星!P58</f>
        <v>0</v>
      </c>
      <c r="O58" s="17">
        <f>宝物升星!Q58</f>
        <v>0</v>
      </c>
      <c r="P58" s="17">
        <f>基础状态预期!I69</f>
        <v>0</v>
      </c>
      <c r="Q58" s="17">
        <f>基础状态预期!J69</f>
        <v>0</v>
      </c>
      <c r="R58" s="17">
        <f>基础状态预期!K69</f>
        <v>0</v>
      </c>
      <c r="S58" s="17">
        <f>基础状态预期!L69</f>
        <v>0</v>
      </c>
      <c r="T58" s="17">
        <f>IF(L58=0,0,同名需求(P58,L58,C$6))</f>
        <v>0</v>
      </c>
      <c r="U58" s="17">
        <f>IF(M58=0,0,同名需求(Q58,M58,D$6))</f>
        <v>0</v>
      </c>
      <c r="V58" s="17">
        <f>IF(N58=0,0,同名需求(R58,N58,E$6))</f>
        <v>0</v>
      </c>
      <c r="W58" s="17">
        <f>IF(O58=0,0,同名需求(S58,O58,F$6))</f>
        <v>0</v>
      </c>
      <c r="Z58" s="17">
        <f>投放验证!AL69*C$7</f>
        <v>79.085258582801131</v>
      </c>
      <c r="AA58" s="17">
        <f>投放验证!AM69*D$7</f>
        <v>130.94412830466857</v>
      </c>
      <c r="AB58" s="17">
        <f>投放验证!AN69*E$7</f>
        <v>119.06020587420171</v>
      </c>
      <c r="AC58" s="17">
        <f>投放验证!AO69*F$7</f>
        <v>152.98270116560226</v>
      </c>
      <c r="AD58" s="17">
        <f>投放验证!Q69/投放验证!$E$25*投放验证!$E$24/$D$2</f>
        <v>203.9769348874697</v>
      </c>
      <c r="AE58" s="16">
        <v>483.01562739144924</v>
      </c>
      <c r="AF58" s="16">
        <f t="shared" si="11"/>
        <v>1.4203458230115402</v>
      </c>
      <c r="AG58" s="17">
        <f t="shared" ref="AG58:AG78" si="43">K58</f>
        <v>50</v>
      </c>
      <c r="AH58" s="17">
        <f t="shared" ref="AH58:AH78" si="44">L58*P58*C$7</f>
        <v>0</v>
      </c>
      <c r="AI58" s="17">
        <f t="shared" ref="AI58:AI78" si="45">M58*Q58*D$7</f>
        <v>0</v>
      </c>
      <c r="AJ58" s="17">
        <f t="shared" ref="AJ58:AJ78" si="46">N58*R58*E$7</f>
        <v>0</v>
      </c>
      <c r="AK58" s="17">
        <f t="shared" ref="AK58:AK78" si="47">O58*S58*F$7</f>
        <v>0</v>
      </c>
      <c r="AL58" s="17">
        <f>SUM(Z58:AD58)-SUM(AH58:AK58)</f>
        <v>686.0492288147434</v>
      </c>
      <c r="AM58" s="16">
        <v>483.01562739144924</v>
      </c>
      <c r="AO58" s="16">
        <v>53</v>
      </c>
      <c r="AP58" s="16">
        <f t="shared" si="30"/>
        <v>465.03409906677371</v>
      </c>
      <c r="AQ58" s="16">
        <f t="shared" si="31"/>
        <v>562.47261886383433</v>
      </c>
      <c r="AR58" s="16">
        <f t="shared" si="32"/>
        <v>758.51291866222914</v>
      </c>
      <c r="AS58" s="16">
        <f t="shared" si="33"/>
        <v>1454.3750742978634</v>
      </c>
      <c r="AT58" s="16">
        <f t="shared" si="34"/>
        <v>2052.1803451161195</v>
      </c>
      <c r="AY58" s="16">
        <f t="shared" si="35"/>
        <v>0.71124419436652708</v>
      </c>
      <c r="AZ58" s="16">
        <f t="shared" ref="AZ58:BC58" si="48">AZ14/AZ37</f>
        <v>0.76874950081533855</v>
      </c>
      <c r="BA58" s="16">
        <f t="shared" si="48"/>
        <v>2.0869565217391304</v>
      </c>
      <c r="BB58" s="16">
        <f t="shared" si="48"/>
        <v>2.0869565217391304</v>
      </c>
      <c r="BC58" s="16">
        <f t="shared" si="48"/>
        <v>2.0869565217391304</v>
      </c>
      <c r="BE58" s="16">
        <v>53</v>
      </c>
      <c r="BF58" s="16">
        <f t="shared" si="14"/>
        <v>31.148136497001914</v>
      </c>
      <c r="BG58" s="16">
        <f t="shared" si="15"/>
        <v>0</v>
      </c>
      <c r="BH58" s="16">
        <f t="shared" si="16"/>
        <v>8.2886396490270542</v>
      </c>
      <c r="BI58" s="16">
        <f t="shared" si="17"/>
        <v>81.284606721630524</v>
      </c>
      <c r="BJ58" s="16">
        <f t="shared" si="18"/>
        <v>317.23071682938587</v>
      </c>
      <c r="BM58" s="16">
        <f t="shared" si="23"/>
        <v>14.929756684209163</v>
      </c>
      <c r="BN58" s="16" t="e">
        <f t="shared" si="19"/>
        <v>#DIV/0!</v>
      </c>
      <c r="BO58" s="16">
        <f t="shared" si="20"/>
        <v>91.512353146063688</v>
      </c>
      <c r="BP58" s="16">
        <f t="shared" si="21"/>
        <v>17.892380033018501</v>
      </c>
      <c r="BQ58" s="16">
        <f t="shared" si="22"/>
        <v>6.4690467733609491</v>
      </c>
      <c r="BR58" s="16">
        <f>(BF58-AP58)*$D$2/'[1]资源-钻石'!L56</f>
        <v>-0.17615652555043307</v>
      </c>
      <c r="BS58" s="16">
        <f>(BG58-AQ58)*$D$2/'[1]资源-钻石'!M56</f>
        <v>-0.18924369333056965</v>
      </c>
      <c r="BT58" s="16">
        <f>(BH58-AR58)*$D$2/'[1]资源-钻石'!N56</f>
        <v>-0.18509874300827106</v>
      </c>
      <c r="BU58" s="16">
        <f>(BI58-AS58)*$D$2/'[1]资源-钻石'!O56</f>
        <v>-0.17323334262514536</v>
      </c>
      <c r="BV58" s="16">
        <f>(BJ58-AT58)*$D$2/'[1]资源-钻石'!P56</f>
        <v>-0.1527969987205666</v>
      </c>
    </row>
    <row r="59" spans="10:74">
      <c r="J59" s="16">
        <v>4</v>
      </c>
      <c r="K59" s="17">
        <f>基础状态预期!C70</f>
        <v>60</v>
      </c>
      <c r="L59" s="17">
        <f>宝物升星!N59</f>
        <v>0</v>
      </c>
      <c r="M59" s="17">
        <f>宝物升星!O59</f>
        <v>0</v>
      </c>
      <c r="N59" s="17">
        <f>宝物升星!P59</f>
        <v>1.1707459795016302</v>
      </c>
      <c r="O59" s="17">
        <f>宝物升星!Q59</f>
        <v>1.3361068610914304</v>
      </c>
      <c r="P59" s="17">
        <f>基础状态预期!I70</f>
        <v>0</v>
      </c>
      <c r="Q59" s="17">
        <f>基础状态预期!J70</f>
        <v>0</v>
      </c>
      <c r="R59" s="17">
        <f>基础状态预期!K70</f>
        <v>3.8413028458554987</v>
      </c>
      <c r="S59" s="17">
        <f>基础状态预期!L70</f>
        <v>2.1586971541445013</v>
      </c>
      <c r="T59" s="17">
        <f>IF(L59=0,0,同名需求(P59,L59,C$6))</f>
        <v>0</v>
      </c>
      <c r="U59" s="17">
        <f>IF(M59=0,0,同名需求(Q59,M59,D$6))</f>
        <v>0</v>
      </c>
      <c r="V59" s="17">
        <f>IF(N59=0,0,同名需求(R59,N59,E$6))</f>
        <v>5.2072706818685397</v>
      </c>
      <c r="W59" s="17">
        <f>IF(O59=0,0,同名需求(S59,O59,F$6))</f>
        <v>4.1753383206930836</v>
      </c>
      <c r="Z59" s="17">
        <f>投放验证!AL70*C$7</f>
        <v>163.74534943200331</v>
      </c>
      <c r="AA59" s="17">
        <f>投放验证!AM70*D$7</f>
        <v>257.56338572206869</v>
      </c>
      <c r="AB59" s="17">
        <f>投放验证!AN70*E$7</f>
        <v>234.14919590032605</v>
      </c>
      <c r="AC59" s="17">
        <f>投放验证!AO70*F$7</f>
        <v>288.42500786710133</v>
      </c>
      <c r="AD59" s="17">
        <f>投放验证!Q70/投放验证!$E$25*投放验证!$E$24/$D$2</f>
        <v>384.5666771561352</v>
      </c>
      <c r="AE59" s="16">
        <v>939.91333063282889</v>
      </c>
      <c r="AF59" s="16">
        <f t="shared" si="11"/>
        <v>1.4133745876156585</v>
      </c>
      <c r="AG59" s="17">
        <f t="shared" si="43"/>
        <v>60</v>
      </c>
      <c r="AH59" s="17">
        <f t="shared" si="44"/>
        <v>0</v>
      </c>
      <c r="AI59" s="17">
        <f t="shared" si="45"/>
        <v>0</v>
      </c>
      <c r="AJ59" s="17">
        <f t="shared" si="46"/>
        <v>112.42974657083738</v>
      </c>
      <c r="AK59" s="17">
        <f t="shared" si="47"/>
        <v>288.42500786710133</v>
      </c>
      <c r="AL59" s="17">
        <f t="shared" ref="AL59:AL78" si="49">SUM(Z59:AD59)-SUM(AH59:AK59)</f>
        <v>927.59486163969586</v>
      </c>
      <c r="AM59" s="16">
        <v>545.62765379956591</v>
      </c>
      <c r="AO59" s="16">
        <v>54</v>
      </c>
      <c r="AP59" s="16">
        <f t="shared" si="30"/>
        <v>479.75813641225608</v>
      </c>
      <c r="AQ59" s="16">
        <f t="shared" si="31"/>
        <v>581.08219784050289</v>
      </c>
      <c r="AR59" s="16">
        <f t="shared" si="32"/>
        <v>782.66748194472439</v>
      </c>
      <c r="AS59" s="16">
        <f t="shared" si="33"/>
        <v>1492.5886045786929</v>
      </c>
      <c r="AT59" s="16">
        <f t="shared" si="34"/>
        <v>2100.1635605599763</v>
      </c>
      <c r="AY59" s="16">
        <f t="shared" si="35"/>
        <v>1.2920125050597593</v>
      </c>
      <c r="AZ59" s="16">
        <f t="shared" ref="AZ59:BC59" si="50">AZ15/AZ38</f>
        <v>1.4845771208261018</v>
      </c>
      <c r="BA59" s="16">
        <f t="shared" si="50"/>
        <v>2.0869565217391304</v>
      </c>
      <c r="BB59" s="16">
        <f t="shared" si="50"/>
        <v>2.0869565217391304</v>
      </c>
      <c r="BC59" s="16">
        <f t="shared" si="50"/>
        <v>2.0869565217391304</v>
      </c>
      <c r="BE59" s="16">
        <v>54</v>
      </c>
      <c r="BF59" s="16">
        <f t="shared" si="14"/>
        <v>41.530848662669221</v>
      </c>
      <c r="BG59" s="16">
        <f t="shared" si="15"/>
        <v>0</v>
      </c>
      <c r="BH59" s="16">
        <f t="shared" si="16"/>
        <v>11.051519532036071</v>
      </c>
      <c r="BI59" s="16">
        <f t="shared" si="17"/>
        <v>108.37947562884071</v>
      </c>
      <c r="BJ59" s="16">
        <f t="shared" si="18"/>
        <v>422.97428910584779</v>
      </c>
      <c r="BM59" s="16">
        <f t="shared" si="23"/>
        <v>11.551850055101225</v>
      </c>
      <c r="BN59" s="16" t="e">
        <f t="shared" si="19"/>
        <v>#DIV/0!</v>
      </c>
      <c r="BO59" s="16">
        <f t="shared" si="20"/>
        <v>70.819897632713136</v>
      </c>
      <c r="BP59" s="16">
        <f t="shared" si="21"/>
        <v>13.77187512597175</v>
      </c>
      <c r="BQ59" s="16">
        <f t="shared" si="22"/>
        <v>4.9652274728084427</v>
      </c>
      <c r="BR59" s="16">
        <f>(BF59-AP59)*$D$2/'[1]资源-钻石'!L57</f>
        <v>-0.16658348876180018</v>
      </c>
      <c r="BS59" s="16">
        <f>(BG59-AQ59)*$D$2/'[1]资源-钻石'!M57</f>
        <v>-0.18279850412806822</v>
      </c>
      <c r="BT59" s="16">
        <f>(BH59-AR59)*$D$2/'[1]资源-钻石'!N57</f>
        <v>-0.1792161065112535</v>
      </c>
      <c r="BU59" s="16">
        <f>(BI59-AS59)*$D$2/'[1]资源-钻石'!O57</f>
        <v>-0.16478611683869837</v>
      </c>
      <c r="BV59" s="16">
        <f>(BJ59-AT59)*$D$2/'[1]资源-钻石'!P57</f>
        <v>-0.13944185020316599</v>
      </c>
    </row>
    <row r="60" spans="10:74">
      <c r="J60" s="16">
        <v>5</v>
      </c>
      <c r="K60" s="17">
        <f>基础状态预期!C71</f>
        <v>70</v>
      </c>
      <c r="L60" s="17">
        <f>宝物升星!N60</f>
        <v>0</v>
      </c>
      <c r="M60" s="17">
        <f>宝物升星!O60</f>
        <v>0</v>
      </c>
      <c r="N60" s="17">
        <f>宝物升星!P60</f>
        <v>2.3488769363288999</v>
      </c>
      <c r="O60" s="17">
        <f>宝物升星!Q60</f>
        <v>1.3361068610914304</v>
      </c>
      <c r="P60" s="17">
        <f>基础状态预期!I71</f>
        <v>0</v>
      </c>
      <c r="Q60" s="17">
        <f>基础状态预期!J71</f>
        <v>0</v>
      </c>
      <c r="R60" s="17">
        <f>基础状态预期!K71</f>
        <v>1.6941933854729778</v>
      </c>
      <c r="S60" s="17">
        <f>基础状态预期!L71</f>
        <v>4.3058066145270217</v>
      </c>
      <c r="T60" s="17">
        <f>IF(L60=0,0,同名需求(P60,L60,C$6))</f>
        <v>0</v>
      </c>
      <c r="U60" s="17">
        <f>IF(M60=0,0,同名需求(Q60,M60,D$6))</f>
        <v>0</v>
      </c>
      <c r="V60" s="17">
        <f>IF(N60=0,0,同名需求(R60,N60,E$6))</f>
        <v>12.485208876104178</v>
      </c>
      <c r="W60" s="17">
        <f>IF(O60=0,0,同名需求(S60,O60,F$6))</f>
        <v>6.3224477810756046</v>
      </c>
      <c r="Z60" s="17">
        <f>投放验证!AL71*C$7</f>
        <v>349.68219315147269</v>
      </c>
      <c r="AA60" s="17">
        <f>投放验证!AM71*D$7</f>
        <v>521.12039306451754</v>
      </c>
      <c r="AB60" s="17">
        <f>投放验证!AN71*E$7</f>
        <v>469.77538726578001</v>
      </c>
      <c r="AC60" s="17">
        <f>投放验证!AO71*F$7</f>
        <v>566.28198302103999</v>
      </c>
      <c r="AD60" s="17">
        <f>投放验证!Q71/投放验证!$E$25*投放验证!$E$24/$D$2</f>
        <v>755.04264402805336</v>
      </c>
      <c r="AE60" s="16">
        <v>1942.0064041418805</v>
      </c>
      <c r="AF60" s="16">
        <f t="shared" si="11"/>
        <v>1.3706971279052429</v>
      </c>
      <c r="AG60" s="17">
        <f t="shared" si="43"/>
        <v>70</v>
      </c>
      <c r="AH60" s="17">
        <f t="shared" si="44"/>
        <v>0</v>
      </c>
      <c r="AI60" s="17">
        <f t="shared" si="45"/>
        <v>0</v>
      </c>
      <c r="AJ60" s="17">
        <f t="shared" si="46"/>
        <v>99.486294220461374</v>
      </c>
      <c r="AK60" s="17">
        <f t="shared" si="47"/>
        <v>575.30177602024173</v>
      </c>
      <c r="AL60" s="17">
        <f t="shared" si="49"/>
        <v>1987.1145302901607</v>
      </c>
      <c r="AM60" s="16">
        <v>1388.7356872125588</v>
      </c>
      <c r="AO60" s="16">
        <v>55</v>
      </c>
      <c r="AP60" s="16">
        <f t="shared" si="30"/>
        <v>494.48217375773845</v>
      </c>
      <c r="AQ60" s="16">
        <f t="shared" si="31"/>
        <v>599.69177681717133</v>
      </c>
      <c r="AR60" s="16">
        <f t="shared" si="32"/>
        <v>806.82204522721963</v>
      </c>
      <c r="AS60" s="16">
        <f t="shared" si="33"/>
        <v>1530.8021348595223</v>
      </c>
      <c r="AT60" s="16">
        <f t="shared" si="34"/>
        <v>2148.1467760038331</v>
      </c>
      <c r="AY60" s="16">
        <f t="shared" si="35"/>
        <v>2.9307182488225747</v>
      </c>
      <c r="AZ60" s="16">
        <f t="shared" ref="AZ60:BC60" si="51">AZ16/AZ39</f>
        <v>2.0869565217391304</v>
      </c>
      <c r="BA60" s="16">
        <f t="shared" si="51"/>
        <v>2.0869565217391304</v>
      </c>
      <c r="BB60" s="16">
        <f t="shared" si="51"/>
        <v>2.0869565217391304</v>
      </c>
      <c r="BC60" s="16">
        <f t="shared" si="51"/>
        <v>2.0869565217391304</v>
      </c>
      <c r="BE60" s="16">
        <v>55</v>
      </c>
      <c r="BF60" s="16">
        <f t="shared" si="14"/>
        <v>51.913560828336529</v>
      </c>
      <c r="BG60" s="16">
        <f t="shared" si="15"/>
        <v>0</v>
      </c>
      <c r="BH60" s="16">
        <f t="shared" si="16"/>
        <v>13.814399415045088</v>
      </c>
      <c r="BI60" s="16">
        <f t="shared" si="17"/>
        <v>135.47434453605089</v>
      </c>
      <c r="BJ60" s="16">
        <f t="shared" si="18"/>
        <v>528.71786138230971</v>
      </c>
      <c r="BM60" s="16">
        <f t="shared" si="23"/>
        <v>9.5251060776364618</v>
      </c>
      <c r="BN60" s="16" t="e">
        <f t="shared" si="19"/>
        <v>#DIV/0!</v>
      </c>
      <c r="BO60" s="16">
        <f t="shared" si="20"/>
        <v>58.404424324702809</v>
      </c>
      <c r="BP60" s="16">
        <f t="shared" si="21"/>
        <v>11.2995721817437</v>
      </c>
      <c r="BQ60" s="16">
        <f t="shared" si="22"/>
        <v>4.062935892476939</v>
      </c>
      <c r="BR60" s="16">
        <f>(BF60-AP60)*$D$2/'[1]资源-钻石'!L58</f>
        <v>-0.15748022678791676</v>
      </c>
      <c r="BS60" s="16">
        <f>(BG60-AQ60)*$D$2/'[1]资源-钻石'!M58</f>
        <v>-0.17685858116432601</v>
      </c>
      <c r="BT60" s="16">
        <f>(BH60-AR60)*$D$2/'[1]资源-钻石'!N58</f>
        <v>-0.17300092565752528</v>
      </c>
      <c r="BU60" s="16">
        <f>(BI60-AS60)*$D$2/'[1]资源-钻石'!O58</f>
        <v>-0.15679185837725496</v>
      </c>
      <c r="BV60" s="16">
        <f>(BJ60-AT60)*$D$2/'[1]资源-钻石'!P58</f>
        <v>-0.12698291424241961</v>
      </c>
    </row>
    <row r="61" spans="10:74">
      <c r="J61" s="16">
        <v>6</v>
      </c>
      <c r="K61" s="17">
        <f>基础状态预期!C72</f>
        <v>75</v>
      </c>
      <c r="L61" s="17">
        <f>宝物升星!N61</f>
        <v>0</v>
      </c>
      <c r="M61" s="17">
        <f>宝物升星!O61</f>
        <v>0</v>
      </c>
      <c r="N61" s="17">
        <f>宝物升星!P61</f>
        <v>3.1941359293145841</v>
      </c>
      <c r="O61" s="17">
        <f>宝物升星!Q61</f>
        <v>1.3782259254248106</v>
      </c>
      <c r="P61" s="17">
        <f>基础状态预期!I72</f>
        <v>0</v>
      </c>
      <c r="Q61" s="17">
        <f>基础状态预期!J72</f>
        <v>0</v>
      </c>
      <c r="R61" s="17">
        <f>基础状态预期!K72</f>
        <v>0.47213826570530132</v>
      </c>
      <c r="S61" s="17">
        <f>基础状态预期!L72</f>
        <v>5.5278617342946985</v>
      </c>
      <c r="T61" s="17">
        <f>IF(L61=0,0,同名需求(P61,L61,C$6))</f>
        <v>0</v>
      </c>
      <c r="U61" s="17">
        <f>IF(M61=0,0,同名需求(Q61,M61,D$6))</f>
        <v>0</v>
      </c>
      <c r="V61" s="17">
        <f>IF(N61=0,0,同名需求(R61,N61,E$6))</f>
        <v>18.025225700221974</v>
      </c>
      <c r="W61" s="17">
        <f>IF(O61=0,0,同名需求(S61,O61,F$6))</f>
        <v>7.7972172868435621</v>
      </c>
      <c r="Z61" s="17">
        <f>投放验证!AL72*C$7</f>
        <v>486.07829362441367</v>
      </c>
      <c r="AA61" s="17">
        <f>投放验证!AM72*D$7</f>
        <v>710.39299373721008</v>
      </c>
      <c r="AB61" s="17">
        <f>投放验证!AN72*E$7</f>
        <v>638.82718586291685</v>
      </c>
      <c r="AC61" s="17">
        <f>投放验证!AO72*F$7</f>
        <v>761.86423543687101</v>
      </c>
      <c r="AD61" s="17">
        <f>投放验证!Q72/投放验证!$E$25*投放验证!$E$24/$D$2</f>
        <v>1015.8189805824946</v>
      </c>
      <c r="AE61" s="16">
        <v>2663.5512480465686</v>
      </c>
      <c r="AF61" s="16">
        <f t="shared" si="11"/>
        <v>1.3564528528946622</v>
      </c>
      <c r="AG61" s="17">
        <f t="shared" si="43"/>
        <v>75</v>
      </c>
      <c r="AH61" s="17">
        <f t="shared" si="44"/>
        <v>0</v>
      </c>
      <c r="AI61" s="17">
        <f t="shared" si="45"/>
        <v>0</v>
      </c>
      <c r="AJ61" s="17">
        <f t="shared" si="46"/>
        <v>37.701844952339471</v>
      </c>
      <c r="AK61" s="17">
        <f t="shared" si="47"/>
        <v>761.8642354368709</v>
      </c>
      <c r="AL61" s="17">
        <f t="shared" si="49"/>
        <v>2813.4156088546961</v>
      </c>
      <c r="AM61" s="16">
        <v>2104.6797807652451</v>
      </c>
      <c r="AO61" s="16">
        <v>56</v>
      </c>
      <c r="AP61" s="16">
        <f t="shared" si="30"/>
        <v>509.20621110322082</v>
      </c>
      <c r="AQ61" s="16">
        <f t="shared" si="31"/>
        <v>618.30135579384</v>
      </c>
      <c r="AR61" s="16">
        <f t="shared" si="32"/>
        <v>830.97660850971488</v>
      </c>
      <c r="AS61" s="16">
        <f t="shared" si="33"/>
        <v>1569.0156651403518</v>
      </c>
      <c r="AT61" s="16">
        <f t="shared" si="34"/>
        <v>2196.1299914476904</v>
      </c>
      <c r="AY61" s="16">
        <f t="shared" si="35"/>
        <v>2.0869565217391304</v>
      </c>
      <c r="AZ61" s="16">
        <f t="shared" ref="AZ61:BC61" si="52">AZ17/AZ40</f>
        <v>2.0869565217391304</v>
      </c>
      <c r="BA61" s="16">
        <f t="shared" si="52"/>
        <v>2.0869565217391304</v>
      </c>
      <c r="BB61" s="16">
        <f t="shared" si="52"/>
        <v>2.0869565217391304</v>
      </c>
      <c r="BC61" s="16">
        <f t="shared" si="52"/>
        <v>2.0869565217391304</v>
      </c>
      <c r="BE61" s="16">
        <v>56</v>
      </c>
      <c r="BF61" s="16">
        <f t="shared" si="14"/>
        <v>62.296272994003829</v>
      </c>
      <c r="BG61" s="16">
        <f t="shared" si="15"/>
        <v>0</v>
      </c>
      <c r="BH61" s="16">
        <f t="shared" si="16"/>
        <v>16.577279298054108</v>
      </c>
      <c r="BI61" s="16">
        <f t="shared" si="17"/>
        <v>162.56921344326105</v>
      </c>
      <c r="BJ61" s="16">
        <f t="shared" si="18"/>
        <v>634.46143365877174</v>
      </c>
      <c r="BM61" s="16">
        <f t="shared" si="23"/>
        <v>8.1739434259932882</v>
      </c>
      <c r="BN61" s="16" t="e">
        <f t="shared" si="19"/>
        <v>#DIV/0!</v>
      </c>
      <c r="BO61" s="16">
        <f t="shared" si="20"/>
        <v>50.127442119362584</v>
      </c>
      <c r="BP61" s="16">
        <f t="shared" si="21"/>
        <v>9.6513702189250026</v>
      </c>
      <c r="BQ61" s="16">
        <f t="shared" si="22"/>
        <v>3.4614081722559367</v>
      </c>
      <c r="BR61" s="16">
        <f>(BF61-AP61)*$D$2/'[1]资源-钻石'!L59</f>
        <v>-0.14882903863976099</v>
      </c>
      <c r="BS61" s="16">
        <f>(BG61-AQ61)*$D$2/'[1]资源-钻石'!M59</f>
        <v>-0.17100473285643056</v>
      </c>
      <c r="BT61" s="16">
        <f>(BH61-AR61)*$D$2/'[1]资源-钻石'!N59</f>
        <v>-0.16666407645435444</v>
      </c>
      <c r="BU61" s="16">
        <f>(BI61-AS61)*$D$2/'[1]资源-钻石'!O59</f>
        <v>-0.14908486700442289</v>
      </c>
      <c r="BV61" s="16">
        <f>(BJ61-AT61)*$D$2/'[1]资源-钻石'!P59</f>
        <v>-0.1154157905497266</v>
      </c>
    </row>
    <row r="62" spans="10:74">
      <c r="J62" s="16">
        <v>7</v>
      </c>
      <c r="K62" s="17">
        <f>基础状态预期!C73</f>
        <v>80</v>
      </c>
      <c r="L62" s="17">
        <f>宝物升星!N62</f>
        <v>0</v>
      </c>
      <c r="M62" s="17">
        <f>宝物升星!O62</f>
        <v>0</v>
      </c>
      <c r="N62" s="17">
        <f>宝物升星!P62</f>
        <v>0</v>
      </c>
      <c r="O62" s="17">
        <f>宝物升星!Q62</f>
        <v>1.7327205513333379</v>
      </c>
      <c r="P62" s="17">
        <f>基础状态预期!I73</f>
        <v>0</v>
      </c>
      <c r="Q62" s="17">
        <f>基础状态预期!J73</f>
        <v>0</v>
      </c>
      <c r="R62" s="17">
        <f>基础状态预期!K73</f>
        <v>0</v>
      </c>
      <c r="S62" s="17">
        <f>基础状态预期!L73</f>
        <v>6</v>
      </c>
      <c r="T62" s="17">
        <f>IF(L62=0,0,同名需求(P62,L62,C$6))</f>
        <v>0</v>
      </c>
      <c r="U62" s="17">
        <f>IF(M62=0,0,同名需求(Q62,M62,D$6))</f>
        <v>0</v>
      </c>
      <c r="V62" s="17">
        <f>IF(N62=0,0,同名需求(R62,N62,E$6))</f>
        <v>0</v>
      </c>
      <c r="W62" s="17">
        <f>IF(O62=0,0,同名需求(S62,O62,F$6))</f>
        <v>10.396323308000028</v>
      </c>
      <c r="Z62" s="17">
        <f>投放验证!AL73*C$7</f>
        <v>679.80580445345413</v>
      </c>
      <c r="AA62" s="17">
        <f>投放验证!AM73*D$7</f>
        <v>979.21111535115324</v>
      </c>
      <c r="AB62" s="17">
        <f>投放验证!AN73*E$7</f>
        <v>878.92584810000221</v>
      </c>
      <c r="AC62" s="17">
        <f>投放验证!AO73*F$7</f>
        <v>1039.6323308000028</v>
      </c>
      <c r="AD62" s="17">
        <f>投放验证!Q73/投放验证!$E$25*投放验证!$E$24/$D$2</f>
        <v>1386.1764410666706</v>
      </c>
      <c r="AE62" s="16">
        <v>3689.1213031120365</v>
      </c>
      <c r="AF62" s="16">
        <f t="shared" si="11"/>
        <v>1.345510524575054</v>
      </c>
      <c r="AG62" s="17">
        <f t="shared" si="43"/>
        <v>80</v>
      </c>
      <c r="AH62" s="17">
        <f t="shared" si="44"/>
        <v>0</v>
      </c>
      <c r="AI62" s="17">
        <f t="shared" si="45"/>
        <v>0</v>
      </c>
      <c r="AJ62" s="17">
        <f t="shared" si="46"/>
        <v>0</v>
      </c>
      <c r="AK62" s="17">
        <f t="shared" si="47"/>
        <v>1039.6323308000028</v>
      </c>
      <c r="AL62" s="17">
        <f t="shared" si="49"/>
        <v>3924.1192089712804</v>
      </c>
      <c r="AM62" s="16">
        <v>2985.6871563321988</v>
      </c>
      <c r="AO62" s="16">
        <v>57</v>
      </c>
      <c r="AP62" s="16">
        <f t="shared" si="30"/>
        <v>523.9302484487032</v>
      </c>
      <c r="AQ62" s="16">
        <f t="shared" si="31"/>
        <v>636.91093477050845</v>
      </c>
      <c r="AR62" s="16">
        <f t="shared" si="32"/>
        <v>855.13117179221013</v>
      </c>
      <c r="AS62" s="16">
        <f t="shared" si="33"/>
        <v>1607.2291954211812</v>
      </c>
      <c r="AT62" s="16">
        <f t="shared" si="34"/>
        <v>2244.1132068915472</v>
      </c>
      <c r="AY62" s="16">
        <f t="shared" si="35"/>
        <v>2.0869565217391304</v>
      </c>
      <c r="AZ62" s="16">
        <f t="shared" ref="AZ62:BC62" si="53">AZ18/AZ41</f>
        <v>2.0869565217391304</v>
      </c>
      <c r="BA62" s="16">
        <f t="shared" si="53"/>
        <v>2.0869565217391304</v>
      </c>
      <c r="BB62" s="16">
        <f t="shared" si="53"/>
        <v>2.0869565217391304</v>
      </c>
      <c r="BC62" s="16">
        <f t="shared" si="53"/>
        <v>2.0869565217391304</v>
      </c>
      <c r="BE62" s="16">
        <v>57</v>
      </c>
      <c r="BF62" s="16">
        <f t="shared" si="14"/>
        <v>72.678985159671143</v>
      </c>
      <c r="BG62" s="16">
        <f t="shared" si="15"/>
        <v>0</v>
      </c>
      <c r="BH62" s="16">
        <f t="shared" si="16"/>
        <v>19.340159181063125</v>
      </c>
      <c r="BI62" s="16">
        <f t="shared" si="17"/>
        <v>189.66408235047123</v>
      </c>
      <c r="BJ62" s="16">
        <f t="shared" si="18"/>
        <v>740.20500593523366</v>
      </c>
      <c r="BM62" s="16">
        <f t="shared" si="23"/>
        <v>7.2088272462481626</v>
      </c>
      <c r="BN62" s="16" t="e">
        <f t="shared" si="19"/>
        <v>#DIV/0!</v>
      </c>
      <c r="BO62" s="16">
        <f t="shared" si="20"/>
        <v>44.215311972690998</v>
      </c>
      <c r="BP62" s="16">
        <f t="shared" si="21"/>
        <v>8.4740831026259311</v>
      </c>
      <c r="BQ62" s="16">
        <f t="shared" si="22"/>
        <v>3.0317455149552206</v>
      </c>
      <c r="BR62" s="16">
        <f>(BF62-AP62)*$D$2/'[1]资源-钻石'!L60</f>
        <v>-0.14061227917446076</v>
      </c>
      <c r="BS62" s="16">
        <f>(BG62-AQ62)*$D$2/'[1]资源-钻石'!M60</f>
        <v>-0.16480748541070486</v>
      </c>
      <c r="BT62" s="16">
        <f>(BH62-AR62)*$D$2/'[1]资源-钻石'!N60</f>
        <v>-0.16031287688523707</v>
      </c>
      <c r="BU62" s="16">
        <f>(BI62-AS62)*$D$2/'[1]资源-钻石'!O60</f>
        <v>-0.14161624984819959</v>
      </c>
      <c r="BV62" s="16">
        <f>(BJ62-AT62)*$D$2/'[1]资源-钻石'!P60</f>
        <v>-0.10515029940720159</v>
      </c>
    </row>
    <row r="63" spans="10:74">
      <c r="J63" s="16">
        <v>8</v>
      </c>
      <c r="K63" s="17">
        <f>基础状态预期!C74</f>
        <v>85</v>
      </c>
      <c r="L63" s="17">
        <f>宝物升星!N63</f>
        <v>0</v>
      </c>
      <c r="M63" s="17">
        <f>宝物升星!O63</f>
        <v>0</v>
      </c>
      <c r="N63" s="17">
        <f>宝物升星!P63</f>
        <v>0</v>
      </c>
      <c r="O63" s="17">
        <f>宝物升星!Q63</f>
        <v>2.3461520173514527</v>
      </c>
      <c r="P63" s="17">
        <f>基础状态预期!I74</f>
        <v>0</v>
      </c>
      <c r="Q63" s="17">
        <f>基础状态预期!J74</f>
        <v>0</v>
      </c>
      <c r="R63" s="17">
        <f>基础状态预期!K74</f>
        <v>0</v>
      </c>
      <c r="S63" s="17">
        <f>基础状态预期!L74</f>
        <v>6</v>
      </c>
      <c r="T63" s="17">
        <f>IF(L63=0,0,同名需求(P63,L63,C$6))</f>
        <v>0</v>
      </c>
      <c r="U63" s="17">
        <f>IF(M63=0,0,同名需求(Q63,M63,D$6))</f>
        <v>0</v>
      </c>
      <c r="V63" s="17">
        <f>IF(N63=0,0,同名需求(R63,N63,E$6))</f>
        <v>0</v>
      </c>
      <c r="W63" s="17">
        <f>IF(O63=0,0,同名需求(S63,O63,F$6))</f>
        <v>14.076912104108716</v>
      </c>
      <c r="Z63" s="17">
        <f>投放验证!AL74*C$7</f>
        <v>940.04279786960274</v>
      </c>
      <c r="AA63" s="17">
        <f>投放验证!AM74*D$7</f>
        <v>1337.8190655085591</v>
      </c>
      <c r="AB63" s="17">
        <f>投放验证!AN74*E$7</f>
        <v>1199.1195066050047</v>
      </c>
      <c r="AC63" s="17">
        <f>投放验证!AO74*F$7</f>
        <v>1407.6912104108717</v>
      </c>
      <c r="AD63" s="17">
        <f>投放验证!Q74/投放验证!$E$25*投放验证!$E$24/$D$2</f>
        <v>1876.9216138811621</v>
      </c>
      <c r="AE63" s="16">
        <v>5227.4268476167517</v>
      </c>
      <c r="AF63" s="16">
        <f t="shared" si="11"/>
        <v>1.2934842306512417</v>
      </c>
      <c r="AG63" s="17">
        <f t="shared" si="43"/>
        <v>85</v>
      </c>
      <c r="AH63" s="17">
        <f t="shared" si="44"/>
        <v>0</v>
      </c>
      <c r="AI63" s="17">
        <f t="shared" si="45"/>
        <v>0</v>
      </c>
      <c r="AJ63" s="17">
        <f t="shared" si="46"/>
        <v>0</v>
      </c>
      <c r="AK63" s="17">
        <f t="shared" si="47"/>
        <v>1407.6912104108717</v>
      </c>
      <c r="AL63" s="17">
        <f t="shared" si="49"/>
        <v>5353.9029838643282</v>
      </c>
      <c r="AM63" s="16">
        <v>4230.6717283677945</v>
      </c>
      <c r="AO63" s="16">
        <v>58</v>
      </c>
      <c r="AP63" s="16">
        <f t="shared" si="30"/>
        <v>538.65428579418551</v>
      </c>
      <c r="AQ63" s="16">
        <f t="shared" si="31"/>
        <v>655.52051374717701</v>
      </c>
      <c r="AR63" s="16">
        <f t="shared" si="32"/>
        <v>879.28573507470537</v>
      </c>
      <c r="AS63" s="16">
        <f t="shared" si="33"/>
        <v>1645.4427257020106</v>
      </c>
      <c r="AT63" s="16">
        <f t="shared" si="34"/>
        <v>2292.096422335404</v>
      </c>
      <c r="AY63" s="16">
        <f t="shared" si="35"/>
        <v>2.0869565217391304</v>
      </c>
      <c r="AZ63" s="16">
        <f t="shared" ref="AZ63:BC63" si="54">AZ19/AZ42</f>
        <v>2.0869565217391304</v>
      </c>
      <c r="BA63" s="16">
        <f t="shared" si="54"/>
        <v>2.0869565217391304</v>
      </c>
      <c r="BB63" s="16">
        <f t="shared" si="54"/>
        <v>2.0869565217391304</v>
      </c>
      <c r="BC63" s="16">
        <f t="shared" si="54"/>
        <v>2.0869565217391304</v>
      </c>
      <c r="BE63" s="16">
        <v>58</v>
      </c>
      <c r="BF63" s="16">
        <f t="shared" si="14"/>
        <v>83.061697325338443</v>
      </c>
      <c r="BG63" s="16">
        <f t="shared" si="15"/>
        <v>0</v>
      </c>
      <c r="BH63" s="16">
        <f t="shared" si="16"/>
        <v>22.103039064072142</v>
      </c>
      <c r="BI63" s="16">
        <f t="shared" si="17"/>
        <v>216.75895125768142</v>
      </c>
      <c r="BJ63" s="16">
        <f t="shared" si="18"/>
        <v>845.94857821169558</v>
      </c>
      <c r="BM63" s="16">
        <f t="shared" si="23"/>
        <v>6.4849901114393189</v>
      </c>
      <c r="BN63" s="16" t="e">
        <f t="shared" si="19"/>
        <v>#DIV/0!</v>
      </c>
      <c r="BO63" s="16">
        <f t="shared" si="20"/>
        <v>39.781214362687308</v>
      </c>
      <c r="BP63" s="16">
        <f t="shared" si="21"/>
        <v>7.5911177654016262</v>
      </c>
      <c r="BQ63" s="16">
        <f t="shared" si="22"/>
        <v>2.7094985219796834</v>
      </c>
      <c r="BR63" s="16">
        <f>(BF63-AP63)*$D$2/'[1]资源-钻石'!L61</f>
        <v>-0.1328124454359465</v>
      </c>
      <c r="BS63" s="16">
        <f>(BG63-AQ63)*$D$2/'[1]资源-钻石'!M61</f>
        <v>-0.15899679533979152</v>
      </c>
      <c r="BT63" s="16">
        <f>(BH63-AR63)*$D$2/'[1]资源-钻石'!N61</f>
        <v>-0.1540743824041638</v>
      </c>
      <c r="BU63" s="16">
        <f>(BI63-AS63)*$D$2/'[1]资源-钻石'!O61</f>
        <v>-0.13432124010322546</v>
      </c>
      <c r="BV63" s="16">
        <f>(BJ63-AT63)*$D$2/'[1]资源-钻石'!P61</f>
        <v>-9.5732778473708938E-2</v>
      </c>
    </row>
    <row r="64" spans="10:74">
      <c r="J64" s="16">
        <v>9</v>
      </c>
      <c r="K64" s="17">
        <f>基础状态预期!C75</f>
        <v>90</v>
      </c>
      <c r="L64" s="17">
        <f>宝物升星!N64</f>
        <v>0</v>
      </c>
      <c r="M64" s="17">
        <f>宝物升星!O64</f>
        <v>0</v>
      </c>
      <c r="N64" s="17">
        <f>宝物升星!P64</f>
        <v>0</v>
      </c>
      <c r="O64" s="17">
        <f>宝物升星!Q64</f>
        <v>3.1815217892648682</v>
      </c>
      <c r="P64" s="17">
        <f>基础状态预期!I75</f>
        <v>0</v>
      </c>
      <c r="Q64" s="17">
        <f>基础状态预期!J75</f>
        <v>0</v>
      </c>
      <c r="R64" s="17">
        <f>基础状态预期!K75</f>
        <v>0</v>
      </c>
      <c r="S64" s="17">
        <f>基础状态预期!L75</f>
        <v>6</v>
      </c>
      <c r="T64" s="17">
        <f>IF(L64=0,0,同名需求(P64,L64,C$6))</f>
        <v>0</v>
      </c>
      <c r="U64" s="17">
        <f>IF(M64=0,0,同名需求(Q64,M64,D$6))</f>
        <v>0</v>
      </c>
      <c r="V64" s="17">
        <f>IF(N64=0,0,同名需求(R64,N64,E$6))</f>
        <v>0</v>
      </c>
      <c r="W64" s="17">
        <f>IF(O64=0,0,同名需求(S64,O64,F$6))</f>
        <v>19.089130735589208</v>
      </c>
      <c r="Z64" s="17">
        <f>投放验证!AL75*C$7</f>
        <v>1294.4330270579133</v>
      </c>
      <c r="AA64" s="17">
        <f>投放验证!AM75*D$7</f>
        <v>1826.1706713919184</v>
      </c>
      <c r="AB64" s="17">
        <f>投放验证!AN75*E$7</f>
        <v>1635.1586051691911</v>
      </c>
      <c r="AC64" s="17">
        <f>投放验证!AO75*F$7</f>
        <v>1908.9130735589208</v>
      </c>
      <c r="AD64" s="17">
        <f>投放验证!Q75/投放验证!$E$25*投放验证!$E$24/$D$2</f>
        <v>2545.2174314118947</v>
      </c>
      <c r="AE64" s="16">
        <v>7314.8103057958197</v>
      </c>
      <c r="AF64" s="16">
        <f t="shared" si="11"/>
        <v>1.2590747297018032</v>
      </c>
      <c r="AG64" s="17">
        <f t="shared" si="43"/>
        <v>90</v>
      </c>
      <c r="AH64" s="17">
        <f t="shared" si="44"/>
        <v>0</v>
      </c>
      <c r="AI64" s="17">
        <f t="shared" si="45"/>
        <v>0</v>
      </c>
      <c r="AJ64" s="17">
        <f t="shared" si="46"/>
        <v>0</v>
      </c>
      <c r="AK64" s="17">
        <f t="shared" si="47"/>
        <v>1908.9130735589208</v>
      </c>
      <c r="AL64" s="17">
        <f t="shared" si="49"/>
        <v>7300.9797350309163</v>
      </c>
      <c r="AM64" s="16">
        <v>5920.0371542669554</v>
      </c>
      <c r="AO64" s="16">
        <v>59</v>
      </c>
      <c r="AP64" s="16">
        <f t="shared" si="30"/>
        <v>553.37832313966794</v>
      </c>
      <c r="AQ64" s="16">
        <f t="shared" si="31"/>
        <v>674.13009272384556</v>
      </c>
      <c r="AR64" s="16">
        <f t="shared" si="32"/>
        <v>903.44029835720062</v>
      </c>
      <c r="AS64" s="16">
        <f t="shared" si="33"/>
        <v>1683.6562559828401</v>
      </c>
      <c r="AT64" s="16">
        <f t="shared" si="34"/>
        <v>2340.0796377792612</v>
      </c>
      <c r="AY64" s="16">
        <f t="shared" si="35"/>
        <v>2.0869565217391304</v>
      </c>
      <c r="AZ64" s="16">
        <f t="shared" ref="AZ64:BC64" si="55">AZ20/AZ43</f>
        <v>2.0869565217391304</v>
      </c>
      <c r="BA64" s="16">
        <f t="shared" si="55"/>
        <v>2.0869565217391304</v>
      </c>
      <c r="BB64" s="16">
        <f t="shared" si="55"/>
        <v>2.0869565217391304</v>
      </c>
      <c r="BC64" s="16">
        <f t="shared" si="55"/>
        <v>2.0869565217391304</v>
      </c>
      <c r="BE64" s="16">
        <v>59</v>
      </c>
      <c r="BF64" s="16">
        <f t="shared" si="14"/>
        <v>93.444409491005743</v>
      </c>
      <c r="BG64" s="16">
        <f t="shared" si="15"/>
        <v>0</v>
      </c>
      <c r="BH64" s="16">
        <f t="shared" si="16"/>
        <v>24.865918947081159</v>
      </c>
      <c r="BI64" s="16">
        <f t="shared" si="17"/>
        <v>243.8538201648916</v>
      </c>
      <c r="BJ64" s="16">
        <f t="shared" si="18"/>
        <v>951.69215048815749</v>
      </c>
      <c r="BM64" s="16">
        <f t="shared" si="23"/>
        <v>5.922005673254664</v>
      </c>
      <c r="BN64" s="16" t="e">
        <f t="shared" si="19"/>
        <v>#DIV/0!</v>
      </c>
      <c r="BO64" s="16">
        <f t="shared" si="20"/>
        <v>36.332471777128887</v>
      </c>
      <c r="BP64" s="16">
        <f t="shared" si="21"/>
        <v>6.9043669475605016</v>
      </c>
      <c r="BQ64" s="16">
        <f t="shared" si="22"/>
        <v>2.4588619718875999</v>
      </c>
      <c r="BR64" s="16">
        <f>(BF64-AP64)*$D$2/'[1]资源-钻石'!L62</f>
        <v>-0.12541225104979467</v>
      </c>
      <c r="BS64" s="16">
        <f>(BG64-AQ64)*$D$2/'[1]资源-钻石'!M62</f>
        <v>-0.15292465488558163</v>
      </c>
      <c r="BT64" s="16">
        <f>(BH64-AR64)*$D$2/'[1]资源-钻石'!N62</f>
        <v>-0.14784272462576331</v>
      </c>
      <c r="BU64" s="16">
        <f>(BI64-AS64)*$D$2/'[1]资源-钻石'!O62</f>
        <v>-0.12722631633841905</v>
      </c>
      <c r="BV64" s="16">
        <f>(BJ64-AT64)*$D$2/'[1]资源-钻石'!P62</f>
        <v>-8.6817149192717297E-2</v>
      </c>
    </row>
    <row r="65" spans="10:74">
      <c r="J65" s="16">
        <v>10</v>
      </c>
      <c r="K65" s="17">
        <f>基础状态预期!C76</f>
        <v>95</v>
      </c>
      <c r="L65" s="17">
        <f>宝物升星!N65</f>
        <v>0</v>
      </c>
      <c r="M65" s="17">
        <f>宝物升星!O65</f>
        <v>0</v>
      </c>
      <c r="N65" s="17">
        <f>宝物升星!P65</f>
        <v>0</v>
      </c>
      <c r="O65" s="17">
        <f>宝物升星!Q65</f>
        <v>4.3199750956875214</v>
      </c>
      <c r="P65" s="17">
        <f>基础状态预期!I76</f>
        <v>0</v>
      </c>
      <c r="Q65" s="17">
        <f>基础状态预期!J76</f>
        <v>0</v>
      </c>
      <c r="R65" s="17">
        <f>基础状态预期!K76</f>
        <v>0</v>
      </c>
      <c r="S65" s="17">
        <f>基础状态预期!L76</f>
        <v>6</v>
      </c>
      <c r="T65" s="17">
        <f>IF(L65=0,0,同名需求(P65,L65,C$6))</f>
        <v>0</v>
      </c>
      <c r="U65" s="17">
        <f>IF(M65=0,0,同名需求(Q65,M65,D$6))</f>
        <v>0</v>
      </c>
      <c r="V65" s="17">
        <f>IF(N65=0,0,同名需求(R65,N65,E$6))</f>
        <v>0</v>
      </c>
      <c r="W65" s="17">
        <f>IF(O65=0,0,同名需求(S65,O65,F$6))</f>
        <v>25.919850574125128</v>
      </c>
      <c r="Z65" s="17">
        <f>投放验证!AL76*C$7</f>
        <v>1782.8647595783073</v>
      </c>
      <c r="AA65" s="17">
        <f>投放验证!AM76*D$7</f>
        <v>2495.4234415415895</v>
      </c>
      <c r="AB65" s="17">
        <f>投放验证!AN76*E$7</f>
        <v>2232.5640431824049</v>
      </c>
      <c r="AC65" s="17">
        <f>投放验证!AO76*F$7</f>
        <v>2591.985057412513</v>
      </c>
      <c r="AD65" s="17">
        <f>投放验证!Q76/投放验证!$E$25*投放验证!$E$24/$D$2</f>
        <v>3455.9800765500172</v>
      </c>
      <c r="AE65" s="16">
        <v>9630.2550911517319</v>
      </c>
      <c r="AF65" s="16">
        <f t="shared" si="11"/>
        <v>1.3041001779697259</v>
      </c>
      <c r="AG65" s="17">
        <f t="shared" si="43"/>
        <v>95</v>
      </c>
      <c r="AH65" s="17">
        <f t="shared" si="44"/>
        <v>0</v>
      </c>
      <c r="AI65" s="17">
        <f t="shared" si="45"/>
        <v>0</v>
      </c>
      <c r="AJ65" s="17">
        <f t="shared" si="46"/>
        <v>0</v>
      </c>
      <c r="AK65" s="17">
        <f t="shared" si="47"/>
        <v>2591.985057412513</v>
      </c>
      <c r="AL65" s="17">
        <f t="shared" si="49"/>
        <v>9966.8323208523179</v>
      </c>
      <c r="AM65" s="16">
        <v>7793.9776373304267</v>
      </c>
      <c r="AO65" s="16">
        <v>60</v>
      </c>
      <c r="AP65" s="16">
        <f t="shared" si="30"/>
        <v>568.10236048515026</v>
      </c>
      <c r="AQ65" s="16">
        <f t="shared" si="31"/>
        <v>692.73967170051412</v>
      </c>
      <c r="AR65" s="16">
        <f t="shared" si="32"/>
        <v>927.59486163969586</v>
      </c>
      <c r="AS65" s="16">
        <f t="shared" si="33"/>
        <v>1721.8697862636695</v>
      </c>
      <c r="AT65" s="16">
        <f t="shared" si="34"/>
        <v>2388.0628532231181</v>
      </c>
      <c r="AY65" s="16">
        <f t="shared" si="35"/>
        <v>2.0869565217391304</v>
      </c>
      <c r="AZ65" s="16">
        <f t="shared" ref="AZ65:BC65" si="56">AZ21/AZ44</f>
        <v>2.0869565217391304</v>
      </c>
      <c r="BA65" s="16">
        <f t="shared" si="56"/>
        <v>2.0869565217391304</v>
      </c>
      <c r="BB65" s="16">
        <f t="shared" si="56"/>
        <v>2.0869565217391304</v>
      </c>
      <c r="BC65" s="16">
        <f t="shared" si="56"/>
        <v>2.0869565217391304</v>
      </c>
      <c r="BE65" s="16">
        <v>60</v>
      </c>
      <c r="BF65" s="16">
        <f t="shared" si="14"/>
        <v>103.82712165667306</v>
      </c>
      <c r="BG65" s="16">
        <f t="shared" si="15"/>
        <v>0</v>
      </c>
      <c r="BH65" s="16">
        <f t="shared" si="16"/>
        <v>27.628798830090176</v>
      </c>
      <c r="BI65" s="16">
        <f t="shared" si="17"/>
        <v>270.94868907210179</v>
      </c>
      <c r="BJ65" s="16">
        <f t="shared" si="18"/>
        <v>1057.4357227646194</v>
      </c>
      <c r="BM65" s="16">
        <f t="shared" si="23"/>
        <v>5.4716181227069374</v>
      </c>
      <c r="BN65" s="16" t="e">
        <f t="shared" si="19"/>
        <v>#DIV/0!</v>
      </c>
      <c r="BO65" s="16">
        <f t="shared" si="20"/>
        <v>33.573477708682148</v>
      </c>
      <c r="BP65" s="16">
        <f t="shared" si="21"/>
        <v>6.3549662932876014</v>
      </c>
      <c r="BQ65" s="16">
        <f t="shared" si="22"/>
        <v>2.258352731813932</v>
      </c>
      <c r="BR65" s="16">
        <f>(BF65-AP65)*$D$2/'[1]资源-钻石'!L63</f>
        <v>-0.11839468967315403</v>
      </c>
      <c r="BS65" s="16">
        <f>(BG65-AQ65)*$D$2/'[1]资源-钻石'!M63</f>
        <v>-0.14715704677446473</v>
      </c>
      <c r="BT65" s="16">
        <f>(BH65-AR65)*$D$2/'[1]资源-钻石'!N63</f>
        <v>-0.14183079550569569</v>
      </c>
      <c r="BU65" s="16">
        <f>(BI65-AS65)*$D$2/'[1]资源-钻石'!O63</f>
        <v>-0.12006682508036734</v>
      </c>
      <c r="BV65" s="16">
        <f>(BJ65-AT65)*$D$2/'[1]资源-钻石'!P63</f>
        <v>-7.8387153006732227E-2</v>
      </c>
    </row>
    <row r="66" spans="10:74">
      <c r="J66" s="16">
        <v>11</v>
      </c>
      <c r="K66" s="17">
        <f>基础状态预期!C77</f>
        <v>100</v>
      </c>
      <c r="L66" s="17">
        <f>宝物升星!N66</f>
        <v>0</v>
      </c>
      <c r="M66" s="17">
        <f>宝物升星!O66</f>
        <v>0</v>
      </c>
      <c r="N66" s="17">
        <f>宝物升星!P66</f>
        <v>0</v>
      </c>
      <c r="O66" s="17">
        <f>宝物升星!Q66</f>
        <v>6</v>
      </c>
      <c r="P66" s="17">
        <f>基础状态预期!I77</f>
        <v>0</v>
      </c>
      <c r="Q66" s="17">
        <f>基础状态预期!J77</f>
        <v>0</v>
      </c>
      <c r="R66" s="17">
        <f>基础状态预期!K77</f>
        <v>0</v>
      </c>
      <c r="S66" s="17">
        <f>基础状态预期!L77</f>
        <v>6</v>
      </c>
      <c r="T66" s="17">
        <f>IF(L66=0,0,同名需求(P66,L66,C$6))</f>
        <v>0</v>
      </c>
      <c r="U66" s="17">
        <f>IF(M66=0,0,同名需求(Q66,M66,D$6))</f>
        <v>0</v>
      </c>
      <c r="V66" s="17">
        <f>IF(N66=0,0,同名需求(R66,N66,E$6))</f>
        <v>0</v>
      </c>
      <c r="W66" s="17">
        <f>IF(O66=0,0,同名需求(S66,O66,F$6))</f>
        <v>36</v>
      </c>
      <c r="Z66" s="17">
        <f>投放验证!AL77*C$7</f>
        <v>2507.6951241923271</v>
      </c>
      <c r="AA66" s="17">
        <f>投放验证!AM77*D$7</f>
        <v>3488.3401497559412</v>
      </c>
      <c r="AB66" s="17">
        <f>投放验证!AN77*E$7</f>
        <v>3118.8762349033113</v>
      </c>
      <c r="AC66" s="17">
        <f>投放验证!AO77*F$7</f>
        <v>3605.1509265377481</v>
      </c>
      <c r="AD66" s="17">
        <f>投放验证!Q77/投放验证!$E$25*投放验证!$E$24/$D$2</f>
        <v>4806.8679020503314</v>
      </c>
      <c r="AE66" s="16">
        <v>12137.181077728994</v>
      </c>
      <c r="AF66" s="16">
        <f t="shared" si="11"/>
        <v>1.4440692797770427</v>
      </c>
      <c r="AG66" s="17">
        <f t="shared" si="43"/>
        <v>100</v>
      </c>
      <c r="AH66" s="17">
        <f t="shared" si="44"/>
        <v>0</v>
      </c>
      <c r="AI66" s="17">
        <f t="shared" si="45"/>
        <v>0</v>
      </c>
      <c r="AJ66" s="17">
        <f t="shared" si="46"/>
        <v>0</v>
      </c>
      <c r="AK66" s="17">
        <f t="shared" si="47"/>
        <v>3600</v>
      </c>
      <c r="AL66" s="17">
        <f t="shared" si="49"/>
        <v>13926.930337439659</v>
      </c>
      <c r="AM66" s="16">
        <v>9977.1810777289938</v>
      </c>
      <c r="AO66" s="16">
        <v>61</v>
      </c>
      <c r="AP66" s="16">
        <f t="shared" si="30"/>
        <v>631.60517274812821</v>
      </c>
      <c r="AQ66" s="16">
        <f t="shared" si="31"/>
        <v>771.01910728611222</v>
      </c>
      <c r="AR66" s="16">
        <f t="shared" si="32"/>
        <v>1033.5468285047423</v>
      </c>
      <c r="AS66" s="16">
        <f t="shared" si="33"/>
        <v>1911.0497506233789</v>
      </c>
      <c r="AT66" s="16">
        <f t="shared" si="34"/>
        <v>2612.5729701447276</v>
      </c>
      <c r="AY66" s="16">
        <f t="shared" si="35"/>
        <v>2.0869565217391304</v>
      </c>
      <c r="AZ66" s="16">
        <f t="shared" ref="AZ66:BC66" si="57">AZ22/AZ45</f>
        <v>2.0869565217391304</v>
      </c>
      <c r="BA66" s="16">
        <f t="shared" si="57"/>
        <v>2.0869565217391304</v>
      </c>
      <c r="BB66" s="16">
        <f t="shared" si="57"/>
        <v>2.0869565217391304</v>
      </c>
      <c r="BC66" s="16">
        <f t="shared" si="57"/>
        <v>2.0869565217391304</v>
      </c>
      <c r="BE66" s="16">
        <v>61</v>
      </c>
      <c r="BF66" s="16">
        <f t="shared" si="14"/>
        <v>133.44269565485095</v>
      </c>
      <c r="BG66" s="16">
        <f t="shared" si="15"/>
        <v>13.647384622332414</v>
      </c>
      <c r="BH66" s="16">
        <f t="shared" si="16"/>
        <v>37.059377988102902</v>
      </c>
      <c r="BI66" s="16">
        <f t="shared" si="17"/>
        <v>389.00200666480555</v>
      </c>
      <c r="BJ66" s="16">
        <f t="shared" si="18"/>
        <v>1567.572635524125</v>
      </c>
      <c r="BM66" s="16">
        <f t="shared" si="23"/>
        <v>4.7331565781747447</v>
      </c>
      <c r="BN66" s="16">
        <f t="shared" si="19"/>
        <v>56.495741024578876</v>
      </c>
      <c r="BO66" s="16">
        <f t="shared" si="20"/>
        <v>27.888941601678791</v>
      </c>
      <c r="BP66" s="16">
        <f t="shared" si="21"/>
        <v>4.9126989523992055</v>
      </c>
      <c r="BQ66" s="16">
        <f t="shared" si="22"/>
        <v>1.6666359892606839</v>
      </c>
      <c r="BR66" s="16">
        <f>(BF66-AP66)*$D$2/'[1]资源-钻石'!L64</f>
        <v>-0.11878840405554897</v>
      </c>
      <c r="BS66" s="16">
        <f>(BG66-AQ66)*$D$2/'[1]资源-钻石'!M64</f>
        <v>-0.15038878532228678</v>
      </c>
      <c r="BT66" s="16">
        <f>(BH66-AR66)*$D$2/'[1]资源-钻石'!N64</f>
        <v>-0.146874756078439</v>
      </c>
      <c r="BU66" s="16">
        <f>(BI66-AS66)*$D$2/'[1]资源-钻石'!O64</f>
        <v>-0.11774029326094655</v>
      </c>
      <c r="BV66" s="16">
        <f>(BJ66-AT66)*$D$2/'[1]资源-钻石'!P64</f>
        <v>-5.805855972766949E-2</v>
      </c>
    </row>
    <row r="67" spans="10:74">
      <c r="J67" s="16">
        <v>12</v>
      </c>
      <c r="K67" s="17">
        <f>基础状态预期!C78</f>
        <v>105</v>
      </c>
      <c r="L67" s="17">
        <f>宝物升星!N67</f>
        <v>0</v>
      </c>
      <c r="M67" s="17">
        <f>宝物升星!O67</f>
        <v>0</v>
      </c>
      <c r="N67" s="17">
        <f>宝物升星!P67</f>
        <v>0</v>
      </c>
      <c r="O67" s="17">
        <f>宝物升星!Q67</f>
        <v>6</v>
      </c>
      <c r="P67" s="17">
        <f>基础状态预期!I78</f>
        <v>0</v>
      </c>
      <c r="Q67" s="17">
        <f>基础状态预期!J78</f>
        <v>0</v>
      </c>
      <c r="R67" s="17">
        <f>基础状态预期!K78</f>
        <v>0</v>
      </c>
      <c r="S67" s="17">
        <f>基础状态预期!L78</f>
        <v>6</v>
      </c>
      <c r="T67" s="17">
        <f>IF(L67=0,0,同名需求(P67,L67,C$6))</f>
        <v>0</v>
      </c>
      <c r="U67" s="17">
        <f>IF(M67=0,0,同名需求(Q67,M67,D$6))</f>
        <v>0</v>
      </c>
      <c r="V67" s="17">
        <f>IF(N67=0,0,同名需求(R67,N67,E$6))</f>
        <v>0</v>
      </c>
      <c r="W67" s="17">
        <f>IF(O67=0,0,同名需求(S67,O67,F$6))</f>
        <v>36</v>
      </c>
      <c r="Z67" s="17">
        <f>投放验证!AL78*C$7</f>
        <v>3472.8303739718731</v>
      </c>
      <c r="AA67" s="17">
        <f>投放验证!AM78*D$7</f>
        <v>4804.4173153815418</v>
      </c>
      <c r="AB67" s="17">
        <f>投放验证!AN78*E$7</f>
        <v>4293.4036307103997</v>
      </c>
      <c r="AC67" s="17">
        <f>投放验证!AO78*F$7</f>
        <v>4941.9923644523597</v>
      </c>
      <c r="AD67" s="17">
        <f>投放验证!Q78/投放验证!$E$25*投放验证!$E$24/$D$2</f>
        <v>6589.3231526031477</v>
      </c>
      <c r="AE67" s="16">
        <v>14858.399140444792</v>
      </c>
      <c r="AF67" s="16">
        <f t="shared" si="11"/>
        <v>1.6221106062168835</v>
      </c>
      <c r="AG67" s="17">
        <f t="shared" si="43"/>
        <v>105</v>
      </c>
      <c r="AH67" s="17">
        <f t="shared" si="44"/>
        <v>0</v>
      </c>
      <c r="AI67" s="17">
        <f t="shared" si="45"/>
        <v>0</v>
      </c>
      <c r="AJ67" s="17">
        <f t="shared" si="46"/>
        <v>0</v>
      </c>
      <c r="AK67" s="17">
        <f t="shared" si="47"/>
        <v>3600</v>
      </c>
      <c r="AL67" s="17">
        <f t="shared" si="49"/>
        <v>20501.966837119322</v>
      </c>
      <c r="AM67" s="16">
        <v>12698.399140444792</v>
      </c>
      <c r="AO67" s="16">
        <v>62</v>
      </c>
      <c r="AP67" s="16">
        <f t="shared" si="30"/>
        <v>695.10798501110617</v>
      </c>
      <c r="AQ67" s="16">
        <f t="shared" si="31"/>
        <v>849.29854287171042</v>
      </c>
      <c r="AR67" s="16">
        <f t="shared" si="32"/>
        <v>1139.4987953697889</v>
      </c>
      <c r="AS67" s="16">
        <f t="shared" si="33"/>
        <v>2100.2297149830883</v>
      </c>
      <c r="AT67" s="16">
        <f t="shared" si="34"/>
        <v>2837.0830870663372</v>
      </c>
      <c r="AY67" s="16">
        <f t="shared" si="35"/>
        <v>2.0869565217391304</v>
      </c>
      <c r="AZ67" s="16">
        <f t="shared" ref="AZ67:BC67" si="58">AZ23/AZ46</f>
        <v>2.0869565217391304</v>
      </c>
      <c r="BA67" s="16">
        <f t="shared" si="58"/>
        <v>2.0869565217391304</v>
      </c>
      <c r="BB67" s="16">
        <f t="shared" si="58"/>
        <v>2.0869565217391304</v>
      </c>
      <c r="BC67" s="16">
        <f t="shared" si="58"/>
        <v>2.0869565217391304</v>
      </c>
      <c r="BE67" s="16">
        <v>62</v>
      </c>
      <c r="BF67" s="16">
        <f t="shared" si="14"/>
        <v>163.05826965302882</v>
      </c>
      <c r="BG67" s="16">
        <f t="shared" si="15"/>
        <v>27.294769244664828</v>
      </c>
      <c r="BH67" s="16">
        <f t="shared" si="16"/>
        <v>46.489957146115628</v>
      </c>
      <c r="BI67" s="16">
        <f t="shared" si="17"/>
        <v>507.05532425750937</v>
      </c>
      <c r="BJ67" s="16">
        <f t="shared" si="18"/>
        <v>2077.7095482836303</v>
      </c>
      <c r="BM67" s="16">
        <f t="shared" si="23"/>
        <v>4.2629422383190025</v>
      </c>
      <c r="BN67" s="16">
        <f t="shared" si="19"/>
        <v>31.115798608105784</v>
      </c>
      <c r="BO67" s="16">
        <f t="shared" si="20"/>
        <v>24.510644133062993</v>
      </c>
      <c r="BP67" s="16">
        <f t="shared" si="21"/>
        <v>4.1420129412081295</v>
      </c>
      <c r="BQ67" s="16">
        <f t="shared" si="22"/>
        <v>1.3654858973960127</v>
      </c>
      <c r="BR67" s="16">
        <f>(BF67-AP67)*$D$2/'[1]资源-钻石'!L65</f>
        <v>-0.11861507440872789</v>
      </c>
      <c r="BS67" s="16">
        <f>(BG67-AQ67)*$D$2/'[1]资源-钻石'!M65</f>
        <v>-0.1526672260836944</v>
      </c>
      <c r="BT67" s="16">
        <f>(BH67-AR67)*$D$2/'[1]资源-钻石'!N65</f>
        <v>-0.15054648045540434</v>
      </c>
      <c r="BU67" s="16">
        <f>(BI67-AS67)*$D$2/'[1]资源-钻石'!O65</f>
        <v>-0.11512361770072203</v>
      </c>
      <c r="BV67" s="16">
        <f>(BJ67-AT67)*$D$2/'[1]资源-钻石'!P65</f>
        <v>-3.9603084788614212E-2</v>
      </c>
    </row>
    <row r="68" spans="10:74">
      <c r="J68" s="16">
        <v>13</v>
      </c>
      <c r="K68" s="17">
        <f>基础状态预期!C79</f>
        <v>110</v>
      </c>
      <c r="L68" s="17">
        <f>宝物升星!N68</f>
        <v>0</v>
      </c>
      <c r="M68" s="17">
        <f>宝物升星!O68</f>
        <v>0</v>
      </c>
      <c r="N68" s="17">
        <f>宝物升星!P68</f>
        <v>0</v>
      </c>
      <c r="O68" s="17">
        <f>宝物升星!Q68</f>
        <v>6</v>
      </c>
      <c r="P68" s="17">
        <f>基础状态预期!I79</f>
        <v>0</v>
      </c>
      <c r="Q68" s="17">
        <f>基础状态预期!J79</f>
        <v>0</v>
      </c>
      <c r="R68" s="17">
        <f>基础状态预期!K79</f>
        <v>0</v>
      </c>
      <c r="S68" s="17">
        <f>基础状态预期!L79</f>
        <v>6</v>
      </c>
      <c r="T68" s="17">
        <f>IF(L68=0,0,同名需求(P68,L68,C$6))</f>
        <v>0</v>
      </c>
      <c r="U68" s="17">
        <f>IF(M68=0,0,同名需求(Q68,M68,D$6))</f>
        <v>0</v>
      </c>
      <c r="V68" s="17">
        <f>IF(N68=0,0,同名需求(R68,N68,E$6))</f>
        <v>0</v>
      </c>
      <c r="W68" s="17">
        <f>IF(O68=0,0,同名需求(S68,O68,F$6))</f>
        <v>36</v>
      </c>
      <c r="Z68" s="17">
        <f>投放验证!AL79*C$7</f>
        <v>4832.7598890245836</v>
      </c>
      <c r="AA68" s="17">
        <f>投放验证!AM79*D$7</f>
        <v>6658.4208807230343</v>
      </c>
      <c r="AB68" s="17">
        <f>投放验证!AN79*E$7</f>
        <v>5947.983561429196</v>
      </c>
      <c r="AC68" s="17">
        <f>投放验证!AO79*F$7</f>
        <v>6824.8189885722595</v>
      </c>
      <c r="AD68" s="17">
        <f>投放验证!Q79/投放验证!$E$25*投放验证!$E$24/$D$2</f>
        <v>9099.75865142968</v>
      </c>
      <c r="AE68" s="16">
        <v>17906.375917116886</v>
      </c>
      <c r="AF68" s="16">
        <f t="shared" si="11"/>
        <v>1.8632325226282116</v>
      </c>
      <c r="AG68" s="17">
        <f t="shared" si="43"/>
        <v>110</v>
      </c>
      <c r="AH68" s="17">
        <f t="shared" si="44"/>
        <v>0</v>
      </c>
      <c r="AI68" s="17">
        <f t="shared" si="45"/>
        <v>0</v>
      </c>
      <c r="AJ68" s="17">
        <f t="shared" si="46"/>
        <v>0</v>
      </c>
      <c r="AK68" s="17">
        <f t="shared" si="47"/>
        <v>3600</v>
      </c>
      <c r="AL68" s="17">
        <f t="shared" si="49"/>
        <v>29763.741971178752</v>
      </c>
      <c r="AM68" s="16">
        <v>15746.375917116886</v>
      </c>
      <c r="AO68" s="16">
        <v>63</v>
      </c>
      <c r="AP68" s="16">
        <f t="shared" si="30"/>
        <v>758.61079727408423</v>
      </c>
      <c r="AQ68" s="16">
        <f t="shared" si="31"/>
        <v>927.57797845730852</v>
      </c>
      <c r="AR68" s="16">
        <f t="shared" si="32"/>
        <v>1245.4507622348353</v>
      </c>
      <c r="AS68" s="16">
        <f t="shared" si="33"/>
        <v>2289.409679342798</v>
      </c>
      <c r="AT68" s="16">
        <f t="shared" si="34"/>
        <v>3061.5932039879463</v>
      </c>
      <c r="AY68" s="16">
        <f t="shared" si="35"/>
        <v>2.0869565217391304</v>
      </c>
      <c r="AZ68" s="16">
        <f t="shared" ref="AZ68:BC68" si="59">AZ24/AZ47</f>
        <v>2.0869565217391304</v>
      </c>
      <c r="BA68" s="16">
        <f t="shared" si="59"/>
        <v>2.0869565217391304</v>
      </c>
      <c r="BB68" s="16">
        <f t="shared" si="59"/>
        <v>2.0869565217391304</v>
      </c>
      <c r="BC68" s="16">
        <f t="shared" si="59"/>
        <v>2.0869565217391304</v>
      </c>
      <c r="BE68" s="16">
        <v>63</v>
      </c>
      <c r="BF68" s="16">
        <f t="shared" si="14"/>
        <v>192.67384365120671</v>
      </c>
      <c r="BG68" s="16">
        <f t="shared" si="15"/>
        <v>40.942153866997245</v>
      </c>
      <c r="BH68" s="16">
        <f t="shared" si="16"/>
        <v>55.920536304128348</v>
      </c>
      <c r="BI68" s="16">
        <f t="shared" si="17"/>
        <v>625.10864185021319</v>
      </c>
      <c r="BJ68" s="16">
        <f t="shared" si="18"/>
        <v>2587.8464610431356</v>
      </c>
      <c r="BM68" s="16">
        <f t="shared" si="23"/>
        <v>3.9372796166737656</v>
      </c>
      <c r="BN68" s="16">
        <f t="shared" si="19"/>
        <v>22.655817802614749</v>
      </c>
      <c r="BO68" s="16">
        <f t="shared" si="20"/>
        <v>22.271795739964848</v>
      </c>
      <c r="BP68" s="16">
        <f t="shared" si="21"/>
        <v>3.6624188598105798</v>
      </c>
      <c r="BQ68" s="16">
        <f t="shared" si="22"/>
        <v>1.1830660165030997</v>
      </c>
      <c r="BR68" s="16">
        <f>(BF68-AP68)*$D$2/'[1]资源-钻石'!L66</f>
        <v>-0.11794582031842744</v>
      </c>
      <c r="BS68" s="16">
        <f>(BG68-AQ68)*$D$2/'[1]资源-钻石'!M66</f>
        <v>-0.15383059454897641</v>
      </c>
      <c r="BT68" s="16">
        <f>(BH68-AR68)*$D$2/'[1]资源-钻石'!N66</f>
        <v>-0.15312525496328186</v>
      </c>
      <c r="BU68" s="16">
        <f>(BI68-AS68)*$D$2/'[1]资源-钻石'!O66</f>
        <v>-0.11226059836580311</v>
      </c>
      <c r="BV68" s="16">
        <f>(BJ68-AT68)*$D$2/'[1]资源-钻石'!P66</f>
        <v>-2.3232204688521989E-2</v>
      </c>
    </row>
    <row r="69" spans="10:74">
      <c r="J69" s="16">
        <v>14</v>
      </c>
      <c r="K69" s="17">
        <f>基础状态预期!C80</f>
        <v>115</v>
      </c>
      <c r="L69" s="17">
        <f>宝物升星!N69</f>
        <v>0</v>
      </c>
      <c r="M69" s="17">
        <f>宝物升星!O69</f>
        <v>0</v>
      </c>
      <c r="N69" s="17">
        <f>宝物升星!P69</f>
        <v>0</v>
      </c>
      <c r="O69" s="17">
        <f>宝物升星!Q69</f>
        <v>6</v>
      </c>
      <c r="P69" s="17">
        <f>基础状态预期!I80</f>
        <v>0</v>
      </c>
      <c r="Q69" s="17">
        <f>基础状态预期!J80</f>
        <v>0</v>
      </c>
      <c r="R69" s="17">
        <f>基础状态预期!K80</f>
        <v>0</v>
      </c>
      <c r="S69" s="17">
        <f>基础状态预期!L80</f>
        <v>6</v>
      </c>
      <c r="T69" s="17">
        <f>IF(L69=0,0,同名需求(P69,L69,C$6))</f>
        <v>0</v>
      </c>
      <c r="U69" s="17">
        <f>IF(M69=0,0,同名需求(Q69,M69,D$6))</f>
        <v>0</v>
      </c>
      <c r="V69" s="17">
        <f>IF(N69=0,0,同名需求(R69,N69,E$6))</f>
        <v>0</v>
      </c>
      <c r="W69" s="17">
        <f>IF(O69=0,0,同名需求(S69,O69,F$6))</f>
        <v>36</v>
      </c>
      <c r="Z69" s="17">
        <f>投放验证!AL80*C$7</f>
        <v>6732.3979748979027</v>
      </c>
      <c r="AA69" s="17">
        <f>投放验证!AM80*D$7</f>
        <v>9239.8289142706035</v>
      </c>
      <c r="AB69" s="17">
        <f>投放验证!AN80*E$7</f>
        <v>8251.3771453221616</v>
      </c>
      <c r="AC69" s="17">
        <f>投放验证!AO80*F$7</f>
        <v>9437.8613943600303</v>
      </c>
      <c r="AD69" s="17">
        <f>投放验证!Q80/投放验证!$E$25*投放验证!$E$24/$D$2</f>
        <v>12583.81519248004</v>
      </c>
      <c r="AE69" s="16">
        <v>21432.072251343059</v>
      </c>
      <c r="AF69" s="16">
        <f t="shared" si="11"/>
        <v>2.1577605785848699</v>
      </c>
      <c r="AG69" s="17">
        <f t="shared" si="43"/>
        <v>115</v>
      </c>
      <c r="AH69" s="17">
        <f t="shared" si="44"/>
        <v>0</v>
      </c>
      <c r="AI69" s="17">
        <f t="shared" si="45"/>
        <v>0</v>
      </c>
      <c r="AJ69" s="17">
        <f t="shared" si="46"/>
        <v>0</v>
      </c>
      <c r="AK69" s="17">
        <f t="shared" si="47"/>
        <v>3600</v>
      </c>
      <c r="AL69" s="17">
        <f t="shared" si="49"/>
        <v>42645.280621330734</v>
      </c>
      <c r="AM69" s="16">
        <v>19272.072251343059</v>
      </c>
      <c r="AO69" s="16">
        <v>64</v>
      </c>
      <c r="AP69" s="16">
        <f t="shared" si="30"/>
        <v>822.11360953706219</v>
      </c>
      <c r="AQ69" s="16">
        <f t="shared" si="31"/>
        <v>1005.8574140429066</v>
      </c>
      <c r="AR69" s="16">
        <f t="shared" si="32"/>
        <v>1351.4027290998818</v>
      </c>
      <c r="AS69" s="16">
        <f t="shared" si="33"/>
        <v>2478.5896437025076</v>
      </c>
      <c r="AT69" s="16">
        <f t="shared" si="34"/>
        <v>3286.1033209095558</v>
      </c>
      <c r="AY69" s="16">
        <f t="shared" si="35"/>
        <v>2.0869565217391304</v>
      </c>
      <c r="AZ69" s="16">
        <f t="shared" ref="AZ69:BC69" si="60">AZ25/AZ48</f>
        <v>2.0869565217391304</v>
      </c>
      <c r="BA69" s="16">
        <f t="shared" si="60"/>
        <v>2.0869565217391304</v>
      </c>
      <c r="BB69" s="16">
        <f t="shared" si="60"/>
        <v>2.0869565217391304</v>
      </c>
      <c r="BC69" s="16">
        <f t="shared" si="60"/>
        <v>2.0869565217391304</v>
      </c>
      <c r="BE69" s="16">
        <v>64</v>
      </c>
      <c r="BF69" s="16">
        <f t="shared" si="14"/>
        <v>222.28941764938457</v>
      </c>
      <c r="BG69" s="16">
        <f t="shared" si="15"/>
        <v>54.589538489329655</v>
      </c>
      <c r="BH69" s="16">
        <f t="shared" si="16"/>
        <v>65.351115462141081</v>
      </c>
      <c r="BI69" s="16">
        <f t="shared" si="17"/>
        <v>743.1619594429169</v>
      </c>
      <c r="BJ69" s="16">
        <f t="shared" si="18"/>
        <v>3097.9833738026409</v>
      </c>
      <c r="BM69" s="16">
        <f t="shared" si="23"/>
        <v>3.6983929250009364</v>
      </c>
      <c r="BN69" s="16">
        <f t="shared" si="19"/>
        <v>18.425827399869235</v>
      </c>
      <c r="BO69" s="16">
        <f t="shared" si="20"/>
        <v>20.679107304339286</v>
      </c>
      <c r="BP69" s="16">
        <f t="shared" si="21"/>
        <v>3.3351944515035297</v>
      </c>
      <c r="BQ69" s="16">
        <f t="shared" si="22"/>
        <v>1.0607233559410636</v>
      </c>
      <c r="BR69" s="16">
        <f>(BF69-AP69)*$D$2/'[1]资源-钻石'!L67</f>
        <v>-0.116845279943428</v>
      </c>
      <c r="BS69" s="16">
        <f>(BG69-AQ69)*$D$2/'[1]资源-钻石'!M67</f>
        <v>-0.15422701551129786</v>
      </c>
      <c r="BT69" s="16">
        <f>(BH69-AR69)*$D$2/'[1]资源-钻石'!N67</f>
        <v>-0.15459693679116865</v>
      </c>
      <c r="BU69" s="16">
        <f>(BI69-AS69)*$D$2/'[1]资源-钻石'!O67</f>
        <v>-0.10925181397786551</v>
      </c>
      <c r="BV69" s="16">
        <f>(BJ69-AT69)*$D$2/'[1]资源-钻石'!P67</f>
        <v>-8.6851631580240375E-3</v>
      </c>
    </row>
    <row r="70" spans="10:74">
      <c r="J70" s="16">
        <v>15</v>
      </c>
      <c r="K70" s="17">
        <f>基础状态预期!C81</f>
        <v>120</v>
      </c>
      <c r="L70" s="17">
        <f>宝物升星!N70</f>
        <v>0</v>
      </c>
      <c r="M70" s="17">
        <f>宝物升星!O70</f>
        <v>0</v>
      </c>
      <c r="N70" s="17">
        <f>宝物升星!P70</f>
        <v>0</v>
      </c>
      <c r="O70" s="17">
        <f>宝物升星!Q70</f>
        <v>6</v>
      </c>
      <c r="P70" s="17">
        <f>基础状态预期!I81</f>
        <v>0</v>
      </c>
      <c r="Q70" s="17">
        <f>基础状态预期!J81</f>
        <v>0</v>
      </c>
      <c r="R70" s="17">
        <f>基础状态预期!K81</f>
        <v>0</v>
      </c>
      <c r="S70" s="17">
        <f>基础状态预期!L81</f>
        <v>6</v>
      </c>
      <c r="T70" s="17">
        <f>IF(L70=0,0,同名需求(P70,L70,C$6))</f>
        <v>0</v>
      </c>
      <c r="U70" s="17">
        <f>IF(M70=0,0,同名需求(Q70,M70,D$6))</f>
        <v>0</v>
      </c>
      <c r="V70" s="17">
        <f>IF(N70=0,0,同名需求(R70,N70,E$6))</f>
        <v>0</v>
      </c>
      <c r="W70" s="17">
        <f>IF(O70=0,0,同名需求(S70,O70,F$6))</f>
        <v>36</v>
      </c>
      <c r="Z70" s="17">
        <f>投放验证!AL81*C$7</f>
        <v>9455.8364562703828</v>
      </c>
      <c r="AA70" s="17">
        <f>投放验证!AM81*D$7</f>
        <v>12939.710696879363</v>
      </c>
      <c r="AB70" s="17">
        <f>投放验证!AN81*E$7</f>
        <v>11552.745207887892</v>
      </c>
      <c r="AC70" s="17">
        <f>投放验证!AO81*F$7</f>
        <v>13182.083477183854</v>
      </c>
      <c r="AD70" s="17">
        <f>投放验证!Q81/投放验证!$E$25*投放验证!$E$24/$D$2</f>
        <v>17576.111302911806</v>
      </c>
      <c r="AE70" s="16">
        <v>25668.693249379023</v>
      </c>
      <c r="AF70" s="16">
        <f t="shared" si="11"/>
        <v>2.5208329271961936</v>
      </c>
      <c r="AG70" s="17">
        <f t="shared" si="43"/>
        <v>120</v>
      </c>
      <c r="AH70" s="17">
        <f t="shared" si="44"/>
        <v>0</v>
      </c>
      <c r="AI70" s="17">
        <f t="shared" si="45"/>
        <v>0</v>
      </c>
      <c r="AJ70" s="17">
        <f t="shared" si="46"/>
        <v>0</v>
      </c>
      <c r="AK70" s="17">
        <f t="shared" si="47"/>
        <v>3600</v>
      </c>
      <c r="AL70" s="17">
        <f t="shared" si="49"/>
        <v>61106.487141133301</v>
      </c>
      <c r="AM70" s="16">
        <v>23508.693249379023</v>
      </c>
      <c r="AO70" s="16">
        <v>65</v>
      </c>
      <c r="AP70" s="16">
        <f t="shared" ref="AP70:AP101" si="61">求节点($K$6:$K$26,$AL$6:$AL$26,$AO70)</f>
        <v>885.61642180004014</v>
      </c>
      <c r="AQ70" s="16">
        <f t="shared" ref="AQ70:AQ101" si="62">求节点($K$32:$K$52,$AL$32:$AL$52,$AO70)</f>
        <v>1084.1368496285047</v>
      </c>
      <c r="AR70" s="16">
        <f t="shared" ref="AR70:AR101" si="63">求节点($K$58:$K$78,$AL$58:$AL$78,$AO70)</f>
        <v>1457.3546959649284</v>
      </c>
      <c r="AS70" s="16">
        <f t="shared" ref="AS70:AS101" si="64">求节点($K$84:$K$104,$AL$84:$AL$104,$AO70)</f>
        <v>2667.7696080622168</v>
      </c>
      <c r="AT70" s="16">
        <f t="shared" ref="AT70:AT101" si="65">求节点($K$110:$K$130,$AL$110:$AL$130,$AO70)</f>
        <v>3510.6134378311654</v>
      </c>
      <c r="AY70" s="16">
        <f t="shared" si="35"/>
        <v>2.0869565217391304</v>
      </c>
      <c r="AZ70" s="16">
        <f t="shared" ref="AZ70:BC70" si="66">AZ26/AZ49</f>
        <v>2.0869565217391304</v>
      </c>
      <c r="BA70" s="16">
        <f t="shared" si="66"/>
        <v>2.0869565217391304</v>
      </c>
      <c r="BB70" s="16">
        <f t="shared" si="66"/>
        <v>2.0869565217391304</v>
      </c>
      <c r="BC70" s="16">
        <f t="shared" si="66"/>
        <v>2.0869565217391304</v>
      </c>
      <c r="BE70" s="16">
        <v>65</v>
      </c>
      <c r="BF70" s="16">
        <f t="shared" si="14"/>
        <v>251.90499164756247</v>
      </c>
      <c r="BG70" s="16">
        <f t="shared" si="15"/>
        <v>68.236923111662065</v>
      </c>
      <c r="BH70" s="16">
        <f t="shared" si="16"/>
        <v>74.7816946201538</v>
      </c>
      <c r="BI70" s="16">
        <f t="shared" si="17"/>
        <v>861.2152770356206</v>
      </c>
      <c r="BJ70" s="16">
        <f t="shared" si="18"/>
        <v>3608.1202865621462</v>
      </c>
      <c r="BM70" s="16">
        <f t="shared" si="23"/>
        <v>3.515676350864442</v>
      </c>
      <c r="BN70" s="16">
        <f t="shared" si="19"/>
        <v>15.887833158221927</v>
      </c>
      <c r="BO70" s="16">
        <f t="shared" si="20"/>
        <v>19.488120767621233</v>
      </c>
      <c r="BP70" s="16">
        <f t="shared" si="21"/>
        <v>3.0976803119945995</v>
      </c>
      <c r="BQ70" s="16">
        <f t="shared" si="22"/>
        <v>0.972975721154827</v>
      </c>
      <c r="BR70" s="16">
        <f>(BF70-AP70)*$D$2/'[1]资源-钻石'!L68</f>
        <v>-0.11537208342198359</v>
      </c>
      <c r="BS70" s="16">
        <f>(BG70-AQ70)*$D$2/'[1]资源-钻石'!M68</f>
        <v>-0.15396021414577266</v>
      </c>
      <c r="BT70" s="16">
        <f>(BH70-AR70)*$D$2/'[1]资源-钻石'!N68</f>
        <v>-0.15505727999509283</v>
      </c>
      <c r="BU70" s="16">
        <f>(BI70-AS70)*$D$2/'[1]资源-钻石'!O68</f>
        <v>-0.10624641949225205</v>
      </c>
      <c r="BV70" s="16">
        <f>(BJ70-AT70)*$D$2/'[1]资源-钻石'!P68</f>
        <v>4.2513296116809653E-3</v>
      </c>
    </row>
    <row r="71" spans="10:74">
      <c r="J71" s="16">
        <v>16</v>
      </c>
      <c r="K71" s="17">
        <f>基础状态预期!C82</f>
        <v>125</v>
      </c>
      <c r="L71" s="17">
        <f>宝物升星!N71</f>
        <v>0</v>
      </c>
      <c r="M71" s="17">
        <f>宝物升星!O71</f>
        <v>0</v>
      </c>
      <c r="N71" s="17">
        <f>宝物升星!P71</f>
        <v>0</v>
      </c>
      <c r="O71" s="17">
        <f>宝物升星!Q71</f>
        <v>6</v>
      </c>
      <c r="P71" s="17">
        <f>基础状态预期!I82</f>
        <v>0</v>
      </c>
      <c r="Q71" s="17">
        <f>基础状态预期!J82</f>
        <v>0</v>
      </c>
      <c r="R71" s="17">
        <f>基础状态预期!K82</f>
        <v>0</v>
      </c>
      <c r="S71" s="17">
        <f>基础状态预期!L82</f>
        <v>6</v>
      </c>
      <c r="T71" s="17">
        <f>IF(L71=0,0,同名需求(P71,L71,C$6))</f>
        <v>0</v>
      </c>
      <c r="U71" s="17">
        <f>IF(M71=0,0,同名需求(Q71,M71,D$6))</f>
        <v>0</v>
      </c>
      <c r="V71" s="17">
        <f>IF(N71=0,0,同名需求(R71,N71,E$6))</f>
        <v>0</v>
      </c>
      <c r="W71" s="17">
        <f>IF(O71=0,0,同名需求(S71,O71,F$6))</f>
        <v>36</v>
      </c>
      <c r="Z71" s="17">
        <f>投放验证!AL82*C$7</f>
        <v>13218.565917323527</v>
      </c>
      <c r="AA71" s="17">
        <f>投放验证!AM82*D$7</f>
        <v>18038.864623423691</v>
      </c>
      <c r="AB71" s="17">
        <f>投放验证!AN82*E$7</f>
        <v>16102.142938498562</v>
      </c>
      <c r="AC71" s="17">
        <f>投放验证!AO82*F$7</f>
        <v>18329.493328692501</v>
      </c>
      <c r="AD71" s="17">
        <f>投放验证!Q82/投放验证!$E$25*投放验证!$E$24/$D$2</f>
        <v>24439.324438256666</v>
      </c>
      <c r="AE71" s="16">
        <v>30817.524564211035</v>
      </c>
      <c r="AF71" s="16">
        <f t="shared" ref="AF71:AF130" si="67">SUM(Z71:AD71)/AE71</f>
        <v>2.9245824419934987</v>
      </c>
      <c r="AG71" s="17">
        <f t="shared" si="43"/>
        <v>125</v>
      </c>
      <c r="AH71" s="17">
        <f t="shared" si="44"/>
        <v>0</v>
      </c>
      <c r="AI71" s="17">
        <f t="shared" si="45"/>
        <v>0</v>
      </c>
      <c r="AJ71" s="17">
        <f t="shared" si="46"/>
        <v>0</v>
      </c>
      <c r="AK71" s="17">
        <f t="shared" si="47"/>
        <v>3600</v>
      </c>
      <c r="AL71" s="17">
        <f t="shared" si="49"/>
        <v>86528.391246194937</v>
      </c>
      <c r="AM71" s="16">
        <v>28657.524564211035</v>
      </c>
      <c r="AO71" s="16">
        <v>66</v>
      </c>
      <c r="AP71" s="16">
        <f t="shared" si="61"/>
        <v>949.1192340630181</v>
      </c>
      <c r="AQ71" s="16">
        <f t="shared" si="62"/>
        <v>1162.4162852141028</v>
      </c>
      <c r="AR71" s="16">
        <f t="shared" si="63"/>
        <v>1563.3066628299748</v>
      </c>
      <c r="AS71" s="16">
        <f t="shared" si="64"/>
        <v>2856.9495724219264</v>
      </c>
      <c r="AT71" s="16">
        <f t="shared" si="65"/>
        <v>3735.1235547527749</v>
      </c>
      <c r="BE71" s="16">
        <v>66</v>
      </c>
      <c r="BF71" s="16">
        <f t="shared" ref="BF71:BF134" si="68">求节点($AX$6:$AX$26,AY$6:AY$26,$BE71)</f>
        <v>281.52056564574036</v>
      </c>
      <c r="BG71" s="16">
        <f t="shared" ref="BG71:BG134" si="69">求节点($AX$6:$AX$26,AZ$6:AZ$26,$BE71)</f>
        <v>81.88430773399449</v>
      </c>
      <c r="BH71" s="16">
        <f t="shared" ref="BH71:BH134" si="70">求节点($AX$6:$AX$26,BA$6:BA$26,$BE71)</f>
        <v>84.212273778166519</v>
      </c>
      <c r="BI71" s="16">
        <f t="shared" ref="BI71:BI134" si="71">求节点($AX$6:$AX$26,BB$6:BB$26,$BE71)</f>
        <v>979.26859462832454</v>
      </c>
      <c r="BJ71" s="16">
        <f t="shared" ref="BJ71:BJ134" si="72">求节点($AX$6:$AX$26,BC$6:BC$26,$BE71)</f>
        <v>4118.2571993216525</v>
      </c>
      <c r="BM71" s="16">
        <f t="shared" ref="BM71:BM134" si="73">AP71/BF71</f>
        <v>3.3714028383182848</v>
      </c>
      <c r="BN71" s="16">
        <f t="shared" ref="BN71:BN134" si="74">AQ71/BG71</f>
        <v>14.195836997123719</v>
      </c>
      <c r="BO71" s="16">
        <f t="shared" ref="BO71:BO134" si="75">AR71/BH71</f>
        <v>18.563881399854672</v>
      </c>
      <c r="BP71" s="16">
        <f t="shared" ref="BP71:BP134" si="76">AS71/BI71</f>
        <v>2.9174320386596939</v>
      </c>
      <c r="BQ71" s="16">
        <f t="shared" ref="BQ71:BQ134" si="77">AT71/BJ71</f>
        <v>0.90696704308997844</v>
      </c>
      <c r="BR71" s="16">
        <f>(BF71-AP71)*$D$2/'[1]资源-钻石'!L69</f>
        <v>-0.11545991390764876</v>
      </c>
      <c r="BS71" s="16">
        <f>(BG71-AQ71)*$D$2/'[1]资源-钻石'!M69</f>
        <v>-0.1529180572256752</v>
      </c>
      <c r="BT71" s="16">
        <f>(BH71-AR71)*$D$2/'[1]资源-钻石'!N69</f>
        <v>-0.15490950146250793</v>
      </c>
      <c r="BU71" s="16">
        <f>(BI71-AS71)*$D$2/'[1]资源-钻石'!O69</f>
        <v>-0.10356850484144592</v>
      </c>
      <c r="BV71" s="16">
        <f>(BJ71-AT71)*$D$2/'[1]资源-钻石'!P69</f>
        <v>1.5721256423573825E-2</v>
      </c>
    </row>
    <row r="72" spans="10:74">
      <c r="J72" s="16">
        <v>17</v>
      </c>
      <c r="K72" s="17">
        <f>基础状态预期!C83</f>
        <v>130</v>
      </c>
      <c r="L72" s="17">
        <f>宝物升星!N72</f>
        <v>0</v>
      </c>
      <c r="M72" s="17">
        <f>宝物升星!O72</f>
        <v>0</v>
      </c>
      <c r="N72" s="17">
        <f>宝物升星!P72</f>
        <v>0</v>
      </c>
      <c r="O72" s="17">
        <f>宝物升星!Q72</f>
        <v>6</v>
      </c>
      <c r="P72" s="17">
        <f>基础状态预期!I83</f>
        <v>0</v>
      </c>
      <c r="Q72" s="17">
        <f>基础状态预期!J83</f>
        <v>0</v>
      </c>
      <c r="R72" s="17">
        <f>基础状态预期!K83</f>
        <v>0</v>
      </c>
      <c r="S72" s="17">
        <f>基础状态预期!L83</f>
        <v>6</v>
      </c>
      <c r="T72" s="17">
        <f>IF(L72=0,0,同名需求(P72,L72,C$6))</f>
        <v>0</v>
      </c>
      <c r="U72" s="17">
        <f>IF(M72=0,0,同名需求(Q72,M72,D$6))</f>
        <v>0</v>
      </c>
      <c r="V72" s="17">
        <f>IF(N72=0,0,同名需求(R72,N72,E$6))</f>
        <v>0</v>
      </c>
      <c r="W72" s="17">
        <f>IF(O72=0,0,同名需求(S72,O72,F$6))</f>
        <v>36</v>
      </c>
      <c r="Z72" s="17">
        <f>投放验证!AL83*C$7</f>
        <v>18464.257775876886</v>
      </c>
      <c r="AA72" s="17">
        <f>投放验证!AM83*D$7</f>
        <v>25146.21038391687</v>
      </c>
      <c r="AB72" s="17">
        <f>投放验证!AN83*E$7</f>
        <v>22443.160982952646</v>
      </c>
      <c r="AC72" s="17">
        <f>投放验证!AO83*F$7</f>
        <v>25502.59016393686</v>
      </c>
      <c r="AD72" s="17">
        <f>投放验证!Q83/投放验证!$E$25*投放验证!$E$24/$D$2</f>
        <v>34003.453551915816</v>
      </c>
      <c r="AE72" s="16">
        <v>37226.895052317632</v>
      </c>
      <c r="AF72" s="16">
        <f t="shared" si="67"/>
        <v>3.3728215227765044</v>
      </c>
      <c r="AG72" s="17">
        <f t="shared" si="43"/>
        <v>130</v>
      </c>
      <c r="AH72" s="17">
        <f t="shared" si="44"/>
        <v>0</v>
      </c>
      <c r="AI72" s="17">
        <f t="shared" si="45"/>
        <v>0</v>
      </c>
      <c r="AJ72" s="17">
        <f t="shared" si="46"/>
        <v>0</v>
      </c>
      <c r="AK72" s="17">
        <f t="shared" si="47"/>
        <v>3600</v>
      </c>
      <c r="AL72" s="17">
        <f t="shared" si="49"/>
        <v>121959.67285859908</v>
      </c>
      <c r="AM72" s="16">
        <v>35066.895052317632</v>
      </c>
      <c r="AO72" s="16">
        <v>67</v>
      </c>
      <c r="AP72" s="16">
        <f t="shared" si="61"/>
        <v>1012.6220463259961</v>
      </c>
      <c r="AQ72" s="16">
        <f t="shared" si="62"/>
        <v>1240.6957207997011</v>
      </c>
      <c r="AR72" s="16">
        <f t="shared" si="63"/>
        <v>1669.2586296950212</v>
      </c>
      <c r="AS72" s="16">
        <f t="shared" si="64"/>
        <v>3046.1295367816356</v>
      </c>
      <c r="AT72" s="16">
        <f t="shared" si="65"/>
        <v>3959.6336716743845</v>
      </c>
      <c r="BE72" s="16">
        <v>67</v>
      </c>
      <c r="BF72" s="16">
        <f t="shared" si="68"/>
        <v>311.13613964391823</v>
      </c>
      <c r="BG72" s="16">
        <f t="shared" si="69"/>
        <v>95.5316923563269</v>
      </c>
      <c r="BH72" s="16">
        <f t="shared" si="70"/>
        <v>93.642852936179253</v>
      </c>
      <c r="BI72" s="16">
        <f t="shared" si="71"/>
        <v>1097.3219122210282</v>
      </c>
      <c r="BJ72" s="16">
        <f t="shared" si="72"/>
        <v>4628.3941120811578</v>
      </c>
      <c r="BM72" s="16">
        <f t="shared" si="73"/>
        <v>3.2545947490538962</v>
      </c>
      <c r="BN72" s="16">
        <f t="shared" si="74"/>
        <v>12.987268310625003</v>
      </c>
      <c r="BO72" s="16">
        <f t="shared" si="75"/>
        <v>17.82579852444988</v>
      </c>
      <c r="BP72" s="16">
        <f t="shared" si="76"/>
        <v>2.7759671094292959</v>
      </c>
      <c r="BQ72" s="16">
        <f t="shared" si="77"/>
        <v>0.85550918434945789</v>
      </c>
      <c r="BR72" s="16">
        <f>(BF72-AP72)*$D$2/'[1]资源-钻石'!L70</f>
        <v>-0.11530410498534348</v>
      </c>
      <c r="BS72" s="16">
        <f>(BG72-AQ72)*$D$2/'[1]资源-钻石'!M70</f>
        <v>-0.15132301108136992</v>
      </c>
      <c r="BT72" s="16">
        <f>(BH72-AR72)*$D$2/'[1]资源-钻石'!N70</f>
        <v>-0.15454654432587814</v>
      </c>
      <c r="BU72" s="16">
        <f>(BI72-AS72)*$D$2/'[1]资源-钻石'!O70</f>
        <v>-0.10078505531363312</v>
      </c>
      <c r="BV72" s="16">
        <f>(BJ72-AT72)*$D$2/'[1]资源-钻石'!P70</f>
        <v>2.584604368314225E-2</v>
      </c>
    </row>
    <row r="73" spans="10:74">
      <c r="J73" s="16">
        <v>18</v>
      </c>
      <c r="K73" s="17">
        <f>基础状态预期!C84</f>
        <v>135</v>
      </c>
      <c r="L73" s="17">
        <f>宝物升星!N73</f>
        <v>0</v>
      </c>
      <c r="M73" s="17">
        <f>宝物升星!O73</f>
        <v>0</v>
      </c>
      <c r="N73" s="17">
        <f>宝物升星!P73</f>
        <v>0</v>
      </c>
      <c r="O73" s="17">
        <f>宝物升星!Q73</f>
        <v>6</v>
      </c>
      <c r="P73" s="17">
        <f>基础状态预期!I84</f>
        <v>0</v>
      </c>
      <c r="Q73" s="17">
        <f>基础状态预期!J84</f>
        <v>0</v>
      </c>
      <c r="R73" s="17">
        <f>基础状态预期!K84</f>
        <v>0</v>
      </c>
      <c r="S73" s="17">
        <f>基础状态预期!L84</f>
        <v>6</v>
      </c>
      <c r="T73" s="17">
        <f>IF(L73=0,0,同名需求(P73,L73,C$6))</f>
        <v>0</v>
      </c>
      <c r="U73" s="17">
        <f>IF(M73=0,0,同名需求(Q73,M73,D$6))</f>
        <v>0</v>
      </c>
      <c r="V73" s="17">
        <f>IF(N73=0,0,同名需求(R73,N73,E$6))</f>
        <v>0</v>
      </c>
      <c r="W73" s="17">
        <f>IF(O73=0,0,同名需求(S73,O73,F$6))</f>
        <v>36</v>
      </c>
      <c r="Z73" s="17">
        <f>投放验证!AL84*C$7</f>
        <v>25786.221523766355</v>
      </c>
      <c r="AA73" s="17">
        <f>投放验证!AM84*D$7</f>
        <v>35048.210087668253</v>
      </c>
      <c r="AB73" s="17">
        <f>投放验证!AN84*E$7</f>
        <v>31276.735685915413</v>
      </c>
      <c r="AC73" s="17">
        <f>投放验证!AO84*F$7</f>
        <v>35477.360776293332</v>
      </c>
      <c r="AD73" s="17">
        <f>投放验证!Q84/投放验证!$E$25*投放验证!$E$24/$D$2</f>
        <v>47303.14770172444</v>
      </c>
      <c r="AE73" s="16">
        <v>45465.080489423504</v>
      </c>
      <c r="AF73" s="16">
        <f t="shared" si="67"/>
        <v>3.8467253085816635</v>
      </c>
      <c r="AG73" s="17">
        <f t="shared" si="43"/>
        <v>135</v>
      </c>
      <c r="AH73" s="17">
        <f t="shared" si="44"/>
        <v>0</v>
      </c>
      <c r="AI73" s="17">
        <f t="shared" si="45"/>
        <v>0</v>
      </c>
      <c r="AJ73" s="17">
        <f t="shared" si="46"/>
        <v>0</v>
      </c>
      <c r="AK73" s="17">
        <f t="shared" si="47"/>
        <v>3600</v>
      </c>
      <c r="AL73" s="17">
        <f t="shared" si="49"/>
        <v>171291.6757753678</v>
      </c>
      <c r="AM73" s="16">
        <v>43305.080489423504</v>
      </c>
      <c r="AO73" s="16">
        <v>68</v>
      </c>
      <c r="AP73" s="16">
        <f t="shared" si="61"/>
        <v>1076.1248585889741</v>
      </c>
      <c r="AQ73" s="16">
        <f t="shared" si="62"/>
        <v>1318.9751563852992</v>
      </c>
      <c r="AR73" s="16">
        <f t="shared" si="63"/>
        <v>1775.2105965600676</v>
      </c>
      <c r="AS73" s="16">
        <f t="shared" si="64"/>
        <v>3235.3095011413452</v>
      </c>
      <c r="AT73" s="16">
        <f t="shared" si="65"/>
        <v>4184.143788595994</v>
      </c>
      <c r="BE73" s="16">
        <v>68</v>
      </c>
      <c r="BF73" s="16">
        <f t="shared" si="68"/>
        <v>340.75171364209609</v>
      </c>
      <c r="BG73" s="16">
        <f t="shared" si="69"/>
        <v>109.17907697865931</v>
      </c>
      <c r="BH73" s="16">
        <f t="shared" si="70"/>
        <v>103.07343209419197</v>
      </c>
      <c r="BI73" s="16">
        <f t="shared" si="71"/>
        <v>1215.3752298137319</v>
      </c>
      <c r="BJ73" s="16">
        <f t="shared" si="72"/>
        <v>5138.5310248406631</v>
      </c>
      <c r="BM73" s="16">
        <f t="shared" si="73"/>
        <v>3.1580908195204769</v>
      </c>
      <c r="BN73" s="16">
        <f t="shared" si="74"/>
        <v>12.080841795750963</v>
      </c>
      <c r="BO73" s="16">
        <f t="shared" si="75"/>
        <v>17.222775651225241</v>
      </c>
      <c r="BP73" s="16">
        <f t="shared" si="76"/>
        <v>2.6619840702506234</v>
      </c>
      <c r="BQ73" s="16">
        <f t="shared" si="77"/>
        <v>0.81426846862829572</v>
      </c>
      <c r="BR73" s="16">
        <f>(BF73-AP73)*$D$2/'[1]资源-钻石'!L71</f>
        <v>-0.1147737968004541</v>
      </c>
      <c r="BS73" s="16">
        <f>(BG73-AQ73)*$D$2/'[1]资源-钻石'!M71</f>
        <v>-0.1514677656077581</v>
      </c>
      <c r="BT73" s="16">
        <f>(BH73-AR73)*$D$2/'[1]资源-钻石'!N71</f>
        <v>-0.15392865396744052</v>
      </c>
      <c r="BU73" s="16">
        <f>(BI73-AS73)*$D$2/'[1]资源-钻石'!O71</f>
        <v>-9.7791061797277007E-2</v>
      </c>
      <c r="BV73" s="16">
        <f>(BJ73-AT73)*$D$2/'[1]资源-钻石'!P71</f>
        <v>3.4632142201570015E-2</v>
      </c>
    </row>
    <row r="74" spans="10:74">
      <c r="J74" s="16">
        <v>19</v>
      </c>
      <c r="K74" s="17">
        <f>基础状态预期!C85</f>
        <v>140</v>
      </c>
      <c r="L74" s="17">
        <f>宝物升星!N74</f>
        <v>0</v>
      </c>
      <c r="M74" s="17">
        <f>宝物升星!O74</f>
        <v>0</v>
      </c>
      <c r="N74" s="17">
        <f>宝物升星!P74</f>
        <v>0</v>
      </c>
      <c r="O74" s="17">
        <f>宝物升星!Q74</f>
        <v>6</v>
      </c>
      <c r="P74" s="17">
        <f>基础状态预期!I85</f>
        <v>0</v>
      </c>
      <c r="Q74" s="17">
        <f>基础状态预期!J85</f>
        <v>0</v>
      </c>
      <c r="R74" s="17">
        <f>基础状态预期!K85</f>
        <v>0</v>
      </c>
      <c r="S74" s="17">
        <f>基础状态预期!L85</f>
        <v>6</v>
      </c>
      <c r="T74" s="17">
        <f>IF(L74=0,0,同名需求(P74,L74,C$6))</f>
        <v>0</v>
      </c>
      <c r="U74" s="17">
        <f>IF(M74=0,0,同名需求(Q74,M74,D$6))</f>
        <v>0</v>
      </c>
      <c r="V74" s="17">
        <f>IF(N74=0,0,同名需求(R74,N74,E$6))</f>
        <v>0</v>
      </c>
      <c r="W74" s="17">
        <f>IF(O74=0,0,同名需求(S74,O74,F$6))</f>
        <v>36</v>
      </c>
      <c r="Z74" s="17">
        <f>投放验证!AL85*C$7</f>
        <v>36304.630122630908</v>
      </c>
      <c r="AA74" s="17">
        <f>投放验证!AM85*D$7</f>
        <v>49270.118188323577</v>
      </c>
      <c r="AB74" s="17">
        <f>投放验证!AN85*E$7</f>
        <v>43963.980950377445</v>
      </c>
      <c r="AC74" s="17">
        <f>投放验证!AO85*F$7</f>
        <v>49800.859587169914</v>
      </c>
      <c r="AD74" s="17">
        <f>投放验证!Q85/投放验证!$E$25*投放验证!$E$24/$D$2</f>
        <v>66401.146116226548</v>
      </c>
      <c r="AE74" s="16">
        <v>56510.70056566265</v>
      </c>
      <c r="AF74" s="16">
        <f t="shared" si="67"/>
        <v>4.3485699611738093</v>
      </c>
      <c r="AG74" s="17">
        <f t="shared" si="43"/>
        <v>140</v>
      </c>
      <c r="AH74" s="17">
        <f t="shared" si="44"/>
        <v>0</v>
      </c>
      <c r="AI74" s="17">
        <f t="shared" si="45"/>
        <v>0</v>
      </c>
      <c r="AJ74" s="17">
        <f t="shared" si="46"/>
        <v>0</v>
      </c>
      <c r="AK74" s="17">
        <f t="shared" si="47"/>
        <v>3600</v>
      </c>
      <c r="AL74" s="17">
        <f t="shared" si="49"/>
        <v>242140.73496472841</v>
      </c>
      <c r="AM74" s="16">
        <v>54350.70056566265</v>
      </c>
      <c r="AO74" s="16">
        <v>69</v>
      </c>
      <c r="AP74" s="16">
        <f t="shared" si="61"/>
        <v>1139.6276708519522</v>
      </c>
      <c r="AQ74" s="16">
        <f t="shared" si="62"/>
        <v>1397.2545919708973</v>
      </c>
      <c r="AR74" s="16">
        <f t="shared" si="63"/>
        <v>1881.1625634251143</v>
      </c>
      <c r="AS74" s="16">
        <f t="shared" si="64"/>
        <v>3424.4894655010548</v>
      </c>
      <c r="AT74" s="16">
        <f t="shared" si="65"/>
        <v>4408.6539055176036</v>
      </c>
      <c r="BE74" s="16">
        <v>69</v>
      </c>
      <c r="BF74" s="16">
        <f t="shared" si="68"/>
        <v>370.36728764027401</v>
      </c>
      <c r="BG74" s="16">
        <f t="shared" si="69"/>
        <v>122.82646160099172</v>
      </c>
      <c r="BH74" s="16">
        <f t="shared" si="70"/>
        <v>112.50401125220469</v>
      </c>
      <c r="BI74" s="16">
        <f t="shared" si="71"/>
        <v>1333.4285474064359</v>
      </c>
      <c r="BJ74" s="16">
        <f t="shared" si="72"/>
        <v>5648.6679376001684</v>
      </c>
      <c r="BM74" s="16">
        <f t="shared" si="73"/>
        <v>3.0770203224827899</v>
      </c>
      <c r="BN74" s="16">
        <f t="shared" si="74"/>
        <v>11.375843395293378</v>
      </c>
      <c r="BO74" s="16">
        <f t="shared" si="75"/>
        <v>16.720848816741633</v>
      </c>
      <c r="BP74" s="16">
        <f t="shared" si="76"/>
        <v>2.5681837037026125</v>
      </c>
      <c r="BQ74" s="16">
        <f t="shared" si="77"/>
        <v>0.7804767343768868</v>
      </c>
      <c r="BR74" s="16">
        <f>(BF74-AP74)*$D$2/'[1]资源-钻石'!L72</f>
        <v>-0.11390167792193111</v>
      </c>
      <c r="BS74" s="16">
        <f>(BG74-AQ74)*$D$2/'[1]资源-钻石'!M72</f>
        <v>-0.15139708447304553</v>
      </c>
      <c r="BT74" s="16">
        <f>(BH74-AR74)*$D$2/'[1]资源-钻石'!N72</f>
        <v>-0.15216397687366184</v>
      </c>
      <c r="BU74" s="16">
        <f>(BI74-AS74)*$D$2/'[1]资源-钻石'!O72</f>
        <v>-9.4652969914519283E-2</v>
      </c>
      <c r="BV74" s="16">
        <f>(BJ74-AT74)*$D$2/'[1]资源-钻石'!P72</f>
        <v>4.222560744021394E-2</v>
      </c>
    </row>
    <row r="75" spans="10:74">
      <c r="J75" s="16">
        <v>20</v>
      </c>
      <c r="K75" s="17">
        <f>基础状态预期!C86</f>
        <v>145</v>
      </c>
      <c r="L75" s="17">
        <f>宝物升星!N75</f>
        <v>0</v>
      </c>
      <c r="M75" s="17">
        <f>宝物升星!O75</f>
        <v>0</v>
      </c>
      <c r="N75" s="17">
        <f>宝物升星!P75</f>
        <v>0</v>
      </c>
      <c r="O75" s="17">
        <f>宝物升星!Q75</f>
        <v>6</v>
      </c>
      <c r="P75" s="17">
        <f>基础状态预期!I86</f>
        <v>0</v>
      </c>
      <c r="Q75" s="17">
        <f>基础状态预期!J86</f>
        <v>0</v>
      </c>
      <c r="R75" s="17">
        <f>基础状态预期!K86</f>
        <v>0</v>
      </c>
      <c r="S75" s="17">
        <f>基础状态预期!L86</f>
        <v>6</v>
      </c>
      <c r="T75" s="17">
        <f>IF(L75=0,0,同名需求(P75,L75,C$6))</f>
        <v>0</v>
      </c>
      <c r="U75" s="17">
        <f>IF(M75=0,0,同名需求(Q75,M75,D$6))</f>
        <v>0</v>
      </c>
      <c r="V75" s="17">
        <f>IF(N75=0,0,同名需求(R75,N75,E$6))</f>
        <v>0</v>
      </c>
      <c r="W75" s="17">
        <f>IF(O75=0,0,同名需求(S75,O75,F$6))</f>
        <v>36</v>
      </c>
      <c r="Z75" s="17">
        <f>投放验证!AL86*C$7</f>
        <v>51187.903472958475</v>
      </c>
      <c r="AA75" s="17">
        <f>投放验证!AM86*D$7</f>
        <v>69365.39306243349</v>
      </c>
      <c r="AB75" s="17">
        <f>投放验证!AN86*E$7</f>
        <v>61889.619564345674</v>
      </c>
      <c r="AC75" s="17">
        <f>投放验证!AO86*F$7</f>
        <v>70010.708459261296</v>
      </c>
      <c r="AD75" s="17">
        <f>投放验证!Q86/投放验证!$E$25*投放验证!$E$24/$D$2</f>
        <v>93347.611279015051</v>
      </c>
      <c r="AE75" s="16">
        <v>71470.787860983721</v>
      </c>
      <c r="AF75" s="16">
        <f t="shared" si="67"/>
        <v>4.8383576869283216</v>
      </c>
      <c r="AG75" s="17">
        <f t="shared" si="43"/>
        <v>145</v>
      </c>
      <c r="AH75" s="17">
        <f t="shared" si="44"/>
        <v>0</v>
      </c>
      <c r="AI75" s="17">
        <f t="shared" si="45"/>
        <v>0</v>
      </c>
      <c r="AJ75" s="17">
        <f t="shared" si="46"/>
        <v>0</v>
      </c>
      <c r="AK75" s="17">
        <f t="shared" si="47"/>
        <v>3600</v>
      </c>
      <c r="AL75" s="17">
        <f t="shared" si="49"/>
        <v>342201.23583801393</v>
      </c>
      <c r="AM75" s="16">
        <v>69310.787860983721</v>
      </c>
      <c r="AO75" s="16">
        <v>70</v>
      </c>
      <c r="AP75" s="16">
        <f t="shared" si="61"/>
        <v>1203.13048311493</v>
      </c>
      <c r="AQ75" s="16">
        <f t="shared" si="62"/>
        <v>1475.5340275564954</v>
      </c>
      <c r="AR75" s="16">
        <f t="shared" si="63"/>
        <v>1987.1145302901607</v>
      </c>
      <c r="AS75" s="16">
        <f t="shared" si="64"/>
        <v>3613.669429860764</v>
      </c>
      <c r="AT75" s="16">
        <f t="shared" si="65"/>
        <v>4633.1640224392131</v>
      </c>
      <c r="BE75" s="16">
        <v>70</v>
      </c>
      <c r="BF75" s="16">
        <f t="shared" si="68"/>
        <v>399.98286163845188</v>
      </c>
      <c r="BG75" s="16">
        <f t="shared" si="69"/>
        <v>136.47384622332413</v>
      </c>
      <c r="BH75" s="16">
        <f t="shared" si="70"/>
        <v>121.93459041021742</v>
      </c>
      <c r="BI75" s="16">
        <f t="shared" si="71"/>
        <v>1451.4818649991396</v>
      </c>
      <c r="BJ75" s="16">
        <f t="shared" si="72"/>
        <v>6158.8048503596738</v>
      </c>
      <c r="BM75" s="16">
        <f t="shared" si="73"/>
        <v>3.0079550863418008</v>
      </c>
      <c r="BN75" s="16">
        <f t="shared" si="74"/>
        <v>10.811844674927309</v>
      </c>
      <c r="BO75" s="16">
        <f t="shared" si="75"/>
        <v>16.296561325256658</v>
      </c>
      <c r="BP75" s="16">
        <f t="shared" si="76"/>
        <v>2.4896414602210037</v>
      </c>
      <c r="BQ75" s="16">
        <f t="shared" si="77"/>
        <v>0.75228297291618784</v>
      </c>
      <c r="BR75" s="16">
        <f>(BF75-AP75)*$D$2/'[1]资源-钻石'!L73</f>
        <v>-0.11271980302306263</v>
      </c>
      <c r="BS75" s="16">
        <f>(BG75-AQ75)*$D$2/'[1]资源-钻石'!M73</f>
        <v>-0.15048040182192096</v>
      </c>
      <c r="BT75" s="16">
        <f>(BH75-AR75)*$D$2/'[1]资源-钻石'!N73</f>
        <v>-0.14971499871121494</v>
      </c>
      <c r="BU75" s="16">
        <f>(BI75-AS75)*$D$2/'[1]资源-钻石'!O73</f>
        <v>-9.1534897934694243E-2</v>
      </c>
      <c r="BV75" s="16">
        <f>(BJ75-AT75)*$D$2/'[1]资源-钻石'!P73</f>
        <v>4.8631548701282876E-2</v>
      </c>
    </row>
    <row r="76" spans="10:74">
      <c r="J76" s="16">
        <v>21</v>
      </c>
      <c r="K76" s="17">
        <f>基础状态预期!C87</f>
        <v>150</v>
      </c>
      <c r="L76" s="17">
        <f>宝物升星!N76</f>
        <v>0</v>
      </c>
      <c r="M76" s="17">
        <f>宝物升星!O76</f>
        <v>0</v>
      </c>
      <c r="N76" s="17">
        <f>宝物升星!P76</f>
        <v>0</v>
      </c>
      <c r="O76" s="17">
        <f>宝物升星!Q76</f>
        <v>6</v>
      </c>
      <c r="P76" s="17">
        <f>基础状态预期!I87</f>
        <v>0</v>
      </c>
      <c r="Q76" s="17">
        <f>基础状态预期!J87</f>
        <v>0</v>
      </c>
      <c r="R76" s="17">
        <f>基础状态预期!K87</f>
        <v>0</v>
      </c>
      <c r="S76" s="17">
        <f>基础状态预期!L87</f>
        <v>6</v>
      </c>
      <c r="T76" s="17">
        <f>IF(L76=0,0,同名需求(P76,L76,C$6))</f>
        <v>0</v>
      </c>
      <c r="U76" s="17">
        <f>IF(M76=0,0,同名需求(Q76,M76,D$6))</f>
        <v>0</v>
      </c>
      <c r="V76" s="17">
        <f>IF(N76=0,0,同名需求(R76,N76,E$6))</f>
        <v>0</v>
      </c>
      <c r="W76" s="17">
        <f>IF(O76=0,0,同名需求(S76,O76,F$6))</f>
        <v>36</v>
      </c>
      <c r="Z76" s="17">
        <f>投放验证!AL87*C$7</f>
        <v>71643.065321820686</v>
      </c>
      <c r="AA76" s="17">
        <f>投放验证!AM87*D$7</f>
        <v>96979.201652973206</v>
      </c>
      <c r="AB76" s="17">
        <f>投放验证!AN87*E$7</f>
        <v>86521.842348412116</v>
      </c>
      <c r="AC76" s="17">
        <f>投放验证!AO87*F$7</f>
        <v>97777.266784549458</v>
      </c>
      <c r="AD76" s="17">
        <f>投放验证!Q87/投放验证!$E$25*投放验证!$E$24/$D$2</f>
        <v>130369.68904606596</v>
      </c>
      <c r="AE76" s="16">
        <v>91208.795224972477</v>
      </c>
      <c r="AF76" s="16">
        <f t="shared" si="67"/>
        <v>5.2987331316212689</v>
      </c>
      <c r="AG76" s="17">
        <f t="shared" si="43"/>
        <v>150</v>
      </c>
      <c r="AH76" s="17">
        <f t="shared" si="44"/>
        <v>0</v>
      </c>
      <c r="AI76" s="17">
        <f t="shared" si="45"/>
        <v>0</v>
      </c>
      <c r="AJ76" s="17">
        <f t="shared" si="46"/>
        <v>0</v>
      </c>
      <c r="AK76" s="17">
        <f t="shared" si="47"/>
        <v>3600</v>
      </c>
      <c r="AL76" s="17">
        <f t="shared" si="49"/>
        <v>479691.06515382143</v>
      </c>
      <c r="AM76" s="16">
        <v>89048.795224972477</v>
      </c>
      <c r="AO76" s="16">
        <v>71</v>
      </c>
      <c r="AP76" s="16">
        <f t="shared" si="61"/>
        <v>1301.9479284805971</v>
      </c>
      <c r="AQ76" s="16">
        <f t="shared" si="62"/>
        <v>1596.3695648156295</v>
      </c>
      <c r="AR76" s="16">
        <f t="shared" si="63"/>
        <v>2152.3747460030677</v>
      </c>
      <c r="AS76" s="16">
        <f t="shared" si="64"/>
        <v>3944.5558604940093</v>
      </c>
      <c r="AT76" s="16">
        <f t="shared" si="65"/>
        <v>5080.371165296403</v>
      </c>
      <c r="BE76" s="16">
        <v>71</v>
      </c>
      <c r="BF76" s="16">
        <f t="shared" si="68"/>
        <v>414.11233524276798</v>
      </c>
      <c r="BG76" s="16">
        <f t="shared" si="69"/>
        <v>136.47384622332413</v>
      </c>
      <c r="BH76" s="16">
        <f t="shared" si="70"/>
        <v>124.2081972597005</v>
      </c>
      <c r="BI76" s="16">
        <f t="shared" si="71"/>
        <v>1642.3959794495283</v>
      </c>
      <c r="BJ76" s="16">
        <f t="shared" si="72"/>
        <v>6158.8048503596738</v>
      </c>
      <c r="BM76" s="16">
        <f t="shared" si="73"/>
        <v>3.1439486769147966</v>
      </c>
      <c r="BN76" s="16">
        <f t="shared" si="74"/>
        <v>11.697256353450681</v>
      </c>
      <c r="BO76" s="16">
        <f t="shared" si="75"/>
        <v>17.328765681243876</v>
      </c>
      <c r="BP76" s="16">
        <f t="shared" si="76"/>
        <v>2.4017081811269909</v>
      </c>
      <c r="BQ76" s="16">
        <f t="shared" si="77"/>
        <v>0.82489562321490173</v>
      </c>
      <c r="BR76" s="16">
        <f>(BF76-AP76)*$D$2/'[1]资源-钻石'!L74</f>
        <v>-0.11801185684851007</v>
      </c>
      <c r="BS76" s="16">
        <f>(BG76-AQ76)*$D$2/'[1]资源-钻石'!M74</f>
        <v>-0.15500417411589379</v>
      </c>
      <c r="BT76" s="16">
        <f>(BH76-AR76)*$D$2/'[1]资源-钻石'!N74</f>
        <v>-0.15358028299263102</v>
      </c>
      <c r="BU76" s="16">
        <f>(BI76-AS76)*$D$2/'[1]资源-钻石'!O74</f>
        <v>-9.1158509877608013E-2</v>
      </c>
      <c r="BV76" s="16">
        <f>(BJ76-AT76)*$D$2/'[1]资源-钻石'!P74</f>
        <v>3.2163226243088594E-2</v>
      </c>
    </row>
    <row r="77" spans="10:74">
      <c r="J77" s="16">
        <v>22</v>
      </c>
      <c r="K77" s="17">
        <f>基础状态预期!C88</f>
        <v>155</v>
      </c>
      <c r="L77" s="17">
        <f>宝物升星!N77</f>
        <v>0</v>
      </c>
      <c r="M77" s="17">
        <f>宝物升星!O77</f>
        <v>0</v>
      </c>
      <c r="N77" s="17">
        <f>宝物升星!P77</f>
        <v>0</v>
      </c>
      <c r="O77" s="17">
        <f>宝物升星!Q77</f>
        <v>6</v>
      </c>
      <c r="P77" s="17">
        <f>基础状态预期!I88</f>
        <v>0</v>
      </c>
      <c r="Q77" s="17">
        <f>基础状态预期!J88</f>
        <v>0</v>
      </c>
      <c r="R77" s="17">
        <f>基础状态预期!K88</f>
        <v>0</v>
      </c>
      <c r="S77" s="17">
        <f>基础状态预期!L88</f>
        <v>6</v>
      </c>
      <c r="T77" s="17">
        <f>IF(L77=0,0,同名需求(P77,L77,C$6))</f>
        <v>0</v>
      </c>
      <c r="U77" s="17">
        <f>IF(M77=0,0,同名需求(Q77,M77,D$6))</f>
        <v>0</v>
      </c>
      <c r="V77" s="17">
        <f>IF(N77=0,0,同名需求(R77,N77,E$6))</f>
        <v>0</v>
      </c>
      <c r="W77" s="17">
        <f>IF(O77=0,0,同名需求(S77,O77,F$6))</f>
        <v>36</v>
      </c>
      <c r="Z77" s="17">
        <f>投放验证!AL88*C$7</f>
        <v>143522.17044583944</v>
      </c>
      <c r="AA77" s="17">
        <f>投放验证!AM88*D$7</f>
        <v>193902.96232392971</v>
      </c>
      <c r="AB77" s="17">
        <f>投放验证!AN88*E$7</f>
        <v>172975.66701699371</v>
      </c>
      <c r="AC77" s="17">
        <f>投放验证!AO88*F$7</f>
        <v>195123.87060824761</v>
      </c>
      <c r="AD77" s="17">
        <f>投放验证!Q88/投放验证!$E$25*投放验证!$E$24/$D$2</f>
        <v>260165.16081099687</v>
      </c>
      <c r="AE77" s="16">
        <v>156546.76395430369</v>
      </c>
      <c r="AF77" s="16">
        <f t="shared" si="67"/>
        <v>6.168698776091559</v>
      </c>
      <c r="AG77" s="17">
        <f t="shared" si="43"/>
        <v>155</v>
      </c>
      <c r="AH77" s="17">
        <f t="shared" si="44"/>
        <v>0</v>
      </c>
      <c r="AI77" s="17">
        <f t="shared" si="45"/>
        <v>0</v>
      </c>
      <c r="AJ77" s="17">
        <f t="shared" si="46"/>
        <v>0</v>
      </c>
      <c r="AK77" s="17">
        <f t="shared" si="47"/>
        <v>3600</v>
      </c>
      <c r="AL77" s="17">
        <f t="shared" si="49"/>
        <v>962089.83120600739</v>
      </c>
      <c r="AM77" s="16">
        <v>154386.76395430369</v>
      </c>
      <c r="AO77" s="16">
        <v>72</v>
      </c>
      <c r="AP77" s="16">
        <f t="shared" si="61"/>
        <v>1400.7653738462641</v>
      </c>
      <c r="AQ77" s="16">
        <f t="shared" si="62"/>
        <v>1717.2051020747635</v>
      </c>
      <c r="AR77" s="16">
        <f t="shared" si="63"/>
        <v>2317.6349617159749</v>
      </c>
      <c r="AS77" s="16">
        <f t="shared" si="64"/>
        <v>4275.442291127255</v>
      </c>
      <c r="AT77" s="16">
        <f t="shared" si="65"/>
        <v>5527.5783081535938</v>
      </c>
      <c r="BE77" s="16">
        <v>72</v>
      </c>
      <c r="BF77" s="16">
        <f t="shared" si="68"/>
        <v>428.24180884708409</v>
      </c>
      <c r="BG77" s="16">
        <f t="shared" si="69"/>
        <v>136.47384622332413</v>
      </c>
      <c r="BH77" s="16">
        <f t="shared" si="70"/>
        <v>126.48180410918357</v>
      </c>
      <c r="BI77" s="16">
        <f t="shared" si="71"/>
        <v>1833.3100938999169</v>
      </c>
      <c r="BJ77" s="16">
        <f t="shared" si="72"/>
        <v>6158.8048503596738</v>
      </c>
      <c r="BM77" s="16">
        <f t="shared" si="73"/>
        <v>3.2709682821894841</v>
      </c>
      <c r="BN77" s="16">
        <f t="shared" si="74"/>
        <v>12.582668031974054</v>
      </c>
      <c r="BO77" s="16">
        <f t="shared" si="75"/>
        <v>18.323860716876794</v>
      </c>
      <c r="BP77" s="16">
        <f t="shared" si="76"/>
        <v>2.3320889932113458</v>
      </c>
      <c r="BQ77" s="16">
        <f t="shared" si="77"/>
        <v>0.89750827351361584</v>
      </c>
      <c r="BR77" s="16">
        <f>(BF77-AP77)*$D$2/'[1]资源-钻石'!L75</f>
        <v>-0.12233072148586772</v>
      </c>
      <c r="BS77" s="16">
        <f>(BG77-AQ77)*$D$2/'[1]资源-钻石'!M75</f>
        <v>-0.15855637616393986</v>
      </c>
      <c r="BT77" s="16">
        <f>(BH77-AR77)*$D$2/'[1]资源-钻石'!N75</f>
        <v>-0.15669755613233999</v>
      </c>
      <c r="BU77" s="16">
        <f>(BI77-AS77)*$D$2/'[1]资源-钻石'!O75</f>
        <v>-9.0491719962313116E-2</v>
      </c>
      <c r="BV77" s="16">
        <f>(BJ77-AT77)*$D$2/'[1]资源-钻石'!P75</f>
        <v>1.7628709815372862E-2</v>
      </c>
    </row>
    <row r="78" spans="10:74">
      <c r="J78" s="16">
        <v>23</v>
      </c>
      <c r="K78" s="17">
        <f>基础状态预期!C89</f>
        <v>160</v>
      </c>
      <c r="L78" s="17">
        <f>宝物升星!N78</f>
        <v>0</v>
      </c>
      <c r="M78" s="17">
        <f>宝物升星!O78</f>
        <v>0</v>
      </c>
      <c r="N78" s="17">
        <f>宝物升星!P78</f>
        <v>0</v>
      </c>
      <c r="O78" s="17">
        <f>宝物升星!Q78</f>
        <v>6</v>
      </c>
      <c r="P78" s="17">
        <f>基础状态预期!I89</f>
        <v>0</v>
      </c>
      <c r="Q78" s="17">
        <f>基础状态预期!J89</f>
        <v>0</v>
      </c>
      <c r="R78" s="17">
        <f>基础状态预期!K89</f>
        <v>0</v>
      </c>
      <c r="S78" s="17">
        <f>基础状态预期!L89</f>
        <v>6</v>
      </c>
      <c r="T78" s="17">
        <f>IF(L78=0,0,同名需求(P78,L78,C$6))</f>
        <v>0</v>
      </c>
      <c r="U78" s="17">
        <f>IF(M78=0,0,同名需求(Q78,M78,D$6))</f>
        <v>0</v>
      </c>
      <c r="V78" s="17">
        <f>IF(N78=0,0,同名需求(R78,N78,E$6))</f>
        <v>0</v>
      </c>
      <c r="W78" s="17">
        <f>IF(O78=0,0,同名需求(S78,O78,F$6))</f>
        <v>36</v>
      </c>
      <c r="Z78" s="17">
        <f>投放验证!AL89*C$7</f>
        <v>213114.58959999081</v>
      </c>
      <c r="AA78" s="17">
        <f>投放验证!AM89*D$7</f>
        <v>287647.56081531337</v>
      </c>
      <c r="AB78" s="17">
        <f>投放验证!AN89*E$7</f>
        <v>256589.72806723104</v>
      </c>
      <c r="AC78" s="17">
        <f>投放验证!AO89*F$7</f>
        <v>289179.35742297466</v>
      </c>
      <c r="AD78" s="17">
        <f>投放验证!Q89/投放验证!$E$25*投放验证!$E$24/$D$2</f>
        <v>385572.47656396625</v>
      </c>
      <c r="AE78" s="16">
        <v>219615.03821962568</v>
      </c>
      <c r="AF78" s="16">
        <f t="shared" si="67"/>
        <v>6.5209728991204292</v>
      </c>
      <c r="AG78" s="17">
        <f t="shared" si="43"/>
        <v>160</v>
      </c>
      <c r="AH78" s="17">
        <f t="shared" si="44"/>
        <v>0</v>
      </c>
      <c r="AI78" s="17">
        <f t="shared" si="45"/>
        <v>0</v>
      </c>
      <c r="AJ78" s="17">
        <f t="shared" si="46"/>
        <v>0</v>
      </c>
      <c r="AK78" s="17">
        <f t="shared" si="47"/>
        <v>3600</v>
      </c>
      <c r="AL78" s="17">
        <f t="shared" si="49"/>
        <v>1428503.7124694763</v>
      </c>
      <c r="AM78" s="16">
        <v>217455.03821962568</v>
      </c>
      <c r="AO78" s="16">
        <v>73</v>
      </c>
      <c r="AP78" s="16">
        <f t="shared" si="61"/>
        <v>1499.5828192119311</v>
      </c>
      <c r="AQ78" s="16">
        <f t="shared" si="62"/>
        <v>1838.0406393338976</v>
      </c>
      <c r="AR78" s="16">
        <f t="shared" si="63"/>
        <v>2482.8951774288817</v>
      </c>
      <c r="AS78" s="16">
        <f t="shared" si="64"/>
        <v>4606.3287217605002</v>
      </c>
      <c r="AT78" s="16">
        <f t="shared" si="65"/>
        <v>5974.7854510107836</v>
      </c>
      <c r="BE78" s="16">
        <v>73</v>
      </c>
      <c r="BF78" s="16">
        <f t="shared" si="68"/>
        <v>442.37128245140013</v>
      </c>
      <c r="BG78" s="16">
        <f t="shared" si="69"/>
        <v>136.47384622332413</v>
      </c>
      <c r="BH78" s="16">
        <f t="shared" si="70"/>
        <v>128.75541095866663</v>
      </c>
      <c r="BI78" s="16">
        <f t="shared" si="71"/>
        <v>2024.2242083503056</v>
      </c>
      <c r="BJ78" s="16">
        <f t="shared" si="72"/>
        <v>6158.8048503596738</v>
      </c>
      <c r="BM78" s="16">
        <f t="shared" si="73"/>
        <v>3.3898737976434501</v>
      </c>
      <c r="BN78" s="16">
        <f t="shared" si="74"/>
        <v>13.468079710497427</v>
      </c>
      <c r="BO78" s="16">
        <f t="shared" si="75"/>
        <v>19.283812299165792</v>
      </c>
      <c r="BP78" s="16">
        <f t="shared" si="76"/>
        <v>2.2756020320073871</v>
      </c>
      <c r="BQ78" s="16">
        <f t="shared" si="77"/>
        <v>0.97012092381232973</v>
      </c>
      <c r="BR78" s="16">
        <f>(BF78-AP78)*$D$2/'[1]资源-钻石'!L76</f>
        <v>-0.12574987695774567</v>
      </c>
      <c r="BS78" s="16">
        <f>(BG78-AQ78)*$D$2/'[1]资源-钻石'!M76</f>
        <v>-0.16145369725046019</v>
      </c>
      <c r="BT78" s="16">
        <f>(BH78-AR78)*$D$2/'[1]资源-钻石'!N76</f>
        <v>-0.15883069455310664</v>
      </c>
      <c r="BU78" s="16">
        <f>(BI78-AS78)*$D$2/'[1]资源-钻石'!O76</f>
        <v>-8.9477296504698406E-2</v>
      </c>
      <c r="BV78" s="16">
        <f>(BJ78-AT78)*$D$2/'[1]资源-钻石'!P76</f>
        <v>4.8101810785985142E-3</v>
      </c>
    </row>
    <row r="79" spans="10:74">
      <c r="J79" s="16">
        <v>24</v>
      </c>
      <c r="AE79" s="16">
        <v>0</v>
      </c>
      <c r="AF79" s="16" t="e">
        <f t="shared" si="67"/>
        <v>#DIV/0!</v>
      </c>
      <c r="AO79" s="16">
        <v>74</v>
      </c>
      <c r="AP79" s="16">
        <f t="shared" si="61"/>
        <v>1598.4002645775981</v>
      </c>
      <c r="AQ79" s="16">
        <f t="shared" si="62"/>
        <v>1958.8761765930317</v>
      </c>
      <c r="AR79" s="16">
        <f t="shared" si="63"/>
        <v>2648.1553931417889</v>
      </c>
      <c r="AS79" s="16">
        <f t="shared" si="64"/>
        <v>4937.2151523937455</v>
      </c>
      <c r="AT79" s="16">
        <f t="shared" si="65"/>
        <v>6421.9925938679735</v>
      </c>
      <c r="BE79" s="16">
        <v>74</v>
      </c>
      <c r="BF79" s="16">
        <f t="shared" si="68"/>
        <v>456.50075605571624</v>
      </c>
      <c r="BG79" s="16">
        <f t="shared" si="69"/>
        <v>136.47384622332413</v>
      </c>
      <c r="BH79" s="16">
        <f t="shared" si="70"/>
        <v>131.02901780814972</v>
      </c>
      <c r="BI79" s="16">
        <f t="shared" si="71"/>
        <v>2215.1383228006944</v>
      </c>
      <c r="BJ79" s="16">
        <f t="shared" si="72"/>
        <v>6158.8048503596738</v>
      </c>
      <c r="BM79" s="16">
        <f t="shared" si="73"/>
        <v>3.5014186578532462</v>
      </c>
      <c r="BN79" s="16">
        <f t="shared" si="74"/>
        <v>14.3534913890208</v>
      </c>
      <c r="BO79" s="16">
        <f t="shared" si="75"/>
        <v>20.210449848743959</v>
      </c>
      <c r="BP79" s="16">
        <f t="shared" si="76"/>
        <v>2.2288518516312843</v>
      </c>
      <c r="BQ79" s="16">
        <f t="shared" si="77"/>
        <v>1.0427335741110435</v>
      </c>
      <c r="BR79" s="16">
        <f>(BF79-AP79)*$D$2/'[1]资源-钻石'!L77</f>
        <v>-0.12834105852511188</v>
      </c>
      <c r="BS79" s="16">
        <f>(BG79-AQ79)*$D$2/'[1]资源-钻石'!M77</f>
        <v>-0.16318879886637572</v>
      </c>
      <c r="BT79" s="16">
        <f>(BH79-AR79)*$D$2/'[1]资源-钻石'!N77</f>
        <v>-0.15972401434637529</v>
      </c>
      <c r="BU79" s="16">
        <f>(BI79-AS79)*$D$2/'[1]资源-钻石'!O77</f>
        <v>-8.8040967803347567E-2</v>
      </c>
      <c r="BV79" s="16">
        <f>(BJ79-AT79)*$D$2/'[1]资源-钻石'!P77</f>
        <v>-6.4252443739619813E-3</v>
      </c>
    </row>
    <row r="80" spans="10:74">
      <c r="J80" s="16">
        <v>25</v>
      </c>
      <c r="AE80" s="16">
        <v>0</v>
      </c>
      <c r="AF80" s="16" t="e">
        <f t="shared" si="67"/>
        <v>#DIV/0!</v>
      </c>
      <c r="AO80" s="16">
        <v>75</v>
      </c>
      <c r="AP80" s="16">
        <f t="shared" si="61"/>
        <v>1697.2177099432652</v>
      </c>
      <c r="AQ80" s="16">
        <f t="shared" si="62"/>
        <v>2079.7117138521658</v>
      </c>
      <c r="AR80" s="16">
        <f t="shared" si="63"/>
        <v>2813.4156088546961</v>
      </c>
      <c r="AS80" s="16">
        <f t="shared" si="64"/>
        <v>5268.1015830269907</v>
      </c>
      <c r="AT80" s="16">
        <f t="shared" si="65"/>
        <v>6869.1997367251643</v>
      </c>
      <c r="BE80" s="16">
        <v>75</v>
      </c>
      <c r="BF80" s="16">
        <f t="shared" si="68"/>
        <v>470.63022966003234</v>
      </c>
      <c r="BG80" s="16">
        <f t="shared" si="69"/>
        <v>136.47384622332413</v>
      </c>
      <c r="BH80" s="16">
        <f t="shared" si="70"/>
        <v>133.30262465763278</v>
      </c>
      <c r="BI80" s="16">
        <f t="shared" si="71"/>
        <v>2406.0524372510831</v>
      </c>
      <c r="BJ80" s="16">
        <f t="shared" si="72"/>
        <v>6158.8048503596738</v>
      </c>
      <c r="BM80" s="16">
        <f t="shared" si="73"/>
        <v>3.6062658175809892</v>
      </c>
      <c r="BN80" s="16">
        <f t="shared" si="74"/>
        <v>15.238903067544172</v>
      </c>
      <c r="BO80" s="16">
        <f t="shared" si="75"/>
        <v>21.105477976000248</v>
      </c>
      <c r="BP80" s="16">
        <f t="shared" si="76"/>
        <v>2.1895206860270267</v>
      </c>
      <c r="BQ80" s="16">
        <f t="shared" si="77"/>
        <v>1.1153462244097576</v>
      </c>
      <c r="BR80" s="16">
        <f>(BF80-AP80)*$D$2/'[1]资源-钻石'!L78</f>
        <v>-0.13017505336057328</v>
      </c>
      <c r="BS80" s="16">
        <f>(BG80-AQ80)*$D$2/'[1]资源-钻石'!M78</f>
        <v>-0.16398512756292147</v>
      </c>
      <c r="BT80" s="16">
        <f>(BH80-AR80)*$D$2/'[1]资源-钻石'!N78</f>
        <v>-0.15990160949561638</v>
      </c>
      <c r="BU80" s="16">
        <f>(BI80-AS80)*$D$2/'[1]资源-钻石'!O78</f>
        <v>-8.657043836948769E-2</v>
      </c>
      <c r="BV80" s="16">
        <f>(BJ80-AT80)*$D$2/'[1]资源-钻石'!P78</f>
        <v>-1.6179037177636166E-2</v>
      </c>
    </row>
    <row r="81" spans="10:74">
      <c r="J81" s="16">
        <v>26</v>
      </c>
      <c r="AE81" s="16">
        <v>0</v>
      </c>
      <c r="AF81" s="16" t="e">
        <f t="shared" si="67"/>
        <v>#DIV/0!</v>
      </c>
      <c r="AO81" s="16">
        <v>76</v>
      </c>
      <c r="AP81" s="16">
        <f t="shared" si="61"/>
        <v>1824.6952845220831</v>
      </c>
      <c r="AQ81" s="16">
        <f t="shared" si="62"/>
        <v>2237.9291149952023</v>
      </c>
      <c r="AR81" s="16">
        <f t="shared" si="63"/>
        <v>3035.5563288780131</v>
      </c>
      <c r="AS81" s="16">
        <f t="shared" si="64"/>
        <v>5688.9438935074077</v>
      </c>
      <c r="AT81" s="16">
        <f t="shared" si="65"/>
        <v>7427.820097971281</v>
      </c>
      <c r="BE81" s="16">
        <v>76</v>
      </c>
      <c r="BF81" s="16">
        <f t="shared" si="68"/>
        <v>470.63022966003234</v>
      </c>
      <c r="BG81" s="16">
        <f t="shared" si="69"/>
        <v>136.47384622332413</v>
      </c>
      <c r="BH81" s="16">
        <f t="shared" si="70"/>
        <v>133.30262465763278</v>
      </c>
      <c r="BI81" s="16">
        <f t="shared" si="71"/>
        <v>2406.0524372510831</v>
      </c>
      <c r="BJ81" s="16">
        <f t="shared" si="72"/>
        <v>6456.8422554486151</v>
      </c>
      <c r="BM81" s="16">
        <f t="shared" si="73"/>
        <v>3.877131492042452</v>
      </c>
      <c r="BN81" s="16">
        <f t="shared" si="74"/>
        <v>16.398227037091655</v>
      </c>
      <c r="BO81" s="16">
        <f t="shared" si="75"/>
        <v>22.771917182233818</v>
      </c>
      <c r="BP81" s="16">
        <f t="shared" si="76"/>
        <v>2.3644305524808225</v>
      </c>
      <c r="BQ81" s="16">
        <f t="shared" si="77"/>
        <v>1.1503796754060864</v>
      </c>
      <c r="BR81" s="16">
        <f>(BF81-AP81)*$D$2/'[1]资源-钻石'!L79</f>
        <v>-0.13639217073070037</v>
      </c>
      <c r="BS81" s="16">
        <f>(BG81-AQ81)*$D$2/'[1]资源-钻石'!M79</f>
        <v>-0.16713347249701138</v>
      </c>
      <c r="BT81" s="16">
        <f>(BH81-AR81)*$D$2/'[1]资源-钻石'!N79</f>
        <v>-0.16290557414765719</v>
      </c>
      <c r="BU81" s="16">
        <f>(BI81-AS81)*$D$2/'[1]资源-钻石'!O79</f>
        <v>-9.3018215832107828E-2</v>
      </c>
      <c r="BV81" s="16">
        <f>(BJ81-AT81)*$D$2/'[1]资源-钻石'!P79</f>
        <v>-2.0606174583171821E-2</v>
      </c>
    </row>
    <row r="82" spans="10:74">
      <c r="J82" s="16">
        <v>1</v>
      </c>
      <c r="K82" s="17" t="s">
        <v>77</v>
      </c>
      <c r="L82" s="170" t="s">
        <v>436</v>
      </c>
      <c r="M82" s="170"/>
      <c r="N82" s="170"/>
      <c r="O82" s="170"/>
      <c r="P82" s="170" t="s">
        <v>437</v>
      </c>
      <c r="Q82" s="170"/>
      <c r="R82" s="170"/>
      <c r="S82" s="170"/>
      <c r="T82" s="170" t="s">
        <v>438</v>
      </c>
      <c r="U82" s="170"/>
      <c r="V82" s="170"/>
      <c r="W82" s="170"/>
      <c r="Z82" s="170" t="s">
        <v>462</v>
      </c>
      <c r="AA82" s="170"/>
      <c r="AB82" s="170"/>
      <c r="AC82" s="170"/>
      <c r="AD82" s="178" t="s">
        <v>464</v>
      </c>
      <c r="AE82" s="16">
        <v>0</v>
      </c>
      <c r="AF82" s="16" t="e">
        <f t="shared" si="67"/>
        <v>#DIV/0!</v>
      </c>
      <c r="AG82" s="17" t="s">
        <v>77</v>
      </c>
      <c r="AH82" s="170" t="s">
        <v>440</v>
      </c>
      <c r="AI82" s="170"/>
      <c r="AJ82" s="170"/>
      <c r="AK82" s="170"/>
      <c r="AL82" s="178" t="s">
        <v>441</v>
      </c>
      <c r="AM82" s="16" t="s">
        <v>441</v>
      </c>
      <c r="AO82" s="16">
        <v>77</v>
      </c>
      <c r="AP82" s="16">
        <f t="shared" si="61"/>
        <v>1952.172859100901</v>
      </c>
      <c r="AQ82" s="16">
        <f t="shared" si="62"/>
        <v>2396.1465161382389</v>
      </c>
      <c r="AR82" s="16">
        <f t="shared" si="63"/>
        <v>3257.6970489013297</v>
      </c>
      <c r="AS82" s="16">
        <f t="shared" si="64"/>
        <v>6109.7862039878246</v>
      </c>
      <c r="AT82" s="16">
        <f t="shared" si="65"/>
        <v>7986.4404592173978</v>
      </c>
      <c r="BE82" s="16">
        <v>77</v>
      </c>
      <c r="BF82" s="16">
        <f t="shared" si="68"/>
        <v>470.63022966003234</v>
      </c>
      <c r="BG82" s="16">
        <f t="shared" si="69"/>
        <v>136.47384622332413</v>
      </c>
      <c r="BH82" s="16">
        <f t="shared" si="70"/>
        <v>133.30262465763278</v>
      </c>
      <c r="BI82" s="16">
        <f t="shared" si="71"/>
        <v>2406.0524372510831</v>
      </c>
      <c r="BJ82" s="16">
        <f t="shared" si="72"/>
        <v>6754.8796605375574</v>
      </c>
      <c r="BM82" s="16">
        <f t="shared" si="73"/>
        <v>4.1479971665039148</v>
      </c>
      <c r="BN82" s="16">
        <f t="shared" si="74"/>
        <v>17.557551006639134</v>
      </c>
      <c r="BO82" s="16">
        <f t="shared" si="75"/>
        <v>24.438356388467383</v>
      </c>
      <c r="BP82" s="16">
        <f t="shared" si="76"/>
        <v>2.5393404189346183</v>
      </c>
      <c r="BQ82" s="16">
        <f t="shared" si="77"/>
        <v>1.18232164902577</v>
      </c>
      <c r="BR82" s="16">
        <f>(BF82-AP82)*$D$2/'[1]资源-钻石'!L80</f>
        <v>-0.14151547527271222</v>
      </c>
      <c r="BS82" s="16">
        <f>(BG82-AQ82)*$D$2/'[1]资源-钻石'!M80</f>
        <v>-0.16917792986719696</v>
      </c>
      <c r="BT82" s="16">
        <f>(BH82-AR82)*$D$2/'[1]资源-钻石'!N80</f>
        <v>-0.16468812777626435</v>
      </c>
      <c r="BU82" s="16">
        <f>(BI82-AS82)*$D$2/'[1]资源-钻石'!O80</f>
        <v>-9.8220169992807194E-2</v>
      </c>
      <c r="BV82" s="16">
        <f>(BJ82-AT82)*$D$2/'[1]资源-钻石'!P80</f>
        <v>-2.4483377684141404E-2</v>
      </c>
    </row>
    <row r="83" spans="10:74">
      <c r="J83" s="16">
        <v>2</v>
      </c>
      <c r="K83" s="17" t="s">
        <v>161</v>
      </c>
      <c r="L83" s="17" t="s">
        <v>1</v>
      </c>
      <c r="M83" s="17" t="s">
        <v>2</v>
      </c>
      <c r="N83" s="17" t="s">
        <v>0</v>
      </c>
      <c r="O83" s="17" t="s">
        <v>205</v>
      </c>
      <c r="P83" s="17" t="s">
        <v>1</v>
      </c>
      <c r="Q83" s="17" t="s">
        <v>2</v>
      </c>
      <c r="R83" s="17" t="s">
        <v>0</v>
      </c>
      <c r="S83" s="17" t="s">
        <v>205</v>
      </c>
      <c r="T83" s="17" t="s">
        <v>1</v>
      </c>
      <c r="U83" s="17" t="s">
        <v>2</v>
      </c>
      <c r="V83" s="17" t="s">
        <v>0</v>
      </c>
      <c r="W83" s="17" t="s">
        <v>205</v>
      </c>
      <c r="Z83" s="17" t="s">
        <v>1</v>
      </c>
      <c r="AA83" s="17" t="s">
        <v>2</v>
      </c>
      <c r="AB83" s="17" t="s">
        <v>0</v>
      </c>
      <c r="AC83" s="17" t="s">
        <v>205</v>
      </c>
      <c r="AD83" s="178"/>
      <c r="AE83" s="16">
        <v>0</v>
      </c>
      <c r="AF83" s="16" t="e">
        <f t="shared" si="67"/>
        <v>#DIV/0!</v>
      </c>
      <c r="AG83" s="17" t="s">
        <v>161</v>
      </c>
      <c r="AH83" s="17" t="s">
        <v>1</v>
      </c>
      <c r="AI83" s="17" t="s">
        <v>2</v>
      </c>
      <c r="AJ83" s="17" t="s">
        <v>0</v>
      </c>
      <c r="AK83" s="17" t="s">
        <v>205</v>
      </c>
      <c r="AL83" s="178"/>
      <c r="AO83" s="16">
        <v>78</v>
      </c>
      <c r="AP83" s="16">
        <f t="shared" si="61"/>
        <v>2079.6504336797188</v>
      </c>
      <c r="AQ83" s="16">
        <f t="shared" si="62"/>
        <v>2554.3639172812755</v>
      </c>
      <c r="AR83" s="16">
        <f t="shared" si="63"/>
        <v>3479.8377689246468</v>
      </c>
      <c r="AS83" s="16">
        <f t="shared" si="64"/>
        <v>6530.6285144682424</v>
      </c>
      <c r="AT83" s="16">
        <f t="shared" si="65"/>
        <v>8545.0608204635155</v>
      </c>
      <c r="BE83" s="16">
        <v>78</v>
      </c>
      <c r="BF83" s="16">
        <f t="shared" si="68"/>
        <v>470.63022966003234</v>
      </c>
      <c r="BG83" s="16">
        <f t="shared" si="69"/>
        <v>136.47384622332413</v>
      </c>
      <c r="BH83" s="16">
        <f t="shared" si="70"/>
        <v>133.30262465763278</v>
      </c>
      <c r="BI83" s="16">
        <f t="shared" si="71"/>
        <v>2406.0524372510831</v>
      </c>
      <c r="BJ83" s="16">
        <f t="shared" si="72"/>
        <v>7052.9170656264987</v>
      </c>
      <c r="BM83" s="16">
        <f t="shared" si="73"/>
        <v>4.4188628409653781</v>
      </c>
      <c r="BN83" s="16">
        <f t="shared" si="74"/>
        <v>18.716874976186613</v>
      </c>
      <c r="BO83" s="16">
        <f t="shared" si="75"/>
        <v>26.104795594700953</v>
      </c>
      <c r="BP83" s="16">
        <f t="shared" si="76"/>
        <v>2.7142502853884145</v>
      </c>
      <c r="BQ83" s="16">
        <f t="shared" si="77"/>
        <v>1.2115640579568436</v>
      </c>
      <c r="BR83" s="16">
        <f>(BF83-AP83)*$D$2/'[1]资源-钻石'!L81</f>
        <v>-0.14562104033459072</v>
      </c>
      <c r="BS83" s="16">
        <f>(BG83-AQ83)*$D$2/'[1]资源-钻石'!M81</f>
        <v>-0.17111034755755605</v>
      </c>
      <c r="BT83" s="16">
        <f>(BH83-AR83)*$D$2/'[1]资源-钻石'!N81</f>
        <v>-0.16561396144029578</v>
      </c>
      <c r="BU83" s="16">
        <f>(BI83-AS83)*$D$2/'[1]资源-钻石'!O81</f>
        <v>-0.1024912633610594</v>
      </c>
      <c r="BV83" s="16">
        <f>(BJ83-AT83)*$D$2/'[1]资源-钻石'!P81</f>
        <v>-2.7794645980276238E-2</v>
      </c>
    </row>
    <row r="84" spans="10:74">
      <c r="J84" s="16">
        <v>3</v>
      </c>
      <c r="K84" s="17">
        <f>基础状态预期!C95</f>
        <v>50</v>
      </c>
      <c r="L84" s="17">
        <f>宝物升星!N84</f>
        <v>0</v>
      </c>
      <c r="M84" s="17">
        <f>宝物升星!O84</f>
        <v>0</v>
      </c>
      <c r="N84" s="17">
        <f>宝物升星!P84</f>
        <v>0</v>
      </c>
      <c r="O84" s="17">
        <f>宝物升星!Q84</f>
        <v>0</v>
      </c>
      <c r="P84" s="17">
        <f>基础状态预期!I95</f>
        <v>0</v>
      </c>
      <c r="Q84" s="17">
        <f>基础状态预期!J95</f>
        <v>0</v>
      </c>
      <c r="R84" s="17">
        <f>基础状态预期!K95</f>
        <v>0</v>
      </c>
      <c r="S84" s="17">
        <f>基础状态预期!L95</f>
        <v>0</v>
      </c>
      <c r="T84" s="17">
        <f>IF(L84=0,0,同名需求(P84,L84,C$6))</f>
        <v>0</v>
      </c>
      <c r="U84" s="17">
        <f>IF(M84=0,0,同名需求(Q84,M84,D$6))</f>
        <v>0</v>
      </c>
      <c r="V84" s="17">
        <f>IF(N84=0,0,同名需求(R84,N84,E$6))</f>
        <v>0</v>
      </c>
      <c r="W84" s="17">
        <f>IF(O84=0,0,同名需求(S84,O84,F$6))</f>
        <v>0</v>
      </c>
      <c r="Z84" s="17">
        <f>投放验证!AL95*C$7</f>
        <v>152.72911329683492</v>
      </c>
      <c r="AA84" s="17">
        <f>投放验证!AM95*D$7</f>
        <v>253.90213016139154</v>
      </c>
      <c r="AB84" s="17">
        <f>投放验证!AN95*E$7</f>
        <v>229.41686594525243</v>
      </c>
      <c r="AC84" s="17">
        <f>投放验证!AO95*F$7</f>
        <v>301.57987459366984</v>
      </c>
      <c r="AD84" s="17">
        <f>投放验证!Q95/投放验证!$E$25*投放验证!$E$24/$D$2</f>
        <v>402.10649945822644</v>
      </c>
      <c r="AE84" s="16">
        <v>953.84352427818567</v>
      </c>
      <c r="AF84" s="16">
        <f t="shared" si="67"/>
        <v>1.4045642176678923</v>
      </c>
      <c r="AG84" s="17">
        <f t="shared" ref="AG84:AG104" si="78">K84</f>
        <v>50</v>
      </c>
      <c r="AH84" s="17">
        <f t="shared" ref="AH84:AH104" si="79">L84*P84*C$7</f>
        <v>0</v>
      </c>
      <c r="AI84" s="17">
        <f t="shared" ref="AI84:AI104" si="80">M84*Q84*D$7</f>
        <v>0</v>
      </c>
      <c r="AJ84" s="17">
        <f t="shared" ref="AJ84:AJ104" si="81">N84*R84*E$7</f>
        <v>0</v>
      </c>
      <c r="AK84" s="17">
        <f t="shared" ref="AK84:AK104" si="82">O84*S84*F$7</f>
        <v>0</v>
      </c>
      <c r="AL84" s="17">
        <f>SUM(Z84:AD84)-SUM(AH84:AK84)</f>
        <v>1339.7344834553751</v>
      </c>
      <c r="AM84" s="16">
        <v>953.84352427818567</v>
      </c>
      <c r="AO84" s="16">
        <v>79</v>
      </c>
      <c r="AP84" s="16">
        <f t="shared" si="61"/>
        <v>2207.1280082585367</v>
      </c>
      <c r="AQ84" s="16">
        <f t="shared" si="62"/>
        <v>2712.5813184243125</v>
      </c>
      <c r="AR84" s="16">
        <f t="shared" si="63"/>
        <v>3701.9784889479633</v>
      </c>
      <c r="AS84" s="16">
        <f t="shared" si="64"/>
        <v>6951.4708249486594</v>
      </c>
      <c r="AT84" s="16">
        <f t="shared" si="65"/>
        <v>9103.6811817096313</v>
      </c>
      <c r="BE84" s="16">
        <v>79</v>
      </c>
      <c r="BF84" s="16">
        <f t="shared" si="68"/>
        <v>470.63022966003234</v>
      </c>
      <c r="BG84" s="16">
        <f t="shared" si="69"/>
        <v>136.47384622332413</v>
      </c>
      <c r="BH84" s="16">
        <f t="shared" si="70"/>
        <v>133.30262465763278</v>
      </c>
      <c r="BI84" s="16">
        <f t="shared" si="71"/>
        <v>2406.0524372510831</v>
      </c>
      <c r="BJ84" s="16">
        <f t="shared" si="72"/>
        <v>7350.95447071544</v>
      </c>
      <c r="BM84" s="16">
        <f t="shared" si="73"/>
        <v>4.6897285154268413</v>
      </c>
      <c r="BN84" s="16">
        <f t="shared" si="74"/>
        <v>19.8761989457341</v>
      </c>
      <c r="BO84" s="16">
        <f t="shared" si="75"/>
        <v>27.771234800934518</v>
      </c>
      <c r="BP84" s="16">
        <f t="shared" si="76"/>
        <v>2.8891601518422103</v>
      </c>
      <c r="BQ84" s="16">
        <f t="shared" si="77"/>
        <v>1.2384352559897716</v>
      </c>
      <c r="BR84" s="16">
        <f>(BF84-AP84)*$D$2/'[1]资源-钻石'!L82</f>
        <v>-0.14878411784687703</v>
      </c>
      <c r="BS84" s="16">
        <f>(BG84-AQ84)*$D$2/'[1]资源-钻石'!M82</f>
        <v>-0.1721229299106313</v>
      </c>
      <c r="BT84" s="16">
        <f>(BH84-AR84)*$D$2/'[1]资源-钻石'!N82</f>
        <v>-0.16571809002012239</v>
      </c>
      <c r="BU84" s="16">
        <f>(BI84-AS84)*$D$2/'[1]资源-钻石'!O82</f>
        <v>-0.10609452043612996</v>
      </c>
      <c r="BV84" s="16">
        <f>(BJ84-AT84)*$D$2/'[1]资源-钻石'!P82</f>
        <v>-3.0557616520142647E-2</v>
      </c>
    </row>
    <row r="85" spans="10:74">
      <c r="J85" s="16">
        <v>4</v>
      </c>
      <c r="K85" s="17">
        <f>基础状态预期!C96</f>
        <v>60</v>
      </c>
      <c r="L85" s="17">
        <f>宝物升星!N85</f>
        <v>0</v>
      </c>
      <c r="M85" s="17">
        <f>宝物升星!O85</f>
        <v>0</v>
      </c>
      <c r="N85" s="17">
        <f>宝物升星!P85</f>
        <v>2.1252516037348101</v>
      </c>
      <c r="O85" s="17">
        <f>宝物升星!Q85</f>
        <v>2.4654700205772984</v>
      </c>
      <c r="P85" s="17">
        <f>基础状态预期!I96</f>
        <v>0</v>
      </c>
      <c r="Q85" s="17">
        <f>基础状态预期!J96</f>
        <v>0</v>
      </c>
      <c r="R85" s="17">
        <f>基础状态预期!K96</f>
        <v>3.772086310474251</v>
      </c>
      <c r="S85" s="17">
        <f>基础状态预期!L96</f>
        <v>2.227913689525749</v>
      </c>
      <c r="T85" s="17">
        <f>IF(L85=0,0,同名需求(P85,L85,C$6))</f>
        <v>0</v>
      </c>
      <c r="U85" s="17">
        <f>IF(M85=0,0,同名需求(Q85,M85,D$6))</f>
        <v>0</v>
      </c>
      <c r="V85" s="17">
        <f>IF(N85=0,0,同名需求(R85,N85,E$6))</f>
        <v>12.774099140352732</v>
      </c>
      <c r="W85" s="17">
        <f>IF(O85=0,0,同名需求(S85,O85,F$6))</f>
        <v>11.020733812989539</v>
      </c>
      <c r="Z85" s="17">
        <f>投放验证!AL96*C$7</f>
        <v>293.10948865788509</v>
      </c>
      <c r="AA85" s="17">
        <f>投放验证!AM96*D$7</f>
        <v>471.74520088326125</v>
      </c>
      <c r="AB85" s="17">
        <f>投放验证!AN96*E$7</f>
        <v>425.05032074696203</v>
      </c>
      <c r="AC85" s="17">
        <f>投放验证!AO96*F$7</f>
        <v>549.28544099594933</v>
      </c>
      <c r="AD85" s="17">
        <f>投放验证!Q96/投放验证!$E$25*投放验证!$E$24/$D$2</f>
        <v>732.38058799459907</v>
      </c>
      <c r="AE85" s="16">
        <v>1780.717282750084</v>
      </c>
      <c r="AF85" s="16">
        <f t="shared" si="67"/>
        <v>1.3879637510237672</v>
      </c>
      <c r="AG85" s="17">
        <f t="shared" si="78"/>
        <v>60</v>
      </c>
      <c r="AH85" s="17">
        <f t="shared" si="79"/>
        <v>0</v>
      </c>
      <c r="AI85" s="17">
        <f t="shared" si="80"/>
        <v>0</v>
      </c>
      <c r="AJ85" s="17">
        <f t="shared" si="81"/>
        <v>200.4158120190381</v>
      </c>
      <c r="AK85" s="17">
        <f t="shared" si="82"/>
        <v>549.28544099594933</v>
      </c>
      <c r="AL85" s="17">
        <f t="shared" ref="AL85:AL104" si="83">SUM(Z85:AD85)-SUM(AH85:AK85)</f>
        <v>1721.8697862636695</v>
      </c>
      <c r="AM85" s="16">
        <v>1033.788411541942</v>
      </c>
      <c r="AO85" s="16">
        <v>80</v>
      </c>
      <c r="AP85" s="16">
        <f t="shared" si="61"/>
        <v>2334.6055828373546</v>
      </c>
      <c r="AQ85" s="16">
        <f t="shared" si="62"/>
        <v>2870.7987195673491</v>
      </c>
      <c r="AR85" s="16">
        <f t="shared" si="63"/>
        <v>3924.1192089712804</v>
      </c>
      <c r="AS85" s="16">
        <f t="shared" si="64"/>
        <v>7372.3131354290763</v>
      </c>
      <c r="AT85" s="16">
        <f t="shared" si="65"/>
        <v>9662.301542955749</v>
      </c>
      <c r="BE85" s="16">
        <v>80</v>
      </c>
      <c r="BF85" s="16">
        <f t="shared" si="68"/>
        <v>470.63022966003234</v>
      </c>
      <c r="BG85" s="16">
        <f t="shared" si="69"/>
        <v>136.47384622332413</v>
      </c>
      <c r="BH85" s="16">
        <f t="shared" si="70"/>
        <v>133.30262465763278</v>
      </c>
      <c r="BI85" s="16">
        <f t="shared" si="71"/>
        <v>2406.0524372510831</v>
      </c>
      <c r="BJ85" s="16">
        <f t="shared" si="72"/>
        <v>7648.9918758043823</v>
      </c>
      <c r="BM85" s="16">
        <f t="shared" si="73"/>
        <v>4.9605941898883037</v>
      </c>
      <c r="BN85" s="16">
        <f t="shared" si="74"/>
        <v>21.035522915281579</v>
      </c>
      <c r="BO85" s="16">
        <f t="shared" si="75"/>
        <v>29.437674007168088</v>
      </c>
      <c r="BP85" s="16">
        <f t="shared" si="76"/>
        <v>3.0640700182960061</v>
      </c>
      <c r="BQ85" s="16">
        <f t="shared" si="77"/>
        <v>1.2632124206485242</v>
      </c>
      <c r="BR85" s="16">
        <f>(BF85-AP85)*$D$2/'[1]资源-钻石'!L83</f>
        <v>-0.15107861226381072</v>
      </c>
      <c r="BS85" s="16">
        <f>(BG85-AQ85)*$D$2/'[1]资源-钻石'!M83</f>
        <v>-0.17239790328500382</v>
      </c>
      <c r="BT85" s="16">
        <f>(BH85-AR85)*$D$2/'[1]资源-钻石'!N83</f>
        <v>-0.16574113716619035</v>
      </c>
      <c r="BU85" s="16">
        <f>(BI85-AS85)*$D$2/'[1]资源-钻石'!O83</f>
        <v>-0.10887861501800943</v>
      </c>
      <c r="BV85" s="16">
        <f>(BJ85-AT85)*$D$2/'[1]资源-钻石'!P83</f>
        <v>-3.2906127261252242E-2</v>
      </c>
    </row>
    <row r="86" spans="10:74">
      <c r="J86" s="16">
        <v>5</v>
      </c>
      <c r="K86" s="17">
        <f>基础状态预期!C97</f>
        <v>70</v>
      </c>
      <c r="L86" s="17">
        <f>宝物升星!N86</f>
        <v>0</v>
      </c>
      <c r="M86" s="17">
        <f>宝物升星!O86</f>
        <v>0</v>
      </c>
      <c r="N86" s="17">
        <f>宝物升星!P86</f>
        <v>4.1911616470052833</v>
      </c>
      <c r="O86" s="17">
        <f>宝物升星!Q86</f>
        <v>2.4654700205772984</v>
      </c>
      <c r="P86" s="17">
        <f>基础状态预期!I97</f>
        <v>0</v>
      </c>
      <c r="Q86" s="17">
        <f>基础状态预期!J97</f>
        <v>0</v>
      </c>
      <c r="R86" s="17">
        <f>基础状态预期!K97</f>
        <v>1.5782913967791621</v>
      </c>
      <c r="S86" s="17">
        <f>基础状态预期!L97</f>
        <v>4.4217086032208375</v>
      </c>
      <c r="T86" s="17">
        <f>IF(L86=0,0,同名需求(P86,L86,C$6))</f>
        <v>0</v>
      </c>
      <c r="U86" s="17">
        <f>IF(M86=0,0,同名需求(Q86,M86,D$6))</f>
        <v>0</v>
      </c>
      <c r="V86" s="17">
        <f>IF(N86=0,0,同名需求(R86,N86,E$6))</f>
        <v>27.107584572821427</v>
      </c>
      <c r="W86" s="17">
        <f>IF(O86=0,0,同名需求(S86,O86,F$6))</f>
        <v>13.214528726684627</v>
      </c>
      <c r="Z86" s="17">
        <f>投放验证!AL97*C$7</f>
        <v>592.56530265144818</v>
      </c>
      <c r="AA86" s="17">
        <f>投放验证!AM97*D$7</f>
        <v>933.09671679586631</v>
      </c>
      <c r="AB86" s="17">
        <f>投放验证!AN97*E$7</f>
        <v>838.23232940105663</v>
      </c>
      <c r="AC86" s="17">
        <f>投放验证!AO97*F$7</f>
        <v>1073.7025458680755</v>
      </c>
      <c r="AD86" s="17">
        <f>投放验证!Q97/投放验证!$E$25*投放验证!$E$24/$D$2</f>
        <v>1431.6033944907672</v>
      </c>
      <c r="AE86" s="16">
        <v>3542.1770078982158</v>
      </c>
      <c r="AF86" s="16">
        <f t="shared" si="67"/>
        <v>1.3746349429602334</v>
      </c>
      <c r="AG86" s="17">
        <f t="shared" si="78"/>
        <v>70</v>
      </c>
      <c r="AH86" s="17">
        <f t="shared" si="79"/>
        <v>0</v>
      </c>
      <c r="AI86" s="17">
        <f t="shared" si="80"/>
        <v>0</v>
      </c>
      <c r="AJ86" s="17">
        <f t="shared" si="81"/>
        <v>165.37185924948054</v>
      </c>
      <c r="AK86" s="17">
        <f t="shared" si="82"/>
        <v>1090.1590000969695</v>
      </c>
      <c r="AL86" s="17">
        <f t="shared" si="83"/>
        <v>3613.669429860764</v>
      </c>
      <c r="AM86" s="16">
        <v>2696.3064296078473</v>
      </c>
      <c r="AO86" s="16">
        <v>81</v>
      </c>
      <c r="AP86" s="16">
        <f t="shared" si="61"/>
        <v>2504.3098828874026</v>
      </c>
      <c r="AQ86" s="16">
        <f t="shared" si="62"/>
        <v>3076.6189154436811</v>
      </c>
      <c r="AR86" s="16">
        <f t="shared" si="63"/>
        <v>4210.0759639498901</v>
      </c>
      <c r="AS86" s="16">
        <f t="shared" si="64"/>
        <v>7946.5512599346475</v>
      </c>
      <c r="AT86" s="16">
        <f t="shared" si="65"/>
        <v>10483.297328641131</v>
      </c>
      <c r="BE86" s="16">
        <v>81</v>
      </c>
      <c r="BF86" s="16">
        <f t="shared" si="68"/>
        <v>470.63022966003234</v>
      </c>
      <c r="BG86" s="16">
        <f t="shared" si="69"/>
        <v>136.47384622332413</v>
      </c>
      <c r="BH86" s="16">
        <f t="shared" si="70"/>
        <v>172.18034180828056</v>
      </c>
      <c r="BI86" s="16">
        <f t="shared" si="71"/>
        <v>3683.3237826437644</v>
      </c>
      <c r="BJ86" s="16">
        <f t="shared" si="72"/>
        <v>12167.193500643505</v>
      </c>
      <c r="BM86" s="16">
        <f t="shared" si="73"/>
        <v>5.3211836492025446</v>
      </c>
      <c r="BN86" s="16">
        <f t="shared" si="74"/>
        <v>22.543652139833004</v>
      </c>
      <c r="BO86" s="16">
        <f t="shared" si="75"/>
        <v>24.451548415659015</v>
      </c>
      <c r="BP86" s="16">
        <f t="shared" si="76"/>
        <v>2.1574403253332468</v>
      </c>
      <c r="BQ86" s="16">
        <f t="shared" si="77"/>
        <v>0.8616035676663385</v>
      </c>
      <c r="BR86" s="16">
        <f>(BF86-AP86)*$D$2/'[1]资源-钻石'!L84</f>
        <v>-0.15581184936246864</v>
      </c>
      <c r="BS86" s="16">
        <f>(BG86-AQ86)*$D$2/'[1]资源-钻石'!M84</f>
        <v>-0.17531770372019889</v>
      </c>
      <c r="BT86" s="16">
        <f>(BH86-AR86)*$D$2/'[1]资源-钻石'!N84</f>
        <v>-0.16665113798460096</v>
      </c>
      <c r="BU86" s="16">
        <f>(BI86-AS86)*$D$2/'[1]资源-钻石'!O84</f>
        <v>-8.7691147166286162E-2</v>
      </c>
      <c r="BV86" s="16">
        <f>(BJ86-AT86)*$D$2/'[1]资源-钻石'!P84</f>
        <v>2.5764185734282793E-2</v>
      </c>
    </row>
    <row r="87" spans="10:74">
      <c r="J87" s="16">
        <v>6</v>
      </c>
      <c r="K87" s="17">
        <f>基础状态预期!C98</f>
        <v>75</v>
      </c>
      <c r="L87" s="17">
        <f>宝物升星!N87</f>
        <v>0</v>
      </c>
      <c r="M87" s="17">
        <f>宝物升星!O87</f>
        <v>0</v>
      </c>
      <c r="N87" s="17">
        <f>宝物升星!P87</f>
        <v>5.8819292708226376</v>
      </c>
      <c r="O87" s="17">
        <f>宝物升星!Q87</f>
        <v>2.6886518530918333</v>
      </c>
      <c r="P87" s="17">
        <f>基础状态预期!I98</f>
        <v>0</v>
      </c>
      <c r="Q87" s="17">
        <f>基础状态预期!J98</f>
        <v>0</v>
      </c>
      <c r="R87" s="17">
        <f>基础状态预期!K98</f>
        <v>0.41079267755187843</v>
      </c>
      <c r="S87" s="17">
        <f>基础状态预期!L98</f>
        <v>5.5892073224481216</v>
      </c>
      <c r="T87" s="17">
        <f>IF(L87=0,0,同名需求(P87,L87,C$6))</f>
        <v>0</v>
      </c>
      <c r="U87" s="17">
        <f>IF(M87=0,0,同名需求(Q87,M87,D$6))</f>
        <v>0</v>
      </c>
      <c r="V87" s="17">
        <f>IF(N87=0,0,同名需求(R87,N87,E$6))</f>
        <v>39.466226844132976</v>
      </c>
      <c r="W87" s="17">
        <f>IF(O87=0,0,同名需求(S87,O87,F$6))</f>
        <v>15.72111844099912</v>
      </c>
      <c r="Z87" s="17">
        <f>投放验证!AL98*C$7</f>
        <v>837.77887228183863</v>
      </c>
      <c r="AA87" s="17">
        <f>投放验证!AM98*D$7</f>
        <v>1310.685510130312</v>
      </c>
      <c r="AB87" s="17">
        <f>投放验证!AN98*E$7</f>
        <v>1176.3858541645275</v>
      </c>
      <c r="AC87" s="17">
        <f>投放验证!AO98*F$7</f>
        <v>1502.7432624814587</v>
      </c>
      <c r="AD87" s="17">
        <f>投放验证!Q98/投放验证!$E$25*投放验证!$E$24/$D$2</f>
        <v>2003.6576833086117</v>
      </c>
      <c r="AE87" s="16">
        <v>4984.0482033379121</v>
      </c>
      <c r="AF87" s="16">
        <f t="shared" si="67"/>
        <v>1.3706230164049638</v>
      </c>
      <c r="AG87" s="17">
        <f t="shared" si="78"/>
        <v>75</v>
      </c>
      <c r="AH87" s="17">
        <f t="shared" si="79"/>
        <v>0</v>
      </c>
      <c r="AI87" s="17">
        <f t="shared" si="80"/>
        <v>0</v>
      </c>
      <c r="AJ87" s="17">
        <f t="shared" si="81"/>
        <v>60.40633685829998</v>
      </c>
      <c r="AK87" s="17">
        <f t="shared" si="82"/>
        <v>1502.7432624814585</v>
      </c>
      <c r="AL87" s="17">
        <f t="shared" si="83"/>
        <v>5268.1015830269907</v>
      </c>
      <c r="AM87" s="16">
        <v>3989.3344197970291</v>
      </c>
      <c r="AO87" s="16">
        <v>82</v>
      </c>
      <c r="AP87" s="16">
        <f t="shared" si="61"/>
        <v>2674.0141829374502</v>
      </c>
      <c r="AQ87" s="16">
        <f t="shared" si="62"/>
        <v>3282.4391113200131</v>
      </c>
      <c r="AR87" s="16">
        <f t="shared" si="63"/>
        <v>4496.0327189284999</v>
      </c>
      <c r="AS87" s="16">
        <f t="shared" si="64"/>
        <v>8520.7893844402188</v>
      </c>
      <c r="AT87" s="16">
        <f t="shared" si="65"/>
        <v>11304.293114326512</v>
      </c>
      <c r="BE87" s="16">
        <v>82</v>
      </c>
      <c r="BF87" s="16">
        <f t="shared" si="68"/>
        <v>470.63022966003234</v>
      </c>
      <c r="BG87" s="16">
        <f t="shared" si="69"/>
        <v>136.47384622332413</v>
      </c>
      <c r="BH87" s="16">
        <f t="shared" si="70"/>
        <v>211.05805895892834</v>
      </c>
      <c r="BI87" s="16">
        <f t="shared" si="71"/>
        <v>4960.5951280364461</v>
      </c>
      <c r="BJ87" s="16">
        <f t="shared" si="72"/>
        <v>16685.395125482632</v>
      </c>
      <c r="BM87" s="16">
        <f t="shared" si="73"/>
        <v>5.6817731085167846</v>
      </c>
      <c r="BN87" s="16">
        <f t="shared" si="74"/>
        <v>24.051781364384425</v>
      </c>
      <c r="BO87" s="16">
        <f t="shared" si="75"/>
        <v>21.302350363240205</v>
      </c>
      <c r="BP87" s="16">
        <f t="shared" si="76"/>
        <v>1.7176949870958338</v>
      </c>
      <c r="BQ87" s="16">
        <f t="shared" si="77"/>
        <v>0.67749627918982414</v>
      </c>
      <c r="BR87" s="16">
        <f>(BF87-AP87)*$D$2/'[1]资源-钻石'!L85</f>
        <v>-0.15945995821793077</v>
      </c>
      <c r="BS87" s="16">
        <f>(BG87-AQ87)*$D$2/'[1]资源-钻石'!M85</f>
        <v>-0.17703174014358461</v>
      </c>
      <c r="BT87" s="16">
        <f>(BH87-AR87)*$D$2/'[1]资源-钻石'!N85</f>
        <v>-0.1664867618735866</v>
      </c>
      <c r="BU87" s="16">
        <f>(BI87-AS87)*$D$2/'[1]资源-钻石'!O85</f>
        <v>-6.8590396268177797E-2</v>
      </c>
      <c r="BV87" s="16">
        <f>(BJ87-AT87)*$D$2/'[1]资源-钻石'!P85</f>
        <v>7.7121520593533124E-2</v>
      </c>
    </row>
    <row r="88" spans="10:74">
      <c r="J88" s="16">
        <v>7</v>
      </c>
      <c r="K88" s="17">
        <f>基础状态预期!C99</f>
        <v>80</v>
      </c>
      <c r="L88" s="17">
        <f>宝物升星!N88</f>
        <v>0</v>
      </c>
      <c r="M88" s="17">
        <f>宝物升星!O88</f>
        <v>0</v>
      </c>
      <c r="N88" s="17">
        <f>宝物升星!P88</f>
        <v>0</v>
      </c>
      <c r="O88" s="17">
        <f>宝物升星!Q88</f>
        <v>3.4555166872012335</v>
      </c>
      <c r="P88" s="17">
        <f>基础状态预期!I99</f>
        <v>0</v>
      </c>
      <c r="Q88" s="17">
        <f>基础状态预期!J99</f>
        <v>0</v>
      </c>
      <c r="R88" s="17">
        <f>基础状态预期!K99</f>
        <v>0</v>
      </c>
      <c r="S88" s="17">
        <f>基础状态预期!L99</f>
        <v>6</v>
      </c>
      <c r="T88" s="17">
        <f>IF(L88=0,0,同名需求(P88,L88,C$6))</f>
        <v>0</v>
      </c>
      <c r="U88" s="17">
        <f>IF(M88=0,0,同名需求(Q88,M88,D$6))</f>
        <v>0</v>
      </c>
      <c r="V88" s="17">
        <f>IF(N88=0,0,同名需求(R88,N88,E$6))</f>
        <v>0</v>
      </c>
      <c r="W88" s="17">
        <f>IF(O88=0,0,同名需求(S88,O88,F$6))</f>
        <v>20.7331001232074</v>
      </c>
      <c r="Z88" s="17">
        <f>投放验证!AL99*C$7</f>
        <v>1166.2153511602803</v>
      </c>
      <c r="AA88" s="17">
        <f>投放验证!AM99*D$7</f>
        <v>1814.3539252672533</v>
      </c>
      <c r="AB88" s="17">
        <f>投放验证!AN99*E$7</f>
        <v>1627.3305092405553</v>
      </c>
      <c r="AC88" s="17">
        <f>投放验证!AO99*F$7</f>
        <v>2073.31001232074</v>
      </c>
      <c r="AD88" s="17">
        <f>投放验证!Q99/投放验证!$E$25*投放验证!$E$24/$D$2</f>
        <v>2764.4133497609869</v>
      </c>
      <c r="AE88" s="16">
        <v>6909.7150686982686</v>
      </c>
      <c r="AF88" s="16">
        <f t="shared" si="67"/>
        <v>1.3670061723007185</v>
      </c>
      <c r="AG88" s="17">
        <f t="shared" si="78"/>
        <v>80</v>
      </c>
      <c r="AH88" s="17">
        <f t="shared" si="79"/>
        <v>0</v>
      </c>
      <c r="AI88" s="17">
        <f t="shared" si="80"/>
        <v>0</v>
      </c>
      <c r="AJ88" s="17">
        <f t="shared" si="81"/>
        <v>0</v>
      </c>
      <c r="AK88" s="17">
        <f t="shared" si="82"/>
        <v>2073.31001232074</v>
      </c>
      <c r="AL88" s="17">
        <f t="shared" si="83"/>
        <v>7372.3131354290763</v>
      </c>
      <c r="AM88" s="16">
        <v>5592.184653056649</v>
      </c>
      <c r="AO88" s="16">
        <v>83</v>
      </c>
      <c r="AP88" s="16">
        <f t="shared" si="61"/>
        <v>2843.7184829874982</v>
      </c>
      <c r="AQ88" s="16">
        <f t="shared" si="62"/>
        <v>3488.2593071963452</v>
      </c>
      <c r="AR88" s="16">
        <f t="shared" si="63"/>
        <v>4781.9894739071096</v>
      </c>
      <c r="AS88" s="16">
        <f t="shared" si="64"/>
        <v>9095.02750894579</v>
      </c>
      <c r="AT88" s="16">
        <f t="shared" si="65"/>
        <v>12125.288900011892</v>
      </c>
      <c r="BE88" s="16">
        <v>83</v>
      </c>
      <c r="BF88" s="16">
        <f t="shared" si="68"/>
        <v>470.63022966003234</v>
      </c>
      <c r="BG88" s="16">
        <f t="shared" si="69"/>
        <v>136.47384622332413</v>
      </c>
      <c r="BH88" s="16">
        <f t="shared" si="70"/>
        <v>249.93577610957612</v>
      </c>
      <c r="BI88" s="16">
        <f t="shared" si="71"/>
        <v>6237.8664734291269</v>
      </c>
      <c r="BJ88" s="16">
        <f t="shared" si="72"/>
        <v>21203.596750321754</v>
      </c>
      <c r="BM88" s="16">
        <f t="shared" si="73"/>
        <v>6.0423625678310255</v>
      </c>
      <c r="BN88" s="16">
        <f t="shared" si="74"/>
        <v>25.55991058893585</v>
      </c>
      <c r="BO88" s="16">
        <f t="shared" si="75"/>
        <v>19.132873045796387</v>
      </c>
      <c r="BP88" s="16">
        <f t="shared" si="76"/>
        <v>1.4580349784156252</v>
      </c>
      <c r="BQ88" s="16">
        <f t="shared" si="77"/>
        <v>0.5718505705796304</v>
      </c>
      <c r="BR88" s="16">
        <f>(BF88-AP88)*$D$2/'[1]资源-钻石'!L86</f>
        <v>-0.16211414146396802</v>
      </c>
      <c r="BS88" s="16">
        <f>(BG88-AQ88)*$D$2/'[1]资源-钻石'!M86</f>
        <v>-0.17766290076220731</v>
      </c>
      <c r="BT88" s="16">
        <f>(BH88-AR88)*$D$2/'[1]资源-钻石'!N86</f>
        <v>-0.16535646223601497</v>
      </c>
      <c r="BU88" s="16">
        <f>(BI88-AS88)*$D$2/'[1]资源-钻石'!O86</f>
        <v>-5.1547386279093416E-2</v>
      </c>
      <c r="BV88" s="16">
        <f>(BJ88-AT88)*$D$2/'[1]资源-钻石'!P86</f>
        <v>0.12157187737381742</v>
      </c>
    </row>
    <row r="89" spans="10:74">
      <c r="J89" s="16">
        <v>8</v>
      </c>
      <c r="K89" s="17">
        <f>基础状态预期!C100</f>
        <v>85</v>
      </c>
      <c r="L89" s="17">
        <f>宝物升星!N89</f>
        <v>0</v>
      </c>
      <c r="M89" s="17">
        <f>宝物升星!O89</f>
        <v>0</v>
      </c>
      <c r="N89" s="17">
        <f>宝物升星!P89</f>
        <v>0</v>
      </c>
      <c r="O89" s="17">
        <f>宝物升星!Q89</f>
        <v>4.7913127273517064</v>
      </c>
      <c r="P89" s="17">
        <f>基础状态预期!I100</f>
        <v>0</v>
      </c>
      <c r="Q89" s="17">
        <f>基础状态预期!J100</f>
        <v>0</v>
      </c>
      <c r="R89" s="17">
        <f>基础状态预期!K100</f>
        <v>0</v>
      </c>
      <c r="S89" s="17">
        <f>基础状态预期!L100</f>
        <v>6</v>
      </c>
      <c r="T89" s="17">
        <f>IF(L89=0,0,同名需求(P89,L89,C$6))</f>
        <v>0</v>
      </c>
      <c r="U89" s="17">
        <f>IF(M89=0,0,同名需求(Q89,M89,D$6))</f>
        <v>0</v>
      </c>
      <c r="V89" s="17">
        <f>IF(N89=0,0,同名需求(R89,N89,E$6))</f>
        <v>0</v>
      </c>
      <c r="W89" s="17">
        <f>IF(O89=0,0,同名需求(S89,O89,F$6))</f>
        <v>28.74787636411024</v>
      </c>
      <c r="Z89" s="17">
        <f>投放验证!AL100*C$7</f>
        <v>1627.6851266482236</v>
      </c>
      <c r="AA89" s="17">
        <f>投放验证!AM100*D$7</f>
        <v>2521.9333956842925</v>
      </c>
      <c r="AB89" s="17">
        <f>投放验证!AN100*E$7</f>
        <v>2260.8350537430492</v>
      </c>
      <c r="AC89" s="17">
        <f>投放验证!AO100*F$7</f>
        <v>2874.7876364110239</v>
      </c>
      <c r="AD89" s="17">
        <f>投放验证!Q100/投放验证!$E$25*投放验证!$E$24/$D$2</f>
        <v>3833.0501818813659</v>
      </c>
      <c r="AE89" s="16">
        <v>9629.2724368958297</v>
      </c>
      <c r="AF89" s="16">
        <f t="shared" si="67"/>
        <v>1.3623346395417673</v>
      </c>
      <c r="AG89" s="17">
        <f t="shared" si="78"/>
        <v>85</v>
      </c>
      <c r="AH89" s="17">
        <f t="shared" si="79"/>
        <v>0</v>
      </c>
      <c r="AI89" s="17">
        <f t="shared" si="80"/>
        <v>0</v>
      </c>
      <c r="AJ89" s="17">
        <f t="shared" si="81"/>
        <v>0</v>
      </c>
      <c r="AK89" s="17">
        <f t="shared" si="82"/>
        <v>2874.7876364110239</v>
      </c>
      <c r="AL89" s="17">
        <f t="shared" si="83"/>
        <v>10243.503757956931</v>
      </c>
      <c r="AM89" s="16">
        <v>7793.1823535894209</v>
      </c>
      <c r="AO89" s="16">
        <v>84</v>
      </c>
      <c r="AP89" s="16">
        <f t="shared" si="61"/>
        <v>3013.4227830375457</v>
      </c>
      <c r="AQ89" s="16">
        <f t="shared" si="62"/>
        <v>3694.0795030726772</v>
      </c>
      <c r="AR89" s="16">
        <f t="shared" si="63"/>
        <v>5067.9462288857185</v>
      </c>
      <c r="AS89" s="16">
        <f t="shared" si="64"/>
        <v>9669.2656334513595</v>
      </c>
      <c r="AT89" s="16">
        <f t="shared" si="65"/>
        <v>12946.284685697274</v>
      </c>
      <c r="BE89" s="16">
        <v>84</v>
      </c>
      <c r="BF89" s="16">
        <f>求节点($AX$6:$AX$26,AY$6:AY$26,$BE89)</f>
        <v>470.63022966003234</v>
      </c>
      <c r="BG89" s="16">
        <f t="shared" si="69"/>
        <v>136.47384622332413</v>
      </c>
      <c r="BH89" s="16">
        <f t="shared" si="70"/>
        <v>288.81349326022394</v>
      </c>
      <c r="BI89" s="16">
        <f t="shared" si="71"/>
        <v>7515.1378188218096</v>
      </c>
      <c r="BJ89" s="16">
        <f t="shared" si="72"/>
        <v>25721.798375160877</v>
      </c>
      <c r="BM89" s="16">
        <f t="shared" si="73"/>
        <v>6.4029520271452647</v>
      </c>
      <c r="BN89" s="16">
        <f t="shared" si="74"/>
        <v>27.068039813487271</v>
      </c>
      <c r="BO89" s="16">
        <f t="shared" si="75"/>
        <v>17.547470416555111</v>
      </c>
      <c r="BP89" s="16">
        <f t="shared" si="76"/>
        <v>1.2866384977311387</v>
      </c>
      <c r="BQ89" s="16">
        <f t="shared" si="77"/>
        <v>0.5033195773044894</v>
      </c>
      <c r="BR89" s="16">
        <f>(BF89-AP89)*$D$2/'[1]资源-钻石'!L87</f>
        <v>-0.16386225322248224</v>
      </c>
      <c r="BS89" s="16">
        <f>(BG89-AQ89)*$D$2/'[1]资源-钻石'!M87</f>
        <v>-0.17751962360379198</v>
      </c>
      <c r="BT89" s="16">
        <f>(BH89-AR89)*$D$2/'[1]资源-钻石'!N87</f>
        <v>-0.16402114665191897</v>
      </c>
      <c r="BU89" s="16">
        <f>(BI89-AS89)*$D$2/'[1]资源-钻石'!O87</f>
        <v>-3.6413681298427314E-2</v>
      </c>
      <c r="BV89" s="16">
        <f>(BJ89-AT89)*$D$2/'[1]资源-钻石'!P87</f>
        <v>0.15999827417951426</v>
      </c>
    </row>
    <row r="90" spans="10:74">
      <c r="J90" s="16">
        <v>9</v>
      </c>
      <c r="K90" s="17">
        <f>基础状态预期!C101</f>
        <v>90</v>
      </c>
      <c r="L90" s="17">
        <f>宝物升星!N90</f>
        <v>0</v>
      </c>
      <c r="M90" s="17">
        <f>宝物升星!O90</f>
        <v>0</v>
      </c>
      <c r="N90" s="17">
        <f>宝物升星!P90</f>
        <v>0</v>
      </c>
      <c r="O90" s="17">
        <f>宝物升星!Q90</f>
        <v>6</v>
      </c>
      <c r="P90" s="17">
        <f>基础状态预期!I101</f>
        <v>0</v>
      </c>
      <c r="Q90" s="17">
        <f>基础状态预期!J101</f>
        <v>0</v>
      </c>
      <c r="R90" s="17">
        <f>基础状态预期!K101</f>
        <v>0</v>
      </c>
      <c r="S90" s="17">
        <f>基础状态预期!L101</f>
        <v>6</v>
      </c>
      <c r="T90" s="17">
        <f>IF(L90=0,0,同名需求(P90,L90,C$6))</f>
        <v>0</v>
      </c>
      <c r="U90" s="17">
        <f>IF(M90=0,0,同名需求(Q90,M90,D$6))</f>
        <v>0</v>
      </c>
      <c r="V90" s="17">
        <f>IF(N90=0,0,同名需求(R90,N90,E$6))</f>
        <v>0</v>
      </c>
      <c r="W90" s="17">
        <f>IF(O90=0,0,同名需求(S90,O90,F$6))</f>
        <v>36</v>
      </c>
      <c r="Z90" s="17">
        <f>投放验证!AL101*C$7</f>
        <v>2211.7067467307352</v>
      </c>
      <c r="AA90" s="17">
        <f>投放验证!AM101*D$7</f>
        <v>3416.3068245913446</v>
      </c>
      <c r="AB90" s="17">
        <f>投放验证!AN101*E$7</f>
        <v>3061.513073641238</v>
      </c>
      <c r="AC90" s="17">
        <f>投放验证!AO101*F$7</f>
        <v>3886.9079915216494</v>
      </c>
      <c r="AD90" s="17">
        <f>投放验证!Q101/投放验证!$E$25*投放验证!$E$24/$D$2</f>
        <v>5182.5439886955337</v>
      </c>
      <c r="AE90" s="16">
        <v>13226.30188516841</v>
      </c>
      <c r="AF90" s="16">
        <f t="shared" si="67"/>
        <v>1.3427017453075756</v>
      </c>
      <c r="AG90" s="17">
        <f t="shared" si="78"/>
        <v>90</v>
      </c>
      <c r="AH90" s="17">
        <f t="shared" si="79"/>
        <v>0</v>
      </c>
      <c r="AI90" s="17">
        <f t="shared" si="80"/>
        <v>0</v>
      </c>
      <c r="AJ90" s="17">
        <f t="shared" si="81"/>
        <v>0</v>
      </c>
      <c r="AK90" s="17">
        <f t="shared" si="82"/>
        <v>3600</v>
      </c>
      <c r="AL90" s="17">
        <f t="shared" si="83"/>
        <v>14158.978625180502</v>
      </c>
      <c r="AM90" s="16">
        <v>11066.30188516841</v>
      </c>
      <c r="AO90" s="16">
        <v>85</v>
      </c>
      <c r="AP90" s="16">
        <f t="shared" si="61"/>
        <v>3183.1270830875937</v>
      </c>
      <c r="AQ90" s="16">
        <f t="shared" si="62"/>
        <v>3899.8996989490092</v>
      </c>
      <c r="AR90" s="16">
        <f t="shared" si="63"/>
        <v>5353.9029838643282</v>
      </c>
      <c r="AS90" s="16">
        <f t="shared" si="64"/>
        <v>10243.503757956931</v>
      </c>
      <c r="AT90" s="16">
        <f t="shared" si="65"/>
        <v>13767.280471382655</v>
      </c>
      <c r="BE90" s="16">
        <v>85</v>
      </c>
      <c r="BF90" s="16">
        <f t="shared" si="68"/>
        <v>470.63022966003234</v>
      </c>
      <c r="BG90" s="16">
        <f t="shared" si="69"/>
        <v>136.47384622332413</v>
      </c>
      <c r="BH90" s="16">
        <f t="shared" si="70"/>
        <v>327.69121041087169</v>
      </c>
      <c r="BI90" s="16">
        <f t="shared" si="71"/>
        <v>8792.4091642144904</v>
      </c>
      <c r="BJ90" s="16">
        <f t="shared" si="72"/>
        <v>30240</v>
      </c>
      <c r="BM90" s="16">
        <f t="shared" si="73"/>
        <v>6.7635414864595056</v>
      </c>
      <c r="BN90" s="16">
        <f t="shared" si="74"/>
        <v>28.576169038038696</v>
      </c>
      <c r="BO90" s="16">
        <f t="shared" si="75"/>
        <v>16.338256302790061</v>
      </c>
      <c r="BP90" s="16">
        <f t="shared" si="76"/>
        <v>1.1650394751473194</v>
      </c>
      <c r="BQ90" s="16">
        <f t="shared" si="77"/>
        <v>0.45526721135524656</v>
      </c>
      <c r="BR90" s="16">
        <f>(BF90-AP90)*$D$2/'[1]资源-钻石'!L88</f>
        <v>-0.16482516993331298</v>
      </c>
      <c r="BS90" s="16">
        <f>(BG90-AQ90)*$D$2/'[1]资源-钻石'!M88</f>
        <v>-0.17702363902693141</v>
      </c>
      <c r="BT90" s="16">
        <f>(BH90-AR90)*$D$2/'[1]资源-钻石'!N88</f>
        <v>-0.16229707895521234</v>
      </c>
      <c r="BU90" s="16">
        <f>(BI90-AS90)*$D$2/'[1]资源-钻石'!O88</f>
        <v>-2.294390178067415E-2</v>
      </c>
      <c r="BV90" s="16">
        <f>(BJ90-AT90)*$D$2/'[1]资源-钻石'!P88</f>
        <v>0.19301217049610586</v>
      </c>
    </row>
    <row r="91" spans="10:74">
      <c r="J91" s="16">
        <v>10</v>
      </c>
      <c r="K91" s="17">
        <f>基础状态预期!C102</f>
        <v>95</v>
      </c>
      <c r="L91" s="17">
        <f>宝物升星!N91</f>
        <v>0</v>
      </c>
      <c r="M91" s="17">
        <f>宝物升星!O91</f>
        <v>0</v>
      </c>
      <c r="N91" s="17">
        <f>宝物升星!P91</f>
        <v>0</v>
      </c>
      <c r="O91" s="17">
        <f>宝物升星!Q91</f>
        <v>6</v>
      </c>
      <c r="P91" s="17">
        <f>基础状态预期!I102</f>
        <v>0</v>
      </c>
      <c r="Q91" s="17">
        <f>基础状态预期!J102</f>
        <v>0</v>
      </c>
      <c r="R91" s="17">
        <f>基础状态预期!K102</f>
        <v>0</v>
      </c>
      <c r="S91" s="17">
        <f>基础状态预期!L102</f>
        <v>6</v>
      </c>
      <c r="T91" s="17">
        <f>IF(L91=0,0,同名需求(P91,L91,C$6))</f>
        <v>0</v>
      </c>
      <c r="U91" s="17">
        <f>IF(M91=0,0,同名需求(Q91,M91,D$6))</f>
        <v>0</v>
      </c>
      <c r="V91" s="17">
        <f>IF(N91=0,0,同名需求(R91,N91,E$6))</f>
        <v>0</v>
      </c>
      <c r="W91" s="17">
        <f>IF(O91=0,0,同名需求(S91,O91,F$6))</f>
        <v>36</v>
      </c>
      <c r="Z91" s="17">
        <f>投放验证!AL102*C$7</f>
        <v>3058.5547517838154</v>
      </c>
      <c r="AA91" s="17">
        <f>投放验证!AM102*D$7</f>
        <v>4713.1738034806076</v>
      </c>
      <c r="AB91" s="17">
        <f>投放验证!AN102*E$7</f>
        <v>4222.519037332846</v>
      </c>
      <c r="AC91" s="17">
        <f>投放验证!AO102*F$7</f>
        <v>5354.5113714752088</v>
      </c>
      <c r="AD91" s="17">
        <f>投放验证!Q102/投放验证!$E$25*投放验证!$E$24/$D$2</f>
        <v>7139.3484953002799</v>
      </c>
      <c r="AE91" s="16">
        <v>18457.106957136071</v>
      </c>
      <c r="AF91" s="16">
        <f t="shared" si="67"/>
        <v>1.326757628714121</v>
      </c>
      <c r="AG91" s="17">
        <f t="shared" si="78"/>
        <v>95</v>
      </c>
      <c r="AH91" s="17">
        <f t="shared" si="79"/>
        <v>0</v>
      </c>
      <c r="AI91" s="17">
        <f t="shared" si="80"/>
        <v>0</v>
      </c>
      <c r="AJ91" s="17">
        <f t="shared" si="81"/>
        <v>0</v>
      </c>
      <c r="AK91" s="17">
        <f t="shared" si="82"/>
        <v>3600</v>
      </c>
      <c r="AL91" s="17">
        <f t="shared" si="83"/>
        <v>20888.107459372757</v>
      </c>
      <c r="AM91" s="16">
        <v>16297.106957136071</v>
      </c>
      <c r="AO91" s="16">
        <v>86</v>
      </c>
      <c r="AP91" s="16">
        <f t="shared" si="61"/>
        <v>3404.631492338674</v>
      </c>
      <c r="AQ91" s="16">
        <f t="shared" si="62"/>
        <v>4177.5384742084634</v>
      </c>
      <c r="AR91" s="16">
        <f t="shared" si="63"/>
        <v>5743.3183340976457</v>
      </c>
      <c r="AS91" s="16">
        <f t="shared" si="64"/>
        <v>11026.598731401646</v>
      </c>
      <c r="AT91" s="16">
        <f t="shared" si="65"/>
        <v>14937.34864032159</v>
      </c>
      <c r="BE91" s="16">
        <v>86</v>
      </c>
      <c r="BF91" s="16">
        <f t="shared" si="68"/>
        <v>470.63022966003234</v>
      </c>
      <c r="BG91" s="16">
        <f t="shared" si="69"/>
        <v>152.14329259666812</v>
      </c>
      <c r="BH91" s="16">
        <f t="shared" si="70"/>
        <v>488.92690423347727</v>
      </c>
      <c r="BI91" s="16">
        <f t="shared" si="71"/>
        <v>13081.927331371593</v>
      </c>
      <c r="BJ91" s="16">
        <f t="shared" si="72"/>
        <v>30240</v>
      </c>
      <c r="BM91" s="16">
        <f t="shared" si="73"/>
        <v>7.2341963558058451</v>
      </c>
      <c r="BN91" s="16">
        <f t="shared" si="74"/>
        <v>27.45792077264371</v>
      </c>
      <c r="BO91" s="16">
        <f t="shared" si="75"/>
        <v>11.746783178360417</v>
      </c>
      <c r="BP91" s="16">
        <f t="shared" si="76"/>
        <v>0.84288793631798486</v>
      </c>
      <c r="BQ91" s="16">
        <f t="shared" si="77"/>
        <v>0.49395994180957642</v>
      </c>
      <c r="BR91" s="16">
        <f>(BF91-AP91)*$D$2/'[1]资源-钻石'!L89</f>
        <v>-0.16885971403418598</v>
      </c>
      <c r="BS91" s="16">
        <f>(BG91-AQ91)*$D$2/'[1]资源-钻石'!M89</f>
        <v>-0.17822023304539786</v>
      </c>
      <c r="BT91" s="16">
        <f>(BH91-AR91)*$D$2/'[1]资源-钻石'!N89</f>
        <v>-0.15929868349045267</v>
      </c>
      <c r="BU91" s="16">
        <f>(BI91-AS91)*$D$2/'[1]资源-钻石'!O89</f>
        <v>3.0366010783709159E-2</v>
      </c>
      <c r="BV91" s="16">
        <f>(BJ91-AT91)*$D$2/'[1]资源-钻石'!P89</f>
        <v>0.16915508495395862</v>
      </c>
    </row>
    <row r="92" spans="10:74">
      <c r="J92" s="16">
        <v>11</v>
      </c>
      <c r="K92" s="17">
        <f>基础状态预期!C103</f>
        <v>100</v>
      </c>
      <c r="L92" s="17">
        <f>宝物升星!N92</f>
        <v>0</v>
      </c>
      <c r="M92" s="17">
        <f>宝物升星!O92</f>
        <v>0</v>
      </c>
      <c r="N92" s="17">
        <f>宝物升星!P92</f>
        <v>0</v>
      </c>
      <c r="O92" s="17">
        <f>宝物升星!Q92</f>
        <v>6</v>
      </c>
      <c r="P92" s="17">
        <f>基础状态预期!I103</f>
        <v>0</v>
      </c>
      <c r="Q92" s="17">
        <f>基础状态预期!J103</f>
        <v>0</v>
      </c>
      <c r="R92" s="17">
        <f>基础状态预期!K103</f>
        <v>0</v>
      </c>
      <c r="S92" s="17">
        <f>基础状态预期!L103</f>
        <v>6</v>
      </c>
      <c r="T92" s="17">
        <f>IF(L92=0,0,同名需求(P92,L92,C$6))</f>
        <v>0</v>
      </c>
      <c r="U92" s="17">
        <f>IF(M92=0,0,同名需求(Q92,M92,D$6))</f>
        <v>0</v>
      </c>
      <c r="V92" s="17">
        <f>IF(N92=0,0,同名需求(R92,N92,E$6))</f>
        <v>0</v>
      </c>
      <c r="W92" s="17">
        <f>IF(O92=0,0,同名需求(S92,O92,F$6))</f>
        <v>36</v>
      </c>
      <c r="Z92" s="17">
        <f>投放验证!AL103*C$7</f>
        <v>4330.4895606596647</v>
      </c>
      <c r="AA92" s="17">
        <f>投放验证!AM103*D$7</f>
        <v>6658.8803723528945</v>
      </c>
      <c r="AB92" s="17">
        <f>投放验证!AN103*E$7</f>
        <v>5964.2659816496316</v>
      </c>
      <c r="AC92" s="17">
        <f>投放验证!AO103*F$7</f>
        <v>7554.5735221995074</v>
      </c>
      <c r="AD92" s="17">
        <f>投放验证!Q103/投放验证!$E$25*投放验证!$E$24/$D$2</f>
        <v>10072.764696266011</v>
      </c>
      <c r="AE92" s="16">
        <v>24473.006972842715</v>
      </c>
      <c r="AF92" s="16">
        <f t="shared" si="67"/>
        <v>1.413025141189296</v>
      </c>
      <c r="AG92" s="17">
        <f t="shared" si="78"/>
        <v>100</v>
      </c>
      <c r="AH92" s="17">
        <f t="shared" si="79"/>
        <v>0</v>
      </c>
      <c r="AI92" s="17">
        <f t="shared" si="80"/>
        <v>0</v>
      </c>
      <c r="AJ92" s="17">
        <f t="shared" si="81"/>
        <v>0</v>
      </c>
      <c r="AK92" s="17">
        <f t="shared" si="82"/>
        <v>3600</v>
      </c>
      <c r="AL92" s="17">
        <f t="shared" si="83"/>
        <v>30980.974133127704</v>
      </c>
      <c r="AM92" s="16">
        <v>22313.006972842715</v>
      </c>
      <c r="AO92" s="16">
        <v>87</v>
      </c>
      <c r="AP92" s="16">
        <f t="shared" si="61"/>
        <v>3626.1359015897542</v>
      </c>
      <c r="AQ92" s="16">
        <f t="shared" si="62"/>
        <v>4455.177249467918</v>
      </c>
      <c r="AR92" s="16">
        <f t="shared" si="63"/>
        <v>6132.7336843309631</v>
      </c>
      <c r="AS92" s="16">
        <f t="shared" si="64"/>
        <v>11809.693704846359</v>
      </c>
      <c r="AT92" s="16">
        <f t="shared" si="65"/>
        <v>16107.416809260527</v>
      </c>
      <c r="BE92" s="16">
        <v>87</v>
      </c>
      <c r="BF92" s="16">
        <f t="shared" si="68"/>
        <v>470.63022966003234</v>
      </c>
      <c r="BG92" s="16">
        <f t="shared" si="69"/>
        <v>167.81273897001208</v>
      </c>
      <c r="BH92" s="16">
        <f t="shared" si="70"/>
        <v>650.16259805608286</v>
      </c>
      <c r="BI92" s="16">
        <f t="shared" si="71"/>
        <v>17371.445498528694</v>
      </c>
      <c r="BJ92" s="16">
        <f t="shared" si="72"/>
        <v>30240</v>
      </c>
      <c r="BM92" s="16">
        <f t="shared" si="73"/>
        <v>7.7048512251521846</v>
      </c>
      <c r="BN92" s="16">
        <f t="shared" si="74"/>
        <v>26.548504462846843</v>
      </c>
      <c r="BO92" s="16">
        <f t="shared" si="75"/>
        <v>9.4326153221781528</v>
      </c>
      <c r="BP92" s="16">
        <f t="shared" si="76"/>
        <v>0.67983367911706616</v>
      </c>
      <c r="BQ92" s="16">
        <f t="shared" si="77"/>
        <v>0.53265267226390633</v>
      </c>
      <c r="BR92" s="16">
        <f>(BF92-AP92)*$D$2/'[1]资源-钻石'!L90</f>
        <v>-0.17186970503772644</v>
      </c>
      <c r="BS92" s="16">
        <f>(BG92-AQ92)*$D$2/'[1]资源-钻石'!M90</f>
        <v>-0.17839401736926644</v>
      </c>
      <c r="BT92" s="16">
        <f>(BH92-AR92)*$D$2/'[1]资源-钻石'!N90</f>
        <v>-0.15573650929708174</v>
      </c>
      <c r="BU92" s="16">
        <f>(BI92-AS92)*$D$2/'[1]资源-钻石'!O90</f>
        <v>7.7331048281030018E-2</v>
      </c>
      <c r="BV92" s="16">
        <f>(BJ92-AT92)*$D$2/'[1]资源-钻石'!P90</f>
        <v>0.14737304663051992</v>
      </c>
    </row>
    <row r="93" spans="10:74">
      <c r="J93" s="16">
        <v>12</v>
      </c>
      <c r="K93" s="17">
        <f>基础状态预期!C104</f>
        <v>105</v>
      </c>
      <c r="L93" s="17">
        <f>宝物升星!N93</f>
        <v>0</v>
      </c>
      <c r="M93" s="17">
        <f>宝物升星!O93</f>
        <v>0</v>
      </c>
      <c r="N93" s="17">
        <f>宝物升星!P93</f>
        <v>0</v>
      </c>
      <c r="O93" s="17">
        <f>宝物升星!Q93</f>
        <v>6</v>
      </c>
      <c r="P93" s="17">
        <f>基础状态预期!I104</f>
        <v>0</v>
      </c>
      <c r="Q93" s="17">
        <f>基础状态预期!J104</f>
        <v>0</v>
      </c>
      <c r="R93" s="17">
        <f>基础状态预期!K104</f>
        <v>0</v>
      </c>
      <c r="S93" s="17">
        <f>基础状态预期!L104</f>
        <v>6</v>
      </c>
      <c r="T93" s="17">
        <f>IF(L93=0,0,同名需求(P93,L93,C$6))</f>
        <v>0</v>
      </c>
      <c r="U93" s="17">
        <f>IF(M93=0,0,同名需求(Q93,M93,D$6))</f>
        <v>0</v>
      </c>
      <c r="V93" s="17">
        <f>IF(N93=0,0,同名需求(R93,N93,E$6))</f>
        <v>0</v>
      </c>
      <c r="W93" s="17">
        <f>IF(O93=0,0,同名需求(S93,O93,F$6))</f>
        <v>36</v>
      </c>
      <c r="Z93" s="17">
        <f>投放验证!AL104*C$7</f>
        <v>6038.9497854001174</v>
      </c>
      <c r="AA93" s="17">
        <f>投放验证!AM104*D$7</f>
        <v>9272.258932615483</v>
      </c>
      <c r="AB93" s="17">
        <f>投放验证!AN104*E$7</f>
        <v>8303.6905651021752</v>
      </c>
      <c r="AC93" s="17">
        <f>投放验证!AO104*F$7</f>
        <v>10509.513838865256</v>
      </c>
      <c r="AD93" s="17">
        <f>投放验证!Q104/投放验证!$E$25*投放验证!$E$24/$D$2</f>
        <v>14012.68511848701</v>
      </c>
      <c r="AE93" s="16">
        <v>30661.056203995598</v>
      </c>
      <c r="AF93" s="16">
        <f t="shared" si="67"/>
        <v>1.5699752128629232</v>
      </c>
      <c r="AG93" s="17">
        <f t="shared" si="78"/>
        <v>105</v>
      </c>
      <c r="AH93" s="17">
        <f t="shared" si="79"/>
        <v>0</v>
      </c>
      <c r="AI93" s="17">
        <f t="shared" si="80"/>
        <v>0</v>
      </c>
      <c r="AJ93" s="17">
        <f t="shared" si="81"/>
        <v>0</v>
      </c>
      <c r="AK93" s="17">
        <f t="shared" si="82"/>
        <v>3600</v>
      </c>
      <c r="AL93" s="17">
        <f t="shared" si="83"/>
        <v>44537.098240470041</v>
      </c>
      <c r="AM93" s="16">
        <v>28501.056203995598</v>
      </c>
      <c r="AO93" s="16">
        <v>88</v>
      </c>
      <c r="AP93" s="16">
        <f t="shared" si="61"/>
        <v>3847.6403108408349</v>
      </c>
      <c r="AQ93" s="16">
        <f t="shared" si="62"/>
        <v>4732.8160247273718</v>
      </c>
      <c r="AR93" s="16">
        <f t="shared" si="63"/>
        <v>6522.1490345642815</v>
      </c>
      <c r="AS93" s="16">
        <f t="shared" si="64"/>
        <v>12592.788678291074</v>
      </c>
      <c r="AT93" s="16">
        <f t="shared" si="65"/>
        <v>17277.484978199464</v>
      </c>
      <c r="BE93" s="16">
        <v>88</v>
      </c>
      <c r="BF93" s="16">
        <f t="shared" si="68"/>
        <v>470.63022966003234</v>
      </c>
      <c r="BG93" s="16">
        <f t="shared" si="69"/>
        <v>183.48218534335606</v>
      </c>
      <c r="BH93" s="16">
        <f t="shared" si="70"/>
        <v>811.3982918786885</v>
      </c>
      <c r="BI93" s="16">
        <f t="shared" si="71"/>
        <v>21660.963665685798</v>
      </c>
      <c r="BJ93" s="16">
        <f t="shared" si="72"/>
        <v>30240</v>
      </c>
      <c r="BM93" s="16">
        <f t="shared" si="73"/>
        <v>8.1755060944985249</v>
      </c>
      <c r="BN93" s="16">
        <f t="shared" si="74"/>
        <v>25.794417130309967</v>
      </c>
      <c r="BO93" s="16">
        <f t="shared" si="75"/>
        <v>8.0381596804487767</v>
      </c>
      <c r="BP93" s="16">
        <f t="shared" si="76"/>
        <v>0.58135865387373931</v>
      </c>
      <c r="BQ93" s="16">
        <f t="shared" si="77"/>
        <v>0.57134540271823619</v>
      </c>
      <c r="BR93" s="16">
        <f>(BF93-AP93)*$D$2/'[1]资源-钻石'!L91</f>
        <v>-0.17393796517879362</v>
      </c>
      <c r="BS93" s="16">
        <f>(BG93-AQ93)*$D$2/'[1]资源-钻石'!M91</f>
        <v>-0.1783016668660263</v>
      </c>
      <c r="BT93" s="16">
        <f>(BH93-AR93)*$D$2/'[1]资源-钻石'!N91</f>
        <v>-0.15244747215194893</v>
      </c>
      <c r="BU93" s="16">
        <f>(BI93-AS93)*$D$2/'[1]资源-钻石'!O91</f>
        <v>0.11895089858481524</v>
      </c>
      <c r="BV93" s="16">
        <f>(BJ93-AT93)*$D$2/'[1]资源-钻石'!P91</f>
        <v>0.12728844123116057</v>
      </c>
    </row>
    <row r="94" spans="10:74">
      <c r="J94" s="16">
        <v>13</v>
      </c>
      <c r="K94" s="17">
        <f>基础状态预期!C105</f>
        <v>110</v>
      </c>
      <c r="L94" s="17">
        <f>宝物升星!N94</f>
        <v>0</v>
      </c>
      <c r="M94" s="17">
        <f>宝物升星!O94</f>
        <v>0</v>
      </c>
      <c r="N94" s="17">
        <f>宝物升星!P94</f>
        <v>0</v>
      </c>
      <c r="O94" s="17">
        <f>宝物升星!Q94</f>
        <v>6</v>
      </c>
      <c r="P94" s="17">
        <f>基础状态预期!I105</f>
        <v>0</v>
      </c>
      <c r="Q94" s="17">
        <f>基础状态预期!J105</f>
        <v>0</v>
      </c>
      <c r="R94" s="17">
        <f>基础状态预期!K105</f>
        <v>0</v>
      </c>
      <c r="S94" s="17">
        <f>基础状态预期!L105</f>
        <v>6</v>
      </c>
      <c r="T94" s="17">
        <f>IF(L94=0,0,同名需求(P94,L94,C$6))</f>
        <v>0</v>
      </c>
      <c r="U94" s="17">
        <f>IF(M94=0,0,同名需求(Q94,M94,D$6))</f>
        <v>0</v>
      </c>
      <c r="V94" s="17">
        <f>IF(N94=0,0,同名需求(R94,N94,E$6))</f>
        <v>0</v>
      </c>
      <c r="W94" s="17">
        <f>IF(O94=0,0,同名需求(S94,O94,F$6))</f>
        <v>36</v>
      </c>
      <c r="Z94" s="17">
        <f>投放验证!AL105*C$7</f>
        <v>8410.1992720062626</v>
      </c>
      <c r="AA94" s="17">
        <f>投放验证!AM105*D$7</f>
        <v>12896.335267730556</v>
      </c>
      <c r="AB94" s="17">
        <f>投放验证!AN105*E$7</f>
        <v>11547.678967194528</v>
      </c>
      <c r="AC94" s="17">
        <f>投放验证!AO105*F$7</f>
        <v>14604.591369592703</v>
      </c>
      <c r="AD94" s="17">
        <f>投放验证!Q105/投放验证!$E$25*投放验证!$E$24/$D$2</f>
        <v>19472.788492790271</v>
      </c>
      <c r="AE94" s="16">
        <v>37099.40034297137</v>
      </c>
      <c r="AF94" s="16">
        <f t="shared" si="67"/>
        <v>1.8041152350322227</v>
      </c>
      <c r="AG94" s="17">
        <f t="shared" si="78"/>
        <v>110</v>
      </c>
      <c r="AH94" s="17">
        <f t="shared" si="79"/>
        <v>0</v>
      </c>
      <c r="AI94" s="17">
        <f t="shared" si="80"/>
        <v>0</v>
      </c>
      <c r="AJ94" s="17">
        <f t="shared" si="81"/>
        <v>0</v>
      </c>
      <c r="AK94" s="17">
        <f t="shared" si="82"/>
        <v>3600</v>
      </c>
      <c r="AL94" s="17">
        <f t="shared" si="83"/>
        <v>63331.593369314316</v>
      </c>
      <c r="AM94" s="16">
        <v>34939.40034297137</v>
      </c>
      <c r="AO94" s="16">
        <v>89</v>
      </c>
      <c r="AP94" s="16">
        <f t="shared" si="61"/>
        <v>4069.1447200919151</v>
      </c>
      <c r="AQ94" s="16">
        <f t="shared" si="62"/>
        <v>5010.4547999868264</v>
      </c>
      <c r="AR94" s="16">
        <f t="shared" si="63"/>
        <v>6911.5643847975989</v>
      </c>
      <c r="AS94" s="16">
        <f t="shared" si="64"/>
        <v>13375.883651735789</v>
      </c>
      <c r="AT94" s="16">
        <f t="shared" si="65"/>
        <v>18447.553147138398</v>
      </c>
      <c r="BE94" s="16">
        <v>89</v>
      </c>
      <c r="BF94" s="16">
        <f t="shared" si="68"/>
        <v>470.63022966003234</v>
      </c>
      <c r="BG94" s="16">
        <f t="shared" si="69"/>
        <v>199.15163171670002</v>
      </c>
      <c r="BH94" s="16">
        <f t="shared" si="70"/>
        <v>972.63398570129402</v>
      </c>
      <c r="BI94" s="16">
        <f t="shared" si="71"/>
        <v>25950.481832842896</v>
      </c>
      <c r="BJ94" s="16">
        <f t="shared" si="72"/>
        <v>30240</v>
      </c>
      <c r="BM94" s="16">
        <f t="shared" si="73"/>
        <v>8.6461609638448635</v>
      </c>
      <c r="BN94" s="16">
        <f t="shared" si="74"/>
        <v>25.158994464651784</v>
      </c>
      <c r="BO94" s="16">
        <f t="shared" si="75"/>
        <v>7.106028050021493</v>
      </c>
      <c r="BP94" s="16">
        <f t="shared" si="76"/>
        <v>0.51543873974653098</v>
      </c>
      <c r="BQ94" s="16">
        <f t="shared" si="77"/>
        <v>0.61003813317256605</v>
      </c>
      <c r="BR94" s="16">
        <f>(BF94-AP94)*$D$2/'[1]资源-钻石'!L92</f>
        <v>-0.17514503275690299</v>
      </c>
      <c r="BS94" s="16">
        <f>(BG94-AQ94)*$D$2/'[1]资源-钻石'!M92</f>
        <v>-0.17807151442594876</v>
      </c>
      <c r="BT94" s="16">
        <f>(BH94-AR94)*$D$2/'[1]资源-钻石'!N92</f>
        <v>-0.14986740145836816</v>
      </c>
      <c r="BU94" s="16">
        <f>(BI94-AS94)*$D$2/'[1]资源-钻石'!O92</f>
        <v>0.15556938407045823</v>
      </c>
      <c r="BV94" s="16">
        <f>(BJ94-AT94)*$D$2/'[1]资源-钻石'!P92</f>
        <v>0.10942306630202626</v>
      </c>
    </row>
    <row r="95" spans="10:74">
      <c r="J95" s="16">
        <v>14</v>
      </c>
      <c r="K95" s="17">
        <f>基础状态预期!C106</f>
        <v>115</v>
      </c>
      <c r="L95" s="17">
        <f>宝物升星!N95</f>
        <v>0</v>
      </c>
      <c r="M95" s="17">
        <f>宝物升星!O95</f>
        <v>0</v>
      </c>
      <c r="N95" s="17">
        <f>宝物升星!P95</f>
        <v>0</v>
      </c>
      <c r="O95" s="17">
        <f>宝物升星!Q95</f>
        <v>6</v>
      </c>
      <c r="P95" s="17">
        <f>基础状态预期!I106</f>
        <v>0</v>
      </c>
      <c r="Q95" s="17">
        <f>基础状态预期!J106</f>
        <v>0</v>
      </c>
      <c r="R95" s="17">
        <f>基础状态预期!K106</f>
        <v>0</v>
      </c>
      <c r="S95" s="17">
        <f>基础状态预期!L106</f>
        <v>6</v>
      </c>
      <c r="T95" s="17">
        <f>IF(L95=0,0,同名需求(P95,L95,C$6))</f>
        <v>0</v>
      </c>
      <c r="U95" s="17">
        <f>IF(M95=0,0,同名需求(Q95,M95,D$6))</f>
        <v>0</v>
      </c>
      <c r="V95" s="17">
        <f>IF(N95=0,0,同名需求(R95,N95,E$6))</f>
        <v>0</v>
      </c>
      <c r="W95" s="17">
        <f>IF(O95=0,0,同名需求(S95,O95,F$6))</f>
        <v>36</v>
      </c>
      <c r="Z95" s="17">
        <f>投放验证!AL106*C$7</f>
        <v>11752.340774267674</v>
      </c>
      <c r="AA95" s="17">
        <f>投放验证!AM106*D$7</f>
        <v>18004.162952684848</v>
      </c>
      <c r="AB95" s="17">
        <f>投放验证!AN106*E$7</f>
        <v>16119.799000958967</v>
      </c>
      <c r="AC95" s="17">
        <f>投放验证!AO106*F$7</f>
        <v>20376.169049324202</v>
      </c>
      <c r="AD95" s="17">
        <f>投放验证!Q106/投放验证!$E$25*投放验证!$E$24/$D$2</f>
        <v>27168.22539909893</v>
      </c>
      <c r="AE95" s="16">
        <v>43920.59062714348</v>
      </c>
      <c r="AF95" s="16">
        <f t="shared" si="67"/>
        <v>2.1270364501564663</v>
      </c>
      <c r="AG95" s="17">
        <f t="shared" si="78"/>
        <v>115</v>
      </c>
      <c r="AH95" s="17">
        <f t="shared" si="79"/>
        <v>0</v>
      </c>
      <c r="AI95" s="17">
        <f t="shared" si="80"/>
        <v>0</v>
      </c>
      <c r="AJ95" s="17">
        <f t="shared" si="81"/>
        <v>0</v>
      </c>
      <c r="AK95" s="17">
        <f t="shared" si="82"/>
        <v>3600</v>
      </c>
      <c r="AL95" s="17">
        <f t="shared" si="83"/>
        <v>89820.697176334623</v>
      </c>
      <c r="AM95" s="16">
        <v>41760.59062714348</v>
      </c>
      <c r="AO95" s="16">
        <v>90</v>
      </c>
      <c r="AP95" s="16">
        <f t="shared" si="61"/>
        <v>4290.6491293429954</v>
      </c>
      <c r="AQ95" s="16">
        <f t="shared" si="62"/>
        <v>5288.093575246281</v>
      </c>
      <c r="AR95" s="16">
        <f t="shared" si="63"/>
        <v>7300.9797350309163</v>
      </c>
      <c r="AS95" s="16">
        <f t="shared" si="64"/>
        <v>14158.978625180502</v>
      </c>
      <c r="AT95" s="16">
        <f t="shared" si="65"/>
        <v>19617.621316077333</v>
      </c>
      <c r="BE95" s="16">
        <v>90</v>
      </c>
      <c r="BF95" s="16">
        <f t="shared" si="68"/>
        <v>470.63022966003234</v>
      </c>
      <c r="BG95" s="16">
        <f t="shared" si="69"/>
        <v>214.82107809004401</v>
      </c>
      <c r="BH95" s="16">
        <f t="shared" si="70"/>
        <v>1133.8696795238995</v>
      </c>
      <c r="BI95" s="16">
        <f t="shared" si="71"/>
        <v>30240</v>
      </c>
      <c r="BJ95" s="16">
        <f t="shared" si="72"/>
        <v>30240</v>
      </c>
      <c r="BM95" s="16">
        <f t="shared" si="73"/>
        <v>9.1168158331912039</v>
      </c>
      <c r="BN95" s="16">
        <f t="shared" si="74"/>
        <v>24.616269605674976</v>
      </c>
      <c r="BO95" s="16">
        <f t="shared" si="75"/>
        <v>6.4389937105439881</v>
      </c>
      <c r="BP95" s="16">
        <f t="shared" si="76"/>
        <v>0.46822019263163034</v>
      </c>
      <c r="BQ95" s="16">
        <f t="shared" si="77"/>
        <v>0.64873086362689591</v>
      </c>
      <c r="BR95" s="16">
        <f>(BF95-AP95)*$D$2/'[1]资源-钻石'!L93</f>
        <v>-0.17556874600430489</v>
      </c>
      <c r="BS95" s="16">
        <f>(BG95-AQ95)*$D$2/'[1]资源-钻石'!M93</f>
        <v>-0.17809664920302365</v>
      </c>
      <c r="BT95" s="16">
        <f>(BH95-AR95)*$D$2/'[1]资源-钻石'!N93</f>
        <v>-0.1468496330315355</v>
      </c>
      <c r="BU95" s="16">
        <f>(BI95-AS95)*$D$2/'[1]资源-钻石'!O93</f>
        <v>0.18805578074697232</v>
      </c>
      <c r="BV95" s="16">
        <f>(BJ95-AT95)*$D$2/'[1]资源-钻石'!P93</f>
        <v>9.3140847882824451E-2</v>
      </c>
    </row>
    <row r="96" spans="10:74">
      <c r="J96" s="16">
        <v>15</v>
      </c>
      <c r="K96" s="17">
        <f>基础状态预期!C107</f>
        <v>120</v>
      </c>
      <c r="L96" s="17">
        <f>宝物升星!N96</f>
        <v>0</v>
      </c>
      <c r="M96" s="17">
        <f>宝物升星!O96</f>
        <v>0</v>
      </c>
      <c r="N96" s="17">
        <f>宝物升星!P96</f>
        <v>0</v>
      </c>
      <c r="O96" s="17">
        <f>宝物升星!Q96</f>
        <v>6</v>
      </c>
      <c r="P96" s="17">
        <f>基础状态预期!I107</f>
        <v>0</v>
      </c>
      <c r="Q96" s="17">
        <f>基础状态预期!J107</f>
        <v>0</v>
      </c>
      <c r="R96" s="17">
        <f>基础状态预期!K107</f>
        <v>0</v>
      </c>
      <c r="S96" s="17">
        <f>基础状态预期!L107</f>
        <v>6</v>
      </c>
      <c r="T96" s="17">
        <f>IF(L96=0,0,同名需求(P96,L96,C$6))</f>
        <v>0</v>
      </c>
      <c r="U96" s="17">
        <f>IF(M96=0,0,同名需求(Q96,M96,D$6))</f>
        <v>0</v>
      </c>
      <c r="V96" s="17">
        <f>IF(N96=0,0,同名需求(R96,N96,E$6))</f>
        <v>0</v>
      </c>
      <c r="W96" s="17">
        <f>IF(O96=0,0,同名需求(S96,O96,F$6))</f>
        <v>36</v>
      </c>
      <c r="Z96" s="17">
        <f>投放验证!AL107*C$7</f>
        <v>16510.189116537185</v>
      </c>
      <c r="AA96" s="17">
        <f>投放验证!AM107*D$7</f>
        <v>25271.275339828753</v>
      </c>
      <c r="AB96" s="17">
        <f>投放验证!AN107*E$7</f>
        <v>22624.482578605908</v>
      </c>
      <c r="AC96" s="17">
        <f>投放验证!AO107*F$7</f>
        <v>28583.951171474542</v>
      </c>
      <c r="AD96" s="17">
        <f>投放验证!Q107/投放验证!$E$25*投放验证!$E$24/$D$2</f>
        <v>38111.93489529939</v>
      </c>
      <c r="AE96" s="16">
        <v>51309.012396986109</v>
      </c>
      <c r="AF96" s="16">
        <f t="shared" si="67"/>
        <v>2.5551424004693315</v>
      </c>
      <c r="AG96" s="17">
        <f t="shared" si="78"/>
        <v>120</v>
      </c>
      <c r="AH96" s="17">
        <f t="shared" si="79"/>
        <v>0</v>
      </c>
      <c r="AI96" s="17">
        <f t="shared" si="80"/>
        <v>0</v>
      </c>
      <c r="AJ96" s="17">
        <f t="shared" si="81"/>
        <v>0</v>
      </c>
      <c r="AK96" s="17">
        <f t="shared" si="82"/>
        <v>3600</v>
      </c>
      <c r="AL96" s="17">
        <f t="shared" si="83"/>
        <v>127501.83310174578</v>
      </c>
      <c r="AM96" s="16">
        <v>49149.012396986109</v>
      </c>
      <c r="AO96" s="16">
        <v>91</v>
      </c>
      <c r="AP96" s="16">
        <f t="shared" si="61"/>
        <v>4603.6454442771765</v>
      </c>
      <c r="AQ96" s="16">
        <f t="shared" si="62"/>
        <v>5675.2019919171389</v>
      </c>
      <c r="AR96" s="16">
        <f t="shared" si="63"/>
        <v>7834.150252195197</v>
      </c>
      <c r="AS96" s="16">
        <f t="shared" si="64"/>
        <v>15504.804392018952</v>
      </c>
      <c r="AT96" s="16">
        <f t="shared" si="65"/>
        <v>21383.835441829862</v>
      </c>
      <c r="BE96" s="16">
        <v>91</v>
      </c>
      <c r="BF96" s="16">
        <f t="shared" si="68"/>
        <v>470.63022966003234</v>
      </c>
      <c r="BG96" s="16">
        <f t="shared" si="69"/>
        <v>305.95612636735854</v>
      </c>
      <c r="BH96" s="16">
        <f t="shared" si="70"/>
        <v>1975.5392837056511</v>
      </c>
      <c r="BI96" s="16">
        <f t="shared" si="71"/>
        <v>30240</v>
      </c>
      <c r="BJ96" s="16">
        <f t="shared" si="72"/>
        <v>30240</v>
      </c>
      <c r="BM96" s="16">
        <f t="shared" si="73"/>
        <v>9.7818736539781916</v>
      </c>
      <c r="BN96" s="16">
        <f t="shared" si="74"/>
        <v>18.549071264887761</v>
      </c>
      <c r="BO96" s="16">
        <f t="shared" si="75"/>
        <v>3.9655755351521829</v>
      </c>
      <c r="BP96" s="16">
        <f t="shared" si="76"/>
        <v>0.51272501296358963</v>
      </c>
      <c r="BQ96" s="16">
        <f t="shared" si="77"/>
        <v>0.70713741540442665</v>
      </c>
      <c r="BR96" s="16">
        <f>(BF96-AP96)*$D$2/'[1]资源-钻石'!L94</f>
        <v>-0.17925197105717849</v>
      </c>
      <c r="BS96" s="16">
        <f>(BG96-AQ96)*$D$2/'[1]资源-钻石'!M94</f>
        <v>-0.17755103588084972</v>
      </c>
      <c r="BT96" s="16">
        <f>(BH96-AR96)*$D$2/'[1]资源-钻石'!N94</f>
        <v>-0.13137906127563459</v>
      </c>
      <c r="BU96" s="16">
        <f>(BI96-AS96)*$D$2/'[1]资源-钻石'!O94</f>
        <v>0.16155796495038716</v>
      </c>
      <c r="BV96" s="16">
        <f>(BJ96-AT96)*$D$2/'[1]资源-钻石'!P94</f>
        <v>7.2853944067224674E-2</v>
      </c>
    </row>
    <row r="97" spans="10:74">
      <c r="J97" s="16">
        <v>16</v>
      </c>
      <c r="K97" s="17">
        <f>基础状态预期!C108</f>
        <v>125</v>
      </c>
      <c r="L97" s="17">
        <f>宝物升星!N97</f>
        <v>0</v>
      </c>
      <c r="M97" s="17">
        <f>宝物升星!O97</f>
        <v>0</v>
      </c>
      <c r="N97" s="17">
        <f>宝物升星!P97</f>
        <v>0</v>
      </c>
      <c r="O97" s="17">
        <f>宝物升星!Q97</f>
        <v>6</v>
      </c>
      <c r="P97" s="17">
        <f>基础状态预期!I108</f>
        <v>0</v>
      </c>
      <c r="Q97" s="17">
        <f>基础状态预期!J108</f>
        <v>0</v>
      </c>
      <c r="R97" s="17">
        <f>基础状态预期!K108</f>
        <v>0</v>
      </c>
      <c r="S97" s="17">
        <f>基础状态预期!L108</f>
        <v>6</v>
      </c>
      <c r="T97" s="17">
        <f>IF(L97=0,0,同名需求(P97,L97,C$6))</f>
        <v>0</v>
      </c>
      <c r="U97" s="17">
        <f>IF(M97=0,0,同名需求(Q97,M97,D$6))</f>
        <v>0</v>
      </c>
      <c r="V97" s="17">
        <f>IF(N97=0,0,同名需求(R97,N97,E$6))</f>
        <v>0</v>
      </c>
      <c r="W97" s="17">
        <f>IF(O97=0,0,同名需求(S97,O97,F$6))</f>
        <v>36</v>
      </c>
      <c r="Z97" s="17">
        <f>投放验证!AL108*C$7</f>
        <v>23282.695584696117</v>
      </c>
      <c r="AA97" s="17">
        <f>投放验证!AM108*D$7</f>
        <v>35615.191793070197</v>
      </c>
      <c r="AB97" s="17">
        <f>投放验证!AN108*E$7</f>
        <v>31883.145441717676</v>
      </c>
      <c r="AC97" s="17">
        <f>投放验证!AO108*F$7</f>
        <v>40266.489229881037</v>
      </c>
      <c r="AD97" s="17">
        <f>投放验证!Q108/投放验证!$E$25*投放验证!$E$24/$D$2</f>
        <v>53688.652306508062</v>
      </c>
      <c r="AE97" s="16">
        <v>59492.559227114594</v>
      </c>
      <c r="AF97" s="16">
        <f t="shared" si="67"/>
        <v>3.1051979735925848</v>
      </c>
      <c r="AG97" s="17">
        <f t="shared" si="78"/>
        <v>125</v>
      </c>
      <c r="AH97" s="17">
        <f t="shared" si="79"/>
        <v>0</v>
      </c>
      <c r="AI97" s="17">
        <f t="shared" si="80"/>
        <v>0</v>
      </c>
      <c r="AJ97" s="17">
        <f t="shared" si="81"/>
        <v>0</v>
      </c>
      <c r="AK97" s="17">
        <f t="shared" si="82"/>
        <v>3600</v>
      </c>
      <c r="AL97" s="17">
        <f t="shared" si="83"/>
        <v>181136.17435587308</v>
      </c>
      <c r="AM97" s="16">
        <v>57332.559227114594</v>
      </c>
      <c r="AO97" s="16">
        <v>92</v>
      </c>
      <c r="AP97" s="16">
        <f t="shared" si="61"/>
        <v>4916.6417592113576</v>
      </c>
      <c r="AQ97" s="16">
        <f t="shared" si="62"/>
        <v>6062.3104085879968</v>
      </c>
      <c r="AR97" s="16">
        <f t="shared" si="63"/>
        <v>8367.3207693594777</v>
      </c>
      <c r="AS97" s="16">
        <f t="shared" si="64"/>
        <v>16850.630158857402</v>
      </c>
      <c r="AT97" s="16">
        <f t="shared" si="65"/>
        <v>23150.049567582391</v>
      </c>
      <c r="BE97" s="16">
        <v>92</v>
      </c>
      <c r="BF97" s="16">
        <f t="shared" si="68"/>
        <v>470.63022966003234</v>
      </c>
      <c r="BG97" s="16">
        <f t="shared" si="69"/>
        <v>397.09117464467306</v>
      </c>
      <c r="BH97" s="16">
        <f t="shared" si="70"/>
        <v>2817.2088878874029</v>
      </c>
      <c r="BI97" s="16">
        <f t="shared" si="71"/>
        <v>30240</v>
      </c>
      <c r="BJ97" s="16">
        <f t="shared" si="72"/>
        <v>30240</v>
      </c>
      <c r="BM97" s="16">
        <f t="shared" si="73"/>
        <v>10.446931474765181</v>
      </c>
      <c r="BN97" s="16">
        <f t="shared" si="74"/>
        <v>15.266797137994066</v>
      </c>
      <c r="BO97" s="16">
        <f t="shared" si="75"/>
        <v>2.9700746740274728</v>
      </c>
      <c r="BP97" s="16">
        <f t="shared" si="76"/>
        <v>0.55722983329554898</v>
      </c>
      <c r="BQ97" s="16">
        <f t="shared" si="77"/>
        <v>0.76554396718195739</v>
      </c>
      <c r="BR97" s="16">
        <f>(BF97-AP97)*$D$2/'[1]资源-钻石'!L95</f>
        <v>-0.18184617825408497</v>
      </c>
      <c r="BS97" s="16">
        <f>(BG97-AQ97)*$D$2/'[1]资源-钻石'!M95</f>
        <v>-0.17671284406094714</v>
      </c>
      <c r="BT97" s="16">
        <f>(BH97-AR97)*$D$2/'[1]资源-钻石'!N95</f>
        <v>-0.11705256556644274</v>
      </c>
      <c r="BU97" s="16">
        <f>(BI97-AS97)*$D$2/'[1]资源-钻石'!O95</f>
        <v>0.13761401860911981</v>
      </c>
      <c r="BV97" s="16">
        <f>(BJ97-AT97)*$D$2/'[1]资源-钻石'!P95</f>
        <v>5.4812952523387588E-2</v>
      </c>
    </row>
    <row r="98" spans="10:74">
      <c r="J98" s="16">
        <v>17</v>
      </c>
      <c r="K98" s="17">
        <f>基础状态预期!C109</f>
        <v>130</v>
      </c>
      <c r="L98" s="17">
        <f>宝物升星!N98</f>
        <v>0</v>
      </c>
      <c r="M98" s="17">
        <f>宝物升星!O98</f>
        <v>0</v>
      </c>
      <c r="N98" s="17">
        <f>宝物升星!P98</f>
        <v>0</v>
      </c>
      <c r="O98" s="17">
        <f>宝物升星!Q98</f>
        <v>6</v>
      </c>
      <c r="P98" s="17">
        <f>基础状态预期!I109</f>
        <v>0</v>
      </c>
      <c r="Q98" s="17">
        <f>基础状态预期!J109</f>
        <v>0</v>
      </c>
      <c r="R98" s="17">
        <f>基础状态预期!K109</f>
        <v>0</v>
      </c>
      <c r="S98" s="17">
        <f>基础状态预期!L109</f>
        <v>6</v>
      </c>
      <c r="T98" s="17">
        <f>IF(L98=0,0,同名需求(P98,L98,C$6))</f>
        <v>0</v>
      </c>
      <c r="U98" s="17">
        <f>IF(M98=0,0,同名需求(Q98,M98,D$6))</f>
        <v>0</v>
      </c>
      <c r="V98" s="17">
        <f>IF(N98=0,0,同名需求(R98,N98,E$6))</f>
        <v>0</v>
      </c>
      <c r="W98" s="17">
        <f>IF(O98=0,0,同名需求(S98,O98,F$6))</f>
        <v>36</v>
      </c>
      <c r="Z98" s="17">
        <f>投放验证!AL109*C$7</f>
        <v>32520.393897874248</v>
      </c>
      <c r="AA98" s="17">
        <f>投放验证!AM109*D$7</f>
        <v>49717.939521310531</v>
      </c>
      <c r="AB98" s="17">
        <f>投放验证!AN109*E$7</f>
        <v>44505.900237771508</v>
      </c>
      <c r="AC98" s="17">
        <f>投放验证!AO109*F$7</f>
        <v>56188.929597028662</v>
      </c>
      <c r="AD98" s="17">
        <f>投放验证!Q109/投放验证!$E$25*投放验证!$E$24/$D$2</f>
        <v>74918.572796038236</v>
      </c>
      <c r="AE98" s="16">
        <v>68630.231651645969</v>
      </c>
      <c r="AF98" s="16">
        <f t="shared" si="67"/>
        <v>3.7571159217242576</v>
      </c>
      <c r="AG98" s="17">
        <f t="shared" si="78"/>
        <v>130</v>
      </c>
      <c r="AH98" s="17">
        <f t="shared" si="79"/>
        <v>0</v>
      </c>
      <c r="AI98" s="17">
        <f t="shared" si="80"/>
        <v>0</v>
      </c>
      <c r="AJ98" s="17">
        <f t="shared" si="81"/>
        <v>0</v>
      </c>
      <c r="AK98" s="17">
        <f t="shared" si="82"/>
        <v>3600</v>
      </c>
      <c r="AL98" s="17">
        <f t="shared" si="83"/>
        <v>254251.73605002317</v>
      </c>
      <c r="AM98" s="16">
        <v>66470.231651645969</v>
      </c>
      <c r="AO98" s="16">
        <v>93</v>
      </c>
      <c r="AP98" s="16">
        <f t="shared" si="61"/>
        <v>5229.6380741455378</v>
      </c>
      <c r="AQ98" s="16">
        <f t="shared" si="62"/>
        <v>6449.4188252588538</v>
      </c>
      <c r="AR98" s="16">
        <f t="shared" si="63"/>
        <v>8900.4912865237566</v>
      </c>
      <c r="AS98" s="16">
        <f t="shared" si="64"/>
        <v>18196.455925695853</v>
      </c>
      <c r="AT98" s="16">
        <f t="shared" si="65"/>
        <v>24916.26369333492</v>
      </c>
      <c r="BE98" s="16">
        <v>93</v>
      </c>
      <c r="BF98" s="16">
        <f t="shared" si="68"/>
        <v>470.63022966003234</v>
      </c>
      <c r="BG98" s="16">
        <f t="shared" si="69"/>
        <v>488.22622292198764</v>
      </c>
      <c r="BH98" s="16">
        <f t="shared" si="70"/>
        <v>3658.8784920691542</v>
      </c>
      <c r="BI98" s="16">
        <f t="shared" si="71"/>
        <v>30240</v>
      </c>
      <c r="BJ98" s="16">
        <f t="shared" si="72"/>
        <v>30240</v>
      </c>
      <c r="BM98" s="16">
        <f t="shared" si="73"/>
        <v>11.111989295552167</v>
      </c>
      <c r="BN98" s="16">
        <f t="shared" si="74"/>
        <v>13.209898449656583</v>
      </c>
      <c r="BO98" s="16">
        <f t="shared" si="75"/>
        <v>2.4325736167014353</v>
      </c>
      <c r="BP98" s="16">
        <f t="shared" si="76"/>
        <v>0.60173465362750833</v>
      </c>
      <c r="BQ98" s="16">
        <f t="shared" si="77"/>
        <v>0.82395051895948812</v>
      </c>
      <c r="BR98" s="16">
        <f>(BF98-AP98)*$D$2/'[1]资源-钻石'!L96</f>
        <v>-0.18345144119669923</v>
      </c>
      <c r="BS98" s="16">
        <f>(BG98-AQ98)*$D$2/'[1]资源-钻石'!M96</f>
        <v>-0.17498778510311683</v>
      </c>
      <c r="BT98" s="16">
        <f>(BH98-AR98)*$D$2/'[1]资源-钻石'!N96</f>
        <v>-0.10392507109419657</v>
      </c>
      <c r="BU98" s="16">
        <f>(BI98-AS98)*$D$2/'[1]资源-钻石'!O96</f>
        <v>0.11613015798128844</v>
      </c>
      <c r="BV98" s="16">
        <f>(BJ98-AT98)*$D$2/'[1]资源-钻石'!P96</f>
        <v>3.8607124338895897E-2</v>
      </c>
    </row>
    <row r="99" spans="10:74">
      <c r="J99" s="16">
        <v>18</v>
      </c>
      <c r="K99" s="17">
        <f>基础状态预期!C110</f>
        <v>135</v>
      </c>
      <c r="L99" s="17">
        <f>宝物升星!N99</f>
        <v>0</v>
      </c>
      <c r="M99" s="17">
        <f>宝物升星!O99</f>
        <v>0</v>
      </c>
      <c r="N99" s="17">
        <f>宝物升星!P99</f>
        <v>0</v>
      </c>
      <c r="O99" s="17">
        <f>宝物升星!Q99</f>
        <v>6</v>
      </c>
      <c r="P99" s="17">
        <f>基础状态预期!I110</f>
        <v>0</v>
      </c>
      <c r="Q99" s="17">
        <f>基础状态预期!J110</f>
        <v>0</v>
      </c>
      <c r="R99" s="17">
        <f>基础状态预期!K110</f>
        <v>0</v>
      </c>
      <c r="S99" s="17">
        <f>基础状态预期!L110</f>
        <v>6</v>
      </c>
      <c r="T99" s="17">
        <f>IF(L99=0,0,同名需求(P99,L99,C$6))</f>
        <v>0</v>
      </c>
      <c r="U99" s="17">
        <f>IF(M99=0,0,同名需求(Q99,M99,D$6))</f>
        <v>0</v>
      </c>
      <c r="V99" s="17">
        <f>IF(N99=0,0,同名需求(R99,N99,E$6))</f>
        <v>0</v>
      </c>
      <c r="W99" s="17">
        <f>IF(O99=0,0,同名需求(S99,O99,F$6))</f>
        <v>36</v>
      </c>
      <c r="Z99" s="17">
        <f>投放验证!AL110*C$7</f>
        <v>45520.079415359258</v>
      </c>
      <c r="AA99" s="17">
        <f>投放验证!AM110*D$7</f>
        <v>69563.398348994844</v>
      </c>
      <c r="AB99" s="17">
        <f>投放验证!AN110*E$7</f>
        <v>62268.674065823507</v>
      </c>
      <c r="AC99" s="17">
        <f>投放验证!AO110*F$7</f>
        <v>78594.618943296882</v>
      </c>
      <c r="AD99" s="17">
        <f>投放验证!Q110/投放验证!$E$25*投放验证!$E$24/$D$2</f>
        <v>104792.8252577292</v>
      </c>
      <c r="AE99" s="16">
        <v>79202.710982616089</v>
      </c>
      <c r="AF99" s="16">
        <f t="shared" si="67"/>
        <v>4.5546369758780241</v>
      </c>
      <c r="AG99" s="17">
        <f t="shared" si="78"/>
        <v>135</v>
      </c>
      <c r="AH99" s="17">
        <f t="shared" si="79"/>
        <v>0</v>
      </c>
      <c r="AI99" s="17">
        <f t="shared" si="80"/>
        <v>0</v>
      </c>
      <c r="AJ99" s="17">
        <f t="shared" si="81"/>
        <v>0</v>
      </c>
      <c r="AK99" s="17">
        <f t="shared" si="82"/>
        <v>3600</v>
      </c>
      <c r="AL99" s="17">
        <f t="shared" si="83"/>
        <v>357139.59603120369</v>
      </c>
      <c r="AM99" s="16">
        <v>77042.710982616089</v>
      </c>
      <c r="AO99" s="16">
        <v>94</v>
      </c>
      <c r="AP99" s="16">
        <f t="shared" si="61"/>
        <v>5542.6343890797189</v>
      </c>
      <c r="AQ99" s="16">
        <f t="shared" si="62"/>
        <v>6836.5272419297116</v>
      </c>
      <c r="AR99" s="16">
        <f t="shared" si="63"/>
        <v>9433.6618036880373</v>
      </c>
      <c r="AS99" s="16">
        <f t="shared" si="64"/>
        <v>19542.281692534307</v>
      </c>
      <c r="AT99" s="16">
        <f t="shared" si="65"/>
        <v>26682.477819087449</v>
      </c>
      <c r="BE99" s="16">
        <v>94</v>
      </c>
      <c r="BF99" s="16">
        <f t="shared" si="68"/>
        <v>470.63022966003234</v>
      </c>
      <c r="BG99" s="16">
        <f t="shared" si="69"/>
        <v>579.36127119930211</v>
      </c>
      <c r="BH99" s="16">
        <f t="shared" si="70"/>
        <v>4500.5480962509055</v>
      </c>
      <c r="BI99" s="16">
        <f t="shared" si="71"/>
        <v>30240</v>
      </c>
      <c r="BJ99" s="16">
        <f t="shared" si="72"/>
        <v>30240</v>
      </c>
      <c r="BM99" s="16">
        <f t="shared" si="73"/>
        <v>11.777047116339157</v>
      </c>
      <c r="BN99" s="16">
        <f t="shared" si="74"/>
        <v>11.800110883797624</v>
      </c>
      <c r="BO99" s="16">
        <f t="shared" si="75"/>
        <v>2.0961139847714474</v>
      </c>
      <c r="BP99" s="16">
        <f t="shared" si="76"/>
        <v>0.64623947395946779</v>
      </c>
      <c r="BQ99" s="16">
        <f t="shared" si="77"/>
        <v>0.88235707073701886</v>
      </c>
      <c r="BR99" s="16">
        <f>(BF99-AP99)*$D$2/'[1]资源-钻石'!L97</f>
        <v>-0.18416309943048131</v>
      </c>
      <c r="BS99" s="16">
        <f>(BG99-AQ99)*$D$2/'[1]资源-钻石'!M97</f>
        <v>-0.17294526759010953</v>
      </c>
      <c r="BT99" s="16">
        <f>(BH99-AR99)*$D$2/'[1]资源-钻石'!N97</f>
        <v>-9.1952547438172244E-2</v>
      </c>
      <c r="BU99" s="16">
        <f>(BI99-AS99)*$D$2/'[1]资源-钻石'!O97</f>
        <v>9.6801842893586176E-2</v>
      </c>
      <c r="BV99" s="16">
        <f>(BJ99-AT99)*$D$2/'[1]资源-钻石'!P97</f>
        <v>2.4215356744338962E-2</v>
      </c>
    </row>
    <row r="100" spans="10:74">
      <c r="J100" s="16">
        <v>19</v>
      </c>
      <c r="K100" s="17">
        <f>基础状态预期!C111</f>
        <v>140</v>
      </c>
      <c r="L100" s="17">
        <f>宝物升星!N100</f>
        <v>0</v>
      </c>
      <c r="M100" s="17">
        <f>宝物升星!O100</f>
        <v>0</v>
      </c>
      <c r="N100" s="17">
        <f>宝物升星!P100</f>
        <v>0</v>
      </c>
      <c r="O100" s="17">
        <f>宝物升星!Q100</f>
        <v>6</v>
      </c>
      <c r="P100" s="17">
        <f>基础状态预期!I111</f>
        <v>0</v>
      </c>
      <c r="Q100" s="17">
        <f>基础状态预期!J111</f>
        <v>0</v>
      </c>
      <c r="R100" s="17">
        <f>基础状态预期!K111</f>
        <v>0</v>
      </c>
      <c r="S100" s="17">
        <f>基础状态预期!L111</f>
        <v>6</v>
      </c>
      <c r="T100" s="17">
        <f>IF(L100=0,0,同名需求(P100,L100,C$6))</f>
        <v>0</v>
      </c>
      <c r="U100" s="17">
        <f>IF(M100=0,0,同名需求(Q100,M100,D$6))</f>
        <v>0</v>
      </c>
      <c r="V100" s="17">
        <f>IF(N100=0,0,同名需求(R100,N100,E$6))</f>
        <v>0</v>
      </c>
      <c r="W100" s="17">
        <f>IF(O100=0,0,同名需求(S100,O100,F$6))</f>
        <v>36</v>
      </c>
      <c r="Z100" s="17">
        <f>投放验证!AL111*C$7</f>
        <v>63998.747918268986</v>
      </c>
      <c r="AA100" s="17">
        <f>投放验证!AM111*D$7</f>
        <v>97763.862566335083</v>
      </c>
      <c r="AB100" s="17">
        <f>投放验证!AN111*E$7</f>
        <v>87509.090410776131</v>
      </c>
      <c r="AC100" s="17">
        <f>投放验证!AO111*F$7</f>
        <v>110425.34929436813</v>
      </c>
      <c r="AD100" s="17">
        <f>投放验证!Q111/投放验证!$E$25*投放验证!$E$24/$D$2</f>
        <v>147233.79905915752</v>
      </c>
      <c r="AE100" s="16">
        <v>91978.729837400897</v>
      </c>
      <c r="AF100" s="16">
        <f t="shared" si="67"/>
        <v>5.5113921462609161</v>
      </c>
      <c r="AG100" s="17">
        <f t="shared" si="78"/>
        <v>140</v>
      </c>
      <c r="AH100" s="17">
        <f t="shared" si="79"/>
        <v>0</v>
      </c>
      <c r="AI100" s="17">
        <f t="shared" si="80"/>
        <v>0</v>
      </c>
      <c r="AJ100" s="17">
        <f t="shared" si="81"/>
        <v>0</v>
      </c>
      <c r="AK100" s="17">
        <f t="shared" si="82"/>
        <v>3600</v>
      </c>
      <c r="AL100" s="17">
        <f t="shared" si="83"/>
        <v>503330.8492489059</v>
      </c>
      <c r="AM100" s="16">
        <v>89818.729837400897</v>
      </c>
      <c r="AO100" s="16">
        <v>95</v>
      </c>
      <c r="AP100" s="16">
        <f t="shared" si="61"/>
        <v>5855.6307040139</v>
      </c>
      <c r="AQ100" s="16">
        <f t="shared" si="62"/>
        <v>7223.6356586005695</v>
      </c>
      <c r="AR100" s="16">
        <f t="shared" si="63"/>
        <v>9966.8323208523179</v>
      </c>
      <c r="AS100" s="16">
        <f t="shared" si="64"/>
        <v>20888.107459372757</v>
      </c>
      <c r="AT100" s="16">
        <f t="shared" si="65"/>
        <v>28448.691944839979</v>
      </c>
      <c r="BE100" s="16">
        <v>95</v>
      </c>
      <c r="BF100" s="16">
        <f t="shared" si="68"/>
        <v>470.63022966003234</v>
      </c>
      <c r="BG100" s="16">
        <f t="shared" si="69"/>
        <v>670.49631947661669</v>
      </c>
      <c r="BH100" s="16">
        <f t="shared" si="70"/>
        <v>5342.2177004326568</v>
      </c>
      <c r="BI100" s="16">
        <f t="shared" si="71"/>
        <v>30240</v>
      </c>
      <c r="BJ100" s="16">
        <f t="shared" si="72"/>
        <v>30240</v>
      </c>
      <c r="BM100" s="16">
        <f t="shared" si="73"/>
        <v>12.442104937126144</v>
      </c>
      <c r="BN100" s="16">
        <f t="shared" si="74"/>
        <v>10.773564967872268</v>
      </c>
      <c r="BO100" s="16">
        <f t="shared" si="75"/>
        <v>1.8656731866327951</v>
      </c>
      <c r="BP100" s="16">
        <f t="shared" si="76"/>
        <v>0.69074429429142714</v>
      </c>
      <c r="BQ100" s="16">
        <f t="shared" si="77"/>
        <v>0.94076362251454959</v>
      </c>
      <c r="BR100" s="16">
        <f>(BF100-AP100)*$D$2/'[1]资源-钻石'!L98</f>
        <v>-0.18412387304671388</v>
      </c>
      <c r="BS100" s="16">
        <f>(BG100-AQ100)*$D$2/'[1]资源-钻石'!M98</f>
        <v>-0.17016315124229467</v>
      </c>
      <c r="BT100" s="16">
        <f>(BH100-AR100)*$D$2/'[1]资源-钻石'!N98</f>
        <v>-8.1099910229986416E-2</v>
      </c>
      <c r="BU100" s="16">
        <f>(BI100-AS100)*$D$2/'[1]资源-钻石'!O98</f>
        <v>7.9388387675951674E-2</v>
      </c>
      <c r="BV100" s="16">
        <f>(BJ100-AT100)*$D$2/'[1]资源-钻石'!P98</f>
        <v>1.1382847564657968E-2</v>
      </c>
    </row>
    <row r="101" spans="10:74">
      <c r="J101" s="16">
        <v>20</v>
      </c>
      <c r="K101" s="17">
        <f>基础状态预期!C112</f>
        <v>145</v>
      </c>
      <c r="L101" s="17">
        <f>宝物升星!N101</f>
        <v>0</v>
      </c>
      <c r="M101" s="17">
        <f>宝物升星!O101</f>
        <v>0</v>
      </c>
      <c r="N101" s="17">
        <f>宝物升星!P101</f>
        <v>0</v>
      </c>
      <c r="O101" s="17">
        <f>宝物升星!Q101</f>
        <v>6</v>
      </c>
      <c r="P101" s="17">
        <f>基础状态预期!I112</f>
        <v>0</v>
      </c>
      <c r="Q101" s="17">
        <f>基础状态预期!J112</f>
        <v>0</v>
      </c>
      <c r="R101" s="17">
        <f>基础状态预期!K112</f>
        <v>0</v>
      </c>
      <c r="S101" s="17">
        <f>基础状态预期!L112</f>
        <v>6</v>
      </c>
      <c r="T101" s="17">
        <f>IF(L101=0,0,同名需求(P101,L101,C$6))</f>
        <v>0</v>
      </c>
      <c r="U101" s="17">
        <f>IF(M101=0,0,同名需求(Q101,M101,D$6))</f>
        <v>0</v>
      </c>
      <c r="V101" s="17">
        <f>IF(N101=0,0,同名需求(R101,N101,E$6))</f>
        <v>0</v>
      </c>
      <c r="W101" s="17">
        <f>IF(O101=0,0,同名需求(S101,O101,F$6))</f>
        <v>36</v>
      </c>
      <c r="Z101" s="17">
        <f>投放验证!AL112*C$7</f>
        <v>90563.019536171283</v>
      </c>
      <c r="AA101" s="17">
        <f>投放验证!AM112*D$7</f>
        <v>138302.47334957821</v>
      </c>
      <c r="AB101" s="17">
        <f>投放验证!AN112*E$7</f>
        <v>123792.50541942715</v>
      </c>
      <c r="AC101" s="17">
        <f>投放验证!AO112*F$7</f>
        <v>156181.37039629923</v>
      </c>
      <c r="AD101" s="17">
        <f>投放验证!Q112/投放验证!$E$25*投放验证!$E$24/$D$2</f>
        <v>208241.82719506568</v>
      </c>
      <c r="AE101" s="16">
        <v>108003.82298305843</v>
      </c>
      <c r="AF101" s="16">
        <f t="shared" si="67"/>
        <v>6.639405681121338</v>
      </c>
      <c r="AG101" s="17">
        <f t="shared" si="78"/>
        <v>145</v>
      </c>
      <c r="AH101" s="17">
        <f t="shared" si="79"/>
        <v>0</v>
      </c>
      <c r="AI101" s="17">
        <f t="shared" si="80"/>
        <v>0</v>
      </c>
      <c r="AJ101" s="17">
        <f t="shared" si="81"/>
        <v>0</v>
      </c>
      <c r="AK101" s="17">
        <f t="shared" si="82"/>
        <v>3600</v>
      </c>
      <c r="AL101" s="17">
        <f t="shared" si="83"/>
        <v>713481.19589654147</v>
      </c>
      <c r="AM101" s="16">
        <v>105843.82298305843</v>
      </c>
      <c r="AO101" s="16">
        <v>96</v>
      </c>
      <c r="AP101" s="16">
        <f t="shared" si="61"/>
        <v>6273.4725422377278</v>
      </c>
      <c r="AQ101" s="16">
        <f t="shared" si="62"/>
        <v>7762.3921282284709</v>
      </c>
      <c r="AR101" s="16">
        <f t="shared" si="63"/>
        <v>10758.851924169787</v>
      </c>
      <c r="AS101" s="16">
        <f t="shared" si="64"/>
        <v>22906.680794123746</v>
      </c>
      <c r="AT101" s="16">
        <f t="shared" si="65"/>
        <v>31094.216358918969</v>
      </c>
      <c r="BE101" s="16">
        <v>96</v>
      </c>
      <c r="BF101" s="16">
        <f t="shared" si="68"/>
        <v>515.40120430311913</v>
      </c>
      <c r="BG101" s="16">
        <f t="shared" si="69"/>
        <v>1121.6335894139274</v>
      </c>
      <c r="BH101" s="16">
        <f t="shared" si="70"/>
        <v>10321.774160346125</v>
      </c>
      <c r="BI101" s="16">
        <f t="shared" si="71"/>
        <v>30240</v>
      </c>
      <c r="BJ101" s="16">
        <f t="shared" si="72"/>
        <v>30240</v>
      </c>
      <c r="BM101" s="16">
        <f t="shared" si="73"/>
        <v>12.17201762405692</v>
      </c>
      <c r="BN101" s="16">
        <f t="shared" si="74"/>
        <v>6.9206131142028768</v>
      </c>
      <c r="BO101" s="16">
        <f t="shared" si="75"/>
        <v>1.042345216726676</v>
      </c>
      <c r="BP101" s="16">
        <f t="shared" si="76"/>
        <v>0.75749605800673758</v>
      </c>
      <c r="BQ101" s="16">
        <f t="shared" si="77"/>
        <v>1.0282478954668972</v>
      </c>
      <c r="BR101" s="16">
        <f>(BF101-AP101)*$D$2/'[1]资源-钻石'!L99</f>
        <v>-0.186084290193017</v>
      </c>
      <c r="BS101" s="16">
        <f>(BG101-AQ101)*$D$2/'[1]资源-钻石'!M99</f>
        <v>-0.16237119628144819</v>
      </c>
      <c r="BT101" s="16">
        <f>(BH101-AR101)*$D$2/'[1]资源-钻石'!N99</f>
        <v>-7.2098972938447227E-3</v>
      </c>
      <c r="BU101" s="16">
        <f>(BI101-AS101)*$D$2/'[1]资源-钻石'!O99</f>
        <v>5.8278205619659622E-2</v>
      </c>
      <c r="BV101" s="16">
        <f>(BJ101-AT101)*$D$2/'[1]资源-钻石'!P99</f>
        <v>-5.0704935486727666E-3</v>
      </c>
    </row>
    <row r="102" spans="10:74">
      <c r="J102" s="16">
        <v>21</v>
      </c>
      <c r="K102" s="17">
        <f>基础状态预期!C113</f>
        <v>150</v>
      </c>
      <c r="L102" s="17">
        <f>宝物升星!N102</f>
        <v>0</v>
      </c>
      <c r="M102" s="17">
        <f>宝物升星!O102</f>
        <v>0</v>
      </c>
      <c r="N102" s="17">
        <f>宝物升星!P102</f>
        <v>0</v>
      </c>
      <c r="O102" s="17">
        <f>宝物升星!Q102</f>
        <v>6</v>
      </c>
      <c r="P102" s="17">
        <f>基础状态预期!I113</f>
        <v>0</v>
      </c>
      <c r="Q102" s="17">
        <f>基础状态预期!J113</f>
        <v>0</v>
      </c>
      <c r="R102" s="17">
        <f>基础状态预期!K113</f>
        <v>0</v>
      </c>
      <c r="S102" s="17">
        <f>基础状态预期!L113</f>
        <v>6</v>
      </c>
      <c r="T102" s="17">
        <f>IF(L102=0,0,同名需求(P102,L102,C$6))</f>
        <v>0</v>
      </c>
      <c r="U102" s="17">
        <f>IF(M102=0,0,同名需求(Q102,M102,D$6))</f>
        <v>0</v>
      </c>
      <c r="V102" s="17">
        <f>IF(N102=0,0,同名需求(R102,N102,E$6))</f>
        <v>0</v>
      </c>
      <c r="W102" s="17">
        <f>IF(O102=0,0,同名需求(S102,O102,F$6))</f>
        <v>36</v>
      </c>
      <c r="Z102" s="17">
        <f>投放验证!AL113*C$7</f>
        <v>126927.53378882067</v>
      </c>
      <c r="AA102" s="17">
        <f>投放验证!AM113*D$7</f>
        <v>193783.03838498797</v>
      </c>
      <c r="AB102" s="17">
        <f>投放验证!AN113*E$7</f>
        <v>173448.65886530367</v>
      </c>
      <c r="AC102" s="17">
        <f>投放验证!AO113*F$7</f>
        <v>218790.76216707149</v>
      </c>
      <c r="AD102" s="17">
        <f>投放验证!Q113/投放验证!$E$25*投放验证!$E$24/$D$2</f>
        <v>291721.016222762</v>
      </c>
      <c r="AE102" s="16">
        <v>127825.89288977468</v>
      </c>
      <c r="AF102" s="16">
        <f t="shared" si="67"/>
        <v>7.8596830948427794</v>
      </c>
      <c r="AG102" s="17">
        <f t="shared" si="78"/>
        <v>150</v>
      </c>
      <c r="AH102" s="17">
        <f t="shared" si="79"/>
        <v>0</v>
      </c>
      <c r="AI102" s="17">
        <f t="shared" si="80"/>
        <v>0</v>
      </c>
      <c r="AJ102" s="17">
        <f t="shared" si="81"/>
        <v>0</v>
      </c>
      <c r="AK102" s="17">
        <f t="shared" si="82"/>
        <v>3600</v>
      </c>
      <c r="AL102" s="17">
        <f t="shared" si="83"/>
        <v>1001071.0094289458</v>
      </c>
      <c r="AM102" s="16">
        <v>125665.89288977468</v>
      </c>
      <c r="AO102" s="16">
        <v>97</v>
      </c>
      <c r="AP102" s="16">
        <f t="shared" ref="AP102:AP133" si="84">求节点($K$6:$K$26,$AL$6:$AL$26,$AO102)</f>
        <v>6691.3143804615556</v>
      </c>
      <c r="AQ102" s="16">
        <f t="shared" ref="AQ102:AQ133" si="85">求节点($K$32:$K$52,$AL$32:$AL$52,$AO102)</f>
        <v>8301.1485978563724</v>
      </c>
      <c r="AR102" s="16">
        <f t="shared" ref="AR102:AR133" si="86">求节点($K$58:$K$78,$AL$58:$AL$78,$AO102)</f>
        <v>11550.871527487254</v>
      </c>
      <c r="AS102" s="16">
        <f t="shared" ref="AS102:AS133" si="87">求节点($K$84:$K$104,$AL$84:$AL$104,$AO102)</f>
        <v>24925.254128874734</v>
      </c>
      <c r="AT102" s="16">
        <f t="shared" ref="AT102:AT133" si="88">求节点($K$110:$K$130,$AL$110:$AL$130,$AO102)</f>
        <v>33739.74077299796</v>
      </c>
      <c r="BE102" s="16">
        <v>97</v>
      </c>
      <c r="BF102" s="16">
        <f t="shared" si="68"/>
        <v>560.1721789462058</v>
      </c>
      <c r="BG102" s="16">
        <f t="shared" si="69"/>
        <v>1572.770859351238</v>
      </c>
      <c r="BH102" s="16">
        <f t="shared" si="70"/>
        <v>15301.330620259594</v>
      </c>
      <c r="BI102" s="16">
        <f t="shared" si="71"/>
        <v>30240</v>
      </c>
      <c r="BJ102" s="16">
        <f t="shared" si="72"/>
        <v>30240</v>
      </c>
      <c r="BM102" s="16">
        <f t="shared" si="73"/>
        <v>11.945103009309095</v>
      </c>
      <c r="BN102" s="16">
        <f t="shared" si="74"/>
        <v>5.2780406939130122</v>
      </c>
      <c r="BO102" s="16">
        <f t="shared" si="75"/>
        <v>0.75489327132069306</v>
      </c>
      <c r="BP102" s="16">
        <f t="shared" si="76"/>
        <v>0.82424782172204814</v>
      </c>
      <c r="BQ102" s="16">
        <f t="shared" si="77"/>
        <v>1.1157321684192447</v>
      </c>
      <c r="BR102" s="16">
        <f>(BF102-AP102)*$D$2/'[1]资源-钻石'!L100</f>
        <v>-0.18714265964200766</v>
      </c>
      <c r="BS102" s="16">
        <f>(BG102-AQ102)*$D$2/'[1]资源-钻石'!M100</f>
        <v>-0.15468334324589036</v>
      </c>
      <c r="BT102" s="16">
        <f>(BH102-AR102)*$D$2/'[1]资源-钻石'!N100</f>
        <v>5.7893214936733682E-2</v>
      </c>
      <c r="BU102" s="16">
        <f>(BI102-AS102)*$D$2/'[1]资源-钻石'!O100</f>
        <v>3.9355099781313976E-2</v>
      </c>
      <c r="BV102" s="16">
        <f>(BJ102-AT102)*$D$2/'[1]资源-钻石'!P100</f>
        <v>-1.9283277446497771E-2</v>
      </c>
    </row>
    <row r="103" spans="10:74">
      <c r="J103" s="16">
        <v>22</v>
      </c>
      <c r="K103" s="17">
        <f>基础状态预期!C114</f>
        <v>155</v>
      </c>
      <c r="L103" s="17">
        <f>宝物升星!N103</f>
        <v>0</v>
      </c>
      <c r="M103" s="17">
        <f>宝物升星!O103</f>
        <v>0</v>
      </c>
      <c r="N103" s="17">
        <f>宝物升星!P103</f>
        <v>0</v>
      </c>
      <c r="O103" s="17">
        <f>宝物升星!Q103</f>
        <v>6</v>
      </c>
      <c r="P103" s="17">
        <f>基础状态预期!I114</f>
        <v>0</v>
      </c>
      <c r="Q103" s="17">
        <f>基础状态预期!J114</f>
        <v>0</v>
      </c>
      <c r="R103" s="17">
        <f>基础状态预期!K114</f>
        <v>0</v>
      </c>
      <c r="S103" s="17">
        <f>基础状态预期!L114</f>
        <v>6</v>
      </c>
      <c r="T103" s="17">
        <f>IF(L103=0,0,同名需求(P103,L103,C$6))</f>
        <v>0</v>
      </c>
      <c r="U103" s="17">
        <f>IF(M103=0,0,同名需求(Q103,M103,D$6))</f>
        <v>0</v>
      </c>
      <c r="V103" s="17">
        <f>IF(N103=0,0,同名需求(R103,N103,E$6))</f>
        <v>0</v>
      </c>
      <c r="W103" s="17">
        <f>IF(O103=0,0,同名需求(S103,O103,F$6))</f>
        <v>36</v>
      </c>
      <c r="Z103" s="17">
        <f>投放验证!AL114*C$7</f>
        <v>359283.21069865546</v>
      </c>
      <c r="AA103" s="17">
        <f>投放验证!AM114*D$7</f>
        <v>548219.94373025442</v>
      </c>
      <c r="AB103" s="17">
        <f>投放验证!AN114*E$7</f>
        <v>490672.66100430308</v>
      </c>
      <c r="AC103" s="17">
        <f>投放验证!AO114*F$7</f>
        <v>618716.66259132675</v>
      </c>
      <c r="AD103" s="17">
        <f>投放验证!Q114/投放验证!$E$25*投放验证!$E$24/$D$2</f>
        <v>824955.55012176884</v>
      </c>
      <c r="AE103" s="16">
        <v>225551.90189259136</v>
      </c>
      <c r="AF103" s="16">
        <f t="shared" si="67"/>
        <v>12.599530326725453</v>
      </c>
      <c r="AG103" s="17">
        <f t="shared" si="78"/>
        <v>155</v>
      </c>
      <c r="AH103" s="17">
        <f t="shared" si="79"/>
        <v>0</v>
      </c>
      <c r="AI103" s="17">
        <f t="shared" si="80"/>
        <v>0</v>
      </c>
      <c r="AJ103" s="17">
        <f t="shared" si="81"/>
        <v>0</v>
      </c>
      <c r="AK103" s="17">
        <f t="shared" si="82"/>
        <v>3600</v>
      </c>
      <c r="AL103" s="17">
        <f t="shared" si="83"/>
        <v>2838248.0281463088</v>
      </c>
      <c r="AM103" s="16">
        <v>223391.90189259136</v>
      </c>
      <c r="AO103" s="16">
        <v>98</v>
      </c>
      <c r="AP103" s="16">
        <f t="shared" si="84"/>
        <v>7109.1562186853844</v>
      </c>
      <c r="AQ103" s="16">
        <f t="shared" si="85"/>
        <v>8839.9050674842747</v>
      </c>
      <c r="AR103" s="16">
        <f t="shared" si="86"/>
        <v>12342.891130804723</v>
      </c>
      <c r="AS103" s="16">
        <f t="shared" si="87"/>
        <v>26943.827463625727</v>
      </c>
      <c r="AT103" s="16">
        <f t="shared" si="88"/>
        <v>36385.265187076955</v>
      </c>
      <c r="BE103" s="16">
        <v>98</v>
      </c>
      <c r="BF103" s="16">
        <f t="shared" si="68"/>
        <v>604.94315358929259</v>
      </c>
      <c r="BG103" s="16">
        <f t="shared" si="69"/>
        <v>2023.9081292885487</v>
      </c>
      <c r="BH103" s="16">
        <f t="shared" si="70"/>
        <v>20280.887080173063</v>
      </c>
      <c r="BI103" s="16">
        <f t="shared" si="71"/>
        <v>30240</v>
      </c>
      <c r="BJ103" s="16">
        <f t="shared" si="72"/>
        <v>30240</v>
      </c>
      <c r="BM103" s="16">
        <f t="shared" si="73"/>
        <v>11.751775644545811</v>
      </c>
      <c r="BN103" s="16">
        <f t="shared" si="74"/>
        <v>4.367740284037354</v>
      </c>
      <c r="BO103" s="16">
        <f t="shared" si="75"/>
        <v>0.60859720198685696</v>
      </c>
      <c r="BP103" s="16">
        <f t="shared" si="76"/>
        <v>0.89099958543735869</v>
      </c>
      <c r="BQ103" s="16">
        <f t="shared" si="77"/>
        <v>1.2032164413715924</v>
      </c>
      <c r="BR103" s="16">
        <f>(BF103-AP103)*$D$2/'[1]资源-钻石'!L101</f>
        <v>-0.18738245331403316</v>
      </c>
      <c r="BS103" s="16">
        <f>(BG103-AQ103)*$D$2/'[1]资源-钻石'!M101</f>
        <v>-0.14718531755565184</v>
      </c>
      <c r="BT103" s="16">
        <f>(BH103-AR103)*$D$2/'[1]资源-钻石'!N101</f>
        <v>0.11437771319313614</v>
      </c>
      <c r="BU103" s="16">
        <f>(BI103-AS103)*$D$2/'[1]资源-钻石'!O101</f>
        <v>2.2698794318682592E-2</v>
      </c>
      <c r="BV103" s="16">
        <f>(BJ103-AT103)*$D$2/'[1]资源-钻石'!P101</f>
        <v>-3.1461432392795072E-2</v>
      </c>
    </row>
    <row r="104" spans="10:74">
      <c r="J104" s="16">
        <v>23</v>
      </c>
      <c r="K104" s="17">
        <f>基础状态预期!C115</f>
        <v>160</v>
      </c>
      <c r="L104" s="17">
        <f>宝物升星!N104</f>
        <v>0</v>
      </c>
      <c r="M104" s="17">
        <f>宝物升星!O104</f>
        <v>0</v>
      </c>
      <c r="N104" s="17">
        <f>宝物升星!P104</f>
        <v>0</v>
      </c>
      <c r="O104" s="17">
        <f>宝物升星!Q104</f>
        <v>6</v>
      </c>
      <c r="P104" s="17">
        <f>基础状态预期!I115</f>
        <v>0</v>
      </c>
      <c r="Q104" s="17">
        <f>基础状态预期!J115</f>
        <v>0</v>
      </c>
      <c r="R104" s="17">
        <f>基础状态预期!K115</f>
        <v>0</v>
      </c>
      <c r="S104" s="17">
        <f>基础状态预期!L115</f>
        <v>6</v>
      </c>
      <c r="T104" s="17">
        <f>IF(L104=0,0,同名需求(P104,L104,C$6))</f>
        <v>0</v>
      </c>
      <c r="U104" s="17">
        <f>IF(M104=0,0,同名需求(Q104,M104,D$6))</f>
        <v>0</v>
      </c>
      <c r="V104" s="17">
        <f>IF(N104=0,0,同名需求(R104,N104,E$6))</f>
        <v>0</v>
      </c>
      <c r="W104" s="17">
        <f>IF(O104=0,0,同名需求(S104,O104,F$6))</f>
        <v>36</v>
      </c>
      <c r="Z104" s="17">
        <f>投放验证!AL115*C$7</f>
        <v>534652.37745438609</v>
      </c>
      <c r="AA104" s="17">
        <f>投放验证!AM115*D$7</f>
        <v>815670.77726164355</v>
      </c>
      <c r="AB104" s="17">
        <f>投放验证!AN115*E$7</f>
        <v>730039.95612395427</v>
      </c>
      <c r="AC104" s="17">
        <f>投放验证!AO115*F$7</f>
        <v>920443.12816527218</v>
      </c>
      <c r="AD104" s="17">
        <f>投放验证!Q115/投放验证!$E$25*投放验证!$E$24/$D$2</f>
        <v>1227257.5042203628</v>
      </c>
      <c r="AE104" s="16">
        <v>300299.90377540543</v>
      </c>
      <c r="AF104" s="16">
        <f t="shared" si="67"/>
        <v>14.079470855867447</v>
      </c>
      <c r="AG104" s="17">
        <f t="shared" si="78"/>
        <v>160</v>
      </c>
      <c r="AH104" s="17">
        <f t="shared" si="79"/>
        <v>0</v>
      </c>
      <c r="AI104" s="17">
        <f t="shared" si="80"/>
        <v>0</v>
      </c>
      <c r="AJ104" s="17">
        <f t="shared" si="81"/>
        <v>0</v>
      </c>
      <c r="AK104" s="17">
        <f t="shared" si="82"/>
        <v>3600</v>
      </c>
      <c r="AL104" s="17">
        <f t="shared" si="83"/>
        <v>4224463.7432256192</v>
      </c>
      <c r="AM104" s="16">
        <v>298139.90377540543</v>
      </c>
      <c r="AO104" s="16">
        <v>99</v>
      </c>
      <c r="AP104" s="16">
        <f t="shared" si="84"/>
        <v>7526.9980569092122</v>
      </c>
      <c r="AQ104" s="16">
        <f t="shared" si="85"/>
        <v>9378.661537112177</v>
      </c>
      <c r="AR104" s="16">
        <f t="shared" si="86"/>
        <v>13134.91073412219</v>
      </c>
      <c r="AS104" s="16">
        <f t="shared" si="87"/>
        <v>28962.400798376715</v>
      </c>
      <c r="AT104" s="16">
        <f t="shared" si="88"/>
        <v>39030.78960115595</v>
      </c>
      <c r="BE104" s="16">
        <v>99</v>
      </c>
      <c r="BF104" s="16">
        <f t="shared" si="68"/>
        <v>649.71412823237938</v>
      </c>
      <c r="BG104" s="16">
        <f t="shared" si="69"/>
        <v>2475.0453992258595</v>
      </c>
      <c r="BH104" s="16">
        <f t="shared" si="70"/>
        <v>25260.443540086533</v>
      </c>
      <c r="BI104" s="16">
        <f t="shared" si="71"/>
        <v>30240</v>
      </c>
      <c r="BJ104" s="16">
        <f t="shared" si="72"/>
        <v>30240</v>
      </c>
      <c r="BM104" s="16">
        <f t="shared" si="73"/>
        <v>11.585092165668707</v>
      </c>
      <c r="BN104" s="16">
        <f t="shared" si="74"/>
        <v>3.7892886894299469</v>
      </c>
      <c r="BO104" s="16">
        <f t="shared" si="75"/>
        <v>0.5199794181475087</v>
      </c>
      <c r="BP104" s="16">
        <f t="shared" si="76"/>
        <v>0.95775134915266913</v>
      </c>
      <c r="BQ104" s="16">
        <f t="shared" si="77"/>
        <v>1.2907007143239402</v>
      </c>
      <c r="BR104" s="16">
        <f>(BF104-AP104)*$D$2/'[1]资源-钻石'!L102</f>
        <v>-0.18688362909308057</v>
      </c>
      <c r="BS104" s="16">
        <f>(BG104-AQ104)*$D$2/'[1]资源-钻石'!M102</f>
        <v>-0.1401197428449584</v>
      </c>
      <c r="BT104" s="16">
        <f>(BH104-AR104)*$D$2/'[1]资源-钻石'!N102</f>
        <v>0.16334634752867416</v>
      </c>
      <c r="BU104" s="16">
        <f>(BI104-AS104)*$D$2/'[1]资源-钻石'!O102</f>
        <v>8.1997662261665792E-3</v>
      </c>
      <c r="BV104" s="16">
        <f>(BJ104-AT104)*$D$2/'[1]资源-钻石'!P102</f>
        <v>-4.213177629187205E-2</v>
      </c>
    </row>
    <row r="105" spans="10:74">
      <c r="J105" s="16">
        <v>24</v>
      </c>
      <c r="AE105" s="16">
        <v>0</v>
      </c>
      <c r="AF105" s="16" t="e">
        <f t="shared" si="67"/>
        <v>#DIV/0!</v>
      </c>
      <c r="AO105" s="16">
        <v>100</v>
      </c>
      <c r="AP105" s="16">
        <f t="shared" si="84"/>
        <v>7944.83989513304</v>
      </c>
      <c r="AQ105" s="16">
        <f t="shared" si="85"/>
        <v>9917.4180067400775</v>
      </c>
      <c r="AR105" s="16">
        <f t="shared" si="86"/>
        <v>13926.930337439659</v>
      </c>
      <c r="AS105" s="16">
        <f t="shared" si="87"/>
        <v>30980.974133127704</v>
      </c>
      <c r="AT105" s="16">
        <f t="shared" si="88"/>
        <v>41676.314015234937</v>
      </c>
      <c r="BE105" s="16">
        <v>100</v>
      </c>
      <c r="BF105" s="16">
        <f t="shared" si="68"/>
        <v>694.48510287546605</v>
      </c>
      <c r="BG105" s="16">
        <f t="shared" si="69"/>
        <v>2926.1826691631704</v>
      </c>
      <c r="BH105" s="16">
        <f t="shared" si="70"/>
        <v>30240</v>
      </c>
      <c r="BI105" s="16">
        <f t="shared" si="71"/>
        <v>30240</v>
      </c>
      <c r="BJ105" s="16">
        <f t="shared" si="72"/>
        <v>30240</v>
      </c>
      <c r="BM105" s="16">
        <f t="shared" si="73"/>
        <v>11.439899664136778</v>
      </c>
      <c r="BN105" s="16">
        <f t="shared" si="74"/>
        <v>3.3891998989852059</v>
      </c>
      <c r="BO105" s="16">
        <f t="shared" si="75"/>
        <v>0.46054663814284585</v>
      </c>
      <c r="BP105" s="16">
        <f t="shared" si="76"/>
        <v>1.0245031128679796</v>
      </c>
      <c r="BQ105" s="16">
        <f t="shared" si="77"/>
        <v>1.3781849872762877</v>
      </c>
      <c r="BR105" s="16">
        <f>(BF105-AP105)*$D$2/'[1]资源-钻石'!L103</f>
        <v>-0.18572237148241763</v>
      </c>
      <c r="BS105" s="16">
        <f>(BG105-AQ105)*$D$2/'[1]资源-钻石'!M103</f>
        <v>-0.13349023085401632</v>
      </c>
      <c r="BT105" s="16">
        <f>(BH105-AR105)*$D$2/'[1]资源-钻石'!N103</f>
        <v>0.20567881389424308</v>
      </c>
      <c r="BU105" s="16">
        <f>(BI105-AS105)*$D$2/'[1]资源-钻石'!O103</f>
        <v>-4.4583115533819743E-3</v>
      </c>
      <c r="BV105" s="16">
        <f>(BJ105-AT105)*$D$2/'[1]资源-钻石'!P103</f>
        <v>-5.1456114093390869E-2</v>
      </c>
    </row>
    <row r="106" spans="10:74">
      <c r="J106" s="16">
        <v>25</v>
      </c>
      <c r="AE106" s="16">
        <v>0</v>
      </c>
      <c r="AF106" s="16" t="e">
        <f t="shared" si="67"/>
        <v>#DIV/0!</v>
      </c>
      <c r="AO106" s="16">
        <v>101</v>
      </c>
      <c r="AP106" s="16">
        <f t="shared" si="84"/>
        <v>8535.3360283549355</v>
      </c>
      <c r="AQ106" s="16">
        <f t="shared" si="85"/>
        <v>10657.209545162645</v>
      </c>
      <c r="AR106" s="16">
        <f t="shared" si="86"/>
        <v>15241.937637375591</v>
      </c>
      <c r="AS106" s="16">
        <f t="shared" si="87"/>
        <v>33692.19895459617</v>
      </c>
      <c r="AT106" s="16">
        <f t="shared" si="88"/>
        <v>45274.678160185053</v>
      </c>
      <c r="BE106" s="16">
        <v>101</v>
      </c>
      <c r="BF106" s="16">
        <f t="shared" si="68"/>
        <v>1163.7021931872096</v>
      </c>
      <c r="BG106" s="16">
        <f t="shared" si="69"/>
        <v>6011.1802462420183</v>
      </c>
      <c r="BH106" s="16">
        <f t="shared" si="70"/>
        <v>30240</v>
      </c>
      <c r="BI106" s="16">
        <f t="shared" si="71"/>
        <v>30240</v>
      </c>
      <c r="BJ106" s="16">
        <f t="shared" si="72"/>
        <v>30240</v>
      </c>
      <c r="BM106" s="16">
        <f t="shared" si="73"/>
        <v>7.3346394621616229</v>
      </c>
      <c r="BN106" s="16">
        <f t="shared" si="74"/>
        <v>1.7728980181263343</v>
      </c>
      <c r="BO106" s="16">
        <f t="shared" si="75"/>
        <v>0.50403232927829333</v>
      </c>
      <c r="BP106" s="16">
        <f t="shared" si="76"/>
        <v>1.1141600183398204</v>
      </c>
      <c r="BQ106" s="16">
        <f t="shared" si="77"/>
        <v>1.4971785105881301</v>
      </c>
      <c r="BR106" s="16">
        <f>(BF106-AP106)*$D$2/'[1]资源-钻石'!L104</f>
        <v>-0.17789458124577184</v>
      </c>
      <c r="BS106" s="16">
        <f>(BG106-AQ106)*$D$2/'[1]资源-钻石'!M104</f>
        <v>-8.3360690266748722E-2</v>
      </c>
      <c r="BT106" s="16">
        <f>(BH106-AR106)*$D$2/'[1]资源-钻石'!N104</f>
        <v>0.17762329172848332</v>
      </c>
      <c r="BU106" s="16">
        <f>(BI106-AS106)*$D$2/'[1]资源-钻石'!O104</f>
        <v>-1.9515961906524024E-2</v>
      </c>
      <c r="BV106" s="16">
        <f>(BJ106-AT106)*$D$2/'[1]资源-钻石'!P104</f>
        <v>-6.343243400885043E-2</v>
      </c>
    </row>
    <row r="107" spans="10:74">
      <c r="J107" s="16">
        <v>26</v>
      </c>
      <c r="AE107" s="16">
        <v>0</v>
      </c>
      <c r="AF107" s="16" t="e">
        <f t="shared" si="67"/>
        <v>#DIV/0!</v>
      </c>
      <c r="AO107" s="16">
        <v>102</v>
      </c>
      <c r="AP107" s="16">
        <f t="shared" si="84"/>
        <v>9125.8321615768309</v>
      </c>
      <c r="AQ107" s="16">
        <f t="shared" si="85"/>
        <v>11397.00108358521</v>
      </c>
      <c r="AR107" s="16">
        <f t="shared" si="86"/>
        <v>16556.944937311524</v>
      </c>
      <c r="AS107" s="16">
        <f t="shared" si="87"/>
        <v>36403.423776064636</v>
      </c>
      <c r="AT107" s="16">
        <f t="shared" si="88"/>
        <v>48873.042305135168</v>
      </c>
      <c r="BE107" s="16">
        <v>102</v>
      </c>
      <c r="BF107" s="16">
        <f t="shared" si="68"/>
        <v>1632.9192834989528</v>
      </c>
      <c r="BG107" s="16">
        <f t="shared" si="69"/>
        <v>9096.1778233208643</v>
      </c>
      <c r="BH107" s="16">
        <f t="shared" si="70"/>
        <v>30240</v>
      </c>
      <c r="BI107" s="16">
        <f t="shared" si="71"/>
        <v>30240</v>
      </c>
      <c r="BJ107" s="16">
        <f t="shared" si="72"/>
        <v>30240</v>
      </c>
      <c r="BM107" s="16">
        <f t="shared" si="73"/>
        <v>5.5886609055301069</v>
      </c>
      <c r="BN107" s="16">
        <f t="shared" si="74"/>
        <v>1.2529439622833092</v>
      </c>
      <c r="BO107" s="16">
        <f t="shared" si="75"/>
        <v>0.54751802041374087</v>
      </c>
      <c r="BP107" s="16">
        <f t="shared" si="76"/>
        <v>1.2038169238116612</v>
      </c>
      <c r="BQ107" s="16">
        <f t="shared" si="77"/>
        <v>1.6161720338999725</v>
      </c>
      <c r="BR107" s="16">
        <f>(BF107-AP107)*$D$2/'[1]资源-钻石'!L105</f>
        <v>-0.17025485600209317</v>
      </c>
      <c r="BS107" s="16">
        <f>(BG107-AQ107)*$D$2/'[1]资源-钻石'!M105</f>
        <v>-3.8887202531129948E-2</v>
      </c>
      <c r="BT107" s="16">
        <f>(BH107-AR107)*$D$2/'[1]资源-钻石'!N105</f>
        <v>0.15277974988005261</v>
      </c>
      <c r="BU107" s="16">
        <f>(BI107-AS107)*$D$2/'[1]资源-钻石'!O105</f>
        <v>-3.273430609408557E-2</v>
      </c>
      <c r="BV107" s="16">
        <f>(BJ107-AT107)*$D$2/'[1]资源-钻石'!P105</f>
        <v>-7.3657919942458544E-2</v>
      </c>
    </row>
    <row r="108" spans="10:74">
      <c r="J108" s="16">
        <v>1</v>
      </c>
      <c r="K108" s="17" t="s">
        <v>78</v>
      </c>
      <c r="L108" s="170" t="s">
        <v>436</v>
      </c>
      <c r="M108" s="170"/>
      <c r="N108" s="170"/>
      <c r="O108" s="170"/>
      <c r="P108" s="170" t="s">
        <v>437</v>
      </c>
      <c r="Q108" s="170"/>
      <c r="R108" s="170"/>
      <c r="S108" s="170"/>
      <c r="T108" s="170" t="s">
        <v>438</v>
      </c>
      <c r="U108" s="170"/>
      <c r="V108" s="170"/>
      <c r="W108" s="170"/>
      <c r="Z108" s="170" t="s">
        <v>462</v>
      </c>
      <c r="AA108" s="170"/>
      <c r="AB108" s="170"/>
      <c r="AC108" s="170"/>
      <c r="AD108" s="178" t="s">
        <v>464</v>
      </c>
      <c r="AE108" s="16">
        <v>0</v>
      </c>
      <c r="AF108" s="16" t="e">
        <f t="shared" si="67"/>
        <v>#DIV/0!</v>
      </c>
      <c r="AG108" s="17" t="s">
        <v>78</v>
      </c>
      <c r="AH108" s="170" t="s">
        <v>440</v>
      </c>
      <c r="AI108" s="170"/>
      <c r="AJ108" s="170"/>
      <c r="AK108" s="170"/>
      <c r="AL108" s="178" t="s">
        <v>441</v>
      </c>
      <c r="AM108" s="16" t="s">
        <v>441</v>
      </c>
      <c r="AO108" s="16">
        <v>103</v>
      </c>
      <c r="AP108" s="16">
        <f t="shared" si="84"/>
        <v>9716.3282947987245</v>
      </c>
      <c r="AQ108" s="16">
        <f t="shared" si="85"/>
        <v>12136.792622007777</v>
      </c>
      <c r="AR108" s="16">
        <f t="shared" si="86"/>
        <v>17871.952237247457</v>
      </c>
      <c r="AS108" s="16">
        <f t="shared" si="87"/>
        <v>39114.648597533102</v>
      </c>
      <c r="AT108" s="16">
        <f t="shared" si="88"/>
        <v>52471.406450085284</v>
      </c>
      <c r="BE108" s="16">
        <v>103</v>
      </c>
      <c r="BF108" s="16">
        <f t="shared" si="68"/>
        <v>2102.1363738106961</v>
      </c>
      <c r="BG108" s="16">
        <f t="shared" si="69"/>
        <v>12181.175400399712</v>
      </c>
      <c r="BH108" s="16">
        <f t="shared" si="70"/>
        <v>30240</v>
      </c>
      <c r="BI108" s="16">
        <f t="shared" si="71"/>
        <v>30240</v>
      </c>
      <c r="BJ108" s="16">
        <f t="shared" si="72"/>
        <v>30240</v>
      </c>
      <c r="BM108" s="16">
        <f t="shared" si="73"/>
        <v>4.6221208175876933</v>
      </c>
      <c r="BN108" s="16">
        <f t="shared" si="74"/>
        <v>0.99635644534020262</v>
      </c>
      <c r="BO108" s="16">
        <f t="shared" si="75"/>
        <v>0.5910037115491884</v>
      </c>
      <c r="BP108" s="16">
        <f t="shared" si="76"/>
        <v>1.293473829283502</v>
      </c>
      <c r="BQ108" s="16">
        <f t="shared" si="77"/>
        <v>1.735165557211815</v>
      </c>
      <c r="BR108" s="16">
        <f>(BF108-AP108)*$D$2/'[1]资源-钻石'!L106</f>
        <v>-0.16281354122966682</v>
      </c>
      <c r="BS108" s="16">
        <f>(BG108-AQ108)*$D$2/'[1]资源-钻石'!M106</f>
        <v>7.0661933425340004E-4</v>
      </c>
      <c r="BT108" s="16">
        <f>(BH108-AR108)*$D$2/'[1]资源-钻石'!N106</f>
        <v>0.12988085578244918</v>
      </c>
      <c r="BU108" s="16">
        <f>(BI108-AS108)*$D$2/'[1]资源-钻石'!O106</f>
        <v>-4.4093228708077539E-2</v>
      </c>
      <c r="BV108" s="16">
        <f>(BJ108-AT108)*$D$2/'[1]资源-钻石'!P106</f>
        <v>-8.2154323234231205E-2</v>
      </c>
    </row>
    <row r="109" spans="10:74">
      <c r="J109" s="16">
        <v>2</v>
      </c>
      <c r="K109" s="17" t="s">
        <v>161</v>
      </c>
      <c r="L109" s="17" t="s">
        <v>1</v>
      </c>
      <c r="M109" s="17" t="s">
        <v>2</v>
      </c>
      <c r="N109" s="17" t="s">
        <v>0</v>
      </c>
      <c r="O109" s="17" t="s">
        <v>205</v>
      </c>
      <c r="P109" s="17" t="s">
        <v>1</v>
      </c>
      <c r="Q109" s="17" t="s">
        <v>2</v>
      </c>
      <c r="R109" s="17" t="s">
        <v>0</v>
      </c>
      <c r="S109" s="17" t="s">
        <v>205</v>
      </c>
      <c r="T109" s="17" t="s">
        <v>1</v>
      </c>
      <c r="U109" s="17" t="s">
        <v>2</v>
      </c>
      <c r="V109" s="17" t="s">
        <v>0</v>
      </c>
      <c r="W109" s="17" t="s">
        <v>205</v>
      </c>
      <c r="Z109" s="17" t="s">
        <v>1</v>
      </c>
      <c r="AA109" s="17" t="s">
        <v>2</v>
      </c>
      <c r="AB109" s="17" t="s">
        <v>0</v>
      </c>
      <c r="AC109" s="17" t="s">
        <v>205</v>
      </c>
      <c r="AD109" s="178"/>
      <c r="AE109" s="16">
        <v>0</v>
      </c>
      <c r="AF109" s="16" t="e">
        <f t="shared" si="67"/>
        <v>#DIV/0!</v>
      </c>
      <c r="AG109" s="17" t="s">
        <v>161</v>
      </c>
      <c r="AH109" s="17" t="s">
        <v>1</v>
      </c>
      <c r="AI109" s="17" t="s">
        <v>2</v>
      </c>
      <c r="AJ109" s="17" t="s">
        <v>0</v>
      </c>
      <c r="AK109" s="17" t="s">
        <v>205</v>
      </c>
      <c r="AL109" s="178"/>
      <c r="AO109" s="16">
        <v>104</v>
      </c>
      <c r="AP109" s="16">
        <f t="shared" si="84"/>
        <v>10306.82442802062</v>
      </c>
      <c r="AQ109" s="16">
        <f t="shared" si="85"/>
        <v>12876.584160430342</v>
      </c>
      <c r="AR109" s="16">
        <f t="shared" si="86"/>
        <v>19186.959537183389</v>
      </c>
      <c r="AS109" s="16">
        <f t="shared" si="87"/>
        <v>41825.873419001575</v>
      </c>
      <c r="AT109" s="16">
        <f t="shared" si="88"/>
        <v>56069.770595035399</v>
      </c>
      <c r="BE109" s="16">
        <v>104</v>
      </c>
      <c r="BF109" s="16">
        <f t="shared" si="68"/>
        <v>2571.3534641224396</v>
      </c>
      <c r="BG109" s="16">
        <f t="shared" si="69"/>
        <v>15266.17297747856</v>
      </c>
      <c r="BH109" s="16">
        <f t="shared" si="70"/>
        <v>30240</v>
      </c>
      <c r="BI109" s="16">
        <f t="shared" si="71"/>
        <v>30240</v>
      </c>
      <c r="BJ109" s="16">
        <f t="shared" si="72"/>
        <v>30240</v>
      </c>
      <c r="BM109" s="16">
        <f t="shared" si="73"/>
        <v>4.0083265765790657</v>
      </c>
      <c r="BN109" s="16">
        <f t="shared" si="74"/>
        <v>0.84347165327070106</v>
      </c>
      <c r="BO109" s="16">
        <f t="shared" si="75"/>
        <v>0.63448940268463594</v>
      </c>
      <c r="BP109" s="16">
        <f t="shared" si="76"/>
        <v>1.383130734755343</v>
      </c>
      <c r="BQ109" s="16">
        <f t="shared" si="77"/>
        <v>1.8541590805236574</v>
      </c>
      <c r="BR109" s="16">
        <f>(BF109-AP109)*$D$2/'[1]资源-钻石'!L107</f>
        <v>-0.15557906295964929</v>
      </c>
      <c r="BS109" s="16">
        <f>(BG109-AQ109)*$D$2/'[1]资源-钻石'!M107</f>
        <v>3.572492950029952E-2</v>
      </c>
      <c r="BT109" s="16">
        <f>(BH109-AR109)*$D$2/'[1]资源-钻石'!N107</f>
        <v>0.10860065663746513</v>
      </c>
      <c r="BU109" s="16">
        <f>(BI109-AS109)*$D$2/'[1]资源-钻石'!O107</f>
        <v>-5.3673566120347765E-2</v>
      </c>
      <c r="BV109" s="16">
        <f>(BJ109-AT109)*$D$2/'[1]资源-钻石'!P107</f>
        <v>-8.9026978425571363E-2</v>
      </c>
    </row>
    <row r="110" spans="10:74">
      <c r="J110" s="16">
        <v>3</v>
      </c>
      <c r="K110" s="17">
        <f>基础状态预期!C121</f>
        <v>50</v>
      </c>
      <c r="L110" s="17">
        <f>宝物升星!N110</f>
        <v>0</v>
      </c>
      <c r="M110" s="17">
        <f>宝物升星!O110</f>
        <v>0</v>
      </c>
      <c r="N110" s="17">
        <f>宝物升星!P110</f>
        <v>0</v>
      </c>
      <c r="O110" s="17">
        <f>宝物升星!Q110</f>
        <v>0</v>
      </c>
      <c r="P110" s="17">
        <f>基础状态预期!I121</f>
        <v>0</v>
      </c>
      <c r="Q110" s="17">
        <f>基础状态预期!J121</f>
        <v>0</v>
      </c>
      <c r="R110" s="17">
        <f>基础状态预期!K121</f>
        <v>0</v>
      </c>
      <c r="S110" s="17">
        <f>基础状态预期!L121</f>
        <v>0</v>
      </c>
      <c r="T110" s="17">
        <f>IF(L110=0,0,同名需求(P110,L110,C$6))</f>
        <v>0</v>
      </c>
      <c r="U110" s="17">
        <f>IF(M110=0,0,同名需求(Q110,M110,D$6))</f>
        <v>0</v>
      </c>
      <c r="V110" s="17">
        <f>IF(N110=0,0,同名需求(R110,N110,E$6))</f>
        <v>0</v>
      </c>
      <c r="W110" s="17">
        <f>IF(O110=0,0,同名需求(S110,O110,F$6))</f>
        <v>0</v>
      </c>
      <c r="Z110" s="17">
        <f>投放验证!AL121*C$7</f>
        <v>216.65417148504326</v>
      </c>
      <c r="AA110" s="17">
        <f>投放验证!AM121*D$7</f>
        <v>360.70767780840538</v>
      </c>
      <c r="AB110" s="17">
        <f>投放验证!AN121*E$7</f>
        <v>325.17256122756487</v>
      </c>
      <c r="AC110" s="17">
        <f>投放验证!AO121*F$7</f>
        <v>431.0126949700865</v>
      </c>
      <c r="AD110" s="17">
        <f>投放验证!Q121/投放验证!$E$25*投放验证!$E$24/$D$2</f>
        <v>574.68359329344867</v>
      </c>
      <c r="AE110" s="16">
        <v>1364.0945772331215</v>
      </c>
      <c r="AF110" s="16">
        <f t="shared" si="67"/>
        <v>1.3988991164052074</v>
      </c>
      <c r="AG110" s="17">
        <f t="shared" ref="AG110:AG130" si="89">K110</f>
        <v>50</v>
      </c>
      <c r="AH110" s="17">
        <f t="shared" ref="AH110:AH130" si="90">L110*P110*C$7</f>
        <v>0</v>
      </c>
      <c r="AI110" s="17">
        <f t="shared" ref="AI110:AI130" si="91">M110*Q110*D$7</f>
        <v>0</v>
      </c>
      <c r="AJ110" s="17">
        <f t="shared" ref="AJ110:AJ130" si="92">N110*R110*E$7</f>
        <v>0</v>
      </c>
      <c r="AK110" s="17">
        <f t="shared" ref="AK110:AK130" si="93">O110*S110*F$7</f>
        <v>0</v>
      </c>
      <c r="AL110" s="17">
        <f>SUM(Z110:AD110)-SUM(AH110:AK110)</f>
        <v>1908.2306987845486</v>
      </c>
      <c r="AM110" s="16">
        <v>1364.0945772331215</v>
      </c>
      <c r="AO110" s="16">
        <v>105</v>
      </c>
      <c r="AP110" s="16">
        <f t="shared" si="84"/>
        <v>10897.320561242515</v>
      </c>
      <c r="AQ110" s="16">
        <f t="shared" si="85"/>
        <v>13616.375698852909</v>
      </c>
      <c r="AR110" s="16">
        <f t="shared" si="86"/>
        <v>20501.966837119322</v>
      </c>
      <c r="AS110" s="16">
        <f t="shared" si="87"/>
        <v>44537.098240470041</v>
      </c>
      <c r="AT110" s="16">
        <f t="shared" si="88"/>
        <v>59668.134739985515</v>
      </c>
      <c r="BE110" s="16">
        <v>105</v>
      </c>
      <c r="BF110" s="16">
        <f t="shared" si="68"/>
        <v>3040.5705544341831</v>
      </c>
      <c r="BG110" s="16">
        <f t="shared" si="69"/>
        <v>18351.170554557408</v>
      </c>
      <c r="BH110" s="16">
        <f t="shared" si="70"/>
        <v>30240</v>
      </c>
      <c r="BI110" s="16">
        <f t="shared" si="71"/>
        <v>30240</v>
      </c>
      <c r="BJ110" s="16">
        <f t="shared" si="72"/>
        <v>30240</v>
      </c>
      <c r="BM110" s="16">
        <f t="shared" si="73"/>
        <v>3.5839722730164989</v>
      </c>
      <c r="BN110" s="16">
        <f t="shared" si="74"/>
        <v>0.74198949099033684</v>
      </c>
      <c r="BO110" s="16">
        <f t="shared" si="75"/>
        <v>0.67797509382008336</v>
      </c>
      <c r="BP110" s="16">
        <f t="shared" si="76"/>
        <v>1.4727876402271838</v>
      </c>
      <c r="BQ110" s="16">
        <f t="shared" si="77"/>
        <v>1.9731526038354998</v>
      </c>
      <c r="BR110" s="16">
        <f>(BF110-AP110)*$D$2/'[1]资源-钻石'!L108</f>
        <v>-0.14859618763853238</v>
      </c>
      <c r="BS110" s="16">
        <f>(BG110-AQ110)*$D$2/'[1]资源-钻石'!M108</f>
        <v>6.6386306460656741E-2</v>
      </c>
      <c r="BT110" s="16">
        <f>(BH110-AR110)*$D$2/'[1]资源-钻石'!N108</f>
        <v>8.9566684526652673E-2</v>
      </c>
      <c r="BU110" s="16">
        <f>(BI110-AS110)*$D$2/'[1]资源-钻石'!O108</f>
        <v>-6.1836171663456847E-2</v>
      </c>
      <c r="BV110" s="16">
        <f>(BJ110-AT110)*$D$2/'[1]资源-钻石'!P108</f>
        <v>-9.4774802694518656E-2</v>
      </c>
    </row>
    <row r="111" spans="10:74">
      <c r="J111" s="16">
        <v>4</v>
      </c>
      <c r="K111" s="17">
        <f>基础状态预期!C122</f>
        <v>60</v>
      </c>
      <c r="L111" s="17">
        <f>宝物升星!N111</f>
        <v>0</v>
      </c>
      <c r="M111" s="17">
        <f>宝物升星!O111</f>
        <v>0</v>
      </c>
      <c r="N111" s="17">
        <f>宝物升星!P111</f>
        <v>2.9303061343665813</v>
      </c>
      <c r="O111" s="17">
        <f>宝物升星!Q111</f>
        <v>3.4246234279861913</v>
      </c>
      <c r="P111" s="17">
        <f>基础状态预期!I122</f>
        <v>0</v>
      </c>
      <c r="Q111" s="17">
        <f>基础状态预期!J122</f>
        <v>0</v>
      </c>
      <c r="R111" s="17">
        <f>基础状态预期!K122</f>
        <v>3.7469232883857595</v>
      </c>
      <c r="S111" s="17">
        <f>基础状态预期!L122</f>
        <v>2.2530767116142405</v>
      </c>
      <c r="T111" s="17">
        <f>IF(L111=0,0,同名需求(P111,L111,C$6))</f>
        <v>0</v>
      </c>
      <c r="U111" s="17">
        <f>IF(M111=0,0,同名需求(Q111,M111,D$6))</f>
        <v>0</v>
      </c>
      <c r="V111" s="17">
        <f>IF(N111=0,0,同名需求(R111,N111,E$6))</f>
        <v>19.189372363318409</v>
      </c>
      <c r="W111" s="17">
        <f>IF(O111=0,0,同名需求(S111,O111,F$6))</f>
        <v>16.800817279531387</v>
      </c>
      <c r="Z111" s="17">
        <f>投放验证!AL122*C$7</f>
        <v>396.66383058367734</v>
      </c>
      <c r="AA111" s="17">
        <f>投放验证!AM122*D$7</f>
        <v>651.0366976375069</v>
      </c>
      <c r="AB111" s="17">
        <f>投放验证!AN122*E$7</f>
        <v>586.06122687331629</v>
      </c>
      <c r="AC111" s="17">
        <f>投放验证!AO122*F$7</f>
        <v>771.59392916442164</v>
      </c>
      <c r="AD111" s="17">
        <f>投放验证!Q122/投放验证!$E$25*投放验证!$E$24/$D$2</f>
        <v>1028.7919055525622</v>
      </c>
      <c r="AE111" s="16">
        <v>2470.5447286838253</v>
      </c>
      <c r="AF111" s="16">
        <f t="shared" si="67"/>
        <v>1.3900365979777325</v>
      </c>
      <c r="AG111" s="17">
        <f t="shared" si="89"/>
        <v>60</v>
      </c>
      <c r="AH111" s="17">
        <f t="shared" si="90"/>
        <v>0</v>
      </c>
      <c r="AI111" s="17">
        <f t="shared" si="91"/>
        <v>0</v>
      </c>
      <c r="AJ111" s="17">
        <f t="shared" si="92"/>
        <v>274.49080742394483</v>
      </c>
      <c r="AK111" s="17">
        <f t="shared" si="93"/>
        <v>771.59392916442164</v>
      </c>
      <c r="AL111" s="17">
        <f t="shared" ref="AL111:AL130" si="94">SUM(Z111:AD111)-SUM(AH111:AK111)</f>
        <v>2388.0628532231181</v>
      </c>
      <c r="AM111" s="16">
        <v>1594.7985695094678</v>
      </c>
      <c r="AO111" s="16">
        <v>106</v>
      </c>
      <c r="AP111" s="16">
        <f t="shared" si="84"/>
        <v>11697.669139594196</v>
      </c>
      <c r="AQ111" s="16">
        <f t="shared" si="85"/>
        <v>14804.6613576298</v>
      </c>
      <c r="AR111" s="16">
        <f t="shared" si="86"/>
        <v>22354.321863931207</v>
      </c>
      <c r="AS111" s="16">
        <f t="shared" si="87"/>
        <v>48295.997266238897</v>
      </c>
      <c r="AT111" s="16">
        <f t="shared" si="88"/>
        <v>64661.773267928424</v>
      </c>
      <c r="BE111" s="16">
        <v>106</v>
      </c>
      <c r="BF111" s="16">
        <f t="shared" si="68"/>
        <v>6102.0241062236728</v>
      </c>
      <c r="BG111" s="16">
        <f t="shared" si="69"/>
        <v>20728.936443645925</v>
      </c>
      <c r="BH111" s="16">
        <f t="shared" si="70"/>
        <v>30240</v>
      </c>
      <c r="BI111" s="16">
        <f t="shared" si="71"/>
        <v>30240</v>
      </c>
      <c r="BJ111" s="16">
        <f t="shared" si="72"/>
        <v>30240</v>
      </c>
      <c r="BM111" s="16">
        <f t="shared" si="73"/>
        <v>1.9170145735188631</v>
      </c>
      <c r="BN111" s="16">
        <f t="shared" si="74"/>
        <v>0.71420265086334889</v>
      </c>
      <c r="BO111" s="16">
        <f t="shared" si="75"/>
        <v>0.73923022036809549</v>
      </c>
      <c r="BP111" s="16">
        <f t="shared" si="76"/>
        <v>1.5970898566877942</v>
      </c>
      <c r="BQ111" s="16">
        <f t="shared" si="77"/>
        <v>2.1382861530399611</v>
      </c>
      <c r="BR111" s="16">
        <f>(BF111-AP111)*$D$2/'[1]资源-钻石'!L109</f>
        <v>-9.9798370572740505E-2</v>
      </c>
      <c r="BS111" s="16">
        <f>(BG111-AQ111)*$D$2/'[1]资源-钻石'!M109</f>
        <v>7.7903693391849202E-2</v>
      </c>
      <c r="BT111" s="16">
        <f>(BH111-AR111)*$D$2/'[1]资源-钻石'!N109</f>
        <v>6.7949672182233925E-2</v>
      </c>
      <c r="BU111" s="16">
        <f>(BI111-AS111)*$D$2/'[1]资源-钻石'!O109</f>
        <v>-7.3063809102039801E-2</v>
      </c>
      <c r="BV111" s="16">
        <f>(BJ111-AT111)*$D$2/'[1]资源-钻石'!P109</f>
        <v>-0.10395577101599199</v>
      </c>
    </row>
    <row r="112" spans="10:74">
      <c r="J112" s="16">
        <v>5</v>
      </c>
      <c r="K112" s="17">
        <f>基础状态预期!C123</f>
        <v>70</v>
      </c>
      <c r="L112" s="17">
        <f>宝物升星!N112</f>
        <v>0</v>
      </c>
      <c r="M112" s="17">
        <f>宝物升星!O112</f>
        <v>0</v>
      </c>
      <c r="N112" s="17">
        <f>宝物升星!P112</f>
        <v>5.4389008460744188</v>
      </c>
      <c r="O112" s="17">
        <f>宝物升星!Q112</f>
        <v>3.4246234279861913</v>
      </c>
      <c r="P112" s="17">
        <f>基础状态预期!I123</f>
        <v>0</v>
      </c>
      <c r="Q112" s="17">
        <f>基础状态预期!J123</f>
        <v>0</v>
      </c>
      <c r="R112" s="17">
        <f>基础状态预期!K123</f>
        <v>1.5438472416061884</v>
      </c>
      <c r="S112" s="17">
        <f>基础状态预期!L123</f>
        <v>4.4561527583938112</v>
      </c>
      <c r="T112" s="17">
        <f>IF(L112=0,0,同名需求(P112,L112,C$6))</f>
        <v>0</v>
      </c>
      <c r="U112" s="17">
        <f>IF(M112=0,0,同名需求(Q112,M112,D$6))</f>
        <v>0</v>
      </c>
      <c r="V112" s="17">
        <f>IF(N112=0,0,同名需求(R112,N112,E$6))</f>
        <v>37.055054010201538</v>
      </c>
      <c r="W112" s="17">
        <f>IF(O112=0,0,同名需求(S112,O112,F$6))</f>
        <v>19.003893326310958</v>
      </c>
      <c r="Z112" s="17">
        <f>投放验证!AL123*C$7</f>
        <v>744.35106269055564</v>
      </c>
      <c r="AA112" s="17">
        <f>投放验证!AM123*D$7</f>
        <v>1209.7460948656374</v>
      </c>
      <c r="AB112" s="17">
        <f>投放验证!AN123*E$7</f>
        <v>1087.7801692148837</v>
      </c>
      <c r="AC112" s="17">
        <f>投放验证!AO123*F$7</f>
        <v>1425.9737189531781</v>
      </c>
      <c r="AD112" s="17">
        <f>投放验证!Q123/投放验证!$E$25*投放验证!$E$24/$D$2</f>
        <v>1901.2982919375709</v>
      </c>
      <c r="AE112" s="16">
        <v>4598.2324978553843</v>
      </c>
      <c r="AF112" s="16">
        <f t="shared" si="67"/>
        <v>1.3851299038559701</v>
      </c>
      <c r="AG112" s="17">
        <f t="shared" si="89"/>
        <v>70</v>
      </c>
      <c r="AH112" s="17">
        <f t="shared" si="90"/>
        <v>0</v>
      </c>
      <c r="AI112" s="17">
        <f t="shared" si="91"/>
        <v>0</v>
      </c>
      <c r="AJ112" s="17">
        <f t="shared" si="92"/>
        <v>209.9208017145389</v>
      </c>
      <c r="AK112" s="17">
        <f t="shared" si="93"/>
        <v>1526.0645135080736</v>
      </c>
      <c r="AL112" s="17">
        <f t="shared" si="94"/>
        <v>4633.1640224392131</v>
      </c>
      <c r="AM112" s="16">
        <v>3499.7943613343718</v>
      </c>
      <c r="AO112" s="16">
        <v>107</v>
      </c>
      <c r="AP112" s="16">
        <f t="shared" si="84"/>
        <v>12498.017717945877</v>
      </c>
      <c r="AQ112" s="16">
        <f t="shared" si="85"/>
        <v>15992.947016406692</v>
      </c>
      <c r="AR112" s="16">
        <f t="shared" si="86"/>
        <v>24206.676890743092</v>
      </c>
      <c r="AS112" s="16">
        <f t="shared" si="87"/>
        <v>52054.896292007754</v>
      </c>
      <c r="AT112" s="16">
        <f t="shared" si="88"/>
        <v>69655.411795871332</v>
      </c>
      <c r="BE112" s="16">
        <v>107</v>
      </c>
      <c r="BF112" s="16">
        <f t="shared" si="68"/>
        <v>9163.477658013162</v>
      </c>
      <c r="BG112" s="16">
        <f t="shared" si="69"/>
        <v>23106.702332734443</v>
      </c>
      <c r="BH112" s="16">
        <f t="shared" si="70"/>
        <v>30240</v>
      </c>
      <c r="BI112" s="16">
        <f t="shared" si="71"/>
        <v>30240</v>
      </c>
      <c r="BJ112" s="16">
        <f t="shared" si="72"/>
        <v>30240</v>
      </c>
      <c r="BM112" s="16">
        <f t="shared" si="73"/>
        <v>1.3638946025057166</v>
      </c>
      <c r="BN112" s="16">
        <f t="shared" si="74"/>
        <v>0.69213454979900146</v>
      </c>
      <c r="BO112" s="16">
        <f t="shared" si="75"/>
        <v>0.80048534691610751</v>
      </c>
      <c r="BP112" s="16">
        <f t="shared" si="76"/>
        <v>1.7213920731484045</v>
      </c>
      <c r="BQ112" s="16">
        <f t="shared" si="77"/>
        <v>2.3034197022444225</v>
      </c>
      <c r="BR112" s="16">
        <f>(BF112-AP112)*$D$2/'[1]资源-钻石'!L110</f>
        <v>-5.6047156441740645E-2</v>
      </c>
      <c r="BS112" s="16">
        <f>(BG112-AQ112)*$D$2/'[1]资源-钻石'!M110</f>
        <v>8.7796624203086343E-2</v>
      </c>
      <c r="BT112" s="16">
        <f>(BH112-AR112)*$D$2/'[1]资源-钻石'!N110</f>
        <v>4.8679057612009885E-2</v>
      </c>
      <c r="BU112" s="16">
        <f>(BI112-AS112)*$D$2/'[1]资源-钻石'!O110</f>
        <v>-8.2846096976775405E-2</v>
      </c>
      <c r="BV112" s="16">
        <f>(BJ112-AT112)*$D$2/'[1]资源-钻石'!P110</f>
        <v>-0.1117017012222912</v>
      </c>
    </row>
    <row r="113" spans="10:74">
      <c r="J113" s="16">
        <v>6</v>
      </c>
      <c r="K113" s="17">
        <f>基础状态预期!C124</f>
        <v>75</v>
      </c>
      <c r="L113" s="17">
        <f>宝物升星!N113</f>
        <v>0</v>
      </c>
      <c r="M113" s="17">
        <f>宝物升星!O113</f>
        <v>0</v>
      </c>
      <c r="N113" s="17">
        <f>宝物升星!P113</f>
        <v>6</v>
      </c>
      <c r="O113" s="17">
        <f>宝物升星!Q113</f>
        <v>3.5577382042117049</v>
      </c>
      <c r="P113" s="17">
        <f>基础状态预期!I124</f>
        <v>0</v>
      </c>
      <c r="Q113" s="17">
        <f>基础状态预期!J124</f>
        <v>0</v>
      </c>
      <c r="R113" s="17">
        <f>基础状态预期!K124</f>
        <v>0.39015986289478644</v>
      </c>
      <c r="S113" s="17">
        <f>基础状态预期!L124</f>
        <v>5.6098401371052136</v>
      </c>
      <c r="T113" s="17">
        <f>IF(L113=0,0,同名需求(P113,L113,C$6))</f>
        <v>0</v>
      </c>
      <c r="U113" s="17">
        <f>IF(M113=0,0,同名需求(Q113,M113,D$6))</f>
        <v>0</v>
      </c>
      <c r="V113" s="17">
        <f>IF(N113=0,0,同名需求(R113,N113,E$6))</f>
        <v>40.390159862894784</v>
      </c>
      <c r="W113" s="17">
        <f>IF(O113=0,0,同名需求(S113,O113,F$6))</f>
        <v>20.956269362375444</v>
      </c>
      <c r="Z113" s="17">
        <f>投放验证!AL124*C$7</f>
        <v>1046.4406284153883</v>
      </c>
      <c r="AA113" s="17">
        <f>投放验证!AM124*D$7</f>
        <v>1695.8417157660779</v>
      </c>
      <c r="AB113" s="17">
        <f>投放验证!AN124*E$7</f>
        <v>1524.3290286046565</v>
      </c>
      <c r="AC113" s="17">
        <f>投放验证!AO124*F$7</f>
        <v>1995.8342575299448</v>
      </c>
      <c r="AD113" s="17">
        <f>投放验证!Q124/投放验证!$E$25*投放验证!$E$24/$D$2</f>
        <v>2661.1123433732591</v>
      </c>
      <c r="AE113" s="16">
        <v>6448.761939515507</v>
      </c>
      <c r="AF113" s="16">
        <f t="shared" si="67"/>
        <v>1.3837629699135321</v>
      </c>
      <c r="AG113" s="17">
        <f t="shared" si="89"/>
        <v>75</v>
      </c>
      <c r="AH113" s="17">
        <f t="shared" si="90"/>
        <v>0</v>
      </c>
      <c r="AI113" s="17">
        <f t="shared" si="91"/>
        <v>0</v>
      </c>
      <c r="AJ113" s="17">
        <f t="shared" si="92"/>
        <v>58.523979434217964</v>
      </c>
      <c r="AK113" s="17">
        <f t="shared" si="93"/>
        <v>1995.8342575299448</v>
      </c>
      <c r="AL113" s="17">
        <f t="shared" si="94"/>
        <v>6869.1997367251643</v>
      </c>
      <c r="AM113" s="16">
        <v>5176.9878638220316</v>
      </c>
      <c r="AO113" s="16">
        <v>108</v>
      </c>
      <c r="AP113" s="16">
        <f t="shared" si="84"/>
        <v>13298.366296297558</v>
      </c>
      <c r="AQ113" s="16">
        <f t="shared" si="85"/>
        <v>17181.232675183583</v>
      </c>
      <c r="AR113" s="16">
        <f t="shared" si="86"/>
        <v>26059.031917554981</v>
      </c>
      <c r="AS113" s="16">
        <f t="shared" si="87"/>
        <v>55813.795317776603</v>
      </c>
      <c r="AT113" s="16">
        <f t="shared" si="88"/>
        <v>74649.050323814241</v>
      </c>
      <c r="BE113" s="16">
        <v>108</v>
      </c>
      <c r="BF113" s="16">
        <f t="shared" si="68"/>
        <v>12224.931209802653</v>
      </c>
      <c r="BG113" s="16">
        <f t="shared" si="69"/>
        <v>25484.468221822965</v>
      </c>
      <c r="BH113" s="16">
        <f t="shared" si="70"/>
        <v>30240</v>
      </c>
      <c r="BI113" s="16">
        <f t="shared" si="71"/>
        <v>30240</v>
      </c>
      <c r="BJ113" s="16">
        <f t="shared" si="72"/>
        <v>30240</v>
      </c>
      <c r="BM113" s="16">
        <f t="shared" si="73"/>
        <v>1.0878070451336497</v>
      </c>
      <c r="BN113" s="16">
        <f t="shared" si="74"/>
        <v>0.67418446897278705</v>
      </c>
      <c r="BO113" s="16">
        <f t="shared" si="75"/>
        <v>0.86174047346411975</v>
      </c>
      <c r="BP113" s="16">
        <f t="shared" si="76"/>
        <v>1.8456942896090147</v>
      </c>
      <c r="BQ113" s="16">
        <f t="shared" si="77"/>
        <v>2.4685532514488835</v>
      </c>
      <c r="BR113" s="16">
        <f>(BF113-AP113)*$D$2/'[1]资源-钻石'!L111</f>
        <v>-1.6993634583275883E-2</v>
      </c>
      <c r="BS113" s="16">
        <f>(BG113-AQ113)*$D$2/'[1]资源-钻石'!M111</f>
        <v>9.6293496802795378E-2</v>
      </c>
      <c r="BT113" s="16">
        <f>(BH113-AR113)*$D$2/'[1]资源-钻石'!N111</f>
        <v>3.1727165238912336E-2</v>
      </c>
      <c r="BU113" s="16">
        <f>(BI113-AS113)*$D$2/'[1]资源-钻石'!O111</f>
        <v>-9.1103029303906374E-2</v>
      </c>
      <c r="BV113" s="16">
        <f>(BJ113-AT113)*$D$2/'[1]资源-钻石'!P111</f>
        <v>-0.11774085653429003</v>
      </c>
    </row>
    <row r="114" spans="10:74">
      <c r="J114" s="16">
        <v>7</v>
      </c>
      <c r="K114" s="17">
        <f>基础状态预期!C125</f>
        <v>80</v>
      </c>
      <c r="L114" s="17">
        <f>宝物升星!N114</f>
        <v>0</v>
      </c>
      <c r="M114" s="17">
        <f>宝物升星!O114</f>
        <v>0</v>
      </c>
      <c r="N114" s="17">
        <f>宝物升星!P114</f>
        <v>0</v>
      </c>
      <c r="O114" s="17">
        <f>宝物升星!Q114</f>
        <v>4.6351081797546971</v>
      </c>
      <c r="P114" s="17">
        <f>基础状态预期!I125</f>
        <v>0</v>
      </c>
      <c r="Q114" s="17">
        <f>基础状态预期!J125</f>
        <v>0</v>
      </c>
      <c r="R114" s="17">
        <f>基础状态预期!K125</f>
        <v>0</v>
      </c>
      <c r="S114" s="17">
        <f>基础状态预期!L125</f>
        <v>6</v>
      </c>
      <c r="T114" s="17">
        <f>IF(L114=0,0,同名需求(P114,L114,C$6))</f>
        <v>0</v>
      </c>
      <c r="U114" s="17">
        <f>IF(M114=0,0,同名需求(Q114,M114,D$6))</f>
        <v>0</v>
      </c>
      <c r="V114" s="17">
        <f>IF(N114=0,0,同名需求(R114,N114,E$6))</f>
        <v>0</v>
      </c>
      <c r="W114" s="17">
        <f>IF(O114=0,0,同名需求(S114,O114,F$6))</f>
        <v>27.810649078528183</v>
      </c>
      <c r="Z114" s="17">
        <f>投放验证!AL125*C$7</f>
        <v>1462.7003447703755</v>
      </c>
      <c r="AA114" s="17">
        <f>投放验证!AM125*D$7</f>
        <v>2365.649773492004</v>
      </c>
      <c r="AB114" s="17">
        <f>投放验证!AN125*E$7</f>
        <v>2125.8648808896141</v>
      </c>
      <c r="AC114" s="17">
        <f>投放验证!AO125*F$7</f>
        <v>2781.0649078528181</v>
      </c>
      <c r="AD114" s="17">
        <f>投放验证!Q125/投放验证!$E$25*投放验证!$E$24/$D$2</f>
        <v>3708.0865438037567</v>
      </c>
      <c r="AE114" s="16">
        <v>8998.6708006300523</v>
      </c>
      <c r="AF114" s="16">
        <f t="shared" si="67"/>
        <v>1.3828004964841398</v>
      </c>
      <c r="AG114" s="17">
        <f t="shared" si="89"/>
        <v>80</v>
      </c>
      <c r="AH114" s="17">
        <f t="shared" si="90"/>
        <v>0</v>
      </c>
      <c r="AI114" s="17">
        <f t="shared" si="91"/>
        <v>0</v>
      </c>
      <c r="AJ114" s="17">
        <f t="shared" si="92"/>
        <v>0</v>
      </c>
      <c r="AK114" s="17">
        <f t="shared" si="93"/>
        <v>2781.0649078528181</v>
      </c>
      <c r="AL114" s="17">
        <f t="shared" si="94"/>
        <v>9662.301542955749</v>
      </c>
      <c r="AM114" s="16">
        <v>7282.822554747203</v>
      </c>
      <c r="AO114" s="16">
        <v>109</v>
      </c>
      <c r="AP114" s="16">
        <f t="shared" si="84"/>
        <v>14098.714874649237</v>
      </c>
      <c r="AQ114" s="16">
        <f t="shared" si="85"/>
        <v>18369.518333960474</v>
      </c>
      <c r="AR114" s="16">
        <f t="shared" si="86"/>
        <v>27911.386944366866</v>
      </c>
      <c r="AS114" s="16">
        <f t="shared" si="87"/>
        <v>59572.69434354546</v>
      </c>
      <c r="AT114" s="16">
        <f t="shared" si="88"/>
        <v>79642.688851757164</v>
      </c>
      <c r="BE114" s="16">
        <v>109</v>
      </c>
      <c r="BF114" s="16">
        <f t="shared" si="68"/>
        <v>15286.384761592142</v>
      </c>
      <c r="BG114" s="16">
        <f t="shared" si="69"/>
        <v>27862.234110911482</v>
      </c>
      <c r="BH114" s="16">
        <f t="shared" si="70"/>
        <v>30240</v>
      </c>
      <c r="BI114" s="16">
        <f t="shared" si="71"/>
        <v>30240</v>
      </c>
      <c r="BJ114" s="16">
        <f t="shared" si="72"/>
        <v>30240</v>
      </c>
      <c r="BM114" s="16">
        <f t="shared" si="73"/>
        <v>0.92230537792513312</v>
      </c>
      <c r="BN114" s="16">
        <f t="shared" si="74"/>
        <v>0.65929811158849438</v>
      </c>
      <c r="BO114" s="16">
        <f t="shared" si="75"/>
        <v>0.92299560001213188</v>
      </c>
      <c r="BP114" s="16">
        <f t="shared" si="76"/>
        <v>1.969996506069625</v>
      </c>
      <c r="BQ114" s="16">
        <f t="shared" si="77"/>
        <v>2.6336868006533454</v>
      </c>
      <c r="BR114" s="16">
        <f>(BF114-AP114)*$D$2/'[1]资源-钻石'!L112</f>
        <v>1.7699457016137295E-2</v>
      </c>
      <c r="BS114" s="16">
        <f>(BG114-AQ114)*$D$2/'[1]资源-钻石'!M112</f>
        <v>0.10376020620559068</v>
      </c>
      <c r="BT114" s="16">
        <f>(BH114-AR114)*$D$2/'[1]资源-钻石'!N112</f>
        <v>1.6593312990744773E-2</v>
      </c>
      <c r="BU114" s="16">
        <f>(BI114-AS114)*$D$2/'[1]资源-钻石'!O112</f>
        <v>-9.7930087069744209E-2</v>
      </c>
      <c r="BV114" s="16">
        <f>(BJ114-AT114)*$D$2/'[1]资源-钻石'!P112</f>
        <v>-0.12243706460722478</v>
      </c>
    </row>
    <row r="115" spans="10:74">
      <c r="J115" s="16">
        <v>8</v>
      </c>
      <c r="K115" s="17">
        <f>基础状态预期!C126</f>
        <v>85</v>
      </c>
      <c r="L115" s="17">
        <f>宝物升星!N115</f>
        <v>0</v>
      </c>
      <c r="M115" s="17">
        <f>宝物升星!O115</f>
        <v>0</v>
      </c>
      <c r="N115" s="17">
        <f>宝物升星!P115</f>
        <v>0</v>
      </c>
      <c r="O115" s="17">
        <f>宝物升星!Q115</f>
        <v>6</v>
      </c>
      <c r="P115" s="17">
        <f>基础状态预期!I126</f>
        <v>0</v>
      </c>
      <c r="Q115" s="17">
        <f>基础状态预期!J126</f>
        <v>0</v>
      </c>
      <c r="R115" s="17">
        <f>基础状态预期!K126</f>
        <v>0</v>
      </c>
      <c r="S115" s="17">
        <f>基础状态预期!L126</f>
        <v>6</v>
      </c>
      <c r="T115" s="17">
        <f>IF(L115=0,0,同名需求(P115,L115,C$6))</f>
        <v>0</v>
      </c>
      <c r="U115" s="17">
        <f>IF(M115=0,0,同名需求(Q115,M115,D$6))</f>
        <v>0</v>
      </c>
      <c r="V115" s="17">
        <f>IF(N115=0,0,同名需求(R115,N115,E$6))</f>
        <v>0</v>
      </c>
      <c r="W115" s="17">
        <f>IF(O115=0,0,同名需求(S115,O115,F$6))</f>
        <v>36</v>
      </c>
      <c r="Z115" s="17">
        <f>投放验证!AL126*C$7</f>
        <v>2045.3093018256559</v>
      </c>
      <c r="AA115" s="17">
        <f>投放验证!AM126*D$7</f>
        <v>3302.7495288761206</v>
      </c>
      <c r="AB115" s="17">
        <f>投放验证!AN126*E$7</f>
        <v>2967.4265534545766</v>
      </c>
      <c r="AC115" s="17">
        <f>投放验证!AO126*F$7</f>
        <v>3879.3407516684156</v>
      </c>
      <c r="AD115" s="17">
        <f>投放验证!Q126/投放验证!$E$25*投放验证!$E$24/$D$2</f>
        <v>5172.4543355578871</v>
      </c>
      <c r="AE115" s="16">
        <v>12566.964423108075</v>
      </c>
      <c r="AF115" s="16">
        <f t="shared" si="67"/>
        <v>1.3819789637860185</v>
      </c>
      <c r="AG115" s="17">
        <f t="shared" si="89"/>
        <v>85</v>
      </c>
      <c r="AH115" s="17">
        <f t="shared" si="90"/>
        <v>0</v>
      </c>
      <c r="AI115" s="17">
        <f t="shared" si="91"/>
        <v>0</v>
      </c>
      <c r="AJ115" s="17">
        <f t="shared" si="92"/>
        <v>0</v>
      </c>
      <c r="AK115" s="17">
        <f t="shared" si="93"/>
        <v>3600</v>
      </c>
      <c r="AL115" s="17">
        <f t="shared" si="94"/>
        <v>13767.280471382655</v>
      </c>
      <c r="AM115" s="16">
        <v>10406.964423108075</v>
      </c>
      <c r="AO115" s="16">
        <v>110</v>
      </c>
      <c r="AP115" s="16">
        <f t="shared" si="84"/>
        <v>14899.063453000917</v>
      </c>
      <c r="AQ115" s="16">
        <f t="shared" si="85"/>
        <v>19557.803992737365</v>
      </c>
      <c r="AR115" s="16">
        <f t="shared" si="86"/>
        <v>29763.741971178752</v>
      </c>
      <c r="AS115" s="16">
        <f t="shared" si="87"/>
        <v>63331.593369314316</v>
      </c>
      <c r="AT115" s="16">
        <f t="shared" si="88"/>
        <v>84636.327379700073</v>
      </c>
      <c r="BE115" s="16">
        <v>110</v>
      </c>
      <c r="BF115" s="16">
        <f t="shared" si="68"/>
        <v>18347.838313381631</v>
      </c>
      <c r="BG115" s="16">
        <f t="shared" si="69"/>
        <v>30240</v>
      </c>
      <c r="BH115" s="16">
        <f t="shared" si="70"/>
        <v>30240</v>
      </c>
      <c r="BI115" s="16">
        <f t="shared" si="71"/>
        <v>30240</v>
      </c>
      <c r="BJ115" s="16">
        <f t="shared" si="72"/>
        <v>30240</v>
      </c>
      <c r="BM115" s="16">
        <f t="shared" si="73"/>
        <v>0.8120337229119019</v>
      </c>
      <c r="BN115" s="16">
        <f t="shared" si="74"/>
        <v>0.64675277753761129</v>
      </c>
      <c r="BO115" s="16">
        <f t="shared" si="75"/>
        <v>0.9842507265601439</v>
      </c>
      <c r="BP115" s="16">
        <f t="shared" si="76"/>
        <v>2.0942987225302354</v>
      </c>
      <c r="BQ115" s="16">
        <f t="shared" si="77"/>
        <v>2.7988203498578068</v>
      </c>
      <c r="BR115" s="16">
        <f>(BF115-AP115)*$D$2/'[1]资源-钻石'!L113</f>
        <v>4.8356585720394564E-2</v>
      </c>
      <c r="BS115" s="16">
        <f>(BG115-AQ115)*$D$2/'[1]资源-钻石'!M113</f>
        <v>0.10968039382806505</v>
      </c>
      <c r="BT115" s="16">
        <f>(BH115-AR115)*$D$2/'[1]资源-钻石'!N113</f>
        <v>3.1719657701392606E-3</v>
      </c>
      <c r="BU115" s="16">
        <f>(BI115-AS115)*$D$2/'[1]资源-钻石'!O113</f>
        <v>-0.10299249714720235</v>
      </c>
      <c r="BV115" s="16">
        <f>(BJ115-AT115)*$D$2/'[1]资源-钻石'!P113</f>
        <v>-0.12563571682576893</v>
      </c>
    </row>
    <row r="116" spans="10:74">
      <c r="J116" s="16">
        <v>9</v>
      </c>
      <c r="K116" s="17">
        <f>基础状态预期!C127</f>
        <v>90</v>
      </c>
      <c r="L116" s="17">
        <f>宝物升星!N116</f>
        <v>0</v>
      </c>
      <c r="M116" s="17">
        <f>宝物升星!O116</f>
        <v>0</v>
      </c>
      <c r="N116" s="17">
        <f>宝物升星!P116</f>
        <v>0</v>
      </c>
      <c r="O116" s="17">
        <f>宝物升星!Q116</f>
        <v>6</v>
      </c>
      <c r="P116" s="17">
        <f>基础状态预期!I127</f>
        <v>0</v>
      </c>
      <c r="Q116" s="17">
        <f>基础状态预期!J127</f>
        <v>0</v>
      </c>
      <c r="R116" s="17">
        <f>基础状态预期!K127</f>
        <v>0</v>
      </c>
      <c r="S116" s="17">
        <f>基础状态预期!L127</f>
        <v>6</v>
      </c>
      <c r="T116" s="17">
        <f>IF(L116=0,0,同名需求(P116,L116,C$6))</f>
        <v>0</v>
      </c>
      <c r="U116" s="17">
        <f>IF(M116=0,0,同名需求(Q116,M116,D$6))</f>
        <v>0</v>
      </c>
      <c r="V116" s="17">
        <f>IF(N116=0,0,同名需求(R116,N116,E$6))</f>
        <v>0</v>
      </c>
      <c r="W116" s="17">
        <f>IF(O116=0,0,同名需求(S116,O116,F$6))</f>
        <v>36</v>
      </c>
      <c r="Z116" s="17">
        <f>投放验证!AL127*C$7</f>
        <v>2738.0338145555183</v>
      </c>
      <c r="AA116" s="17">
        <f>投放验证!AM127*D$7</f>
        <v>4416.322707667242</v>
      </c>
      <c r="AB116" s="17">
        <f>投放验证!AN127*E$7</f>
        <v>3967.4341606673288</v>
      </c>
      <c r="AC116" s="17">
        <f>投放验证!AO127*F$7</f>
        <v>5183.9274142231043</v>
      </c>
      <c r="AD116" s="17">
        <f>投放验证!Q127/投放验证!$E$25*投放验证!$E$24/$D$2</f>
        <v>6911.9032189641384</v>
      </c>
      <c r="AE116" s="16">
        <v>16808.620624144405</v>
      </c>
      <c r="AF116" s="16">
        <f t="shared" si="67"/>
        <v>1.381292482901711</v>
      </c>
      <c r="AG116" s="17">
        <f t="shared" si="89"/>
        <v>90</v>
      </c>
      <c r="AH116" s="17">
        <f t="shared" si="90"/>
        <v>0</v>
      </c>
      <c r="AI116" s="17">
        <f t="shared" si="91"/>
        <v>0</v>
      </c>
      <c r="AJ116" s="17">
        <f t="shared" si="92"/>
        <v>0</v>
      </c>
      <c r="AK116" s="17">
        <f t="shared" si="93"/>
        <v>3600</v>
      </c>
      <c r="AL116" s="17">
        <f t="shared" si="94"/>
        <v>19617.621316077333</v>
      </c>
      <c r="AM116" s="16">
        <v>14648.620624144405</v>
      </c>
      <c r="AO116" s="16">
        <v>111</v>
      </c>
      <c r="AP116" s="16">
        <f t="shared" si="84"/>
        <v>16195.579878680166</v>
      </c>
      <c r="AQ116" s="16">
        <f t="shared" si="85"/>
        <v>21328.33290489198</v>
      </c>
      <c r="AR116" s="16">
        <f t="shared" si="86"/>
        <v>32340.049701209147</v>
      </c>
      <c r="AS116" s="16">
        <f t="shared" si="87"/>
        <v>68629.414130718375</v>
      </c>
      <c r="AT116" s="16">
        <f t="shared" si="88"/>
        <v>91585.882275557597</v>
      </c>
      <c r="BE116" s="16">
        <v>111</v>
      </c>
      <c r="BF116" s="16">
        <f t="shared" si="68"/>
        <v>20726.270650705304</v>
      </c>
      <c r="BG116" s="16">
        <f t="shared" si="69"/>
        <v>30240</v>
      </c>
      <c r="BH116" s="16">
        <f t="shared" si="70"/>
        <v>30240</v>
      </c>
      <c r="BI116" s="16">
        <f t="shared" si="71"/>
        <v>30240</v>
      </c>
      <c r="BJ116" s="16">
        <f t="shared" si="72"/>
        <v>30240</v>
      </c>
      <c r="BM116" s="16">
        <f t="shared" si="73"/>
        <v>0.78140347347674144</v>
      </c>
      <c r="BN116" s="16">
        <f t="shared" si="74"/>
        <v>0.70530201405066073</v>
      </c>
      <c r="BO116" s="16">
        <f t="shared" si="75"/>
        <v>1.0694460880029479</v>
      </c>
      <c r="BP116" s="16">
        <f t="shared" si="76"/>
        <v>2.2694912080264014</v>
      </c>
      <c r="BQ116" s="16">
        <f t="shared" si="77"/>
        <v>3.0286336731335184</v>
      </c>
      <c r="BR116" s="16">
        <f>(BF116-AP116)*$D$2/'[1]资源-钻石'!L114</f>
        <v>5.9740149751060755E-2</v>
      </c>
      <c r="BS116" s="16">
        <f>(BG116-AQ116)*$D$2/'[1]资源-钻石'!M114</f>
        <v>8.5806356325430613E-2</v>
      </c>
      <c r="BT116" s="16">
        <f>(BH116-AR116)*$D$2/'[1]资源-钻石'!N114</f>
        <v>-1.3077527472079709E-2</v>
      </c>
      <c r="BU116" s="16">
        <f>(BI116-AS116)*$D$2/'[1]资源-钻石'!O114</f>
        <v>-0.11132687804935314</v>
      </c>
      <c r="BV116" s="16">
        <f>(BJ116-AT116)*$D$2/'[1]资源-钻石'!P114</f>
        <v>-0.1318364436068363</v>
      </c>
    </row>
    <row r="117" spans="10:74">
      <c r="J117" s="16">
        <v>10</v>
      </c>
      <c r="K117" s="17">
        <f>基础状态预期!C128</f>
        <v>95</v>
      </c>
      <c r="L117" s="17">
        <f>宝物升星!N117</f>
        <v>0</v>
      </c>
      <c r="M117" s="17">
        <f>宝物升星!O117</f>
        <v>0</v>
      </c>
      <c r="N117" s="17">
        <f>宝物升星!P117</f>
        <v>0</v>
      </c>
      <c r="O117" s="17">
        <f>宝物升星!Q117</f>
        <v>6</v>
      </c>
      <c r="P117" s="17">
        <f>基础状态预期!I128</f>
        <v>0</v>
      </c>
      <c r="Q117" s="17">
        <f>基础状态预期!J128</f>
        <v>0</v>
      </c>
      <c r="R117" s="17">
        <f>基础状态预期!K128</f>
        <v>0</v>
      </c>
      <c r="S117" s="17">
        <f>基础状态预期!L128</f>
        <v>6</v>
      </c>
      <c r="T117" s="17">
        <f>IF(L117=0,0,同名需求(P117,L117,C$6))</f>
        <v>0</v>
      </c>
      <c r="U117" s="17">
        <f>IF(M117=0,0,同名需求(Q117,M117,D$6))</f>
        <v>0</v>
      </c>
      <c r="V117" s="17">
        <f>IF(N117=0,0,同名需求(R117,N117,E$6))</f>
        <v>0</v>
      </c>
      <c r="W117" s="17">
        <f>IF(O117=0,0,同名需求(S117,O117,F$6))</f>
        <v>36</v>
      </c>
      <c r="Z117" s="17">
        <f>投放验证!AL128*C$7</f>
        <v>3783.7866820996724</v>
      </c>
      <c r="AA117" s="17">
        <f>投放验证!AM128*D$7</f>
        <v>6097.2858131971352</v>
      </c>
      <c r="AB117" s="17">
        <f>投放验证!AN128*E$7</f>
        <v>5476.9612559467578</v>
      </c>
      <c r="AC117" s="17">
        <f>投放验证!AO128*F$7</f>
        <v>7153.1392258270334</v>
      </c>
      <c r="AD117" s="17">
        <f>投放验证!Q128/投放验证!$E$25*投放验证!$E$24/$D$2</f>
        <v>9537.5189677693761</v>
      </c>
      <c r="AE117" s="16">
        <v>23230.313143704516</v>
      </c>
      <c r="AF117" s="16">
        <f t="shared" si="67"/>
        <v>1.3796065402383639</v>
      </c>
      <c r="AG117" s="17">
        <f t="shared" si="89"/>
        <v>95</v>
      </c>
      <c r="AH117" s="17">
        <f t="shared" si="90"/>
        <v>0</v>
      </c>
      <c r="AI117" s="17">
        <f t="shared" si="91"/>
        <v>0</v>
      </c>
      <c r="AJ117" s="17">
        <f t="shared" si="92"/>
        <v>0</v>
      </c>
      <c r="AK117" s="17">
        <f t="shared" si="93"/>
        <v>3600</v>
      </c>
      <c r="AL117" s="17">
        <f t="shared" si="94"/>
        <v>28448.691944839979</v>
      </c>
      <c r="AM117" s="16">
        <v>21070.313143704516</v>
      </c>
      <c r="AO117" s="16">
        <v>112</v>
      </c>
      <c r="AP117" s="16">
        <f t="shared" si="84"/>
        <v>17492.096304359417</v>
      </c>
      <c r="AQ117" s="16">
        <f t="shared" si="85"/>
        <v>23098.861817046596</v>
      </c>
      <c r="AR117" s="16">
        <f t="shared" si="86"/>
        <v>34916.357431239543</v>
      </c>
      <c r="AS117" s="16">
        <f t="shared" si="87"/>
        <v>73927.234892122433</v>
      </c>
      <c r="AT117" s="16">
        <f t="shared" si="88"/>
        <v>98535.43717141512</v>
      </c>
      <c r="BE117" s="16">
        <v>112</v>
      </c>
      <c r="BF117" s="16">
        <f t="shared" si="68"/>
        <v>23104.702988028977</v>
      </c>
      <c r="BG117" s="16">
        <f t="shared" si="69"/>
        <v>30240</v>
      </c>
      <c r="BH117" s="16">
        <f t="shared" si="70"/>
        <v>30240</v>
      </c>
      <c r="BI117" s="16">
        <f t="shared" si="71"/>
        <v>30240</v>
      </c>
      <c r="BJ117" s="16">
        <f t="shared" si="72"/>
        <v>30240</v>
      </c>
      <c r="BM117" s="16">
        <f t="shared" si="73"/>
        <v>0.75707947050530933</v>
      </c>
      <c r="BN117" s="16">
        <f t="shared" si="74"/>
        <v>0.76385125056371017</v>
      </c>
      <c r="BO117" s="16">
        <f t="shared" si="75"/>
        <v>1.154641449445752</v>
      </c>
      <c r="BP117" s="16">
        <f t="shared" si="76"/>
        <v>2.4446836935225673</v>
      </c>
      <c r="BQ117" s="16">
        <f t="shared" si="77"/>
        <v>3.25844699640923</v>
      </c>
      <c r="BR117" s="16">
        <f>(BF117-AP117)*$D$2/'[1]资源-钻石'!L115</f>
        <v>6.9562206392895121E-2</v>
      </c>
      <c r="BS117" s="16">
        <f>(BG117-AQ117)*$D$2/'[1]资源-钻石'!M115</f>
        <v>6.4494933181906966E-2</v>
      </c>
      <c r="BT117" s="16">
        <f>(BH117-AR117)*$D$2/'[1]资源-钻石'!N115</f>
        <v>-2.7267489582728181E-2</v>
      </c>
      <c r="BU117" s="16">
        <f>(BI117-AS117)*$D$2/'[1]资源-钻石'!O115</f>
        <v>-0.11824299854866535</v>
      </c>
      <c r="BV117" s="16">
        <f>(BJ117-AT117)*$D$2/'[1]资源-钻石'!P115</f>
        <v>-0.13747533279240406</v>
      </c>
    </row>
    <row r="118" spans="10:74">
      <c r="J118" s="16">
        <v>11</v>
      </c>
      <c r="K118" s="17">
        <f>基础状态预期!C129</f>
        <v>100</v>
      </c>
      <c r="L118" s="17">
        <f>宝物升星!N118</f>
        <v>0</v>
      </c>
      <c r="M118" s="17">
        <f>宝物升星!O118</f>
        <v>0</v>
      </c>
      <c r="N118" s="17">
        <f>宝物升星!P118</f>
        <v>0</v>
      </c>
      <c r="O118" s="17">
        <f>宝物升星!Q118</f>
        <v>6</v>
      </c>
      <c r="P118" s="17">
        <f>基础状态预期!I129</f>
        <v>0</v>
      </c>
      <c r="Q118" s="17">
        <f>基础状态预期!J129</f>
        <v>0</v>
      </c>
      <c r="R118" s="17">
        <f>基础状态预期!K129</f>
        <v>0</v>
      </c>
      <c r="S118" s="17">
        <f>基础状态预期!L129</f>
        <v>6</v>
      </c>
      <c r="T118" s="17">
        <f>IF(L118=0,0,同名需求(P118,L118,C$6))</f>
        <v>0</v>
      </c>
      <c r="U118" s="17">
        <f>IF(M118=0,0,同名需求(Q118,M118,D$6))</f>
        <v>0</v>
      </c>
      <c r="V118" s="17">
        <f>IF(N118=0,0,同名需求(R118,N118,E$6))</f>
        <v>0</v>
      </c>
      <c r="W118" s="17">
        <f>IF(O118=0,0,同名需求(S118,O118,F$6))</f>
        <v>36</v>
      </c>
      <c r="Z118" s="17">
        <f>投放验证!AL129*C$7</f>
        <v>5350.5947979865678</v>
      </c>
      <c r="AA118" s="17">
        <f>投放验证!AM129*D$7</f>
        <v>8615.2535504256575</v>
      </c>
      <c r="AB118" s="17">
        <f>投放验证!AN129*E$7</f>
        <v>7738.0988659839031</v>
      </c>
      <c r="AC118" s="17">
        <f>投放验证!AO129*F$7</f>
        <v>10102.442914645202</v>
      </c>
      <c r="AD118" s="17">
        <f>投放验证!Q129/投放验证!$E$25*投放验证!$E$24/$D$2</f>
        <v>13469.923886193603</v>
      </c>
      <c r="AE118" s="16">
        <v>32995.760394725556</v>
      </c>
      <c r="AF118" s="16">
        <f t="shared" si="67"/>
        <v>1.3721858042851001</v>
      </c>
      <c r="AG118" s="17">
        <f t="shared" si="89"/>
        <v>100</v>
      </c>
      <c r="AH118" s="17">
        <f t="shared" si="90"/>
        <v>0</v>
      </c>
      <c r="AI118" s="17">
        <f t="shared" si="91"/>
        <v>0</v>
      </c>
      <c r="AJ118" s="17">
        <f t="shared" si="92"/>
        <v>0</v>
      </c>
      <c r="AK118" s="17">
        <f t="shared" si="93"/>
        <v>3600</v>
      </c>
      <c r="AL118" s="17">
        <f t="shared" si="94"/>
        <v>41676.314015234937</v>
      </c>
      <c r="AM118" s="16">
        <v>30835.760394725556</v>
      </c>
      <c r="AO118" s="16">
        <v>113</v>
      </c>
      <c r="AP118" s="16">
        <f t="shared" si="84"/>
        <v>18788.612730038665</v>
      </c>
      <c r="AQ118" s="16">
        <f t="shared" si="85"/>
        <v>24869.390729201215</v>
      </c>
      <c r="AR118" s="16">
        <f t="shared" si="86"/>
        <v>37492.665161269942</v>
      </c>
      <c r="AS118" s="16">
        <f t="shared" si="87"/>
        <v>79225.055653526506</v>
      </c>
      <c r="AT118" s="16">
        <f t="shared" si="88"/>
        <v>105484.99206727263</v>
      </c>
      <c r="BE118" s="16">
        <v>113</v>
      </c>
      <c r="BF118" s="16">
        <f t="shared" si="68"/>
        <v>25483.135325352654</v>
      </c>
      <c r="BG118" s="16">
        <f t="shared" si="69"/>
        <v>30240</v>
      </c>
      <c r="BH118" s="16">
        <f t="shared" si="70"/>
        <v>30240</v>
      </c>
      <c r="BI118" s="16">
        <f t="shared" si="71"/>
        <v>30240</v>
      </c>
      <c r="BJ118" s="16">
        <f t="shared" si="72"/>
        <v>30240</v>
      </c>
      <c r="BM118" s="16">
        <f t="shared" si="73"/>
        <v>0.737295960255968</v>
      </c>
      <c r="BN118" s="16">
        <f t="shared" si="74"/>
        <v>0.82240048707675972</v>
      </c>
      <c r="BO118" s="16">
        <f t="shared" si="75"/>
        <v>1.2398368108885562</v>
      </c>
      <c r="BP118" s="16">
        <f t="shared" si="76"/>
        <v>2.6198761790187337</v>
      </c>
      <c r="BQ118" s="16">
        <f t="shared" si="77"/>
        <v>3.4882603196849415</v>
      </c>
      <c r="BR118" s="16">
        <f>(BF118-AP118)*$D$2/'[1]资源-钻石'!L116</f>
        <v>7.7954608999076427E-2</v>
      </c>
      <c r="BS118" s="16">
        <f>(BG118-AQ118)*$D$2/'[1]资源-钻石'!M116</f>
        <v>4.5489518989106671E-2</v>
      </c>
      <c r="BT118" s="16">
        <f>(BH118-AR118)*$D$2/'[1]资源-钻石'!N116</f>
        <v>-3.9576577046382053E-2</v>
      </c>
      <c r="BU118" s="16">
        <f>(BI118-AS118)*$D$2/'[1]资源-钻石'!O116</f>
        <v>-0.12412509891639854</v>
      </c>
      <c r="BV118" s="16">
        <f>(BJ118-AT118)*$D$2/'[1]资源-钻石'!P116</f>
        <v>-0.14191757303555746</v>
      </c>
    </row>
    <row r="119" spans="10:74">
      <c r="J119" s="16">
        <v>12</v>
      </c>
      <c r="K119" s="17">
        <f>基础状态预期!C130</f>
        <v>105</v>
      </c>
      <c r="L119" s="17">
        <f>宝物升星!N119</f>
        <v>0</v>
      </c>
      <c r="M119" s="17">
        <f>宝物升星!O119</f>
        <v>0</v>
      </c>
      <c r="N119" s="17">
        <f>宝物升星!P119</f>
        <v>0</v>
      </c>
      <c r="O119" s="17">
        <f>宝物升星!Q119</f>
        <v>6</v>
      </c>
      <c r="P119" s="17">
        <f>基础状态预期!I130</f>
        <v>0</v>
      </c>
      <c r="Q119" s="17">
        <f>基础状态预期!J130</f>
        <v>0</v>
      </c>
      <c r="R119" s="17">
        <f>基础状态预期!K130</f>
        <v>0</v>
      </c>
      <c r="S119" s="17">
        <f>基础状态预期!L130</f>
        <v>6</v>
      </c>
      <c r="T119" s="17">
        <f>IF(L119=0,0,同名需求(P119,L119,C$6))</f>
        <v>0</v>
      </c>
      <c r="U119" s="17">
        <f>IF(M119=0,0,同名需求(Q119,M119,D$6))</f>
        <v>0</v>
      </c>
      <c r="V119" s="17">
        <f>IF(N119=0,0,同名需求(R119,N119,E$6))</f>
        <v>0</v>
      </c>
      <c r="W119" s="17">
        <f>IF(O119=0,0,同名需求(S119,O119,F$6))</f>
        <v>36</v>
      </c>
      <c r="Z119" s="17">
        <f>投放验证!AL130*C$7</f>
        <v>7481.8644047593698</v>
      </c>
      <c r="AA119" s="17">
        <f>投放验证!AM130*D$7</f>
        <v>12040.164793570275</v>
      </c>
      <c r="AB119" s="17">
        <f>投放验证!AN130*E$7</f>
        <v>10813.662349805751</v>
      </c>
      <c r="AC119" s="17">
        <f>投放验证!AO130*F$7</f>
        <v>14113.904225078622</v>
      </c>
      <c r="AD119" s="17">
        <f>投放验证!Q130/投放验证!$E$25*投放验证!$E$24/$D$2</f>
        <v>18818.538966771499</v>
      </c>
      <c r="AE119" s="16">
        <v>45702.251914879889</v>
      </c>
      <c r="AF119" s="16">
        <f t="shared" si="67"/>
        <v>1.3843548641284011</v>
      </c>
      <c r="AG119" s="17">
        <f t="shared" si="89"/>
        <v>105</v>
      </c>
      <c r="AH119" s="17">
        <f t="shared" si="90"/>
        <v>0</v>
      </c>
      <c r="AI119" s="17">
        <f t="shared" si="91"/>
        <v>0</v>
      </c>
      <c r="AJ119" s="17">
        <f t="shared" si="92"/>
        <v>0</v>
      </c>
      <c r="AK119" s="17">
        <f t="shared" si="93"/>
        <v>3600</v>
      </c>
      <c r="AL119" s="17">
        <f t="shared" si="94"/>
        <v>59668.134739985515</v>
      </c>
      <c r="AM119" s="16">
        <v>43542.251914879889</v>
      </c>
      <c r="AO119" s="16">
        <v>114</v>
      </c>
      <c r="AP119" s="16">
        <f t="shared" si="84"/>
        <v>20085.129155717914</v>
      </c>
      <c r="AQ119" s="16">
        <f t="shared" si="85"/>
        <v>26639.919641355831</v>
      </c>
      <c r="AR119" s="16">
        <f t="shared" si="86"/>
        <v>40068.972891300335</v>
      </c>
      <c r="AS119" s="16">
        <f t="shared" si="87"/>
        <v>84522.876414930564</v>
      </c>
      <c r="AT119" s="16">
        <f t="shared" si="88"/>
        <v>112434.54696313015</v>
      </c>
      <c r="BE119" s="16">
        <v>114</v>
      </c>
      <c r="BF119" s="16">
        <f t="shared" si="68"/>
        <v>27861.567662676327</v>
      </c>
      <c r="BG119" s="16">
        <f t="shared" si="69"/>
        <v>30240</v>
      </c>
      <c r="BH119" s="16">
        <f t="shared" si="70"/>
        <v>30240</v>
      </c>
      <c r="BI119" s="16">
        <f t="shared" si="71"/>
        <v>30240</v>
      </c>
      <c r="BJ119" s="16">
        <f t="shared" si="72"/>
        <v>30240</v>
      </c>
      <c r="BM119" s="16">
        <f t="shared" si="73"/>
        <v>0.72089013076691233</v>
      </c>
      <c r="BN119" s="16">
        <f t="shared" si="74"/>
        <v>0.88094972358980927</v>
      </c>
      <c r="BO119" s="16">
        <f t="shared" si="75"/>
        <v>1.3250321723313603</v>
      </c>
      <c r="BP119" s="16">
        <f t="shared" si="76"/>
        <v>2.7950686645148997</v>
      </c>
      <c r="BQ119" s="16">
        <f t="shared" si="77"/>
        <v>3.7180736429606531</v>
      </c>
      <c r="BR119" s="16">
        <f>(BF119-AP119)*$D$2/'[1]资源-钻石'!L117</f>
        <v>8.5041985597096845E-2</v>
      </c>
      <c r="BS119" s="16">
        <f>(BG119-AQ119)*$D$2/'[1]资源-钻石'!M117</f>
        <v>2.8593821000429839E-2</v>
      </c>
      <c r="BT119" s="16">
        <f>(BH119-AR119)*$D$2/'[1]资源-钻石'!N117</f>
        <v>-5.0341077542628808E-2</v>
      </c>
      <c r="BU119" s="16">
        <f>(BI119-AS119)*$D$2/'[1]资源-钻石'!O117</f>
        <v>-0.12899784468696371</v>
      </c>
      <c r="BV119" s="16">
        <f>(BJ119-AT119)*$D$2/'[1]资源-钻石'!P117</f>
        <v>-0.14524793176842338</v>
      </c>
    </row>
    <row r="120" spans="10:74">
      <c r="J120" s="16">
        <v>13</v>
      </c>
      <c r="K120" s="17">
        <f>基础状态预期!C131</f>
        <v>110</v>
      </c>
      <c r="L120" s="17">
        <f>宝物升星!N120</f>
        <v>0</v>
      </c>
      <c r="M120" s="17">
        <f>宝物升星!O120</f>
        <v>0</v>
      </c>
      <c r="N120" s="17">
        <f>宝物升星!P120</f>
        <v>0</v>
      </c>
      <c r="O120" s="17">
        <f>宝物升星!Q120</f>
        <v>6</v>
      </c>
      <c r="P120" s="17">
        <f>基础状态预期!I131</f>
        <v>0</v>
      </c>
      <c r="Q120" s="17">
        <f>基础状态预期!J131</f>
        <v>0</v>
      </c>
      <c r="R120" s="17">
        <f>基础状态预期!K131</f>
        <v>0</v>
      </c>
      <c r="S120" s="17">
        <f>基础状态预期!L131</f>
        <v>6</v>
      </c>
      <c r="T120" s="17">
        <f>IF(L120=0,0,同名需求(P120,L120,C$6))</f>
        <v>0</v>
      </c>
      <c r="U120" s="17">
        <f>IF(M120=0,0,同名需求(Q120,M120,D$6))</f>
        <v>0</v>
      </c>
      <c r="V120" s="17">
        <f>IF(N120=0,0,同名需求(R120,N120,E$6))</f>
        <v>0</v>
      </c>
      <c r="W120" s="17">
        <f>IF(O120=0,0,同名需求(S120,O120,F$6))</f>
        <v>36</v>
      </c>
      <c r="Z120" s="17">
        <f>投放验证!AL131*C$7</f>
        <v>10440.18619321894</v>
      </c>
      <c r="AA120" s="17">
        <f>投放验证!AM131*D$7</f>
        <v>16793.300764152948</v>
      </c>
      <c r="AB120" s="17">
        <f>投放验证!AN131*E$7</f>
        <v>15081.922429214965</v>
      </c>
      <c r="AC120" s="17">
        <f>投放验证!AO131*F$7</f>
        <v>19680.39342561995</v>
      </c>
      <c r="AD120" s="17">
        <f>投放验证!Q131/投放验证!$E$25*投放验证!$E$24/$D$2</f>
        <v>26240.524567493267</v>
      </c>
      <c r="AE120" s="16">
        <v>59298.064404719298</v>
      </c>
      <c r="AF120" s="16">
        <f t="shared" si="67"/>
        <v>1.4880136184120993</v>
      </c>
      <c r="AG120" s="17">
        <f t="shared" si="89"/>
        <v>110</v>
      </c>
      <c r="AH120" s="17">
        <f t="shared" si="90"/>
        <v>0</v>
      </c>
      <c r="AI120" s="17">
        <f t="shared" si="91"/>
        <v>0</v>
      </c>
      <c r="AJ120" s="17">
        <f t="shared" si="92"/>
        <v>0</v>
      </c>
      <c r="AK120" s="17">
        <f t="shared" si="93"/>
        <v>3600</v>
      </c>
      <c r="AL120" s="17">
        <f t="shared" si="94"/>
        <v>84636.327379700073</v>
      </c>
      <c r="AM120" s="16">
        <v>57138.064404719298</v>
      </c>
      <c r="AO120" s="16">
        <v>115</v>
      </c>
      <c r="AP120" s="16">
        <f t="shared" si="84"/>
        <v>21381.645581397162</v>
      </c>
      <c r="AQ120" s="16">
        <f t="shared" si="85"/>
        <v>28410.448553510447</v>
      </c>
      <c r="AR120" s="16">
        <f t="shared" si="86"/>
        <v>42645.280621330734</v>
      </c>
      <c r="AS120" s="16">
        <f t="shared" si="87"/>
        <v>89820.697176334623</v>
      </c>
      <c r="AT120" s="16">
        <f t="shared" si="88"/>
        <v>119384.10185898768</v>
      </c>
      <c r="BE120" s="16">
        <v>115</v>
      </c>
      <c r="BF120" s="16">
        <f t="shared" si="68"/>
        <v>30240</v>
      </c>
      <c r="BG120" s="16">
        <f t="shared" si="69"/>
        <v>30240</v>
      </c>
      <c r="BH120" s="16">
        <f t="shared" si="70"/>
        <v>30240</v>
      </c>
      <c r="BI120" s="16">
        <f t="shared" si="71"/>
        <v>30240</v>
      </c>
      <c r="BJ120" s="16">
        <f t="shared" si="72"/>
        <v>30240</v>
      </c>
      <c r="BM120" s="16">
        <f t="shared" si="73"/>
        <v>0.70706499938482681</v>
      </c>
      <c r="BN120" s="16">
        <f t="shared" si="74"/>
        <v>0.93949896010285872</v>
      </c>
      <c r="BO120" s="16">
        <f t="shared" si="75"/>
        <v>1.4102275337741645</v>
      </c>
      <c r="BP120" s="16">
        <f t="shared" si="76"/>
        <v>2.9702611500110656</v>
      </c>
      <c r="BQ120" s="16">
        <f t="shared" si="77"/>
        <v>3.9478869662363651</v>
      </c>
      <c r="BR120" s="16">
        <f>(BF120-AP120)*$D$2/'[1]资源-钻石'!L118</f>
        <v>9.0961842586412878E-2</v>
      </c>
      <c r="BS120" s="16">
        <f>(BG120-AQ120)*$D$2/'[1]资源-钻石'!M118</f>
        <v>1.366056845623465E-2</v>
      </c>
      <c r="BT120" s="16">
        <f>(BH120-AR120)*$D$2/'[1]资源-钻石'!N118</f>
        <v>-5.9746203966889844E-2</v>
      </c>
      <c r="BU120" s="16">
        <f>(BI120-AS120)*$D$2/'[1]资源-钻石'!O118</f>
        <v>-0.13291082840250737</v>
      </c>
      <c r="BV120" s="16">
        <f>(BJ120-AT120)*$D$2/'[1]资源-钻石'!P118</f>
        <v>-0.14773743907596992</v>
      </c>
    </row>
    <row r="121" spans="10:74">
      <c r="J121" s="16">
        <v>14</v>
      </c>
      <c r="K121" s="17">
        <f>基础状态预期!C132</f>
        <v>115</v>
      </c>
      <c r="L121" s="17">
        <f>宝物升星!N121</f>
        <v>0</v>
      </c>
      <c r="M121" s="17">
        <f>宝物升星!O121</f>
        <v>0</v>
      </c>
      <c r="N121" s="17">
        <f>宝物升星!P121</f>
        <v>0</v>
      </c>
      <c r="O121" s="17">
        <f>宝物升星!Q121</f>
        <v>6</v>
      </c>
      <c r="P121" s="17">
        <f>基础状态预期!I132</f>
        <v>0</v>
      </c>
      <c r="Q121" s="17">
        <f>基础状态预期!J132</f>
        <v>0</v>
      </c>
      <c r="R121" s="17">
        <f>基础状态预期!K132</f>
        <v>0</v>
      </c>
      <c r="S121" s="17">
        <f>基础状态预期!L132</f>
        <v>6</v>
      </c>
      <c r="T121" s="17">
        <f>IF(L121=0,0,同名需求(P121,L121,C$6))</f>
        <v>0</v>
      </c>
      <c r="U121" s="17">
        <f>IF(M121=0,0,同名需求(Q121,M121,D$6))</f>
        <v>0</v>
      </c>
      <c r="V121" s="17">
        <f>IF(N121=0,0,同名需求(R121,N121,E$6))</f>
        <v>0</v>
      </c>
      <c r="W121" s="17">
        <f>IF(O121=0,0,同名需求(S121,O121,F$6))</f>
        <v>36</v>
      </c>
      <c r="Z121" s="17">
        <f>投放验证!AL132*C$7</f>
        <v>14557.391024027405</v>
      </c>
      <c r="AA121" s="17">
        <f>投放验证!AM132*D$7</f>
        <v>23408.204774381709</v>
      </c>
      <c r="AB121" s="17">
        <f>投放验证!AN132*E$7</f>
        <v>21022.016551708544</v>
      </c>
      <c r="AC121" s="17">
        <f>投放验证!AO132*F$7</f>
        <v>27427.066932372865</v>
      </c>
      <c r="AD121" s="17">
        <f>投放验证!Q132/投放验证!$E$25*投放验证!$E$24/$D$2</f>
        <v>36569.422576497156</v>
      </c>
      <c r="AE121" s="16">
        <v>73086.763612863055</v>
      </c>
      <c r="AF121" s="16">
        <f t="shared" si="67"/>
        <v>1.6827137470531373</v>
      </c>
      <c r="AG121" s="17">
        <f t="shared" si="89"/>
        <v>115</v>
      </c>
      <c r="AH121" s="17">
        <f t="shared" si="90"/>
        <v>0</v>
      </c>
      <c r="AI121" s="17">
        <f t="shared" si="91"/>
        <v>0</v>
      </c>
      <c r="AJ121" s="17">
        <f t="shared" si="92"/>
        <v>0</v>
      </c>
      <c r="AK121" s="17">
        <f t="shared" si="93"/>
        <v>3600</v>
      </c>
      <c r="AL121" s="17">
        <f t="shared" si="94"/>
        <v>119384.10185898768</v>
      </c>
      <c r="AM121" s="16">
        <v>70926.763612863055</v>
      </c>
      <c r="AO121" s="16">
        <v>116</v>
      </c>
      <c r="AP121" s="16">
        <f t="shared" si="84"/>
        <v>23249.953938348051</v>
      </c>
      <c r="AQ121" s="16">
        <f t="shared" si="85"/>
        <v>30882.716788826732</v>
      </c>
      <c r="AR121" s="16">
        <f t="shared" si="86"/>
        <v>46337.52192529125</v>
      </c>
      <c r="AS121" s="16">
        <f t="shared" si="87"/>
        <v>97356.924361416852</v>
      </c>
      <c r="AT121" s="16">
        <f t="shared" si="88"/>
        <v>129251.86297529901</v>
      </c>
      <c r="BE121" s="16">
        <v>116</v>
      </c>
      <c r="BF121" s="16">
        <f t="shared" si="68"/>
        <v>30240</v>
      </c>
      <c r="BG121" s="16">
        <f t="shared" si="69"/>
        <v>30240</v>
      </c>
      <c r="BH121" s="16">
        <f t="shared" si="70"/>
        <v>30240</v>
      </c>
      <c r="BI121" s="16">
        <f t="shared" si="71"/>
        <v>30240</v>
      </c>
      <c r="BJ121" s="16">
        <f t="shared" si="72"/>
        <v>30240</v>
      </c>
      <c r="BM121" s="16">
        <f t="shared" si="73"/>
        <v>0.76884768314643026</v>
      </c>
      <c r="BN121" s="16">
        <f t="shared" si="74"/>
        <v>1.0212538620643761</v>
      </c>
      <c r="BO121" s="16">
        <f t="shared" si="75"/>
        <v>1.5323254604924355</v>
      </c>
      <c r="BP121" s="16">
        <f t="shared" si="76"/>
        <v>3.2194750119516153</v>
      </c>
      <c r="BQ121" s="16">
        <f t="shared" si="77"/>
        <v>4.2742018179662367</v>
      </c>
      <c r="BR121" s="16">
        <f>(BF121-AP121)*$D$2/'[1]资源-钻石'!L119</f>
        <v>6.7546095711111587E-2</v>
      </c>
      <c r="BS121" s="16">
        <f>(BG121-AQ121)*$D$2/'[1]资源-钻石'!M119</f>
        <v>-4.5031734664971717E-3</v>
      </c>
      <c r="BT121" s="16">
        <f>(BH121-AR121)*$D$2/'[1]资源-钻石'!N119</f>
        <v>-7.2656047385361217E-2</v>
      </c>
      <c r="BU121" s="16">
        <f>(BI121-AS121)*$D$2/'[1]资源-钻石'!O119</f>
        <v>-0.13982395983174165</v>
      </c>
      <c r="BV121" s="16">
        <f>(BJ121-AT121)*$D$2/'[1]资源-钻石'!P119</f>
        <v>-0.15325816096394063</v>
      </c>
    </row>
    <row r="122" spans="10:74">
      <c r="J122" s="16">
        <v>15</v>
      </c>
      <c r="K122" s="17">
        <f>基础状态预期!C133</f>
        <v>120</v>
      </c>
      <c r="L122" s="17">
        <f>宝物升星!N122</f>
        <v>0</v>
      </c>
      <c r="M122" s="17">
        <f>宝物升星!O122</f>
        <v>0</v>
      </c>
      <c r="N122" s="17">
        <f>宝物升星!P122</f>
        <v>0</v>
      </c>
      <c r="O122" s="17">
        <f>宝物升星!Q122</f>
        <v>6</v>
      </c>
      <c r="P122" s="17">
        <f>基础状态预期!I133</f>
        <v>0</v>
      </c>
      <c r="Q122" s="17">
        <f>基础状态预期!J133</f>
        <v>0</v>
      </c>
      <c r="R122" s="17">
        <f>基础状态预期!K133</f>
        <v>0</v>
      </c>
      <c r="S122" s="17">
        <f>基础状态预期!L133</f>
        <v>6</v>
      </c>
      <c r="T122" s="17">
        <f>IF(L122=0,0,同名需求(P122,L122,C$6))</f>
        <v>0</v>
      </c>
      <c r="U122" s="17">
        <f>IF(M122=0,0,同名需求(Q122,M122,D$6))</f>
        <v>0</v>
      </c>
      <c r="V122" s="17">
        <f>IF(N122=0,0,同名需求(R122,N122,E$6))</f>
        <v>0</v>
      </c>
      <c r="W122" s="17">
        <f>IF(O122=0,0,同名需求(S122,O122,F$6))</f>
        <v>36</v>
      </c>
      <c r="Z122" s="17">
        <f>投放验证!AL133*C$7</f>
        <v>20404.526244459797</v>
      </c>
      <c r="AA122" s="17">
        <f>投放验证!AM133*D$7</f>
        <v>32801.131306007708</v>
      </c>
      <c r="AB122" s="17">
        <f>投放验证!AN133*E$7</f>
        <v>29456.660697586249</v>
      </c>
      <c r="AC122" s="17">
        <f>投放验证!AO133*F$7</f>
        <v>38425.966796781664</v>
      </c>
      <c r="AD122" s="17">
        <f>投放验证!Q133/投放验证!$E$25*投放验证!$E$24/$D$2</f>
        <v>51234.622395708888</v>
      </c>
      <c r="AE122" s="16">
        <v>87176.766970641314</v>
      </c>
      <c r="AF122" s="16">
        <f t="shared" si="67"/>
        <v>1.9767067927464874</v>
      </c>
      <c r="AG122" s="17">
        <f t="shared" si="89"/>
        <v>120</v>
      </c>
      <c r="AH122" s="17">
        <f t="shared" si="90"/>
        <v>0</v>
      </c>
      <c r="AI122" s="17">
        <f t="shared" si="91"/>
        <v>0</v>
      </c>
      <c r="AJ122" s="17">
        <f t="shared" si="92"/>
        <v>0</v>
      </c>
      <c r="AK122" s="17">
        <f t="shared" si="93"/>
        <v>3600</v>
      </c>
      <c r="AL122" s="17">
        <f t="shared" si="94"/>
        <v>168722.90744054431</v>
      </c>
      <c r="AM122" s="16">
        <v>85016.766970641314</v>
      </c>
      <c r="AO122" s="16">
        <v>117</v>
      </c>
      <c r="AP122" s="16">
        <f t="shared" si="84"/>
        <v>25118.26229529894</v>
      </c>
      <c r="AQ122" s="16">
        <f t="shared" si="85"/>
        <v>33354.985024143018</v>
      </c>
      <c r="AR122" s="16">
        <f t="shared" si="86"/>
        <v>50029.763229251759</v>
      </c>
      <c r="AS122" s="16">
        <f t="shared" si="87"/>
        <v>104893.15154649908</v>
      </c>
      <c r="AT122" s="16">
        <f t="shared" si="88"/>
        <v>139119.62409161034</v>
      </c>
      <c r="BE122" s="16">
        <v>117</v>
      </c>
      <c r="BF122" s="16">
        <f t="shared" si="68"/>
        <v>30240</v>
      </c>
      <c r="BG122" s="16">
        <f t="shared" si="69"/>
        <v>30240</v>
      </c>
      <c r="BH122" s="16">
        <f t="shared" si="70"/>
        <v>30240</v>
      </c>
      <c r="BI122" s="16">
        <f t="shared" si="71"/>
        <v>30240</v>
      </c>
      <c r="BJ122" s="16">
        <f t="shared" si="72"/>
        <v>30240</v>
      </c>
      <c r="BM122" s="16">
        <f t="shared" si="73"/>
        <v>0.83063036690803371</v>
      </c>
      <c r="BN122" s="16">
        <f t="shared" si="74"/>
        <v>1.1030087640258934</v>
      </c>
      <c r="BO122" s="16">
        <f t="shared" si="75"/>
        <v>1.6544233872107064</v>
      </c>
      <c r="BP122" s="16">
        <f t="shared" si="76"/>
        <v>3.4686888738921655</v>
      </c>
      <c r="BQ122" s="16">
        <f t="shared" si="77"/>
        <v>4.6005166696961091</v>
      </c>
      <c r="BR122" s="16">
        <f>(BF122-AP122)*$D$2/'[1]资源-钻石'!L120</f>
        <v>4.6551274040150192E-2</v>
      </c>
      <c r="BS122" s="16">
        <f>(BG122-AQ122)*$D$2/'[1]资源-钻石'!M120</f>
        <v>-2.0447139340221295E-2</v>
      </c>
      <c r="BT122" s="16">
        <f>(BH122-AR122)*$D$2/'[1]资源-钻石'!N120</f>
        <v>-8.3513659524484321E-2</v>
      </c>
      <c r="BU122" s="16">
        <f>(BI122-AS122)*$D$2/'[1]资源-钻石'!O120</f>
        <v>-0.14528174045803743</v>
      </c>
      <c r="BV122" s="16">
        <f>(BJ122-AT122)*$D$2/'[1]资源-钻石'!P120</f>
        <v>-0.15715888037075049</v>
      </c>
    </row>
    <row r="123" spans="10:74">
      <c r="J123" s="16">
        <v>16</v>
      </c>
      <c r="K123" s="17">
        <f>基础状态预期!C134</f>
        <v>125</v>
      </c>
      <c r="L123" s="17">
        <f>宝物升星!N123</f>
        <v>0</v>
      </c>
      <c r="M123" s="17">
        <f>宝物升星!O123</f>
        <v>0</v>
      </c>
      <c r="N123" s="17">
        <f>宝物升星!P123</f>
        <v>0</v>
      </c>
      <c r="O123" s="17">
        <f>宝物升星!Q123</f>
        <v>6</v>
      </c>
      <c r="P123" s="17">
        <f>基础状态预期!I134</f>
        <v>0</v>
      </c>
      <c r="Q123" s="17">
        <f>基础状态预期!J134</f>
        <v>0</v>
      </c>
      <c r="R123" s="17">
        <f>基础状态预期!K134</f>
        <v>0</v>
      </c>
      <c r="S123" s="17">
        <f>基础状态预期!L134</f>
        <v>6</v>
      </c>
      <c r="T123" s="17">
        <f>IF(L123=0,0,同名需求(P123,L123,C$6))</f>
        <v>0</v>
      </c>
      <c r="U123" s="17">
        <f>IF(M123=0,0,同名需求(Q123,M123,D$6))</f>
        <v>0</v>
      </c>
      <c r="V123" s="17">
        <f>IF(N123=0,0,同名需求(R123,N123,E$6))</f>
        <v>0</v>
      </c>
      <c r="W123" s="17">
        <f>IF(O123=0,0,同名需求(S123,O123,F$6))</f>
        <v>36</v>
      </c>
      <c r="Z123" s="17">
        <f>投放验证!AL134*C$7</f>
        <v>28758.946899484534</v>
      </c>
      <c r="AA123" s="17">
        <f>投放验证!AM134*D$7</f>
        <v>46221.533431049087</v>
      </c>
      <c r="AB123" s="17">
        <f>投放验证!AN134*E$7</f>
        <v>41507.875649283138</v>
      </c>
      <c r="AC123" s="17">
        <f>投放验证!AO134*F$7</f>
        <v>54140.734192235468</v>
      </c>
      <c r="AD123" s="17">
        <f>投放验证!Q134/投放验证!$E$25*投放验证!$E$24/$D$2</f>
        <v>72187.645589647291</v>
      </c>
      <c r="AE123" s="16">
        <v>101689.61176182242</v>
      </c>
      <c r="AF123" s="16">
        <f t="shared" si="67"/>
        <v>2.3878224290050909</v>
      </c>
      <c r="AG123" s="17">
        <f t="shared" si="89"/>
        <v>125</v>
      </c>
      <c r="AH123" s="17">
        <f t="shared" si="90"/>
        <v>0</v>
      </c>
      <c r="AI123" s="17">
        <f t="shared" si="91"/>
        <v>0</v>
      </c>
      <c r="AJ123" s="17">
        <f t="shared" si="92"/>
        <v>0</v>
      </c>
      <c r="AK123" s="17">
        <f t="shared" si="93"/>
        <v>3600</v>
      </c>
      <c r="AL123" s="17">
        <f t="shared" si="94"/>
        <v>239216.7357616995</v>
      </c>
      <c r="AM123" s="16">
        <v>99529.611761822423</v>
      </c>
      <c r="AO123" s="16">
        <v>118</v>
      </c>
      <c r="AP123" s="16">
        <f t="shared" si="84"/>
        <v>26986.570652249829</v>
      </c>
      <c r="AQ123" s="16">
        <f t="shared" si="85"/>
        <v>35827.253259459299</v>
      </c>
      <c r="AR123" s="16">
        <f t="shared" si="86"/>
        <v>53722.004533212275</v>
      </c>
      <c r="AS123" s="16">
        <f t="shared" si="87"/>
        <v>112429.37873158132</v>
      </c>
      <c r="AT123" s="16">
        <f t="shared" si="88"/>
        <v>148987.38520792167</v>
      </c>
      <c r="BE123" s="16">
        <v>118</v>
      </c>
      <c r="BF123" s="16">
        <f t="shared" si="68"/>
        <v>30240</v>
      </c>
      <c r="BG123" s="16">
        <f t="shared" si="69"/>
        <v>30240</v>
      </c>
      <c r="BH123" s="16">
        <f t="shared" si="70"/>
        <v>30240</v>
      </c>
      <c r="BI123" s="16">
        <f t="shared" si="71"/>
        <v>30240</v>
      </c>
      <c r="BJ123" s="16">
        <f t="shared" si="72"/>
        <v>30240</v>
      </c>
      <c r="BM123" s="16">
        <f t="shared" si="73"/>
        <v>0.89241305066963716</v>
      </c>
      <c r="BN123" s="16">
        <f t="shared" si="74"/>
        <v>1.1847636659874108</v>
      </c>
      <c r="BO123" s="16">
        <f t="shared" si="75"/>
        <v>1.7765213139289773</v>
      </c>
      <c r="BP123" s="16">
        <f t="shared" si="76"/>
        <v>3.7179027358327157</v>
      </c>
      <c r="BQ123" s="16">
        <f t="shared" si="77"/>
        <v>4.9268315214259815</v>
      </c>
      <c r="BR123" s="16">
        <f>(BF123-AP123)*$D$2/'[1]资源-钻石'!L121</f>
        <v>2.7799760050477948E-2</v>
      </c>
      <c r="BS123" s="16">
        <f>(BG123-AQ123)*$D$2/'[1]资源-钻石'!M121</f>
        <v>-3.4399766904713781E-2</v>
      </c>
      <c r="BT123" s="16">
        <f>(BH123-AR123)*$D$2/'[1]资源-钻石'!N121</f>
        <v>-9.2685839303355708E-2</v>
      </c>
      <c r="BU123" s="16">
        <f>(BI123-AS123)*$D$2/'[1]资源-钻石'!O121</f>
        <v>-0.14918841576841069</v>
      </c>
      <c r="BV123" s="16">
        <f>(BJ123-AT123)*$D$2/'[1]资源-钻石'!P121</f>
        <v>-0.16000533475729892</v>
      </c>
    </row>
    <row r="124" spans="10:74">
      <c r="J124" s="16">
        <v>17</v>
      </c>
      <c r="K124" s="17">
        <f>基础状态预期!C135</f>
        <v>130</v>
      </c>
      <c r="L124" s="17">
        <f>宝物升星!N124</f>
        <v>0</v>
      </c>
      <c r="M124" s="17">
        <f>宝物升星!O124</f>
        <v>0</v>
      </c>
      <c r="N124" s="17">
        <f>宝物升星!P124</f>
        <v>0</v>
      </c>
      <c r="O124" s="17">
        <f>宝物升星!Q124</f>
        <v>6</v>
      </c>
      <c r="P124" s="17">
        <f>基础状态预期!I135</f>
        <v>0</v>
      </c>
      <c r="Q124" s="17">
        <f>基础状态预期!J135</f>
        <v>0</v>
      </c>
      <c r="R124" s="17">
        <f>基础状态预期!K135</f>
        <v>0</v>
      </c>
      <c r="S124" s="17">
        <f>基础状态预期!L135</f>
        <v>6</v>
      </c>
      <c r="T124" s="17">
        <f>IF(L124=0,0,同名需求(P124,L124,C$6))</f>
        <v>0</v>
      </c>
      <c r="U124" s="17">
        <f>IF(M124=0,0,同名需求(Q124,M124,D$6))</f>
        <v>0</v>
      </c>
      <c r="V124" s="17">
        <f>IF(N124=0,0,同名需求(R124,N124,E$6))</f>
        <v>0</v>
      </c>
      <c r="W124" s="17">
        <f>IF(O124=0,0,同名需求(S124,O124,F$6))</f>
        <v>36</v>
      </c>
      <c r="Z124" s="17">
        <f>投放验证!AL135*C$7</f>
        <v>40350.849960336331</v>
      </c>
      <c r="AA124" s="17">
        <f>投放验证!AM135*D$7</f>
        <v>64840.604080621932</v>
      </c>
      <c r="AB124" s="17">
        <f>投放验证!AN135*E$7</f>
        <v>58227.266208573565</v>
      </c>
      <c r="AC124" s="17">
        <f>投放验证!AO135*F$7</f>
        <v>75941.358624764733</v>
      </c>
      <c r="AD124" s="17">
        <f>投放验证!Q135/投放验证!$E$25*投放验证!$E$24/$D$2</f>
        <v>101255.14483301964</v>
      </c>
      <c r="AE124" s="16">
        <v>116751.03833408013</v>
      </c>
      <c r="AF124" s="16">
        <f t="shared" si="67"/>
        <v>2.9174492027441707</v>
      </c>
      <c r="AG124" s="17">
        <f t="shared" si="89"/>
        <v>130</v>
      </c>
      <c r="AH124" s="17">
        <f t="shared" si="90"/>
        <v>0</v>
      </c>
      <c r="AI124" s="17">
        <f t="shared" si="91"/>
        <v>0</v>
      </c>
      <c r="AJ124" s="17">
        <f t="shared" si="92"/>
        <v>0</v>
      </c>
      <c r="AK124" s="17">
        <f t="shared" si="93"/>
        <v>3600</v>
      </c>
      <c r="AL124" s="17">
        <f t="shared" si="94"/>
        <v>337015.22370731621</v>
      </c>
      <c r="AM124" s="16">
        <v>114591.03833408013</v>
      </c>
      <c r="AO124" s="16">
        <v>119</v>
      </c>
      <c r="AP124" s="16">
        <f t="shared" si="84"/>
        <v>28854.879009200718</v>
      </c>
      <c r="AQ124" s="16">
        <f t="shared" si="85"/>
        <v>38299.521494775589</v>
      </c>
      <c r="AR124" s="16">
        <f t="shared" si="86"/>
        <v>57414.245837172784</v>
      </c>
      <c r="AS124" s="16">
        <f t="shared" si="87"/>
        <v>119965.60591666355</v>
      </c>
      <c r="AT124" s="16">
        <f t="shared" si="88"/>
        <v>158855.14632423298</v>
      </c>
      <c r="BE124" s="16">
        <v>119</v>
      </c>
      <c r="BF124" s="16">
        <f t="shared" si="68"/>
        <v>30240</v>
      </c>
      <c r="BG124" s="16">
        <f t="shared" si="69"/>
        <v>30240</v>
      </c>
      <c r="BH124" s="16">
        <f t="shared" si="70"/>
        <v>30240</v>
      </c>
      <c r="BI124" s="16">
        <f t="shared" si="71"/>
        <v>30240</v>
      </c>
      <c r="BJ124" s="16">
        <f t="shared" si="72"/>
        <v>30240</v>
      </c>
      <c r="BM124" s="16">
        <f t="shared" si="73"/>
        <v>0.95419573443124073</v>
      </c>
      <c r="BN124" s="16">
        <f t="shared" si="74"/>
        <v>1.2665185679489281</v>
      </c>
      <c r="BO124" s="16">
        <f t="shared" si="75"/>
        <v>1.8986192406472482</v>
      </c>
      <c r="BP124" s="16">
        <f t="shared" si="76"/>
        <v>3.9671165977732659</v>
      </c>
      <c r="BQ124" s="16">
        <f t="shared" si="77"/>
        <v>5.2531463731558521</v>
      </c>
      <c r="BR124" s="16">
        <f>(BF124-AP124)*$D$2/'[1]资源-钻石'!L122</f>
        <v>1.1121803290648644E-2</v>
      </c>
      <c r="BS124" s="16">
        <f>(BG124-AQ124)*$D$2/'[1]资源-钻石'!M122</f>
        <v>-4.6529888010756366E-2</v>
      </c>
      <c r="BT124" s="16">
        <f>(BH124-AR124)*$D$2/'[1]资源-钻石'!N122</f>
        <v>-0.10019015319402372</v>
      </c>
      <c r="BU124" s="16">
        <f>(BI124-AS124)*$D$2/'[1]资源-钻石'!O122</f>
        <v>-0.15208021156141716</v>
      </c>
      <c r="BV124" s="16">
        <f>(BJ124-AT124)*$D$2/'[1]资源-钻石'!P122</f>
        <v>-0.16231842614628642</v>
      </c>
    </row>
    <row r="125" spans="10:74">
      <c r="J125" s="16">
        <v>18</v>
      </c>
      <c r="K125" s="17">
        <f>基础状态预期!C136</f>
        <v>135</v>
      </c>
      <c r="L125" s="17">
        <f>宝物升星!N125</f>
        <v>0</v>
      </c>
      <c r="M125" s="17">
        <f>宝物升星!O125</f>
        <v>0</v>
      </c>
      <c r="N125" s="17">
        <f>宝物升星!P125</f>
        <v>0</v>
      </c>
      <c r="O125" s="17">
        <f>宝物升星!Q125</f>
        <v>6</v>
      </c>
      <c r="P125" s="17">
        <f>基础状态预期!I136</f>
        <v>0</v>
      </c>
      <c r="Q125" s="17">
        <f>基础状态预期!J136</f>
        <v>0</v>
      </c>
      <c r="R125" s="17">
        <f>基础状态预期!K136</f>
        <v>0</v>
      </c>
      <c r="S125" s="17">
        <f>基础状态预期!L136</f>
        <v>6</v>
      </c>
      <c r="T125" s="17">
        <f>IF(L125=0,0,同名需求(P125,L125,C$6))</f>
        <v>0</v>
      </c>
      <c r="U125" s="17">
        <f>IF(M125=0,0,同名需求(Q125,M125,D$6))</f>
        <v>0</v>
      </c>
      <c r="V125" s="17">
        <f>IF(N125=0,0,同名需求(R125,N125,E$6))</f>
        <v>0</v>
      </c>
      <c r="W125" s="17">
        <f>IF(O125=0,0,同名需求(S125,O125,F$6))</f>
        <v>36</v>
      </c>
      <c r="Z125" s="17">
        <f>投放验证!AL136*C$7</f>
        <v>56459.892795295935</v>
      </c>
      <c r="AA125" s="17">
        <f>投放验证!AM136*D$7</f>
        <v>90714.883867932309</v>
      </c>
      <c r="AB125" s="17">
        <f>投放验证!AN136*E$7</f>
        <v>81461.610400911362</v>
      </c>
      <c r="AC125" s="17">
        <f>投放验证!AO136*F$7</f>
        <v>106236.70782593933</v>
      </c>
      <c r="AD125" s="17">
        <f>投放验证!Q136/投放验证!$E$25*投放验证!$E$24/$D$2</f>
        <v>141648.94376791912</v>
      </c>
      <c r="AE125" s="16">
        <v>132539.81864491734</v>
      </c>
      <c r="AF125" s="16">
        <f t="shared" si="67"/>
        <v>3.5953122882613195</v>
      </c>
      <c r="AG125" s="17">
        <f t="shared" si="89"/>
        <v>135</v>
      </c>
      <c r="AH125" s="17">
        <f t="shared" si="90"/>
        <v>0</v>
      </c>
      <c r="AI125" s="17">
        <f t="shared" si="91"/>
        <v>0</v>
      </c>
      <c r="AJ125" s="17">
        <f t="shared" si="92"/>
        <v>0</v>
      </c>
      <c r="AK125" s="17">
        <f t="shared" si="93"/>
        <v>3600</v>
      </c>
      <c r="AL125" s="17">
        <f t="shared" si="94"/>
        <v>472922.03865799808</v>
      </c>
      <c r="AM125" s="16">
        <v>130379.81864491734</v>
      </c>
      <c r="AO125" s="16">
        <v>120</v>
      </c>
      <c r="AP125" s="16">
        <f t="shared" si="84"/>
        <v>30723.187366151607</v>
      </c>
      <c r="AQ125" s="16">
        <f t="shared" si="85"/>
        <v>40771.78973009187</v>
      </c>
      <c r="AR125" s="16">
        <f t="shared" si="86"/>
        <v>61106.487141133301</v>
      </c>
      <c r="AS125" s="16">
        <f t="shared" si="87"/>
        <v>127501.83310174578</v>
      </c>
      <c r="AT125" s="16">
        <f t="shared" si="88"/>
        <v>168722.90744054431</v>
      </c>
      <c r="BE125" s="16">
        <v>120</v>
      </c>
      <c r="BF125" s="16">
        <f t="shared" si="68"/>
        <v>30240</v>
      </c>
      <c r="BG125" s="16">
        <f t="shared" si="69"/>
        <v>30240</v>
      </c>
      <c r="BH125" s="16">
        <f t="shared" si="70"/>
        <v>30240</v>
      </c>
      <c r="BI125" s="16">
        <f t="shared" si="71"/>
        <v>30240</v>
      </c>
      <c r="BJ125" s="16">
        <f t="shared" si="72"/>
        <v>30240</v>
      </c>
      <c r="BM125" s="16">
        <f t="shared" si="73"/>
        <v>1.0159784181928442</v>
      </c>
      <c r="BN125" s="16">
        <f t="shared" si="74"/>
        <v>1.3482734699104455</v>
      </c>
      <c r="BO125" s="16">
        <f t="shared" si="75"/>
        <v>2.0207171673655191</v>
      </c>
      <c r="BP125" s="16">
        <f t="shared" si="76"/>
        <v>4.2163304597138156</v>
      </c>
      <c r="BQ125" s="16">
        <f t="shared" si="77"/>
        <v>5.5794612248857245</v>
      </c>
      <c r="BR125" s="16">
        <f>(BF125-AP125)*$D$2/'[1]资源-钻石'!L123</f>
        <v>-3.6442141428579978E-3</v>
      </c>
      <c r="BS125" s="16">
        <f>(BG125-AQ125)*$D$2/'[1]资源-钻石'!M123</f>
        <v>-5.6994918072855179E-2</v>
      </c>
      <c r="BT125" s="16">
        <f>(BH125-AR125)*$D$2/'[1]资源-钻石'!N123</f>
        <v>-0.10643402047993403</v>
      </c>
      <c r="BU125" s="16">
        <f>(BI125-AS125)*$D$2/'[1]资源-钻石'!O123</f>
        <v>-0.15466694534965703</v>
      </c>
      <c r="BV125" s="16">
        <f>(BJ125-AT125)*$D$2/'[1]资源-钻石'!P123</f>
        <v>-0.16381312262678158</v>
      </c>
    </row>
    <row r="126" spans="10:74">
      <c r="J126" s="16">
        <v>19</v>
      </c>
      <c r="K126" s="17">
        <f>基础状态预期!C137</f>
        <v>140</v>
      </c>
      <c r="L126" s="17">
        <f>宝物升星!N126</f>
        <v>0</v>
      </c>
      <c r="M126" s="17">
        <f>宝物升星!O126</f>
        <v>0</v>
      </c>
      <c r="N126" s="17">
        <f>宝物升星!P126</f>
        <v>0</v>
      </c>
      <c r="O126" s="17">
        <f>宝物升星!Q126</f>
        <v>6</v>
      </c>
      <c r="P126" s="17">
        <f>基础状态预期!I137</f>
        <v>0</v>
      </c>
      <c r="Q126" s="17">
        <f>基础状态预期!J137</f>
        <v>0</v>
      </c>
      <c r="R126" s="17">
        <f>基础状态预期!K137</f>
        <v>0</v>
      </c>
      <c r="S126" s="17">
        <f>基础状态预期!L137</f>
        <v>6</v>
      </c>
      <c r="T126" s="17">
        <f>IF(L126=0,0,同名需求(P126,L126,C$6))</f>
        <v>0</v>
      </c>
      <c r="U126" s="17">
        <f>IF(M126=0,0,同名需求(Q126,M126,D$6))</f>
        <v>0</v>
      </c>
      <c r="V126" s="17">
        <f>IF(N126=0,0,同名需求(R126,N126,E$6))</f>
        <v>0</v>
      </c>
      <c r="W126" s="17">
        <f>IF(O126=0,0,同名需求(S126,O126,F$6))</f>
        <v>36</v>
      </c>
      <c r="Z126" s="17">
        <f>投放验证!AL137*C$7</f>
        <v>79270.240565105589</v>
      </c>
      <c r="AA126" s="17">
        <f>投放验证!AM137*D$7</f>
        <v>127349.73808586071</v>
      </c>
      <c r="AB126" s="17">
        <f>投放验证!AN137*E$7</f>
        <v>114358.46502617872</v>
      </c>
      <c r="AC126" s="17">
        <f>投放验证!AO137*F$7</f>
        <v>149128.82560823826</v>
      </c>
      <c r="AD126" s="17">
        <f>投放验证!Q137/投放验证!$E$25*投放验证!$E$24/$D$2</f>
        <v>198838.43414431767</v>
      </c>
      <c r="AE126" s="16">
        <v>149481.34226897114</v>
      </c>
      <c r="AF126" s="16">
        <f t="shared" si="67"/>
        <v>4.4751116980607852</v>
      </c>
      <c r="AG126" s="17">
        <f t="shared" si="89"/>
        <v>140</v>
      </c>
      <c r="AH126" s="17">
        <f t="shared" si="90"/>
        <v>0</v>
      </c>
      <c r="AI126" s="17">
        <f t="shared" si="91"/>
        <v>0</v>
      </c>
      <c r="AJ126" s="17">
        <f t="shared" si="92"/>
        <v>0</v>
      </c>
      <c r="AK126" s="17">
        <f t="shared" si="93"/>
        <v>3600</v>
      </c>
      <c r="AL126" s="17">
        <f t="shared" si="94"/>
        <v>665345.70342970092</v>
      </c>
      <c r="AM126" s="16">
        <v>147321.34226897114</v>
      </c>
      <c r="AO126" s="16">
        <v>121</v>
      </c>
      <c r="AP126" s="16">
        <f t="shared" si="84"/>
        <v>33364.031231508598</v>
      </c>
      <c r="AQ126" s="16">
        <f t="shared" si="85"/>
        <v>44197.885073829711</v>
      </c>
      <c r="AR126" s="16">
        <f t="shared" si="86"/>
        <v>66190.867962145625</v>
      </c>
      <c r="AS126" s="16">
        <f t="shared" si="87"/>
        <v>138228.70135257125</v>
      </c>
      <c r="AT126" s="16">
        <f t="shared" si="88"/>
        <v>182821.67310477534</v>
      </c>
      <c r="BE126" s="16">
        <v>121</v>
      </c>
      <c r="BF126" s="16">
        <f t="shared" si="68"/>
        <v>30240</v>
      </c>
      <c r="BG126" s="16">
        <f t="shared" si="69"/>
        <v>30240</v>
      </c>
      <c r="BH126" s="16">
        <f t="shared" si="70"/>
        <v>30240</v>
      </c>
      <c r="BI126" s="16">
        <f t="shared" si="71"/>
        <v>30240</v>
      </c>
      <c r="BJ126" s="16">
        <f t="shared" si="72"/>
        <v>30240</v>
      </c>
      <c r="BM126" s="16">
        <f t="shared" si="73"/>
        <v>1.1033079110948609</v>
      </c>
      <c r="BN126" s="16">
        <f t="shared" si="74"/>
        <v>1.4615702736054799</v>
      </c>
      <c r="BO126" s="16">
        <f t="shared" si="75"/>
        <v>2.1888514537746571</v>
      </c>
      <c r="BP126" s="16">
        <f t="shared" si="76"/>
        <v>4.5710549389077793</v>
      </c>
      <c r="BQ126" s="16">
        <f t="shared" si="77"/>
        <v>6.0456902481737878</v>
      </c>
      <c r="BR126" s="16">
        <f>(BF126-AP126)*$D$2/'[1]资源-钻石'!L124</f>
        <v>-2.2122167058051243E-2</v>
      </c>
      <c r="BS126" s="16">
        <f>(BG126-AQ126)*$D$2/'[1]资源-钻石'!M124</f>
        <v>-7.0913107615931031E-2</v>
      </c>
      <c r="BT126" s="16">
        <f>(BH126-AR126)*$D$2/'[1]资源-钻石'!N124</f>
        <v>-0.11651171888209794</v>
      </c>
      <c r="BU126" s="16">
        <f>(BI126-AS126)*$D$2/'[1]资源-钻石'!O124</f>
        <v>-0.16110444143483482</v>
      </c>
      <c r="BV126" s="16">
        <f>(BJ126-AT126)*$D$2/'[1]资源-钻石'!P124</f>
        <v>-0.16871808634113403</v>
      </c>
    </row>
    <row r="127" spans="10:74">
      <c r="J127" s="16">
        <v>20</v>
      </c>
      <c r="K127" s="17">
        <f>基础状态预期!C138</f>
        <v>145</v>
      </c>
      <c r="L127" s="17">
        <f>宝物升星!N127</f>
        <v>0</v>
      </c>
      <c r="M127" s="17">
        <f>宝物升星!O127</f>
        <v>0</v>
      </c>
      <c r="N127" s="17">
        <f>宝物升星!P127</f>
        <v>0</v>
      </c>
      <c r="O127" s="17">
        <f>宝物升星!Q127</f>
        <v>6</v>
      </c>
      <c r="P127" s="17">
        <f>基础状态预期!I138</f>
        <v>0</v>
      </c>
      <c r="Q127" s="17">
        <f>基础状态预期!J138</f>
        <v>0</v>
      </c>
      <c r="R127" s="17">
        <f>基础状态预期!K138</f>
        <v>0</v>
      </c>
      <c r="S127" s="17">
        <f>基础状态预期!L138</f>
        <v>6</v>
      </c>
      <c r="T127" s="17">
        <f>IF(L127=0,0,同名需求(P127,L127,C$6))</f>
        <v>0</v>
      </c>
      <c r="U127" s="17">
        <f>IF(M127=0,0,同名需求(Q127,M127,D$6))</f>
        <v>0</v>
      </c>
      <c r="V127" s="17">
        <f>IF(N127=0,0,同名需求(R127,N127,E$6))</f>
        <v>0</v>
      </c>
      <c r="W127" s="17">
        <f>IF(O127=0,0,同名需求(S127,O127,F$6))</f>
        <v>36</v>
      </c>
      <c r="Z127" s="17">
        <f>投放验证!AL138*C$7</f>
        <v>111880.01474078462</v>
      </c>
      <c r="AA127" s="17">
        <f>投放验证!AM138*D$7</f>
        <v>179722.73212716781</v>
      </c>
      <c r="AB127" s="17">
        <f>投放验证!AN138*E$7</f>
        <v>161387.61469803989</v>
      </c>
      <c r="AC127" s="17">
        <f>投放验证!AO138*F$7</f>
        <v>210446.88489884153</v>
      </c>
      <c r="AD127" s="17">
        <f>投放验证!Q138/投放验证!$E$25*投放验证!$E$24/$D$2</f>
        <v>280595.8465317887</v>
      </c>
      <c r="AE127" s="16">
        <v>168128.56338827265</v>
      </c>
      <c r="AF127" s="16">
        <f t="shared" si="67"/>
        <v>5.614947716031403</v>
      </c>
      <c r="AG127" s="17">
        <f t="shared" si="89"/>
        <v>145</v>
      </c>
      <c r="AH127" s="17">
        <f t="shared" si="90"/>
        <v>0</v>
      </c>
      <c r="AI127" s="17">
        <f t="shared" si="91"/>
        <v>0</v>
      </c>
      <c r="AJ127" s="17">
        <f t="shared" si="92"/>
        <v>0</v>
      </c>
      <c r="AK127" s="17">
        <f t="shared" si="93"/>
        <v>3600</v>
      </c>
      <c r="AL127" s="17">
        <f t="shared" si="94"/>
        <v>940433.09299662255</v>
      </c>
      <c r="AM127" s="16">
        <v>165968.56338827265</v>
      </c>
      <c r="AO127" s="16">
        <v>122</v>
      </c>
      <c r="AP127" s="16">
        <f t="shared" si="84"/>
        <v>36004.875096865588</v>
      </c>
      <c r="AQ127" s="16">
        <f t="shared" si="85"/>
        <v>47623.980417567553</v>
      </c>
      <c r="AR127" s="16">
        <f t="shared" si="86"/>
        <v>71275.248783157949</v>
      </c>
      <c r="AS127" s="16">
        <f t="shared" si="87"/>
        <v>148955.5696033967</v>
      </c>
      <c r="AT127" s="16">
        <f t="shared" si="88"/>
        <v>196920.43876900637</v>
      </c>
      <c r="BE127" s="16">
        <v>122</v>
      </c>
      <c r="BF127" s="16">
        <f t="shared" si="68"/>
        <v>30240</v>
      </c>
      <c r="BG127" s="16">
        <f t="shared" si="69"/>
        <v>30240</v>
      </c>
      <c r="BH127" s="16">
        <f t="shared" si="70"/>
        <v>30240</v>
      </c>
      <c r="BI127" s="16">
        <f t="shared" si="71"/>
        <v>30240</v>
      </c>
      <c r="BJ127" s="16">
        <f t="shared" si="72"/>
        <v>30240</v>
      </c>
      <c r="BM127" s="16">
        <f t="shared" si="73"/>
        <v>1.1906374039968779</v>
      </c>
      <c r="BN127" s="16">
        <f t="shared" si="74"/>
        <v>1.5748670773005142</v>
      </c>
      <c r="BO127" s="16">
        <f t="shared" si="75"/>
        <v>2.3569857401837946</v>
      </c>
      <c r="BP127" s="16">
        <f t="shared" si="76"/>
        <v>4.9257794181017429</v>
      </c>
      <c r="BQ127" s="16">
        <f t="shared" si="77"/>
        <v>6.511919271461851</v>
      </c>
      <c r="BR127" s="16">
        <f>(BF127-AP127)*$D$2/'[1]资源-钻石'!L125</f>
        <v>-3.8314141733201725E-2</v>
      </c>
      <c r="BS127" s="16">
        <f>(BG127-AQ127)*$D$2/'[1]资源-钻石'!M125</f>
        <v>-8.2980951521107113E-2</v>
      </c>
      <c r="BT127" s="16">
        <f>(BH127-AR127)*$D$2/'[1]资源-钻石'!N125</f>
        <v>-0.12482384920128548</v>
      </c>
      <c r="BU127" s="16">
        <f>(BI127-AS127)*$D$2/'[1]资源-钻石'!O125</f>
        <v>-0.16567144036799183</v>
      </c>
      <c r="BV127" s="16">
        <f>(BJ127-AT127)*$D$2/'[1]资源-钻石'!P125</f>
        <v>-0.1722784728950699</v>
      </c>
    </row>
    <row r="128" spans="10:74">
      <c r="J128" s="16">
        <v>21</v>
      </c>
      <c r="K128" s="17">
        <f>基础状态预期!C139</f>
        <v>150</v>
      </c>
      <c r="L128" s="17">
        <f>宝物升星!N128</f>
        <v>0</v>
      </c>
      <c r="M128" s="17">
        <f>宝物升星!O128</f>
        <v>0</v>
      </c>
      <c r="N128" s="17">
        <f>宝物升星!P128</f>
        <v>0</v>
      </c>
      <c r="O128" s="17">
        <f>宝物升星!Q128</f>
        <v>6</v>
      </c>
      <c r="P128" s="17">
        <f>基础状态预期!I139</f>
        <v>0</v>
      </c>
      <c r="Q128" s="17">
        <f>基础状态预期!J139</f>
        <v>0</v>
      </c>
      <c r="R128" s="17">
        <f>基础状态预期!K139</f>
        <v>0</v>
      </c>
      <c r="S128" s="17">
        <f>基础状态预期!L139</f>
        <v>6</v>
      </c>
      <c r="T128" s="17">
        <f>IF(L128=0,0,同名需求(P128,L128,C$6))</f>
        <v>0</v>
      </c>
      <c r="U128" s="17">
        <f>IF(M128=0,0,同名需求(Q128,M128,D$6))</f>
        <v>0</v>
      </c>
      <c r="V128" s="17">
        <f>IF(N128=0,0,同名需求(R128,N128,E$6))</f>
        <v>0</v>
      </c>
      <c r="W128" s="17">
        <f>IF(O128=0,0,同名需求(S128,O128,F$6))</f>
        <v>36</v>
      </c>
      <c r="Z128" s="17">
        <f>投放验证!AL139*C$7</f>
        <v>157470.60026384541</v>
      </c>
      <c r="AA128" s="17">
        <f>投放验证!AM139*D$7</f>
        <v>252938.9000276837</v>
      </c>
      <c r="AB128" s="17">
        <f>投放验证!AN139*E$7</f>
        <v>227132.95650720221</v>
      </c>
      <c r="AC128" s="17">
        <f>投放验证!AO139*F$7</f>
        <v>296164.27400960284</v>
      </c>
      <c r="AD128" s="17">
        <f>投放验证!Q139/投放验证!$E$25*投放验证!$E$24/$D$2</f>
        <v>394885.6986794704</v>
      </c>
      <c r="AE128" s="16">
        <v>189035.74213725605</v>
      </c>
      <c r="AF128" s="16">
        <f t="shared" si="67"/>
        <v>7.0282604467632019</v>
      </c>
      <c r="AG128" s="17">
        <f t="shared" si="89"/>
        <v>150</v>
      </c>
      <c r="AH128" s="17">
        <f t="shared" si="90"/>
        <v>0</v>
      </c>
      <c r="AI128" s="17">
        <f t="shared" si="91"/>
        <v>0</v>
      </c>
      <c r="AJ128" s="17">
        <f t="shared" si="92"/>
        <v>0</v>
      </c>
      <c r="AK128" s="17">
        <f t="shared" si="93"/>
        <v>3600</v>
      </c>
      <c r="AL128" s="17">
        <f t="shared" si="94"/>
        <v>1324992.4294878046</v>
      </c>
      <c r="AM128" s="16">
        <v>186875.74213725605</v>
      </c>
      <c r="AO128" s="16">
        <v>123</v>
      </c>
      <c r="AP128" s="16">
        <f t="shared" si="84"/>
        <v>38645.718962222585</v>
      </c>
      <c r="AQ128" s="16">
        <f t="shared" si="85"/>
        <v>51050.075761305394</v>
      </c>
      <c r="AR128" s="16">
        <f t="shared" si="86"/>
        <v>76359.629604170274</v>
      </c>
      <c r="AS128" s="16">
        <f t="shared" si="87"/>
        <v>159682.43785422217</v>
      </c>
      <c r="AT128" s="16">
        <f t="shared" si="88"/>
        <v>211019.20443323744</v>
      </c>
      <c r="BE128" s="16">
        <v>123</v>
      </c>
      <c r="BF128" s="16">
        <f t="shared" si="68"/>
        <v>30240</v>
      </c>
      <c r="BG128" s="16">
        <f t="shared" si="69"/>
        <v>30240</v>
      </c>
      <c r="BH128" s="16">
        <f t="shared" si="70"/>
        <v>30240</v>
      </c>
      <c r="BI128" s="16">
        <f t="shared" si="71"/>
        <v>30240</v>
      </c>
      <c r="BJ128" s="16">
        <f t="shared" si="72"/>
        <v>30240</v>
      </c>
      <c r="BM128" s="16">
        <f t="shared" si="73"/>
        <v>1.2779668968988951</v>
      </c>
      <c r="BN128" s="16">
        <f t="shared" si="74"/>
        <v>1.6881638809955488</v>
      </c>
      <c r="BO128" s="16">
        <f t="shared" si="75"/>
        <v>2.5251200265929321</v>
      </c>
      <c r="BP128" s="16">
        <f t="shared" si="76"/>
        <v>5.2805038972957066</v>
      </c>
      <c r="BQ128" s="16">
        <f t="shared" si="77"/>
        <v>6.9781482947499152</v>
      </c>
      <c r="BR128" s="16">
        <f>(BF128-AP128)*$D$2/'[1]资源-钻石'!L126</f>
        <v>-5.2413506952520651E-2</v>
      </c>
      <c r="BS128" s="16">
        <f>(BG128-AQ128)*$D$2/'[1]资源-钻石'!M126</f>
        <v>-9.3089086589850198E-2</v>
      </c>
      <c r="BT128" s="16">
        <f>(BH128-AR128)*$D$2/'[1]资源-钻石'!N126</f>
        <v>-0.13101997299154736</v>
      </c>
      <c r="BU128" s="16">
        <f>(BI128-AS128)*$D$2/'[1]资源-钻石'!O126</f>
        <v>-0.16814067951237432</v>
      </c>
      <c r="BV128" s="16">
        <f>(BJ128-AT128)*$D$2/'[1]资源-钻石'!P126</f>
        <v>-0.17385255633946742</v>
      </c>
    </row>
    <row r="129" spans="10:74">
      <c r="J129" s="16">
        <v>22</v>
      </c>
      <c r="K129" s="17">
        <f>基础状态预期!C140</f>
        <v>155</v>
      </c>
      <c r="L129" s="17">
        <f>宝物升星!N129</f>
        <v>0</v>
      </c>
      <c r="M129" s="17">
        <f>宝物升星!O129</f>
        <v>0</v>
      </c>
      <c r="N129" s="17">
        <f>宝物升星!P129</f>
        <v>0</v>
      </c>
      <c r="O129" s="17">
        <f>宝物升星!Q129</f>
        <v>6</v>
      </c>
      <c r="P129" s="17">
        <f>基础状态预期!I140</f>
        <v>0</v>
      </c>
      <c r="Q129" s="17">
        <f>基础状态预期!J140</f>
        <v>0</v>
      </c>
      <c r="R129" s="17">
        <f>基础状态预期!K140</f>
        <v>0</v>
      </c>
      <c r="S129" s="17">
        <f>基础状态预期!L140</f>
        <v>6</v>
      </c>
      <c r="T129" s="17">
        <f>IF(L129=0,0,同名需求(P129,L129,C$6))</f>
        <v>0</v>
      </c>
      <c r="U129" s="17">
        <f>IF(M129=0,0,同名需求(Q129,M129,D$6))</f>
        <v>0</v>
      </c>
      <c r="V129" s="17">
        <f>IF(N129=0,0,同名需求(R129,N129,E$6))</f>
        <v>0</v>
      </c>
      <c r="W129" s="17">
        <f>IF(O129=0,0,同名需求(S129,O129,F$6))</f>
        <v>36</v>
      </c>
      <c r="Z129" s="17">
        <f>投放验证!AL140*C$7</f>
        <v>835411.92330270004</v>
      </c>
      <c r="AA129" s="17">
        <f>投放验证!AM140*D$7</f>
        <v>1341599.493560351</v>
      </c>
      <c r="AB129" s="17">
        <f>投放验证!AN140*E$7</f>
        <v>1204704.4712074022</v>
      </c>
      <c r="AC129" s="17">
        <f>投放验证!AO140*F$7</f>
        <v>1570643.8603154304</v>
      </c>
      <c r="AD129" s="17">
        <f>投放验证!Q140/投放验证!$E$25*投放验证!$E$24/$D$2</f>
        <v>2094191.8137539069</v>
      </c>
      <c r="AE129" s="16">
        <v>317809.70102850511</v>
      </c>
      <c r="AF129" s="16">
        <f t="shared" si="67"/>
        <v>22.172235584173588</v>
      </c>
      <c r="AG129" s="17">
        <f t="shared" si="89"/>
        <v>155</v>
      </c>
      <c r="AH129" s="17">
        <f t="shared" si="90"/>
        <v>0</v>
      </c>
      <c r="AI129" s="17">
        <f t="shared" si="91"/>
        <v>0</v>
      </c>
      <c r="AJ129" s="17">
        <f t="shared" si="92"/>
        <v>0</v>
      </c>
      <c r="AK129" s="17">
        <f t="shared" si="93"/>
        <v>3600</v>
      </c>
      <c r="AL129" s="17">
        <f t="shared" si="94"/>
        <v>7042951.5621397905</v>
      </c>
      <c r="AM129" s="16">
        <v>315649.70102850511</v>
      </c>
      <c r="AO129" s="16">
        <v>124</v>
      </c>
      <c r="AP129" s="16">
        <f t="shared" si="84"/>
        <v>41286.562827579575</v>
      </c>
      <c r="AQ129" s="16">
        <f t="shared" si="85"/>
        <v>54476.171105043235</v>
      </c>
      <c r="AR129" s="16">
        <f t="shared" si="86"/>
        <v>81444.010425182612</v>
      </c>
      <c r="AS129" s="16">
        <f t="shared" si="87"/>
        <v>170409.30610504764</v>
      </c>
      <c r="AT129" s="16">
        <f t="shared" si="88"/>
        <v>225117.97009746847</v>
      </c>
      <c r="BE129" s="16">
        <v>124</v>
      </c>
      <c r="BF129" s="16">
        <f t="shared" si="68"/>
        <v>30240</v>
      </c>
      <c r="BG129" s="16">
        <f t="shared" si="69"/>
        <v>30240</v>
      </c>
      <c r="BH129" s="16">
        <f t="shared" si="70"/>
        <v>30240</v>
      </c>
      <c r="BI129" s="16">
        <f t="shared" si="71"/>
        <v>30240</v>
      </c>
      <c r="BJ129" s="16">
        <f t="shared" si="72"/>
        <v>30240</v>
      </c>
      <c r="BM129" s="16">
        <f t="shared" si="73"/>
        <v>1.3652963898009118</v>
      </c>
      <c r="BN129" s="16">
        <f t="shared" si="74"/>
        <v>1.8014606846905832</v>
      </c>
      <c r="BO129" s="16">
        <f t="shared" si="75"/>
        <v>2.6932543130020705</v>
      </c>
      <c r="BP129" s="16">
        <f t="shared" si="76"/>
        <v>5.6352283764896702</v>
      </c>
      <c r="BQ129" s="16">
        <f t="shared" si="77"/>
        <v>7.4443773180379784</v>
      </c>
      <c r="BR129" s="16">
        <f>(BF129-AP129)*$D$2/'[1]资源-钻石'!L127</f>
        <v>-6.4601983856099318E-2</v>
      </c>
      <c r="BS129" s="16">
        <f>(BG129-AQ129)*$D$2/'[1]资源-钻石'!M127</f>
        <v>-0.10138968150847759</v>
      </c>
      <c r="BT129" s="16">
        <f>(BH129-AR129)*$D$2/'[1]资源-钻石'!N127</f>
        <v>-0.13590117704718935</v>
      </c>
      <c r="BU129" s="16">
        <f>(BI129-AS129)*$D$2/'[1]资源-钻石'!O127</f>
        <v>-0.1696702103250716</v>
      </c>
      <c r="BV129" s="16">
        <f>(BJ129-AT129)*$D$2/'[1]资源-钻石'!P127</f>
        <v>-0.17436792082412192</v>
      </c>
    </row>
    <row r="130" spans="10:74">
      <c r="J130" s="16">
        <v>23</v>
      </c>
      <c r="K130" s="17">
        <f>基础状态预期!C141</f>
        <v>160</v>
      </c>
      <c r="L130" s="17">
        <f>宝物升星!N130</f>
        <v>0</v>
      </c>
      <c r="M130" s="17">
        <f>宝物升星!O130</f>
        <v>0</v>
      </c>
      <c r="N130" s="17">
        <f>宝物升星!P130</f>
        <v>0</v>
      </c>
      <c r="O130" s="17">
        <f>宝物升星!Q130</f>
        <v>6</v>
      </c>
      <c r="P130" s="17">
        <f>基础状态预期!I141</f>
        <v>0</v>
      </c>
      <c r="Q130" s="17">
        <f>基础状态预期!J141</f>
        <v>0</v>
      </c>
      <c r="R130" s="17">
        <f>基础状态预期!K141</f>
        <v>0</v>
      </c>
      <c r="S130" s="17">
        <f>基础状态预期!L141</f>
        <v>6</v>
      </c>
      <c r="T130" s="17">
        <f>IF(L130=0,0,同名需求(P130,L130,C$6))</f>
        <v>0</v>
      </c>
      <c r="U130" s="17">
        <f>IF(M130=0,0,同名需求(Q130,M130,D$6))</f>
        <v>0</v>
      </c>
      <c r="V130" s="17">
        <f>IF(N130=0,0,同名需求(R130,N130,E$6))</f>
        <v>0</v>
      </c>
      <c r="W130" s="17">
        <f>IF(O130=0,0,同名需求(S130,O130,F$6))</f>
        <v>36</v>
      </c>
      <c r="Z130" s="17">
        <f>投放验证!AL141*C$7</f>
        <v>1240420.459223273</v>
      </c>
      <c r="AA130" s="17">
        <f>投放验证!AM141*D$7</f>
        <v>1991941.0499562302</v>
      </c>
      <c r="AB130" s="17">
        <f>投放验证!AN141*E$7</f>
        <v>1788681.9572420318</v>
      </c>
      <c r="AC130" s="17">
        <f>投放验证!AO141*F$7</f>
        <v>2331961.7963227085</v>
      </c>
      <c r="AD130" s="17">
        <f>投放验证!Q141/投放验证!$E$25*投放验证!$E$24/$D$2</f>
        <v>3109282.3950969442</v>
      </c>
      <c r="AE130" s="16">
        <v>399686.9427748145</v>
      </c>
      <c r="AF130" s="16">
        <f t="shared" si="67"/>
        <v>26.176205770463937</v>
      </c>
      <c r="AG130" s="17">
        <f t="shared" si="89"/>
        <v>160</v>
      </c>
      <c r="AH130" s="17">
        <f t="shared" si="90"/>
        <v>0</v>
      </c>
      <c r="AI130" s="17">
        <f t="shared" si="91"/>
        <v>0</v>
      </c>
      <c r="AJ130" s="17">
        <f t="shared" si="92"/>
        <v>0</v>
      </c>
      <c r="AK130" s="17">
        <f t="shared" si="93"/>
        <v>3600</v>
      </c>
      <c r="AL130" s="17">
        <f t="shared" si="94"/>
        <v>10458687.657841189</v>
      </c>
      <c r="AM130" s="16">
        <v>397526.9427748145</v>
      </c>
      <c r="AO130" s="16">
        <v>125</v>
      </c>
      <c r="AP130" s="16">
        <f t="shared" si="84"/>
        <v>43927.406692936565</v>
      </c>
      <c r="AQ130" s="16">
        <f t="shared" si="85"/>
        <v>57902.266448781076</v>
      </c>
      <c r="AR130" s="16">
        <f t="shared" si="86"/>
        <v>86528.391246194937</v>
      </c>
      <c r="AS130" s="16">
        <f t="shared" si="87"/>
        <v>181136.17435587308</v>
      </c>
      <c r="AT130" s="16">
        <f t="shared" si="88"/>
        <v>239216.7357616995</v>
      </c>
      <c r="BE130" s="16">
        <v>125</v>
      </c>
      <c r="BF130" s="16">
        <f t="shared" si="68"/>
        <v>30240</v>
      </c>
      <c r="BG130" s="16">
        <f t="shared" si="69"/>
        <v>30240</v>
      </c>
      <c r="BH130" s="16">
        <f t="shared" si="70"/>
        <v>30240</v>
      </c>
      <c r="BI130" s="16">
        <f t="shared" si="71"/>
        <v>30240</v>
      </c>
      <c r="BJ130" s="16">
        <f t="shared" si="72"/>
        <v>30240</v>
      </c>
      <c r="BM130" s="16">
        <f t="shared" si="73"/>
        <v>1.4526258827029288</v>
      </c>
      <c r="BN130" s="16">
        <f t="shared" si="74"/>
        <v>1.9147574883856175</v>
      </c>
      <c r="BO130" s="16">
        <f t="shared" si="75"/>
        <v>2.861388599411208</v>
      </c>
      <c r="BP130" s="16">
        <f t="shared" si="76"/>
        <v>5.9899528556836339</v>
      </c>
      <c r="BQ130" s="16">
        <f t="shared" si="77"/>
        <v>7.9106063413260417</v>
      </c>
      <c r="BR130" s="16">
        <f>(BF130-AP130)*$D$2/'[1]资源-钻石'!L128</f>
        <v>-7.5063629097565684E-2</v>
      </c>
      <c r="BS130" s="16">
        <f>(BG130-AQ130)*$D$2/'[1]资源-钻石'!M128</f>
        <v>-0.10843557319990602</v>
      </c>
      <c r="BT130" s="16">
        <f>(BH130-AR130)*$D$2/'[1]资源-钻石'!N128</f>
        <v>-0.13958723204084966</v>
      </c>
      <c r="BU130" s="16">
        <f>(BI130-AS130)*$D$2/'[1]资源-钻石'!O128</f>
        <v>-0.17033809371903644</v>
      </c>
      <c r="BV130" s="16">
        <f>(BJ130-AT130)*$D$2/'[1]资源-钻石'!P128</f>
        <v>-0.17544908979060325</v>
      </c>
    </row>
    <row r="131" spans="10:74">
      <c r="J131" s="16">
        <v>24</v>
      </c>
      <c r="AO131" s="16">
        <v>126</v>
      </c>
      <c r="AP131" s="16">
        <f t="shared" si="84"/>
        <v>47562.098664617712</v>
      </c>
      <c r="AQ131" s="16">
        <f t="shared" si="85"/>
        <v>62684.711183628242</v>
      </c>
      <c r="AR131" s="16">
        <f t="shared" si="86"/>
        <v>93614.647568675762</v>
      </c>
      <c r="AS131" s="16">
        <f t="shared" si="87"/>
        <v>195759.2866947031</v>
      </c>
      <c r="AT131" s="16">
        <f t="shared" si="88"/>
        <v>258776.43335082283</v>
      </c>
      <c r="BE131" s="16">
        <v>126</v>
      </c>
      <c r="BF131" s="16">
        <f t="shared" si="68"/>
        <v>30240</v>
      </c>
      <c r="BG131" s="16">
        <f t="shared" si="69"/>
        <v>30240</v>
      </c>
      <c r="BH131" s="16">
        <f t="shared" si="70"/>
        <v>30240</v>
      </c>
      <c r="BI131" s="16">
        <f t="shared" si="71"/>
        <v>30240</v>
      </c>
      <c r="BJ131" s="16">
        <f t="shared" si="72"/>
        <v>30240</v>
      </c>
      <c r="BM131" s="16">
        <f t="shared" si="73"/>
        <v>1.5728207230363001</v>
      </c>
      <c r="BN131" s="16">
        <f t="shared" si="74"/>
        <v>2.0729071158607222</v>
      </c>
      <c r="BO131" s="16">
        <f t="shared" si="75"/>
        <v>3.0957224725091192</v>
      </c>
      <c r="BP131" s="16">
        <f t="shared" si="76"/>
        <v>6.4735213854068485</v>
      </c>
      <c r="BQ131" s="16">
        <f t="shared" si="77"/>
        <v>8.5574217377917599</v>
      </c>
      <c r="BR131" s="16">
        <f>(BF131-AP131)*$D$2/'[1]资源-钻石'!L129</f>
        <v>-8.9241073816463359E-2</v>
      </c>
      <c r="BS131" s="16">
        <f>(BG131-AQ131)*$D$2/'[1]资源-钻石'!M129</f>
        <v>-0.11893271401787515</v>
      </c>
      <c r="BT131" s="16">
        <f>(BH131-AR131)*$D$2/'[1]资源-钻石'!N129</f>
        <v>-0.14689904650641078</v>
      </c>
      <c r="BU131" s="16">
        <f>(BI131-AS131)*$D$2/'[1]资源-钻石'!O129</f>
        <v>-0.17520318483871333</v>
      </c>
      <c r="BV131" s="16">
        <f>(BJ131-AT131)*$D$2/'[1]资源-钻石'!P129</f>
        <v>-0.18004256660221266</v>
      </c>
    </row>
    <row r="132" spans="10:74">
      <c r="J132" s="16">
        <v>25</v>
      </c>
      <c r="AO132" s="16">
        <v>127</v>
      </c>
      <c r="AP132" s="16">
        <f t="shared" si="84"/>
        <v>51196.790636298858</v>
      </c>
      <c r="AQ132" s="16">
        <f t="shared" si="85"/>
        <v>67467.155918475415</v>
      </c>
      <c r="AR132" s="16">
        <f t="shared" si="86"/>
        <v>100700.90389115659</v>
      </c>
      <c r="AS132" s="16">
        <f t="shared" si="87"/>
        <v>210382.39903353312</v>
      </c>
      <c r="AT132" s="16">
        <f t="shared" si="88"/>
        <v>278336.13093994616</v>
      </c>
      <c r="BE132" s="16">
        <v>127</v>
      </c>
      <c r="BF132" s="16">
        <f t="shared" si="68"/>
        <v>30240</v>
      </c>
      <c r="BG132" s="16">
        <f t="shared" si="69"/>
        <v>30240</v>
      </c>
      <c r="BH132" s="16">
        <f t="shared" si="70"/>
        <v>30240</v>
      </c>
      <c r="BI132" s="16">
        <f t="shared" si="71"/>
        <v>30240</v>
      </c>
      <c r="BJ132" s="16">
        <f t="shared" si="72"/>
        <v>30240</v>
      </c>
      <c r="BM132" s="16">
        <f t="shared" si="73"/>
        <v>1.6930155633696713</v>
      </c>
      <c r="BN132" s="16">
        <f t="shared" si="74"/>
        <v>2.2310567433358273</v>
      </c>
      <c r="BO132" s="16">
        <f t="shared" si="75"/>
        <v>3.33005634560703</v>
      </c>
      <c r="BP132" s="16">
        <f t="shared" si="76"/>
        <v>6.9570899151300631</v>
      </c>
      <c r="BQ132" s="16">
        <f t="shared" si="77"/>
        <v>9.2042371342574789</v>
      </c>
      <c r="BR132" s="16">
        <f>(BF132-AP132)*$D$2/'[1]资源-钻石'!L130</f>
        <v>-0.10138299066187993</v>
      </c>
      <c r="BS132" s="16">
        <f>(BG132-AQ132)*$D$2/'[1]资源-钻石'!M130</f>
        <v>-0.12775319876619251</v>
      </c>
      <c r="BT132" s="16">
        <f>(BH132-AR132)*$D$2/'[1]资源-钻石'!N130</f>
        <v>-0.1534199778269944</v>
      </c>
      <c r="BU132" s="16">
        <f>(BI132-AS132)*$D$2/'[1]资源-钻石'!O130</f>
        <v>-0.179179175261347</v>
      </c>
      <c r="BV132" s="16">
        <f>(BJ132-AT132)*$D$2/'[1]资源-钻石'!P130</f>
        <v>-0.18311875265319597</v>
      </c>
    </row>
    <row r="133" spans="10:74">
      <c r="J133" s="16">
        <v>26</v>
      </c>
      <c r="AO133" s="16">
        <v>128</v>
      </c>
      <c r="AP133" s="16">
        <f t="shared" si="84"/>
        <v>54831.482607980011</v>
      </c>
      <c r="AQ133" s="16">
        <f t="shared" si="85"/>
        <v>72249.600653322574</v>
      </c>
      <c r="AR133" s="16">
        <f t="shared" si="86"/>
        <v>107787.16021363743</v>
      </c>
      <c r="AS133" s="16">
        <f t="shared" si="87"/>
        <v>225005.51137236314</v>
      </c>
      <c r="AT133" s="16">
        <f t="shared" si="88"/>
        <v>297895.82852906955</v>
      </c>
      <c r="BE133" s="16">
        <v>128</v>
      </c>
      <c r="BF133" s="16">
        <f t="shared" si="68"/>
        <v>30240</v>
      </c>
      <c r="BG133" s="16">
        <f t="shared" si="69"/>
        <v>30240</v>
      </c>
      <c r="BH133" s="16">
        <f t="shared" si="70"/>
        <v>30240</v>
      </c>
      <c r="BI133" s="16">
        <f t="shared" si="71"/>
        <v>30240</v>
      </c>
      <c r="BJ133" s="16">
        <f t="shared" si="72"/>
        <v>30240</v>
      </c>
      <c r="BM133" s="16">
        <f t="shared" si="73"/>
        <v>1.8132104037030428</v>
      </c>
      <c r="BN133" s="16">
        <f t="shared" si="74"/>
        <v>2.3892063708109315</v>
      </c>
      <c r="BO133" s="16">
        <f t="shared" si="75"/>
        <v>3.5643902187049412</v>
      </c>
      <c r="BP133" s="16">
        <f t="shared" si="76"/>
        <v>7.4406584448532787</v>
      </c>
      <c r="BQ133" s="16">
        <f t="shared" si="77"/>
        <v>9.8510525307231998</v>
      </c>
      <c r="BR133" s="16">
        <f>(BF133-AP133)*$D$2/'[1]资源-钻石'!L131</f>
        <v>-0.11166861031570913</v>
      </c>
      <c r="BS133" s="16">
        <f>(BG133-AQ133)*$D$2/'[1]资源-钻石'!M131</f>
        <v>-0.13568419672676155</v>
      </c>
      <c r="BT133" s="16">
        <f>(BH133-AR133)*$D$2/'[1]资源-钻石'!N131</f>
        <v>-0.15872869705059844</v>
      </c>
      <c r="BU133" s="16">
        <f>(BI133-AS133)*$D$2/'[1]资源-钻石'!O131</f>
        <v>-0.18169617991077142</v>
      </c>
      <c r="BV133" s="16">
        <f>(BJ133-AT133)*$D$2/'[1]资源-钻石'!P131</f>
        <v>-0.18487106147520249</v>
      </c>
    </row>
    <row r="134" spans="10:74">
      <c r="AO134" s="16">
        <v>129</v>
      </c>
      <c r="AP134" s="16">
        <f t="shared" ref="AP134:AP165" si="95">求节点($K$6:$K$26,$AL$6:$AL$26,$AO134)</f>
        <v>58466.174579661158</v>
      </c>
      <c r="AQ134" s="16">
        <f t="shared" ref="AQ134:AQ165" si="96">求节点($K$32:$K$52,$AL$32:$AL$52,$AO134)</f>
        <v>77032.045388169732</v>
      </c>
      <c r="AR134" s="16">
        <f t="shared" ref="AR134:AR165" si="97">求节点($K$58:$K$78,$AL$58:$AL$78,$AO134)</f>
        <v>114873.41653611825</v>
      </c>
      <c r="AS134" s="16">
        <f t="shared" ref="AS134:AS165" si="98">求节点($K$84:$K$104,$AL$84:$AL$104,$AO134)</f>
        <v>239628.62371119316</v>
      </c>
      <c r="AT134" s="16">
        <f t="shared" ref="AT134:AT165" si="99">求节点($K$110:$K$130,$AL$110:$AL$130,$AO134)</f>
        <v>317455.52611819288</v>
      </c>
      <c r="BE134" s="16">
        <v>129</v>
      </c>
      <c r="BF134" s="16">
        <f t="shared" si="68"/>
        <v>30240</v>
      </c>
      <c r="BG134" s="16">
        <f t="shared" si="69"/>
        <v>30240</v>
      </c>
      <c r="BH134" s="16">
        <f t="shared" si="70"/>
        <v>30240</v>
      </c>
      <c r="BI134" s="16">
        <f t="shared" si="71"/>
        <v>30240</v>
      </c>
      <c r="BJ134" s="16">
        <f t="shared" si="72"/>
        <v>30240</v>
      </c>
      <c r="BM134" s="16">
        <f t="shared" si="73"/>
        <v>1.933405244036414</v>
      </c>
      <c r="BN134" s="16">
        <f t="shared" si="74"/>
        <v>2.5473559982860361</v>
      </c>
      <c r="BO134" s="16">
        <f t="shared" si="75"/>
        <v>3.7987240918028524</v>
      </c>
      <c r="BP134" s="16">
        <f t="shared" si="76"/>
        <v>7.9242269745764933</v>
      </c>
      <c r="BQ134" s="16">
        <f t="shared" si="77"/>
        <v>10.497867927188919</v>
      </c>
      <c r="BR134" s="16">
        <f>(BF134-AP134)*$D$2/'[1]资源-钻石'!L132</f>
        <v>-0.12026631152201855</v>
      </c>
      <c r="BS134" s="16">
        <f>(BG134-AQ134)*$D$2/'[1]资源-钻石'!M132</f>
        <v>-0.14163344130032438</v>
      </c>
      <c r="BT134" s="16">
        <f>(BH134-AR134)*$D$2/'[1]资源-钻石'!N132</f>
        <v>-0.16171046042268281</v>
      </c>
      <c r="BU134" s="16">
        <f>(BI134-AS134)*$D$2/'[1]资源-钻石'!O132</f>
        <v>-0.18185037477557317</v>
      </c>
      <c r="BV134" s="16">
        <f>(BJ134-AT134)*$D$2/'[1]资源-钻石'!P132</f>
        <v>-0.18478256026295567</v>
      </c>
    </row>
    <row r="135" spans="10:74">
      <c r="AO135" s="16">
        <v>130</v>
      </c>
      <c r="AP135" s="16">
        <f t="shared" si="95"/>
        <v>62100.866551342304</v>
      </c>
      <c r="AQ135" s="16">
        <f t="shared" si="96"/>
        <v>81814.490123016905</v>
      </c>
      <c r="AR135" s="16">
        <f t="shared" si="97"/>
        <v>121959.67285859908</v>
      </c>
      <c r="AS135" s="16">
        <f t="shared" si="98"/>
        <v>254251.73605002317</v>
      </c>
      <c r="AT135" s="16">
        <f t="shared" si="99"/>
        <v>337015.22370731621</v>
      </c>
      <c r="BE135" s="16">
        <v>130</v>
      </c>
      <c r="BF135" s="16">
        <f t="shared" ref="BF135:BF165" si="100">求节点($AX$6:$AX$26,AY$6:AY$26,$BE135)</f>
        <v>30240</v>
      </c>
      <c r="BG135" s="16">
        <f t="shared" ref="BG135:BG165" si="101">求节点($AX$6:$AX$26,AZ$6:AZ$26,$BE135)</f>
        <v>30240</v>
      </c>
      <c r="BH135" s="16">
        <f t="shared" ref="BH135:BH165" si="102">求节点($AX$6:$AX$26,BA$6:BA$26,$BE135)</f>
        <v>30240</v>
      </c>
      <c r="BI135" s="16">
        <f t="shared" ref="BI135:BI165" si="103">求节点($AX$6:$AX$26,BB$6:BB$26,$BE135)</f>
        <v>30240</v>
      </c>
      <c r="BJ135" s="16">
        <f t="shared" ref="BJ135:BJ165" si="104">求节点($AX$6:$AX$26,BC$6:BC$26,$BE135)</f>
        <v>30240</v>
      </c>
      <c r="BM135" s="16">
        <f t="shared" ref="BM135:BM165" si="105">AP135/BF135</f>
        <v>2.0536000843697853</v>
      </c>
      <c r="BN135" s="16">
        <f t="shared" ref="BN135:BN165" si="106">AQ135/BG135</f>
        <v>2.7055056257611412</v>
      </c>
      <c r="BO135" s="16">
        <f t="shared" ref="BO135:BO165" si="107">AR135/BH135</f>
        <v>4.0330579649007632</v>
      </c>
      <c r="BP135" s="16">
        <f t="shared" ref="BP135:BP165" si="108">AS135/BI135</f>
        <v>8.4077955042997079</v>
      </c>
      <c r="BQ135" s="16">
        <f t="shared" ref="BQ135:BQ165" si="109">AT135/BJ135</f>
        <v>11.144683323654636</v>
      </c>
      <c r="BR135" s="16">
        <f>(BF135-AP135)*$D$2/'[1]资源-钻石'!L133</f>
        <v>-0.12733378982357749</v>
      </c>
      <c r="BS135" s="16">
        <f>(BG135-AQ135)*$D$2/'[1]资源-钻石'!M133</f>
        <v>-0.14609589700353237</v>
      </c>
      <c r="BT135" s="16">
        <f>(BH135-AR135)*$D$2/'[1]资源-钻石'!N133</f>
        <v>-0.16347657285896824</v>
      </c>
      <c r="BU135" s="16">
        <f>(BI135-AS135)*$D$2/'[1]资源-钻石'!O133</f>
        <v>-0.18121633054166369</v>
      </c>
      <c r="BV135" s="16">
        <f>(BJ135-AT135)*$D$2/'[1]资源-钻石'!P133</f>
        <v>-0.1836196850155544</v>
      </c>
    </row>
    <row r="136" spans="10:74">
      <c r="AO136" s="16">
        <v>131</v>
      </c>
      <c r="AP136" s="16">
        <f t="shared" si="95"/>
        <v>67239.05081328463</v>
      </c>
      <c r="AQ136" s="16">
        <f t="shared" si="96"/>
        <v>88507.979128092571</v>
      </c>
      <c r="AR136" s="16">
        <f t="shared" si="97"/>
        <v>131826.07344195282</v>
      </c>
      <c r="AS136" s="16">
        <f t="shared" si="98"/>
        <v>274829.30804625928</v>
      </c>
      <c r="AT136" s="16">
        <f t="shared" si="99"/>
        <v>364196.58669745259</v>
      </c>
      <c r="BE136" s="16">
        <v>131</v>
      </c>
      <c r="BF136" s="16">
        <f t="shared" si="100"/>
        <v>30240</v>
      </c>
      <c r="BG136" s="16">
        <f t="shared" si="101"/>
        <v>30240</v>
      </c>
      <c r="BH136" s="16">
        <f t="shared" si="102"/>
        <v>30240</v>
      </c>
      <c r="BI136" s="16">
        <f t="shared" si="103"/>
        <v>30240</v>
      </c>
      <c r="BJ136" s="16">
        <f t="shared" si="104"/>
        <v>30240</v>
      </c>
      <c r="BM136" s="16">
        <f t="shared" si="105"/>
        <v>2.2235135850953913</v>
      </c>
      <c r="BN136" s="16">
        <f t="shared" si="106"/>
        <v>2.9268511616432726</v>
      </c>
      <c r="BO136" s="16">
        <f t="shared" si="107"/>
        <v>4.3593278254614027</v>
      </c>
      <c r="BP136" s="16">
        <f t="shared" si="108"/>
        <v>9.088270768725506</v>
      </c>
      <c r="BQ136" s="16">
        <f t="shared" si="109"/>
        <v>12.043537919889305</v>
      </c>
      <c r="BR136" s="16">
        <f>(BF136-AP136)*$D$2/'[1]资源-钻石'!L134</f>
        <v>-0.1386525812890339</v>
      </c>
      <c r="BS136" s="16">
        <f>(BG136-AQ136)*$D$2/'[1]资源-钻石'!M134</f>
        <v>-0.15453120990275826</v>
      </c>
      <c r="BT136" s="16">
        <f>(BH136-AR136)*$D$2/'[1]资源-钻石'!N134</f>
        <v>-0.16916153349816634</v>
      </c>
      <c r="BU136" s="16">
        <f>(BI136-AS136)*$D$2/'[1]资源-钻石'!O134</f>
        <v>-0.18436551651802841</v>
      </c>
      <c r="BV136" s="16">
        <f>(BJ136-AT136)*$D$2/'[1]资源-钻石'!P134</f>
        <v>-0.18674436344536011</v>
      </c>
    </row>
    <row r="137" spans="10:74">
      <c r="AO137" s="16">
        <v>132</v>
      </c>
      <c r="AP137" s="16">
        <f t="shared" si="95"/>
        <v>72377.23507522697</v>
      </c>
      <c r="AQ137" s="16">
        <f t="shared" si="96"/>
        <v>95201.468133168237</v>
      </c>
      <c r="AR137" s="16">
        <f t="shared" si="97"/>
        <v>141692.47402530655</v>
      </c>
      <c r="AS137" s="16">
        <f t="shared" si="98"/>
        <v>295406.88004249538</v>
      </c>
      <c r="AT137" s="16">
        <f t="shared" si="99"/>
        <v>391377.94968758896</v>
      </c>
      <c r="BE137" s="16">
        <v>132</v>
      </c>
      <c r="BF137" s="16">
        <f t="shared" si="100"/>
        <v>30240</v>
      </c>
      <c r="BG137" s="16">
        <f t="shared" si="101"/>
        <v>30240</v>
      </c>
      <c r="BH137" s="16">
        <f t="shared" si="102"/>
        <v>30240</v>
      </c>
      <c r="BI137" s="16">
        <f t="shared" si="103"/>
        <v>30240</v>
      </c>
      <c r="BJ137" s="16">
        <f t="shared" si="104"/>
        <v>30240</v>
      </c>
      <c r="BM137" s="16">
        <f t="shared" si="105"/>
        <v>2.3934270858209978</v>
      </c>
      <c r="BN137" s="16">
        <f t="shared" si="106"/>
        <v>3.1481966975254045</v>
      </c>
      <c r="BO137" s="16">
        <f t="shared" si="107"/>
        <v>4.6855976860220423</v>
      </c>
      <c r="BP137" s="16">
        <f t="shared" si="108"/>
        <v>9.7687460331513023</v>
      </c>
      <c r="BQ137" s="16">
        <f t="shared" si="109"/>
        <v>12.942392516123974</v>
      </c>
      <c r="BR137" s="16">
        <f>(BF137-AP137)*$D$2/'[1]资源-钻石'!L135</f>
        <v>-0.1480199055059658</v>
      </c>
      <c r="BS137" s="16">
        <f>(BG137-AQ137)*$D$2/'[1]资源-钻石'!M135</f>
        <v>-0.1612204429383963</v>
      </c>
      <c r="BT137" s="16">
        <f>(BH137-AR137)*$D$2/'[1]资源-钻石'!N135</f>
        <v>-0.17322665321588851</v>
      </c>
      <c r="BU137" s="16">
        <f>(BI137-AS137)*$D$2/'[1]资源-钻石'!O135</f>
        <v>-0.18684036863717501</v>
      </c>
      <c r="BV137" s="16">
        <f>(BJ137-AT137)*$D$2/'[1]资源-钻石'!P135</f>
        <v>-0.18909268318191108</v>
      </c>
    </row>
    <row r="138" spans="10:74">
      <c r="AO138" s="16">
        <v>133</v>
      </c>
      <c r="AP138" s="16">
        <f t="shared" si="95"/>
        <v>77515.419337169296</v>
      </c>
      <c r="AQ138" s="16">
        <f t="shared" si="96"/>
        <v>101894.95713824389</v>
      </c>
      <c r="AR138" s="16">
        <f t="shared" si="97"/>
        <v>151558.87460866029</v>
      </c>
      <c r="AS138" s="16">
        <f t="shared" si="98"/>
        <v>315984.45203873148</v>
      </c>
      <c r="AT138" s="16">
        <f t="shared" si="99"/>
        <v>418559.31267772533</v>
      </c>
      <c r="BE138" s="16">
        <v>133</v>
      </c>
      <c r="BF138" s="16">
        <f t="shared" si="100"/>
        <v>30240</v>
      </c>
      <c r="BG138" s="16">
        <f t="shared" si="101"/>
        <v>30240</v>
      </c>
      <c r="BH138" s="16">
        <f t="shared" si="102"/>
        <v>30240</v>
      </c>
      <c r="BI138" s="16">
        <f t="shared" si="103"/>
        <v>30240</v>
      </c>
      <c r="BJ138" s="16">
        <f t="shared" si="104"/>
        <v>30240</v>
      </c>
      <c r="BM138" s="16">
        <f t="shared" si="105"/>
        <v>2.5633405865466039</v>
      </c>
      <c r="BN138" s="16">
        <f t="shared" si="106"/>
        <v>3.369542233407536</v>
      </c>
      <c r="BO138" s="16">
        <f t="shared" si="107"/>
        <v>5.0118675465826819</v>
      </c>
      <c r="BP138" s="16">
        <f t="shared" si="108"/>
        <v>10.449221297577099</v>
      </c>
      <c r="BQ138" s="16">
        <f t="shared" si="109"/>
        <v>13.841247112358642</v>
      </c>
      <c r="BR138" s="16">
        <f>(BF138-AP138)*$D$2/'[1]资源-钻石'!L136</f>
        <v>-0.15562502798143421</v>
      </c>
      <c r="BS138" s="16">
        <f>(BG138-AQ138)*$D$2/'[1]资源-钻石'!M136</f>
        <v>-0.16637443616655467</v>
      </c>
      <c r="BT138" s="16">
        <f>(BH138-AR138)*$D$2/'[1]资源-钻石'!N136</f>
        <v>-0.17677430920011922</v>
      </c>
      <c r="BU138" s="16">
        <f>(BI138-AS138)*$D$2/'[1]资源-钻石'!O136</f>
        <v>-0.18889492750942857</v>
      </c>
      <c r="BV138" s="16">
        <f>(BJ138-AT138)*$D$2/'[1]资源-钻石'!P136</f>
        <v>-0.19052892685771658</v>
      </c>
    </row>
    <row r="139" spans="10:74">
      <c r="AO139" s="16">
        <v>134</v>
      </c>
      <c r="AP139" s="16">
        <f t="shared" si="95"/>
        <v>82653.603599111637</v>
      </c>
      <c r="AQ139" s="16">
        <f t="shared" si="96"/>
        <v>108588.44614331955</v>
      </c>
      <c r="AR139" s="16">
        <f t="shared" si="97"/>
        <v>161425.27519201406</v>
      </c>
      <c r="AS139" s="16">
        <f t="shared" si="98"/>
        <v>336562.02403496759</v>
      </c>
      <c r="AT139" s="16">
        <f t="shared" si="99"/>
        <v>445740.67566786171</v>
      </c>
      <c r="BE139" s="16">
        <v>134</v>
      </c>
      <c r="BF139" s="16">
        <f t="shared" si="100"/>
        <v>30240</v>
      </c>
      <c r="BG139" s="16">
        <f t="shared" si="101"/>
        <v>30240</v>
      </c>
      <c r="BH139" s="16">
        <f t="shared" si="102"/>
        <v>30240</v>
      </c>
      <c r="BI139" s="16">
        <f t="shared" si="103"/>
        <v>30240</v>
      </c>
      <c r="BJ139" s="16">
        <f t="shared" si="104"/>
        <v>30240</v>
      </c>
      <c r="BM139" s="16">
        <f t="shared" si="105"/>
        <v>2.7332540872722104</v>
      </c>
      <c r="BN139" s="16">
        <f t="shared" si="106"/>
        <v>3.5908877692896679</v>
      </c>
      <c r="BO139" s="16">
        <f t="shared" si="107"/>
        <v>5.3381374071433223</v>
      </c>
      <c r="BP139" s="16">
        <f t="shared" si="108"/>
        <v>11.129696562002897</v>
      </c>
      <c r="BQ139" s="16">
        <f t="shared" si="109"/>
        <v>14.740101708593311</v>
      </c>
      <c r="BR139" s="16">
        <f>(BF139-AP139)*$D$2/'[1]资源-钻石'!L137</f>
        <v>-0.16164368528954326</v>
      </c>
      <c r="BS139" s="16">
        <f>(BG139-AQ139)*$D$2/'[1]资源-钻石'!M137</f>
        <v>-0.1707336148247709</v>
      </c>
      <c r="BT139" s="16">
        <f>(BH139-AR139)*$D$2/'[1]资源-钻石'!N137</f>
        <v>-0.17953807701371619</v>
      </c>
      <c r="BU139" s="16">
        <f>(BI139-AS139)*$D$2/'[1]资源-钻石'!O137</f>
        <v>-0.18982027834567411</v>
      </c>
      <c r="BV139" s="16">
        <f>(BJ139-AT139)*$D$2/'[1]资源-钻石'!P137</f>
        <v>-0.19073735755787544</v>
      </c>
    </row>
    <row r="140" spans="10:74">
      <c r="AO140" s="16">
        <v>135</v>
      </c>
      <c r="AP140" s="16">
        <f t="shared" si="95"/>
        <v>87791.787861053963</v>
      </c>
      <c r="AQ140" s="16">
        <f t="shared" si="96"/>
        <v>115281.93514839522</v>
      </c>
      <c r="AR140" s="16">
        <f t="shared" si="97"/>
        <v>171291.6757753678</v>
      </c>
      <c r="AS140" s="16">
        <f t="shared" si="98"/>
        <v>357139.59603120369</v>
      </c>
      <c r="AT140" s="16">
        <f t="shared" si="99"/>
        <v>472922.03865799808</v>
      </c>
      <c r="BE140" s="16">
        <v>135</v>
      </c>
      <c r="BF140" s="16">
        <f t="shared" si="100"/>
        <v>30240</v>
      </c>
      <c r="BG140" s="16">
        <f t="shared" si="101"/>
        <v>30240</v>
      </c>
      <c r="BH140" s="16">
        <f t="shared" si="102"/>
        <v>30240</v>
      </c>
      <c r="BI140" s="16">
        <f t="shared" si="103"/>
        <v>30240</v>
      </c>
      <c r="BJ140" s="16">
        <f t="shared" si="104"/>
        <v>30240</v>
      </c>
      <c r="BM140" s="16">
        <f t="shared" si="105"/>
        <v>2.903167587997816</v>
      </c>
      <c r="BN140" s="16">
        <f t="shared" si="106"/>
        <v>3.8122333051717994</v>
      </c>
      <c r="BO140" s="16">
        <f t="shared" si="107"/>
        <v>5.6644072677039619</v>
      </c>
      <c r="BP140" s="16">
        <f t="shared" si="108"/>
        <v>11.810171826428693</v>
      </c>
      <c r="BQ140" s="16">
        <f t="shared" si="109"/>
        <v>15.638956304827978</v>
      </c>
      <c r="BR140" s="16">
        <f>(BF140-AP140)*$D$2/'[1]资源-钻石'!L138</f>
        <v>-0.16626312374268359</v>
      </c>
      <c r="BS140" s="16">
        <f>(BG140-AQ140)*$D$2/'[1]资源-钻石'!M138</f>
        <v>-0.17362109286993468</v>
      </c>
      <c r="BT140" s="16">
        <f>(BH140-AR140)*$D$2/'[1]资源-钻石'!N138</f>
        <v>-0.18071918732623185</v>
      </c>
      <c r="BU140" s="16">
        <f>(BI140-AS140)*$D$2/'[1]资源-钻石'!O138</f>
        <v>-0.18905966778200381</v>
      </c>
      <c r="BV140" s="16">
        <f>(BJ140-AT140)*$D$2/'[1]资源-钻石'!P138</f>
        <v>-0.18940638560693188</v>
      </c>
    </row>
    <row r="141" spans="10:74">
      <c r="AO141" s="16">
        <v>136</v>
      </c>
      <c r="AP141" s="16">
        <f t="shared" si="95"/>
        <v>94908.297229681353</v>
      </c>
      <c r="AQ141" s="16">
        <f t="shared" si="96"/>
        <v>124775.55401875166</v>
      </c>
      <c r="AR141" s="16">
        <f t="shared" si="97"/>
        <v>185461.48761323991</v>
      </c>
      <c r="AS141" s="16">
        <f t="shared" si="98"/>
        <v>386377.84667474416</v>
      </c>
      <c r="AT141" s="16">
        <f t="shared" si="99"/>
        <v>511406.77161233866</v>
      </c>
      <c r="BE141" s="16">
        <v>136</v>
      </c>
      <c r="BF141" s="16">
        <f t="shared" si="100"/>
        <v>30240</v>
      </c>
      <c r="BG141" s="16">
        <f t="shared" si="101"/>
        <v>30240</v>
      </c>
      <c r="BH141" s="16">
        <f t="shared" si="102"/>
        <v>30240</v>
      </c>
      <c r="BI141" s="16">
        <f t="shared" si="103"/>
        <v>30240</v>
      </c>
      <c r="BJ141" s="16">
        <f t="shared" si="104"/>
        <v>30240</v>
      </c>
      <c r="BM141" s="16">
        <f t="shared" si="105"/>
        <v>3.1385018925159178</v>
      </c>
      <c r="BN141" s="16">
        <f t="shared" si="106"/>
        <v>4.1261757281333225</v>
      </c>
      <c r="BO141" s="16">
        <f t="shared" si="107"/>
        <v>6.132985701496029</v>
      </c>
      <c r="BP141" s="16">
        <f t="shared" si="108"/>
        <v>12.77704519427064</v>
      </c>
      <c r="BQ141" s="16">
        <f t="shared" si="109"/>
        <v>16.911599590355113</v>
      </c>
      <c r="BR141" s="16">
        <f>(BF141-AP141)*$D$2/'[1]资源-钻石'!L139</f>
        <v>-0.17524804506810884</v>
      </c>
      <c r="BS141" s="16">
        <f>(BG141-AQ141)*$D$2/'[1]资源-钻石'!M139</f>
        <v>-0.18045780893641658</v>
      </c>
      <c r="BT141" s="16">
        <f>(BH141-AR141)*$D$2/'[1]资源-钻石'!N139</f>
        <v>-0.18529759827644457</v>
      </c>
      <c r="BU141" s="16">
        <f>(BI141-AS141)*$D$2/'[1]资源-钻石'!O139</f>
        <v>-0.19169697666004293</v>
      </c>
      <c r="BV141" s="16">
        <f>(BJ141-AT141)*$D$2/'[1]资源-钻石'!P139</f>
        <v>-0.19152593501206147</v>
      </c>
    </row>
    <row r="142" spans="10:74">
      <c r="AO142" s="16">
        <v>137</v>
      </c>
      <c r="AP142" s="16">
        <f t="shared" si="95"/>
        <v>102024.80659830876</v>
      </c>
      <c r="AQ142" s="16">
        <f t="shared" si="96"/>
        <v>134269.1728891081</v>
      </c>
      <c r="AR142" s="16">
        <f t="shared" si="97"/>
        <v>199631.29945111205</v>
      </c>
      <c r="AS142" s="16">
        <f t="shared" si="98"/>
        <v>415616.09731828456</v>
      </c>
      <c r="AT142" s="16">
        <f t="shared" si="99"/>
        <v>549891.50456667924</v>
      </c>
      <c r="BE142" s="16">
        <v>137</v>
      </c>
      <c r="BF142" s="16">
        <f t="shared" si="100"/>
        <v>30240</v>
      </c>
      <c r="BG142" s="16">
        <f t="shared" si="101"/>
        <v>30240</v>
      </c>
      <c r="BH142" s="16">
        <f t="shared" si="102"/>
        <v>30240</v>
      </c>
      <c r="BI142" s="16">
        <f t="shared" si="103"/>
        <v>30240</v>
      </c>
      <c r="BJ142" s="16">
        <f t="shared" si="104"/>
        <v>30240</v>
      </c>
      <c r="BM142" s="16">
        <f t="shared" si="105"/>
        <v>3.3738361970340196</v>
      </c>
      <c r="BN142" s="16">
        <f t="shared" si="106"/>
        <v>4.4401181510948442</v>
      </c>
      <c r="BO142" s="16">
        <f t="shared" si="107"/>
        <v>6.6015641352880969</v>
      </c>
      <c r="BP142" s="16">
        <f t="shared" si="108"/>
        <v>13.743918562112585</v>
      </c>
      <c r="BQ142" s="16">
        <f t="shared" si="109"/>
        <v>18.184242875882251</v>
      </c>
      <c r="BR142" s="16">
        <f>(BF142-AP142)*$D$2/'[1]资源-钻石'!L140</f>
        <v>-0.1824208033409514</v>
      </c>
      <c r="BS142" s="16">
        <f>(BG142-AQ142)*$D$2/'[1]资源-钻石'!M140</f>
        <v>-0.18555380163603141</v>
      </c>
      <c r="BT142" s="16">
        <f>(BH142-AR142)*$D$2/'[1]资源-钻石'!N140</f>
        <v>-0.18881955442040543</v>
      </c>
      <c r="BU142" s="16">
        <f>(BI142-AS142)*$D$2/'[1]资源-钻石'!O140</f>
        <v>-0.19335999054423236</v>
      </c>
      <c r="BV142" s="16">
        <f>(BJ142-AT142)*$D$2/'[1]资源-钻石'!P140</f>
        <v>-0.19286850292842134</v>
      </c>
    </row>
    <row r="143" spans="10:74">
      <c r="AO143" s="16">
        <v>138</v>
      </c>
      <c r="AP143" s="16">
        <f t="shared" si="95"/>
        <v>109141.31596693615</v>
      </c>
      <c r="AQ143" s="16">
        <f t="shared" si="96"/>
        <v>143762.79175946454</v>
      </c>
      <c r="AR143" s="16">
        <f t="shared" si="97"/>
        <v>213801.11128898416</v>
      </c>
      <c r="AS143" s="16">
        <f t="shared" si="98"/>
        <v>444854.34796182503</v>
      </c>
      <c r="AT143" s="16">
        <f t="shared" si="99"/>
        <v>588376.23752101976</v>
      </c>
      <c r="BE143" s="16">
        <v>138</v>
      </c>
      <c r="BF143" s="16">
        <f t="shared" si="100"/>
        <v>30240</v>
      </c>
      <c r="BG143" s="16">
        <f t="shared" si="101"/>
        <v>30240</v>
      </c>
      <c r="BH143" s="16">
        <f t="shared" si="102"/>
        <v>30240</v>
      </c>
      <c r="BI143" s="16">
        <f t="shared" si="103"/>
        <v>30240</v>
      </c>
      <c r="BJ143" s="16">
        <f t="shared" si="104"/>
        <v>30240</v>
      </c>
      <c r="BM143" s="16">
        <f t="shared" si="105"/>
        <v>3.6091705015521214</v>
      </c>
      <c r="BN143" s="16">
        <f t="shared" si="106"/>
        <v>4.7540605740563668</v>
      </c>
      <c r="BO143" s="16">
        <f t="shared" si="107"/>
        <v>7.070142569080164</v>
      </c>
      <c r="BP143" s="16">
        <f t="shared" si="108"/>
        <v>14.710791929954532</v>
      </c>
      <c r="BQ143" s="16">
        <f t="shared" si="109"/>
        <v>19.456886161409383</v>
      </c>
      <c r="BR143" s="16">
        <f>(BF143-AP143)*$D$2/'[1]资源-钻石'!L141</f>
        <v>-0.18796193138491174</v>
      </c>
      <c r="BS143" s="16">
        <f>(BG143-AQ143)*$D$2/'[1]资源-钻石'!M141</f>
        <v>-0.18954347117106249</v>
      </c>
      <c r="BT143" s="16">
        <f>(BH143-AR143)*$D$2/'[1]资源-钻石'!N141</f>
        <v>-0.19109435655753784</v>
      </c>
      <c r="BU143" s="16">
        <f>(BI143-AS143)*$D$2/'[1]资源-钻石'!O141</f>
        <v>-0.19414194237404575</v>
      </c>
      <c r="BV143" s="16">
        <f>(BJ143-AT143)*$D$2/'[1]资源-钻石'!P141</f>
        <v>-0.19411770025519201</v>
      </c>
    </row>
    <row r="144" spans="10:74">
      <c r="AO144" s="16">
        <v>139</v>
      </c>
      <c r="AP144" s="16">
        <f t="shared" si="95"/>
        <v>116257.82533556354</v>
      </c>
      <c r="AQ144" s="16">
        <f t="shared" si="96"/>
        <v>153256.41062982098</v>
      </c>
      <c r="AR144" s="16">
        <f t="shared" si="97"/>
        <v>227970.92312685627</v>
      </c>
      <c r="AS144" s="16">
        <f t="shared" si="98"/>
        <v>474092.59860536549</v>
      </c>
      <c r="AT144" s="16">
        <f t="shared" si="99"/>
        <v>626860.97047536029</v>
      </c>
      <c r="BE144" s="16">
        <v>139</v>
      </c>
      <c r="BF144" s="16">
        <f t="shared" si="100"/>
        <v>30240</v>
      </c>
      <c r="BG144" s="16">
        <f t="shared" si="101"/>
        <v>30240</v>
      </c>
      <c r="BH144" s="16">
        <f t="shared" si="102"/>
        <v>30240</v>
      </c>
      <c r="BI144" s="16">
        <f t="shared" si="103"/>
        <v>30240</v>
      </c>
      <c r="BJ144" s="16">
        <f t="shared" si="104"/>
        <v>30240</v>
      </c>
      <c r="BM144" s="16">
        <f t="shared" si="105"/>
        <v>3.8445048060702227</v>
      </c>
      <c r="BN144" s="16">
        <f t="shared" si="106"/>
        <v>5.0680029970178895</v>
      </c>
      <c r="BO144" s="16">
        <f t="shared" si="107"/>
        <v>7.5387210028722311</v>
      </c>
      <c r="BP144" s="16">
        <f t="shared" si="108"/>
        <v>15.677665297796478</v>
      </c>
      <c r="BQ144" s="16">
        <f t="shared" si="109"/>
        <v>20.729529446936517</v>
      </c>
      <c r="BR144" s="16">
        <f>(BF144-AP144)*$D$2/'[1]资源-钻石'!L142</f>
        <v>-0.19203907388441044</v>
      </c>
      <c r="BS144" s="16">
        <f>(BG144-AQ144)*$D$2/'[1]资源-钻石'!M142</f>
        <v>-0.19220721640022834</v>
      </c>
      <c r="BT144" s="16">
        <f>(BH144-AR144)*$D$2/'[1]资源-钻石'!N142</f>
        <v>-0.19233386073182487</v>
      </c>
      <c r="BU144" s="16">
        <f>(BI144-AS144)*$D$2/'[1]资源-钻石'!O142</f>
        <v>-0.19482616226276805</v>
      </c>
      <c r="BV144" s="16">
        <f>(BJ144-AT144)*$D$2/'[1]资源-钻石'!P142</f>
        <v>-0.1943681960264742</v>
      </c>
    </row>
    <row r="145" spans="41:74">
      <c r="AO145" s="16">
        <v>140</v>
      </c>
      <c r="AP145" s="16">
        <f t="shared" si="95"/>
        <v>123374.33470419094</v>
      </c>
      <c r="AQ145" s="16">
        <f t="shared" si="96"/>
        <v>162750.02950017742</v>
      </c>
      <c r="AR145" s="16">
        <f t="shared" si="97"/>
        <v>242140.73496472841</v>
      </c>
      <c r="AS145" s="16">
        <f t="shared" si="98"/>
        <v>503330.8492489059</v>
      </c>
      <c r="AT145" s="16">
        <f t="shared" si="99"/>
        <v>665345.70342970092</v>
      </c>
      <c r="BE145" s="16">
        <v>140</v>
      </c>
      <c r="BF145" s="16">
        <f t="shared" si="100"/>
        <v>30240</v>
      </c>
      <c r="BG145" s="16">
        <f t="shared" si="101"/>
        <v>30240</v>
      </c>
      <c r="BH145" s="16">
        <f t="shared" si="102"/>
        <v>30240</v>
      </c>
      <c r="BI145" s="16">
        <f t="shared" si="103"/>
        <v>30240</v>
      </c>
      <c r="BJ145" s="16">
        <f t="shared" si="104"/>
        <v>30240</v>
      </c>
      <c r="BM145" s="16">
        <f t="shared" si="105"/>
        <v>4.0798391105883249</v>
      </c>
      <c r="BN145" s="16">
        <f t="shared" si="106"/>
        <v>5.3819454199794121</v>
      </c>
      <c r="BO145" s="16">
        <f t="shared" si="107"/>
        <v>8.0072994366642991</v>
      </c>
      <c r="BP145" s="16">
        <f t="shared" si="108"/>
        <v>16.644538665638422</v>
      </c>
      <c r="BQ145" s="16">
        <f t="shared" si="109"/>
        <v>22.002172732463656</v>
      </c>
      <c r="BR145" s="16">
        <f>(BF145-AP145)*$D$2/'[1]资源-钻石'!L143</f>
        <v>-0.19480749062420946</v>
      </c>
      <c r="BS145" s="16">
        <f>(BG145-AQ145)*$D$2/'[1]资源-钻石'!M143</f>
        <v>-0.19387964390790402</v>
      </c>
      <c r="BT145" s="16">
        <f>(BH145-AR145)*$D$2/'[1]资源-钻石'!N143</f>
        <v>-0.19340733612130806</v>
      </c>
      <c r="BU145" s="16">
        <f>(BI145-AS145)*$D$2/'[1]资源-钻石'!O143</f>
        <v>-0.19473906715014258</v>
      </c>
      <c r="BV145" s="16">
        <f>(BJ145-AT145)*$D$2/'[1]资源-钻石'!P143</f>
        <v>-0.19358055659087575</v>
      </c>
    </row>
    <row r="146" spans="41:74">
      <c r="AO146" s="16">
        <v>141</v>
      </c>
      <c r="AP146" s="16">
        <f t="shared" si="95"/>
        <v>133435.50531624738</v>
      </c>
      <c r="AQ146" s="16">
        <f t="shared" si="96"/>
        <v>176030.0981650922</v>
      </c>
      <c r="AR146" s="16">
        <f t="shared" si="97"/>
        <v>262152.83513938554</v>
      </c>
      <c r="AS146" s="16">
        <f t="shared" si="98"/>
        <v>545360.91857843299</v>
      </c>
      <c r="AT146" s="16">
        <f t="shared" si="99"/>
        <v>720363.18134308525</v>
      </c>
      <c r="BE146" s="16">
        <v>141</v>
      </c>
      <c r="BF146" s="16">
        <f t="shared" si="100"/>
        <v>30240</v>
      </c>
      <c r="BG146" s="16">
        <f t="shared" si="101"/>
        <v>30240</v>
      </c>
      <c r="BH146" s="16">
        <f t="shared" si="102"/>
        <v>30240</v>
      </c>
      <c r="BI146" s="16">
        <f t="shared" si="103"/>
        <v>30240</v>
      </c>
      <c r="BJ146" s="16">
        <f t="shared" si="104"/>
        <v>30240</v>
      </c>
      <c r="BM146" s="16">
        <f t="shared" si="105"/>
        <v>4.4125497789764347</v>
      </c>
      <c r="BN146" s="16">
        <f t="shared" si="106"/>
        <v>5.8211011297980226</v>
      </c>
      <c r="BO146" s="16">
        <f t="shared" si="107"/>
        <v>8.6690752360907926</v>
      </c>
      <c r="BP146" s="16">
        <f t="shared" si="108"/>
        <v>18.034421910662466</v>
      </c>
      <c r="BQ146" s="16">
        <f t="shared" si="109"/>
        <v>23.821533774572924</v>
      </c>
      <c r="BR146" s="16">
        <f>(BF146-AP146)*$D$2/'[1]资源-钻石'!L144</f>
        <v>-0.20217975223259127</v>
      </c>
      <c r="BS146" s="16">
        <f>(BG146-AQ146)*$D$2/'[1]资源-钻石'!M144</f>
        <v>-0.20011808424582611</v>
      </c>
      <c r="BT146" s="16">
        <f>(BH146-AR146)*$D$2/'[1]资源-钻石'!N144</f>
        <v>-0.19847730676153744</v>
      </c>
      <c r="BU146" s="16">
        <f>(BI146-AS146)*$D$2/'[1]资源-钻石'!O144</f>
        <v>-0.19818158099576516</v>
      </c>
      <c r="BV146" s="16">
        <f>(BJ146-AT146)*$D$2/'[1]资源-钻石'!P144</f>
        <v>-0.19649264651252776</v>
      </c>
    </row>
    <row r="147" spans="41:74">
      <c r="AO147" s="16">
        <v>142</v>
      </c>
      <c r="AP147" s="16">
        <f t="shared" si="95"/>
        <v>143496.67592830383</v>
      </c>
      <c r="AQ147" s="16">
        <f t="shared" si="96"/>
        <v>189310.16683000699</v>
      </c>
      <c r="AR147" s="16">
        <f t="shared" si="97"/>
        <v>282164.93531404261</v>
      </c>
      <c r="AS147" s="16">
        <f t="shared" si="98"/>
        <v>587390.98790796008</v>
      </c>
      <c r="AT147" s="16">
        <f t="shared" si="99"/>
        <v>775380.65925646957</v>
      </c>
      <c r="BE147" s="16">
        <v>142</v>
      </c>
      <c r="BF147" s="16">
        <f t="shared" si="100"/>
        <v>30240</v>
      </c>
      <c r="BG147" s="16">
        <f t="shared" si="101"/>
        <v>30240</v>
      </c>
      <c r="BH147" s="16">
        <f t="shared" si="102"/>
        <v>30240</v>
      </c>
      <c r="BI147" s="16">
        <f t="shared" si="103"/>
        <v>30240</v>
      </c>
      <c r="BJ147" s="16">
        <f t="shared" si="104"/>
        <v>30240</v>
      </c>
      <c r="BM147" s="16">
        <f t="shared" si="105"/>
        <v>4.7452604473645446</v>
      </c>
      <c r="BN147" s="16">
        <f t="shared" si="106"/>
        <v>6.2602568396166332</v>
      </c>
      <c r="BO147" s="16">
        <f t="shared" si="107"/>
        <v>9.3308510355172825</v>
      </c>
      <c r="BP147" s="16">
        <f t="shared" si="108"/>
        <v>19.424305155686511</v>
      </c>
      <c r="BQ147" s="16">
        <f t="shared" si="109"/>
        <v>25.640894816682195</v>
      </c>
      <c r="BR147" s="16">
        <f>(BF147-AP147)*$D$2/'[1]资源-钻石'!L145</f>
        <v>-0.20778532260064247</v>
      </c>
      <c r="BS147" s="16">
        <f>(BG147-AQ147)*$D$2/'[1]资源-钻石'!M145</f>
        <v>-0.20429590712610776</v>
      </c>
      <c r="BT147" s="16">
        <f>(BH147-AR147)*$D$2/'[1]资源-钻石'!N145</f>
        <v>-0.20105733446047708</v>
      </c>
      <c r="BU147" s="16">
        <f>(BI147-AS147)*$D$2/'[1]资源-钻石'!O145</f>
        <v>-0.19966962067007119</v>
      </c>
      <c r="BV147" s="16">
        <f>(BJ147-AT147)*$D$2/'[1]资源-钻石'!P145</f>
        <v>-0.19756062963358414</v>
      </c>
    </row>
    <row r="148" spans="41:74">
      <c r="AO148" s="16">
        <v>143</v>
      </c>
      <c r="AP148" s="16">
        <f t="shared" si="95"/>
        <v>153557.84654036027</v>
      </c>
      <c r="AQ148" s="16">
        <f t="shared" si="96"/>
        <v>202590.2354949218</v>
      </c>
      <c r="AR148" s="16">
        <f t="shared" si="97"/>
        <v>302177.03548869974</v>
      </c>
      <c r="AS148" s="16">
        <f t="shared" si="98"/>
        <v>629421.05723748729</v>
      </c>
      <c r="AT148" s="16">
        <f t="shared" si="99"/>
        <v>830398.1371698539</v>
      </c>
      <c r="BE148" s="16">
        <v>143</v>
      </c>
      <c r="BF148" s="16">
        <f t="shared" si="100"/>
        <v>30240</v>
      </c>
      <c r="BG148" s="16">
        <f t="shared" si="101"/>
        <v>30240</v>
      </c>
      <c r="BH148" s="16">
        <f t="shared" si="102"/>
        <v>30240</v>
      </c>
      <c r="BI148" s="16">
        <f t="shared" si="103"/>
        <v>30240</v>
      </c>
      <c r="BJ148" s="16">
        <f t="shared" si="104"/>
        <v>30240</v>
      </c>
      <c r="BM148" s="16">
        <f t="shared" si="105"/>
        <v>5.0779711157526544</v>
      </c>
      <c r="BN148" s="16">
        <f t="shared" si="106"/>
        <v>6.6994125494352446</v>
      </c>
      <c r="BO148" s="16">
        <f t="shared" si="107"/>
        <v>9.9926268349437741</v>
      </c>
      <c r="BP148" s="16">
        <f t="shared" si="108"/>
        <v>20.81418840071056</v>
      </c>
      <c r="BQ148" s="16">
        <f t="shared" si="109"/>
        <v>27.460255858791466</v>
      </c>
      <c r="BR148" s="16">
        <f>(BF148-AP148)*$D$2/'[1]资源-钻石'!L146</f>
        <v>-0.21181208257793158</v>
      </c>
      <c r="BS148" s="16">
        <f>(BG148-AQ148)*$D$2/'[1]资源-钻石'!M146</f>
        <v>-0.20683416905879187</v>
      </c>
      <c r="BT148" s="16">
        <f>(BH148-AR148)*$D$2/'[1]资源-钻石'!N146</f>
        <v>-0.2025939502697876</v>
      </c>
      <c r="BU148" s="16">
        <f>(BI148-AS148)*$D$2/'[1]资源-钻石'!O146</f>
        <v>-0.20005735960599133</v>
      </c>
      <c r="BV148" s="16">
        <f>(BJ148-AT148)*$D$2/'[1]资源-钻石'!P146</f>
        <v>-0.19739456097625688</v>
      </c>
    </row>
    <row r="149" spans="41:74">
      <c r="AO149" s="16">
        <v>144</v>
      </c>
      <c r="AP149" s="16">
        <f t="shared" si="95"/>
        <v>163619.01715241672</v>
      </c>
      <c r="AQ149" s="16">
        <f t="shared" si="96"/>
        <v>215870.30415983658</v>
      </c>
      <c r="AR149" s="16">
        <f t="shared" si="97"/>
        <v>322189.13566335686</v>
      </c>
      <c r="AS149" s="16">
        <f t="shared" si="98"/>
        <v>671451.12656701438</v>
      </c>
      <c r="AT149" s="16">
        <f t="shared" si="99"/>
        <v>885415.61508323823</v>
      </c>
      <c r="BE149" s="16">
        <v>144</v>
      </c>
      <c r="BF149" s="16">
        <f t="shared" si="100"/>
        <v>30240</v>
      </c>
      <c r="BG149" s="16">
        <f t="shared" si="101"/>
        <v>30240</v>
      </c>
      <c r="BH149" s="16">
        <f t="shared" si="102"/>
        <v>30240</v>
      </c>
      <c r="BI149" s="16">
        <f t="shared" si="103"/>
        <v>30240</v>
      </c>
      <c r="BJ149" s="16">
        <f t="shared" si="104"/>
        <v>30240</v>
      </c>
      <c r="BM149" s="16">
        <f t="shared" si="105"/>
        <v>5.4106817841407651</v>
      </c>
      <c r="BN149" s="16">
        <f t="shared" si="106"/>
        <v>7.1385682592538551</v>
      </c>
      <c r="BO149" s="16">
        <f t="shared" si="107"/>
        <v>10.654402634370268</v>
      </c>
      <c r="BP149" s="16">
        <f t="shared" si="108"/>
        <v>22.204071645734601</v>
      </c>
      <c r="BQ149" s="16">
        <f t="shared" si="109"/>
        <v>29.279616900900734</v>
      </c>
      <c r="BR149" s="16">
        <f>(BF149-AP149)*$D$2/'[1]资源-钻石'!L147</f>
        <v>-0.21443304031828261</v>
      </c>
      <c r="BS149" s="16">
        <f>(BG149-AQ149)*$D$2/'[1]资源-钻石'!M147</f>
        <v>-0.20836217846500385</v>
      </c>
      <c r="BT149" s="16">
        <f>(BH149-AR149)*$D$2/'[1]资源-钻石'!N147</f>
        <v>-0.20307121154367824</v>
      </c>
      <c r="BU149" s="16">
        <f>(BI149-AS149)*$D$2/'[1]资源-钻石'!O147</f>
        <v>-0.19953446235168931</v>
      </c>
      <c r="BV149" s="16">
        <f>(BJ149-AT149)*$D$2/'[1]资源-钻石'!P147</f>
        <v>-0.19728329863883778</v>
      </c>
    </row>
    <row r="150" spans="41:74">
      <c r="AO150" s="16">
        <v>145</v>
      </c>
      <c r="AP150" s="16">
        <f t="shared" si="95"/>
        <v>173680.18776447317</v>
      </c>
      <c r="AQ150" s="16">
        <f t="shared" si="96"/>
        <v>229150.37282475136</v>
      </c>
      <c r="AR150" s="16">
        <f t="shared" si="97"/>
        <v>342201.23583801393</v>
      </c>
      <c r="AS150" s="16">
        <f t="shared" si="98"/>
        <v>713481.19589654147</v>
      </c>
      <c r="AT150" s="16">
        <f t="shared" si="99"/>
        <v>940433.09299662255</v>
      </c>
      <c r="BE150" s="16">
        <v>145</v>
      </c>
      <c r="BF150" s="16">
        <f t="shared" si="100"/>
        <v>30240</v>
      </c>
      <c r="BG150" s="16">
        <f t="shared" si="101"/>
        <v>30240</v>
      </c>
      <c r="BH150" s="16">
        <f t="shared" si="102"/>
        <v>30240</v>
      </c>
      <c r="BI150" s="16">
        <f t="shared" si="103"/>
        <v>30240</v>
      </c>
      <c r="BJ150" s="16">
        <f t="shared" si="104"/>
        <v>30240</v>
      </c>
      <c r="BM150" s="16">
        <f t="shared" si="105"/>
        <v>5.7433924525288749</v>
      </c>
      <c r="BN150" s="16">
        <f t="shared" si="106"/>
        <v>7.5777239690724656</v>
      </c>
      <c r="BO150" s="16">
        <f t="shared" si="107"/>
        <v>11.316178433796757</v>
      </c>
      <c r="BP150" s="16">
        <f t="shared" si="108"/>
        <v>23.593954890758646</v>
      </c>
      <c r="BQ150" s="16">
        <f t="shared" si="109"/>
        <v>31.098977943010006</v>
      </c>
      <c r="BR150" s="16">
        <f>(BF150-AP150)*$D$2/'[1]资源-钻石'!L148</f>
        <v>-0.21583216994109136</v>
      </c>
      <c r="BS150" s="16">
        <f>(BG150-AQ150)*$D$2/'[1]资源-钻石'!M148</f>
        <v>-0.20850784062920333</v>
      </c>
      <c r="BT150" s="16">
        <f>(BH150-AR150)*$D$2/'[1]资源-钻石'!N148</f>
        <v>-0.20254124671094348</v>
      </c>
      <c r="BU150" s="16">
        <f>(BI150-AS150)*$D$2/'[1]资源-钻石'!O148</f>
        <v>-0.19884841525268898</v>
      </c>
      <c r="BV150" s="16">
        <f>(BJ150-AT150)*$D$2/'[1]资源-钻石'!P148</f>
        <v>-0.19659313720854249</v>
      </c>
    </row>
    <row r="151" spans="41:74">
      <c r="AO151" s="16">
        <v>146</v>
      </c>
      <c r="AP151" s="16">
        <f t="shared" si="95"/>
        <v>187683.89969410069</v>
      </c>
      <c r="AQ151" s="16">
        <f t="shared" si="96"/>
        <v>247597.60560503197</v>
      </c>
      <c r="AR151" s="16">
        <f t="shared" si="97"/>
        <v>369699.20170117542</v>
      </c>
      <c r="AS151" s="16">
        <f t="shared" si="98"/>
        <v>770999.15860302234</v>
      </c>
      <c r="AT151" s="16">
        <f t="shared" si="99"/>
        <v>1017344.960294859</v>
      </c>
      <c r="BE151" s="16">
        <v>146</v>
      </c>
      <c r="BF151" s="16">
        <f t="shared" si="100"/>
        <v>30240</v>
      </c>
      <c r="BG151" s="16">
        <f t="shared" si="101"/>
        <v>30240</v>
      </c>
      <c r="BH151" s="16">
        <f t="shared" si="102"/>
        <v>30240</v>
      </c>
      <c r="BI151" s="16">
        <f t="shared" si="103"/>
        <v>30240</v>
      </c>
      <c r="BJ151" s="16">
        <f t="shared" si="104"/>
        <v>30240</v>
      </c>
      <c r="BM151" s="16">
        <f t="shared" si="105"/>
        <v>6.2064781644874571</v>
      </c>
      <c r="BN151" s="16">
        <f t="shared" si="106"/>
        <v>8.1877515081029095</v>
      </c>
      <c r="BO151" s="16">
        <f t="shared" si="107"/>
        <v>12.225502701758446</v>
      </c>
      <c r="BP151" s="16">
        <f t="shared" si="108"/>
        <v>25.496003922057618</v>
      </c>
      <c r="BQ151" s="16">
        <f t="shared" si="109"/>
        <v>33.642359798110419</v>
      </c>
      <c r="BR151" s="16">
        <f>(BF151-AP151)*$D$2/'[1]资源-钻石'!L149</f>
        <v>-0.22196323191566217</v>
      </c>
      <c r="BS151" s="16">
        <f>(BG151-AQ151)*$D$2/'[1]资源-钻石'!M149</f>
        <v>-0.21309059904966829</v>
      </c>
      <c r="BT151" s="16">
        <f>(BH151-AR151)*$D$2/'[1]资源-钻石'!N149</f>
        <v>-0.20659423363748752</v>
      </c>
      <c r="BU151" s="16">
        <f>(BI151-AS151)*$D$2/'[1]资源-钻石'!O149</f>
        <v>-0.20218938251123358</v>
      </c>
      <c r="BV151" s="16">
        <f>(BJ151-AT151)*$D$2/'[1]资源-钻石'!P149</f>
        <v>-0.1998628572445707</v>
      </c>
    </row>
    <row r="152" spans="41:74">
      <c r="AO152" s="16">
        <v>147</v>
      </c>
      <c r="AP152" s="16">
        <f t="shared" si="95"/>
        <v>201687.61162372818</v>
      </c>
      <c r="AQ152" s="16">
        <f t="shared" si="96"/>
        <v>266044.83838531259</v>
      </c>
      <c r="AR152" s="16">
        <f t="shared" si="97"/>
        <v>397197.16756433691</v>
      </c>
      <c r="AS152" s="16">
        <f t="shared" si="98"/>
        <v>828517.12130950321</v>
      </c>
      <c r="AT152" s="16">
        <f t="shared" si="99"/>
        <v>1094256.8275930954</v>
      </c>
      <c r="BE152" s="16">
        <v>147</v>
      </c>
      <c r="BF152" s="16">
        <f t="shared" si="100"/>
        <v>30240</v>
      </c>
      <c r="BG152" s="16">
        <f t="shared" si="101"/>
        <v>30240</v>
      </c>
      <c r="BH152" s="16">
        <f t="shared" si="102"/>
        <v>30240</v>
      </c>
      <c r="BI152" s="16">
        <f t="shared" si="103"/>
        <v>30240</v>
      </c>
      <c r="BJ152" s="16">
        <f t="shared" si="104"/>
        <v>30240</v>
      </c>
      <c r="BM152" s="16">
        <f t="shared" si="105"/>
        <v>6.6695638764460377</v>
      </c>
      <c r="BN152" s="16">
        <f t="shared" si="106"/>
        <v>8.7977790471333535</v>
      </c>
      <c r="BO152" s="16">
        <f t="shared" si="107"/>
        <v>13.134826969720136</v>
      </c>
      <c r="BP152" s="16">
        <f t="shared" si="108"/>
        <v>27.398052953356586</v>
      </c>
      <c r="BQ152" s="16">
        <f t="shared" si="109"/>
        <v>36.185741653210826</v>
      </c>
      <c r="BR152" s="16">
        <f>(BF152-AP152)*$D$2/'[1]资源-钻石'!L150</f>
        <v>-0.22640288664891864</v>
      </c>
      <c r="BS152" s="16">
        <f>(BG152-AQ152)*$D$2/'[1]资源-钻石'!M150</f>
        <v>-0.21682269153248104</v>
      </c>
      <c r="BT152" s="16">
        <f>(BH152-AR152)*$D$2/'[1]资源-钻石'!N150</f>
        <v>-0.20960522508521739</v>
      </c>
      <c r="BU152" s="16">
        <f>(BI152-AS152)*$D$2/'[1]资源-钻石'!O150</f>
        <v>-0.20449672303899488</v>
      </c>
      <c r="BV152" s="16">
        <f>(BJ152-AT152)*$D$2/'[1]资源-钻石'!P150</f>
        <v>-0.20179405663179684</v>
      </c>
    </row>
    <row r="153" spans="41:74">
      <c r="AO153" s="16">
        <v>148</v>
      </c>
      <c r="AP153" s="16">
        <f t="shared" si="95"/>
        <v>215691.3235533557</v>
      </c>
      <c r="AQ153" s="16">
        <f t="shared" si="96"/>
        <v>284492.07116559322</v>
      </c>
      <c r="AR153" s="16">
        <f t="shared" si="97"/>
        <v>424695.1334274984</v>
      </c>
      <c r="AS153" s="16">
        <f t="shared" si="98"/>
        <v>886035.08401598409</v>
      </c>
      <c r="AT153" s="16">
        <f t="shared" si="99"/>
        <v>1171168.6948913317</v>
      </c>
      <c r="BE153" s="16">
        <v>148</v>
      </c>
      <c r="BF153" s="16">
        <f t="shared" si="100"/>
        <v>30240</v>
      </c>
      <c r="BG153" s="16">
        <f t="shared" si="101"/>
        <v>30240</v>
      </c>
      <c r="BH153" s="16">
        <f t="shared" si="102"/>
        <v>30240</v>
      </c>
      <c r="BI153" s="16">
        <f t="shared" si="103"/>
        <v>30240</v>
      </c>
      <c r="BJ153" s="16">
        <f t="shared" si="104"/>
        <v>30240</v>
      </c>
      <c r="BM153" s="16">
        <f t="shared" si="105"/>
        <v>7.1326495884046199</v>
      </c>
      <c r="BN153" s="16">
        <f t="shared" si="106"/>
        <v>9.4078065861637974</v>
      </c>
      <c r="BO153" s="16">
        <f t="shared" si="107"/>
        <v>14.044151237681826</v>
      </c>
      <c r="BP153" s="16">
        <f t="shared" si="108"/>
        <v>29.300101984655559</v>
      </c>
      <c r="BQ153" s="16">
        <f t="shared" si="109"/>
        <v>38.729123508311233</v>
      </c>
      <c r="BR153" s="16">
        <f>(BF153-AP153)*$D$2/'[1]资源-钻石'!L151</f>
        <v>-0.22933379433709586</v>
      </c>
      <c r="BS153" s="16">
        <f>(BG153-AQ153)*$D$2/'[1]资源-钻石'!M151</f>
        <v>-0.21866666529722142</v>
      </c>
      <c r="BT153" s="16">
        <f>(BH153-AR153)*$D$2/'[1]资源-钻石'!N151</f>
        <v>-0.2103699190740658</v>
      </c>
      <c r="BU153" s="16">
        <f>(BI153-AS153)*$D$2/'[1]资源-钻石'!O151</f>
        <v>-0.20425361358899019</v>
      </c>
      <c r="BV153" s="16">
        <f>(BJ153-AT153)*$D$2/'[1]资源-钻石'!P151</f>
        <v>-0.20188297859089652</v>
      </c>
    </row>
    <row r="154" spans="41:74">
      <c r="AO154" s="16">
        <v>149</v>
      </c>
      <c r="AP154" s="16">
        <f t="shared" si="95"/>
        <v>229695.03548298322</v>
      </c>
      <c r="AQ154" s="16">
        <f t="shared" si="96"/>
        <v>302939.30394587386</v>
      </c>
      <c r="AR154" s="16">
        <f t="shared" si="97"/>
        <v>452193.09929065994</v>
      </c>
      <c r="AS154" s="16">
        <f t="shared" si="98"/>
        <v>943553.04672246496</v>
      </c>
      <c r="AT154" s="16">
        <f t="shared" si="99"/>
        <v>1248080.5621895683</v>
      </c>
      <c r="BE154" s="16">
        <v>149</v>
      </c>
      <c r="BF154" s="16">
        <f t="shared" si="100"/>
        <v>30240</v>
      </c>
      <c r="BG154" s="16">
        <f t="shared" si="101"/>
        <v>30240</v>
      </c>
      <c r="BH154" s="16">
        <f t="shared" si="102"/>
        <v>30240</v>
      </c>
      <c r="BI154" s="16">
        <f t="shared" si="103"/>
        <v>30240</v>
      </c>
      <c r="BJ154" s="16">
        <f t="shared" si="104"/>
        <v>30240</v>
      </c>
      <c r="BM154" s="16">
        <f t="shared" si="105"/>
        <v>7.5957353003632013</v>
      </c>
      <c r="BN154" s="16">
        <f t="shared" si="106"/>
        <v>10.017834125194241</v>
      </c>
      <c r="BO154" s="16">
        <f t="shared" si="107"/>
        <v>14.953475505643517</v>
      </c>
      <c r="BP154" s="16">
        <f t="shared" si="108"/>
        <v>31.202151015954531</v>
      </c>
      <c r="BQ154" s="16">
        <f t="shared" si="109"/>
        <v>41.272505363411653</v>
      </c>
      <c r="BR154" s="16">
        <f>(BF154-AP154)*$D$2/'[1]资源-钻石'!L152</f>
        <v>-0.23092421589010609</v>
      </c>
      <c r="BS154" s="16">
        <f>(BG154-AQ154)*$D$2/'[1]资源-钻石'!M152</f>
        <v>-0.21935085523020909</v>
      </c>
      <c r="BT154" s="16">
        <f>(BH154-AR154)*$D$2/'[1]资源-钻石'!N152</f>
        <v>-0.2100318404839466</v>
      </c>
      <c r="BU154" s="16">
        <f>(BI154-AS154)*$D$2/'[1]资源-钻石'!O152</f>
        <v>-0.20337727624909194</v>
      </c>
      <c r="BV154" s="16">
        <f>(BJ154-AT154)*$D$2/'[1]资源-钻石'!P152</f>
        <v>-0.20097056886586534</v>
      </c>
    </row>
    <row r="155" spans="41:74">
      <c r="AO155" s="16">
        <v>150</v>
      </c>
      <c r="AP155" s="16">
        <f t="shared" si="95"/>
        <v>243698.74741261071</v>
      </c>
      <c r="AQ155" s="16">
        <f t="shared" si="96"/>
        <v>321386.53672615445</v>
      </c>
      <c r="AR155" s="16">
        <f t="shared" si="97"/>
        <v>479691.06515382143</v>
      </c>
      <c r="AS155" s="16">
        <f t="shared" si="98"/>
        <v>1001071.0094289458</v>
      </c>
      <c r="AT155" s="16">
        <f t="shared" si="99"/>
        <v>1324992.4294878046</v>
      </c>
      <c r="BE155" s="16">
        <v>150</v>
      </c>
      <c r="BF155" s="16">
        <f t="shared" si="100"/>
        <v>30240</v>
      </c>
      <c r="BG155" s="16">
        <f t="shared" si="101"/>
        <v>30240</v>
      </c>
      <c r="BH155" s="16">
        <f t="shared" si="102"/>
        <v>30240</v>
      </c>
      <c r="BI155" s="16">
        <f t="shared" si="103"/>
        <v>30240</v>
      </c>
      <c r="BJ155" s="16">
        <f t="shared" si="104"/>
        <v>30240</v>
      </c>
      <c r="BM155" s="16">
        <f t="shared" si="105"/>
        <v>8.0588210123217827</v>
      </c>
      <c r="BN155" s="16">
        <f t="shared" si="106"/>
        <v>10.627861664224683</v>
      </c>
      <c r="BO155" s="16">
        <f t="shared" si="107"/>
        <v>15.862799773605206</v>
      </c>
      <c r="BP155" s="16">
        <f t="shared" si="108"/>
        <v>33.104200047253499</v>
      </c>
      <c r="BQ155" s="16">
        <f t="shared" si="109"/>
        <v>43.81588721851206</v>
      </c>
      <c r="BR155" s="16">
        <f>(BF155-AP155)*$D$2/'[1]资源-钻石'!L153</f>
        <v>-0.23132877924190892</v>
      </c>
      <c r="BS155" s="16">
        <f>(BG155-AQ155)*$D$2/'[1]资源-钻石'!M153</f>
        <v>-0.2190430156837912</v>
      </c>
      <c r="BT155" s="16">
        <f>(BH155-AR155)*$D$2/'[1]资源-钻石'!N153</f>
        <v>-0.20894012015742378</v>
      </c>
      <c r="BU155" s="16">
        <f>(BI155-AS155)*$D$2/'[1]资源-钻石'!O153</f>
        <v>-0.2016935349997685</v>
      </c>
      <c r="BV155" s="16">
        <f>(BJ155-AT155)*$D$2/'[1]资源-钻石'!P153</f>
        <v>-0.19871533578904371</v>
      </c>
    </row>
    <row r="156" spans="41:74">
      <c r="AO156" s="16">
        <v>151</v>
      </c>
      <c r="AP156" s="16">
        <f t="shared" si="95"/>
        <v>263497.622804738</v>
      </c>
      <c r="AQ156" s="16">
        <f t="shared" si="96"/>
        <v>358846.98984998738</v>
      </c>
      <c r="AR156" s="16">
        <f t="shared" si="97"/>
        <v>576170.81836425862</v>
      </c>
      <c r="AS156" s="16">
        <f t="shared" si="98"/>
        <v>1368506.4131724185</v>
      </c>
      <c r="AT156" s="16">
        <f t="shared" si="99"/>
        <v>2468584.2560182018</v>
      </c>
      <c r="BE156" s="16">
        <v>151</v>
      </c>
      <c r="BF156" s="16">
        <f t="shared" si="100"/>
        <v>30240</v>
      </c>
      <c r="BG156" s="16">
        <f t="shared" si="101"/>
        <v>30240</v>
      </c>
      <c r="BH156" s="16">
        <f t="shared" si="102"/>
        <v>30240</v>
      </c>
      <c r="BI156" s="16">
        <f t="shared" si="103"/>
        <v>30240</v>
      </c>
      <c r="BJ156" s="16">
        <f t="shared" si="104"/>
        <v>30240</v>
      </c>
      <c r="BM156" s="16">
        <f t="shared" si="105"/>
        <v>8.7135457276699082</v>
      </c>
      <c r="BN156" s="16">
        <f t="shared" si="106"/>
        <v>11.866633262235032</v>
      </c>
      <c r="BO156" s="16">
        <f t="shared" si="107"/>
        <v>19.053267803050879</v>
      </c>
      <c r="BP156" s="16">
        <f t="shared" si="108"/>
        <v>45.254841705437116</v>
      </c>
      <c r="BQ156" s="16">
        <f t="shared" si="109"/>
        <v>81.633077249279154</v>
      </c>
      <c r="BR156" s="16">
        <f>(BF156-AP156)*$D$2/'[1]资源-钻石'!L154</f>
        <v>-0.23656662415601221</v>
      </c>
      <c r="BS156" s="16">
        <f>(BG156-AQ156)*$D$2/'[1]资源-钻石'!M154</f>
        <v>-0.23109417498115481</v>
      </c>
      <c r="BT156" s="16">
        <f>(BH156-AR156)*$D$2/'[1]资源-钻石'!N154</f>
        <v>-0.23691005978074672</v>
      </c>
      <c r="BU156" s="16">
        <f>(BI156-AS156)*$D$2/'[1]资源-钻石'!O154</f>
        <v>-0.25830598712647884</v>
      </c>
      <c r="BV156" s="16">
        <f>(BJ156-AT156)*$D$2/'[1]资源-钻石'!P154</f>
        <v>-0.34389769112447005</v>
      </c>
    </row>
    <row r="157" spans="41:74">
      <c r="AO157" s="16">
        <v>152</v>
      </c>
      <c r="AP157" s="16">
        <f t="shared" si="95"/>
        <v>283296.49819686526</v>
      </c>
      <c r="AQ157" s="16">
        <f t="shared" si="96"/>
        <v>396307.44297382026</v>
      </c>
      <c r="AR157" s="16">
        <f t="shared" si="97"/>
        <v>672650.57157469587</v>
      </c>
      <c r="AS157" s="16">
        <f t="shared" si="98"/>
        <v>1735941.8169158911</v>
      </c>
      <c r="AT157" s="16">
        <f t="shared" si="99"/>
        <v>3612176.0825485988</v>
      </c>
      <c r="BE157" s="16">
        <v>152</v>
      </c>
      <c r="BF157" s="16">
        <f t="shared" si="100"/>
        <v>30240</v>
      </c>
      <c r="BG157" s="16">
        <f t="shared" si="101"/>
        <v>30240</v>
      </c>
      <c r="BH157" s="16">
        <f t="shared" si="102"/>
        <v>30240</v>
      </c>
      <c r="BI157" s="16">
        <f t="shared" si="103"/>
        <v>30240</v>
      </c>
      <c r="BJ157" s="16">
        <f t="shared" si="104"/>
        <v>30240</v>
      </c>
      <c r="BM157" s="16">
        <f t="shared" si="105"/>
        <v>9.3682704430180301</v>
      </c>
      <c r="BN157" s="16">
        <f t="shared" si="106"/>
        <v>13.105404860245379</v>
      </c>
      <c r="BO157" s="16">
        <f t="shared" si="107"/>
        <v>22.243735832496558</v>
      </c>
      <c r="BP157" s="16">
        <f t="shared" si="108"/>
        <v>57.405483363620739</v>
      </c>
      <c r="BQ157" s="16">
        <f t="shared" si="109"/>
        <v>119.45026728004626</v>
      </c>
      <c r="BR157" s="16">
        <f>(BF157-AP157)*$D$2/'[1]资源-钻石'!L155</f>
        <v>-0.24013374752139846</v>
      </c>
      <c r="BS157" s="16">
        <f>(BG157-AQ157)*$D$2/'[1]资源-钻石'!M155</f>
        <v>-0.24076948353674546</v>
      </c>
      <c r="BT157" s="16">
        <f>(BH157-AR157)*$D$2/'[1]资源-钻石'!N155</f>
        <v>-0.25909030380077935</v>
      </c>
      <c r="BU157" s="16">
        <f>(BI157-AS157)*$D$2/'[1]资源-钻石'!O155</f>
        <v>-0.30323503570182692</v>
      </c>
      <c r="BV157" s="16">
        <f>(BJ157-AT157)*$D$2/'[1]资源-钻石'!P155</f>
        <v>-0.32610001377526787</v>
      </c>
    </row>
    <row r="158" spans="41:74">
      <c r="AO158" s="16">
        <v>153</v>
      </c>
      <c r="AP158" s="16">
        <f t="shared" si="95"/>
        <v>303095.37358899252</v>
      </c>
      <c r="AQ158" s="16">
        <f t="shared" si="96"/>
        <v>433767.8960976532</v>
      </c>
      <c r="AR158" s="16">
        <f t="shared" si="97"/>
        <v>769130.32478513301</v>
      </c>
      <c r="AS158" s="16">
        <f t="shared" si="98"/>
        <v>2103377.2206593635</v>
      </c>
      <c r="AT158" s="16">
        <f t="shared" si="99"/>
        <v>4755767.9090789966</v>
      </c>
      <c r="BE158" s="16">
        <v>153</v>
      </c>
      <c r="BF158" s="16">
        <f t="shared" si="100"/>
        <v>30240</v>
      </c>
      <c r="BG158" s="16">
        <f t="shared" si="101"/>
        <v>30240</v>
      </c>
      <c r="BH158" s="16">
        <f t="shared" si="102"/>
        <v>30240</v>
      </c>
      <c r="BI158" s="16">
        <f t="shared" si="103"/>
        <v>30240</v>
      </c>
      <c r="BJ158" s="16">
        <f t="shared" si="104"/>
        <v>30240</v>
      </c>
      <c r="BM158" s="16">
        <f t="shared" si="105"/>
        <v>10.022995158366154</v>
      </c>
      <c r="BN158" s="16">
        <f t="shared" si="106"/>
        <v>14.344176458255728</v>
      </c>
      <c r="BO158" s="16">
        <f t="shared" si="107"/>
        <v>25.43420386194223</v>
      </c>
      <c r="BP158" s="16">
        <f t="shared" si="108"/>
        <v>69.556125021804348</v>
      </c>
      <c r="BQ158" s="16">
        <f t="shared" si="109"/>
        <v>157.26745731081337</v>
      </c>
      <c r="BR158" s="16">
        <f>(BF158-AP158)*$D$2/'[1]资源-钻石'!L156</f>
        <v>-0.24221867583585741</v>
      </c>
      <c r="BS158" s="16">
        <f>(BG158-AQ158)*$D$2/'[1]资源-钻石'!M156</f>
        <v>-0.24634564035308237</v>
      </c>
      <c r="BT158" s="16">
        <f>(BH158-AR158)*$D$2/'[1]资源-钻石'!N156</f>
        <v>-0.2754216645441207</v>
      </c>
      <c r="BU158" s="16">
        <f>(BI158-AS158)*$D$2/'[1]资源-钻石'!O156</f>
        <v>-0.27845285304311651</v>
      </c>
      <c r="BV158" s="16">
        <f>(BJ158-AT158)*$D$2/'[1]资源-钻石'!P156</f>
        <v>-0.25128646226519724</v>
      </c>
    </row>
    <row r="159" spans="41:74">
      <c r="AO159" s="16">
        <v>154</v>
      </c>
      <c r="AP159" s="16">
        <f t="shared" si="95"/>
        <v>322894.24898111977</v>
      </c>
      <c r="AQ159" s="16">
        <f t="shared" si="96"/>
        <v>471228.34922148613</v>
      </c>
      <c r="AR159" s="16">
        <f t="shared" si="97"/>
        <v>865610.07799557014</v>
      </c>
      <c r="AS159" s="16">
        <f t="shared" si="98"/>
        <v>2470812.624402836</v>
      </c>
      <c r="AT159" s="16">
        <f t="shared" si="99"/>
        <v>5899359.7356093936</v>
      </c>
      <c r="BE159" s="16">
        <v>154</v>
      </c>
      <c r="BF159" s="16">
        <f t="shared" si="100"/>
        <v>30240</v>
      </c>
      <c r="BG159" s="16">
        <f t="shared" si="101"/>
        <v>30240</v>
      </c>
      <c r="BH159" s="16">
        <f t="shared" si="102"/>
        <v>30240</v>
      </c>
      <c r="BI159" s="16">
        <f t="shared" si="103"/>
        <v>30240</v>
      </c>
      <c r="BJ159" s="16">
        <f t="shared" si="104"/>
        <v>30240</v>
      </c>
      <c r="BM159" s="16">
        <f t="shared" si="105"/>
        <v>10.677719873714278</v>
      </c>
      <c r="BN159" s="16">
        <f t="shared" si="106"/>
        <v>15.582948056266076</v>
      </c>
      <c r="BO159" s="16">
        <f t="shared" si="107"/>
        <v>28.624671891387901</v>
      </c>
      <c r="BP159" s="16">
        <f t="shared" si="108"/>
        <v>81.706766679987965</v>
      </c>
      <c r="BQ159" s="16">
        <f t="shared" si="109"/>
        <v>195.08464734158048</v>
      </c>
      <c r="BR159" s="16">
        <f>(BF159-AP159)*$D$2/'[1]资源-钻石'!L157</f>
        <v>-0.24299401183988029</v>
      </c>
      <c r="BS159" s="16">
        <f>(BG159-AQ159)*$D$2/'[1]资源-钻石'!M157</f>
        <v>-0.25050712155437516</v>
      </c>
      <c r="BT159" s="16">
        <f>(BH159-AR159)*$D$2/'[1]资源-钻石'!N157</f>
        <v>-0.25367339660777349</v>
      </c>
      <c r="BU159" s="16">
        <f>(BI159-AS159)*$D$2/'[1]资源-钻石'!O157</f>
        <v>-0.23279813024629248</v>
      </c>
      <c r="BV159" s="16">
        <f>(BJ159-AT159)*$D$2/'[1]资源-钻石'!P157</f>
        <v>-0.22137436248046083</v>
      </c>
    </row>
    <row r="160" spans="41:74">
      <c r="AO160" s="16">
        <v>155</v>
      </c>
      <c r="AP160" s="16">
        <f t="shared" si="95"/>
        <v>342693.12437324703</v>
      </c>
      <c r="AQ160" s="16">
        <f t="shared" si="96"/>
        <v>508688.80234531907</v>
      </c>
      <c r="AR160" s="16">
        <f t="shared" si="97"/>
        <v>962089.83120600739</v>
      </c>
      <c r="AS160" s="16">
        <f t="shared" si="98"/>
        <v>2838248.0281463088</v>
      </c>
      <c r="AT160" s="16">
        <f t="shared" si="99"/>
        <v>7042951.5621397905</v>
      </c>
      <c r="BE160" s="16">
        <v>155</v>
      </c>
      <c r="BF160" s="16">
        <f t="shared" si="100"/>
        <v>30240</v>
      </c>
      <c r="BG160" s="16">
        <f t="shared" si="101"/>
        <v>30240</v>
      </c>
      <c r="BH160" s="16">
        <f t="shared" si="102"/>
        <v>30240</v>
      </c>
      <c r="BI160" s="16">
        <f t="shared" si="103"/>
        <v>30240</v>
      </c>
      <c r="BJ160" s="16">
        <f t="shared" si="104"/>
        <v>30240</v>
      </c>
      <c r="BM160" s="16">
        <f t="shared" si="105"/>
        <v>11.332444589062401</v>
      </c>
      <c r="BN160" s="16">
        <f t="shared" si="106"/>
        <v>16.821719654276425</v>
      </c>
      <c r="BO160" s="16">
        <f t="shared" si="107"/>
        <v>31.815139920833577</v>
      </c>
      <c r="BP160" s="16">
        <f t="shared" si="108"/>
        <v>93.857408338171595</v>
      </c>
      <c r="BQ160" s="16">
        <f t="shared" si="109"/>
        <v>232.90183737234756</v>
      </c>
      <c r="BR160" s="16">
        <f>(BF160-AP160)*$D$2/'[1]资源-钻石'!L158</f>
        <v>-0.24264262723593932</v>
      </c>
      <c r="BS160" s="16">
        <f>(BG160-AQ160)*$D$2/'[1]资源-钻石'!M158</f>
        <v>-0.22889426827309894</v>
      </c>
      <c r="BT160" s="16">
        <f>(BH160-AR160)*$D$2/'[1]资源-钻石'!N158</f>
        <v>-0.21707651850759058</v>
      </c>
      <c r="BU160" s="16">
        <f>(BI160-AS160)*$D$2/'[1]资源-钻石'!O158</f>
        <v>-0.20629269626832608</v>
      </c>
      <c r="BV160" s="16">
        <f>(BJ160-AT160)*$D$2/'[1]资源-钻石'!P158</f>
        <v>-0.20294837328487916</v>
      </c>
    </row>
    <row r="161" spans="41:74">
      <c r="AO161" s="16">
        <v>156</v>
      </c>
      <c r="AP161" s="16">
        <f t="shared" si="95"/>
        <v>370304.46769303043</v>
      </c>
      <c r="AQ161" s="16">
        <f t="shared" si="96"/>
        <v>557237.05479831202</v>
      </c>
      <c r="AR161" s="16">
        <f t="shared" si="97"/>
        <v>1055372.6074587011</v>
      </c>
      <c r="AS161" s="16">
        <f t="shared" si="98"/>
        <v>3115491.1711621708</v>
      </c>
      <c r="AT161" s="16">
        <f t="shared" si="99"/>
        <v>7726098.7812800705</v>
      </c>
      <c r="BE161" s="16">
        <v>156</v>
      </c>
      <c r="BF161" s="16">
        <f t="shared" si="100"/>
        <v>30240</v>
      </c>
      <c r="BG161" s="16">
        <f t="shared" si="101"/>
        <v>30240</v>
      </c>
      <c r="BH161" s="16">
        <f t="shared" si="102"/>
        <v>30240</v>
      </c>
      <c r="BI161" s="16">
        <f t="shared" si="103"/>
        <v>30240</v>
      </c>
      <c r="BJ161" s="16">
        <f t="shared" si="104"/>
        <v>30240</v>
      </c>
      <c r="BM161" s="16">
        <f t="shared" si="105"/>
        <v>12.245518111542012</v>
      </c>
      <c r="BN161" s="16">
        <f t="shared" si="106"/>
        <v>18.427151283012964</v>
      </c>
      <c r="BO161" s="16">
        <f t="shared" si="107"/>
        <v>34.899887812787739</v>
      </c>
      <c r="BP161" s="16">
        <f t="shared" si="108"/>
        <v>103.02550169187073</v>
      </c>
      <c r="BQ161" s="16">
        <f t="shared" si="109"/>
        <v>255.4926845661399</v>
      </c>
      <c r="BR161" s="16">
        <f>(BF161-AP161)*$D$2/'[1]资源-钻石'!L159</f>
        <v>-0.24723588876285102</v>
      </c>
      <c r="BS161" s="16">
        <f>(BG161-AQ161)*$D$2/'[1]资源-钻石'!M159</f>
        <v>-0.22449994571512677</v>
      </c>
      <c r="BT161" s="16">
        <f>(BH161-AR161)*$D$2/'[1]资源-钻石'!N159</f>
        <v>-0.21178187299954623</v>
      </c>
      <c r="BU161" s="16">
        <f>(BI161-AS161)*$D$2/'[1]资源-钻石'!O159</f>
        <v>-0.20076562196670089</v>
      </c>
      <c r="BV161" s="16">
        <f>(BJ161-AT161)*$D$2/'[1]资源-钻石'!P159</f>
        <v>-0.19723396654635242</v>
      </c>
    </row>
    <row r="162" spans="41:74">
      <c r="AO162" s="16">
        <v>157</v>
      </c>
      <c r="AP162" s="16">
        <f t="shared" si="95"/>
        <v>397915.81101281382</v>
      </c>
      <c r="AQ162" s="16">
        <f t="shared" si="96"/>
        <v>605785.30725130497</v>
      </c>
      <c r="AR162" s="16">
        <f t="shared" si="97"/>
        <v>1148655.3837113949</v>
      </c>
      <c r="AS162" s="16">
        <f t="shared" si="98"/>
        <v>3392734.3141780328</v>
      </c>
      <c r="AT162" s="16">
        <f t="shared" si="99"/>
        <v>8409246.0004203506</v>
      </c>
      <c r="BE162" s="16">
        <v>157</v>
      </c>
      <c r="BF162" s="16">
        <f t="shared" si="100"/>
        <v>30240</v>
      </c>
      <c r="BG162" s="16">
        <f t="shared" si="101"/>
        <v>30240</v>
      </c>
      <c r="BH162" s="16">
        <f t="shared" si="102"/>
        <v>30240</v>
      </c>
      <c r="BI162" s="16">
        <f t="shared" si="103"/>
        <v>30240</v>
      </c>
      <c r="BJ162" s="16">
        <f t="shared" si="104"/>
        <v>30240</v>
      </c>
      <c r="BM162" s="16">
        <f t="shared" si="105"/>
        <v>13.15859163402162</v>
      </c>
      <c r="BN162" s="16">
        <f t="shared" si="106"/>
        <v>20.032582911749504</v>
      </c>
      <c r="BO162" s="16">
        <f t="shared" si="107"/>
        <v>37.984635704741891</v>
      </c>
      <c r="BP162" s="16">
        <f t="shared" si="108"/>
        <v>112.19359504556986</v>
      </c>
      <c r="BQ162" s="16">
        <f t="shared" si="109"/>
        <v>278.08353175993221</v>
      </c>
      <c r="BR162" s="16">
        <f>(BF162-AP162)*$D$2/'[1]资源-钻石'!L160</f>
        <v>-0.25020117366748562</v>
      </c>
      <c r="BS162" s="16">
        <f>(BG162-AQ162)*$D$2/'[1]资源-钻石'!M160</f>
        <v>-0.22923014203285241</v>
      </c>
      <c r="BT162" s="16">
        <f>(BH162-AR162)*$D$2/'[1]资源-钻石'!N160</f>
        <v>-0.21581519750076525</v>
      </c>
      <c r="BU162" s="16">
        <f>(BI162-AS162)*$D$2/'[1]资源-钻石'!O160</f>
        <v>-0.20423089917325174</v>
      </c>
      <c r="BV162" s="16">
        <f>(BJ162-AT162)*$D$2/'[1]资源-钻石'!P160</f>
        <v>-0.20098814879548516</v>
      </c>
    </row>
    <row r="163" spans="41:74">
      <c r="AO163" s="16">
        <v>158</v>
      </c>
      <c r="AP163" s="16">
        <f t="shared" si="95"/>
        <v>425527.15433259716</v>
      </c>
      <c r="AQ163" s="16">
        <f t="shared" si="96"/>
        <v>654333.55970429792</v>
      </c>
      <c r="AR163" s="16">
        <f t="shared" si="97"/>
        <v>1241938.1599640888</v>
      </c>
      <c r="AS163" s="16">
        <f t="shared" si="98"/>
        <v>3669977.4571938952</v>
      </c>
      <c r="AT163" s="16">
        <f t="shared" si="99"/>
        <v>9092393.2195606306</v>
      </c>
      <c r="BE163" s="16">
        <v>158</v>
      </c>
      <c r="BF163" s="16">
        <f t="shared" si="100"/>
        <v>30240</v>
      </c>
      <c r="BG163" s="16">
        <f t="shared" si="101"/>
        <v>30240</v>
      </c>
      <c r="BH163" s="16">
        <f t="shared" si="102"/>
        <v>30240</v>
      </c>
      <c r="BI163" s="16">
        <f t="shared" si="103"/>
        <v>30240</v>
      </c>
      <c r="BJ163" s="16">
        <f t="shared" si="104"/>
        <v>30240</v>
      </c>
      <c r="BM163" s="16">
        <f t="shared" si="105"/>
        <v>14.071665156501229</v>
      </c>
      <c r="BN163" s="16">
        <f t="shared" si="106"/>
        <v>21.638014540486044</v>
      </c>
      <c r="BO163" s="16">
        <f t="shared" si="107"/>
        <v>41.069383596696056</v>
      </c>
      <c r="BP163" s="16">
        <f t="shared" si="108"/>
        <v>121.36168839926903</v>
      </c>
      <c r="BQ163" s="16">
        <f t="shared" si="109"/>
        <v>300.67437895372456</v>
      </c>
      <c r="BR163" s="16">
        <f>(BF163-AP163)*$D$2/'[1]资源-钻石'!L161</f>
        <v>-0.25172291098059069</v>
      </c>
      <c r="BS163" s="16">
        <f>(BG163-AQ163)*$D$2/'[1]资源-钻石'!M161</f>
        <v>-0.2323637028984662</v>
      </c>
      <c r="BT163" s="16">
        <f>(BH163-AR163)*$D$2/'[1]资源-钻石'!N161</f>
        <v>-0.21837970486306321</v>
      </c>
      <c r="BU163" s="16">
        <f>(BI163-AS163)*$D$2/'[1]资源-钻石'!O161</f>
        <v>-0.20633841290548635</v>
      </c>
      <c r="BV163" s="16">
        <f>(BJ163-AT163)*$D$2/'[1]资源-钻石'!P161</f>
        <v>-0.20284906905066277</v>
      </c>
    </row>
    <row r="164" spans="41:74">
      <c r="AO164" s="16">
        <v>159</v>
      </c>
      <c r="AP164" s="16">
        <f t="shared" si="95"/>
        <v>453138.49765238055</v>
      </c>
      <c r="AQ164" s="16">
        <f t="shared" si="96"/>
        <v>702881.81215729087</v>
      </c>
      <c r="AR164" s="16">
        <f t="shared" si="97"/>
        <v>1335220.9362167825</v>
      </c>
      <c r="AS164" s="16">
        <f t="shared" si="98"/>
        <v>3947220.6002097572</v>
      </c>
      <c r="AT164" s="16">
        <f t="shared" si="99"/>
        <v>9775540.4387009088</v>
      </c>
      <c r="BE164" s="16">
        <v>159</v>
      </c>
      <c r="BF164" s="16">
        <f t="shared" si="100"/>
        <v>30240</v>
      </c>
      <c r="BG164" s="16">
        <f t="shared" si="101"/>
        <v>30240</v>
      </c>
      <c r="BH164" s="16">
        <f t="shared" si="102"/>
        <v>30240</v>
      </c>
      <c r="BI164" s="16">
        <f t="shared" si="103"/>
        <v>30240</v>
      </c>
      <c r="BJ164" s="16">
        <f t="shared" si="104"/>
        <v>30240</v>
      </c>
      <c r="BM164" s="16">
        <f t="shared" si="105"/>
        <v>14.984738678980838</v>
      </c>
      <c r="BN164" s="16">
        <f t="shared" si="106"/>
        <v>23.243446169222583</v>
      </c>
      <c r="BO164" s="16">
        <f t="shared" si="107"/>
        <v>44.154131488650215</v>
      </c>
      <c r="BP164" s="16">
        <f t="shared" si="108"/>
        <v>130.52978175296815</v>
      </c>
      <c r="BQ164" s="16">
        <f t="shared" si="109"/>
        <v>323.26522614751684</v>
      </c>
      <c r="BR164" s="16">
        <f>(BF164-AP164)*$D$2/'[1]资源-钻石'!L162</f>
        <v>-0.25197015385560678</v>
      </c>
      <c r="BS164" s="16">
        <f>(BG164-AQ164)*$D$2/'[1]资源-钻石'!M162</f>
        <v>-0.23408561109111697</v>
      </c>
      <c r="BT164" s="16">
        <f>(BH164-AR164)*$D$2/'[1]资源-钻石'!N162</f>
        <v>-0.21965026877638225</v>
      </c>
      <c r="BU164" s="16">
        <f>(BI164-AS164)*$D$2/'[1]资源-钻石'!O162</f>
        <v>-0.20725326391884463</v>
      </c>
      <c r="BV164" s="16">
        <f>(BJ164-AT164)*$D$2/'[1]资源-钻石'!P162</f>
        <v>-0.20356169791747564</v>
      </c>
    </row>
    <row r="165" spans="41:74">
      <c r="AO165" s="16">
        <v>160</v>
      </c>
      <c r="AP165" s="16">
        <f t="shared" si="95"/>
        <v>480749.84097216395</v>
      </c>
      <c r="AQ165" s="16">
        <f t="shared" si="96"/>
        <v>751430.06461028382</v>
      </c>
      <c r="AR165" s="16">
        <f t="shared" si="97"/>
        <v>1428503.7124694763</v>
      </c>
      <c r="AS165" s="16">
        <f t="shared" si="98"/>
        <v>4224463.7432256192</v>
      </c>
      <c r="AT165" s="16">
        <f t="shared" si="99"/>
        <v>10458687.657841189</v>
      </c>
      <c r="BE165" s="16">
        <v>160</v>
      </c>
      <c r="BF165" s="16">
        <f t="shared" si="100"/>
        <v>30240</v>
      </c>
      <c r="BG165" s="16">
        <f t="shared" si="101"/>
        <v>30240</v>
      </c>
      <c r="BH165" s="16">
        <f t="shared" si="102"/>
        <v>30240</v>
      </c>
      <c r="BI165" s="16">
        <f t="shared" si="103"/>
        <v>30240</v>
      </c>
      <c r="BJ165" s="16">
        <f t="shared" si="104"/>
        <v>30240</v>
      </c>
      <c r="BM165" s="16">
        <f t="shared" si="105"/>
        <v>15.897812201460448</v>
      </c>
      <c r="BN165" s="16">
        <f t="shared" si="106"/>
        <v>24.848877797959123</v>
      </c>
      <c r="BO165" s="16">
        <f t="shared" si="107"/>
        <v>47.238879380604374</v>
      </c>
      <c r="BP165" s="16">
        <f t="shared" si="108"/>
        <v>139.69787510666731</v>
      </c>
      <c r="BQ165" s="16">
        <f t="shared" si="109"/>
        <v>345.85607334130913</v>
      </c>
      <c r="BR165" s="16">
        <f>(BF165-AP165)*$D$2/'[1]资源-钻石'!L163</f>
        <v>-0.2510975220851977</v>
      </c>
      <c r="BS165" s="16">
        <f>(BG165-AQ165)*$D$2/'[1]资源-钻石'!M163</f>
        <v>-0.23456445311960158</v>
      </c>
      <c r="BT165" s="16">
        <f>(BH165-AR165)*$D$2/'[1]资源-钻石'!N163</f>
        <v>-0.2197855408569899</v>
      </c>
      <c r="BU165" s="16">
        <f>(BI165-AS165)*$D$2/'[1]资源-钻石'!O163</f>
        <v>-0.2071247293279273</v>
      </c>
      <c r="BV165" s="16">
        <f>(BJ165-AT165)*$D$2/'[1]资源-钻石'!P163</f>
        <v>-0.20327106080004287</v>
      </c>
    </row>
    <row r="175" spans="41:74">
      <c r="BE175" s="16">
        <v>100</v>
      </c>
      <c r="BF175" s="16">
        <v>1888.8894494263341</v>
      </c>
      <c r="BG175" s="16">
        <v>4699.0506735500894</v>
      </c>
      <c r="BH175" s="16">
        <v>19920</v>
      </c>
      <c r="BI175" s="16">
        <v>19920</v>
      </c>
      <c r="BJ175" s="16">
        <v>19920</v>
      </c>
      <c r="BM175" s="16">
        <v>3.3618224538382533</v>
      </c>
      <c r="BN175" s="16">
        <v>1.8371713864971879</v>
      </c>
      <c r="BO175" s="16">
        <v>0.60974336540037155</v>
      </c>
      <c r="BP175" s="16">
        <v>1.4843011357681111</v>
      </c>
      <c r="BQ175" s="16">
        <v>2.103997921150079</v>
      </c>
      <c r="BR175" s="16">
        <v>-0.12232449782494755</v>
      </c>
      <c r="BS175" s="16">
        <v>-7.8608293492046344E-2</v>
      </c>
      <c r="BT175" s="16">
        <v>0.10883540651604787</v>
      </c>
      <c r="BU175" s="16">
        <v>-6.0498377117741135E-2</v>
      </c>
      <c r="BV175" s="16">
        <v>-9.8358246669025276E-2</v>
      </c>
    </row>
  </sheetData>
  <mergeCells count="40">
    <mergeCell ref="L4:O4"/>
    <mergeCell ref="P4:S4"/>
    <mergeCell ref="T4:W4"/>
    <mergeCell ref="Z4:AC4"/>
    <mergeCell ref="L30:O30"/>
    <mergeCell ref="P30:S30"/>
    <mergeCell ref="T30:W30"/>
    <mergeCell ref="Z30:AC30"/>
    <mergeCell ref="L56:O56"/>
    <mergeCell ref="P56:S56"/>
    <mergeCell ref="T56:W56"/>
    <mergeCell ref="Z56:AC56"/>
    <mergeCell ref="AH56:AK56"/>
    <mergeCell ref="AL108:AL109"/>
    <mergeCell ref="L82:O82"/>
    <mergeCell ref="P82:S82"/>
    <mergeCell ref="T82:W82"/>
    <mergeCell ref="Z82:AC82"/>
    <mergeCell ref="L108:O108"/>
    <mergeCell ref="P108:S108"/>
    <mergeCell ref="T108:W108"/>
    <mergeCell ref="Z108:AC108"/>
    <mergeCell ref="AH108:AK108"/>
    <mergeCell ref="BF4:BJ4"/>
    <mergeCell ref="AY4:BC4"/>
    <mergeCell ref="BR4:BV4"/>
    <mergeCell ref="BM4:BQ4"/>
    <mergeCell ref="AH82:AK82"/>
    <mergeCell ref="AL82:AL83"/>
    <mergeCell ref="AL30:AL31"/>
    <mergeCell ref="AL56:AL57"/>
    <mergeCell ref="AH4:AK4"/>
    <mergeCell ref="AL4:AL5"/>
    <mergeCell ref="AP4:AT4"/>
    <mergeCell ref="AH30:AK30"/>
    <mergeCell ref="AD4:AD5"/>
    <mergeCell ref="AD30:AD31"/>
    <mergeCell ref="AD56:AD57"/>
    <mergeCell ref="AD82:AD83"/>
    <mergeCell ref="AD108:AD109"/>
  </mergeCells>
  <phoneticPr fontId="1" type="noConversion"/>
  <pageMargins left="0.7" right="0.7" top="0.75" bottom="0.75" header="0.3" footer="0.3"/>
  <pageSetup paperSize="9" orientation="portrait" horizontalDpi="360" verticalDpi="36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DG164"/>
  <sheetViews>
    <sheetView workbookViewId="0">
      <selection activeCell="F8" sqref="F8"/>
    </sheetView>
  </sheetViews>
  <sheetFormatPr defaultColWidth="6.625" defaultRowHeight="11.25"/>
  <cols>
    <col min="1" max="1" width="6.625" style="22"/>
    <col min="2" max="2" width="6.625" style="21"/>
    <col min="3" max="3" width="9" style="21" bestFit="1" customWidth="1"/>
    <col min="4" max="4" width="9.75" style="21" bestFit="1" customWidth="1"/>
    <col min="5" max="5" width="9" style="21" bestFit="1" customWidth="1"/>
    <col min="6" max="15" width="6.625" style="21"/>
    <col min="16" max="16" width="11.375" style="21" customWidth="1"/>
    <col min="17" max="20" width="6.625" style="21"/>
    <col min="21" max="21" width="6.625" style="23" customWidth="1"/>
    <col min="22" max="23" width="6.625" style="21" customWidth="1"/>
    <col min="24" max="39" width="6.625" style="16" customWidth="1"/>
    <col min="40" max="40" width="6.625" style="21" customWidth="1"/>
    <col min="41" max="41" width="6.625" style="23" customWidth="1"/>
    <col min="42" max="43" width="6.625" style="21" customWidth="1"/>
    <col min="44" max="78" width="6.625" style="16" customWidth="1"/>
    <col min="79" max="80" width="6.625" style="21" customWidth="1"/>
    <col min="81" max="96" width="6.625" style="16" customWidth="1"/>
    <col min="97" max="97" width="6.625" style="21" customWidth="1"/>
    <col min="98" max="98" width="6.625" style="23" customWidth="1"/>
    <col min="99" max="99" width="6.625" style="21"/>
    <col min="100" max="111" width="6.625" style="16"/>
    <col min="112" max="16384" width="6.625" style="21"/>
  </cols>
  <sheetData>
    <row r="1" spans="1:111">
      <c r="A1" s="22" t="s">
        <v>179</v>
      </c>
      <c r="V1" s="21" t="s">
        <v>290</v>
      </c>
      <c r="AP1" s="21" t="s">
        <v>193</v>
      </c>
    </row>
    <row r="2" spans="1:111">
      <c r="A2" s="22" t="s">
        <v>330</v>
      </c>
    </row>
    <row r="3" spans="1:111" ht="11.25" customHeight="1">
      <c r="A3" s="22" t="s">
        <v>452</v>
      </c>
      <c r="X3" s="164" t="s">
        <v>161</v>
      </c>
      <c r="Y3" s="174" t="s">
        <v>316</v>
      </c>
      <c r="Z3" s="174" t="s">
        <v>181</v>
      </c>
      <c r="AA3" s="174" t="s">
        <v>197</v>
      </c>
      <c r="AB3" s="174"/>
      <c r="AC3" s="174"/>
      <c r="AD3" s="174"/>
      <c r="AE3" s="174"/>
      <c r="AF3" s="28"/>
      <c r="AG3" s="28"/>
      <c r="AH3" s="164" t="s">
        <v>161</v>
      </c>
      <c r="AI3" s="174" t="s">
        <v>198</v>
      </c>
      <c r="AJ3" s="174"/>
      <c r="AK3" s="174"/>
      <c r="AL3" s="174"/>
      <c r="AM3" s="174"/>
      <c r="AR3" s="164" t="s">
        <v>161</v>
      </c>
      <c r="AS3" s="174" t="s">
        <v>181</v>
      </c>
      <c r="AT3" s="174" t="s">
        <v>199</v>
      </c>
      <c r="AU3" s="174"/>
      <c r="AV3" s="174"/>
      <c r="AW3" s="174"/>
      <c r="AX3" s="174"/>
      <c r="AY3" s="174" t="s">
        <v>200</v>
      </c>
      <c r="AZ3" s="174"/>
      <c r="BA3" s="174"/>
      <c r="BB3" s="174"/>
      <c r="BC3" s="174"/>
      <c r="BD3" s="174" t="s">
        <v>201</v>
      </c>
      <c r="BE3" s="174"/>
      <c r="BF3" s="174"/>
      <c r="BG3" s="174"/>
      <c r="BH3" s="174"/>
      <c r="BI3" s="28"/>
      <c r="BJ3" s="28"/>
      <c r="BK3" s="164" t="s">
        <v>161</v>
      </c>
      <c r="BL3" s="174" t="s">
        <v>202</v>
      </c>
      <c r="BM3" s="174"/>
      <c r="BN3" s="174"/>
      <c r="BO3" s="174"/>
      <c r="BP3" s="174"/>
      <c r="BQ3" s="174" t="s">
        <v>203</v>
      </c>
      <c r="BR3" s="174"/>
      <c r="BS3" s="174"/>
      <c r="BT3" s="174"/>
      <c r="BU3" s="174"/>
      <c r="BV3" s="174" t="s">
        <v>204</v>
      </c>
      <c r="BW3" s="174"/>
      <c r="BX3" s="174"/>
      <c r="BY3" s="174"/>
      <c r="BZ3" s="174"/>
      <c r="CC3" s="164" t="s">
        <v>161</v>
      </c>
      <c r="CD3" s="174" t="s">
        <v>214</v>
      </c>
      <c r="CE3" s="174"/>
      <c r="CF3" s="174"/>
      <c r="CG3" s="174"/>
      <c r="CH3" s="174"/>
      <c r="CI3" s="174" t="s">
        <v>215</v>
      </c>
      <c r="CJ3" s="174"/>
      <c r="CK3" s="174"/>
      <c r="CL3" s="174"/>
      <c r="CM3" s="174"/>
      <c r="CN3" s="174" t="s">
        <v>216</v>
      </c>
      <c r="CO3" s="174"/>
      <c r="CP3" s="174"/>
      <c r="CQ3" s="174"/>
      <c r="CR3" s="174"/>
      <c r="CV3" s="164" t="s">
        <v>161</v>
      </c>
      <c r="CW3" s="174" t="s">
        <v>181</v>
      </c>
      <c r="CX3" s="174" t="s">
        <v>347</v>
      </c>
      <c r="CY3" s="174"/>
      <c r="CZ3" s="174"/>
      <c r="DA3" s="174"/>
      <c r="DB3" s="174"/>
      <c r="DC3" s="174" t="s">
        <v>346</v>
      </c>
      <c r="DD3" s="174"/>
      <c r="DE3" s="174"/>
      <c r="DF3" s="174"/>
      <c r="DG3" s="174"/>
    </row>
    <row r="4" spans="1:111">
      <c r="A4" s="22" t="s">
        <v>348</v>
      </c>
      <c r="D4" s="21" t="s">
        <v>333</v>
      </c>
      <c r="E4" s="52">
        <v>2</v>
      </c>
      <c r="X4" s="164"/>
      <c r="Y4" s="174"/>
      <c r="Z4" s="174"/>
      <c r="AA4" s="16" t="s">
        <v>74</v>
      </c>
      <c r="AB4" s="16" t="s">
        <v>75</v>
      </c>
      <c r="AC4" s="16" t="s">
        <v>76</v>
      </c>
      <c r="AD4" s="16" t="s">
        <v>77</v>
      </c>
      <c r="AE4" s="16" t="s">
        <v>78</v>
      </c>
      <c r="AH4" s="164"/>
      <c r="AI4" s="16" t="s">
        <v>74</v>
      </c>
      <c r="AJ4" s="16" t="s">
        <v>75</v>
      </c>
      <c r="AK4" s="16" t="s">
        <v>76</v>
      </c>
      <c r="AL4" s="16" t="s">
        <v>77</v>
      </c>
      <c r="AM4" s="16" t="s">
        <v>78</v>
      </c>
      <c r="AR4" s="164"/>
      <c r="AS4" s="174"/>
      <c r="AT4" s="16" t="s">
        <v>74</v>
      </c>
      <c r="AU4" s="16" t="s">
        <v>75</v>
      </c>
      <c r="AV4" s="16" t="s">
        <v>76</v>
      </c>
      <c r="AW4" s="16" t="s">
        <v>77</v>
      </c>
      <c r="AX4" s="16" t="s">
        <v>78</v>
      </c>
      <c r="AY4" s="16" t="s">
        <v>74</v>
      </c>
      <c r="AZ4" s="16" t="s">
        <v>75</v>
      </c>
      <c r="BA4" s="16" t="s">
        <v>76</v>
      </c>
      <c r="BB4" s="16" t="s">
        <v>77</v>
      </c>
      <c r="BC4" s="16" t="s">
        <v>78</v>
      </c>
      <c r="BD4" s="16" t="s">
        <v>74</v>
      </c>
      <c r="BE4" s="16" t="s">
        <v>75</v>
      </c>
      <c r="BF4" s="16" t="s">
        <v>76</v>
      </c>
      <c r="BG4" s="16" t="s">
        <v>77</v>
      </c>
      <c r="BH4" s="16" t="s">
        <v>78</v>
      </c>
      <c r="BK4" s="164"/>
      <c r="BL4" s="16" t="s">
        <v>74</v>
      </c>
      <c r="BM4" s="16" t="s">
        <v>75</v>
      </c>
      <c r="BN4" s="16" t="s">
        <v>76</v>
      </c>
      <c r="BO4" s="16" t="s">
        <v>77</v>
      </c>
      <c r="BP4" s="16" t="s">
        <v>78</v>
      </c>
      <c r="BQ4" s="16" t="s">
        <v>74</v>
      </c>
      <c r="BR4" s="16" t="s">
        <v>75</v>
      </c>
      <c r="BS4" s="16" t="s">
        <v>76</v>
      </c>
      <c r="BT4" s="16" t="s">
        <v>77</v>
      </c>
      <c r="BU4" s="16" t="s">
        <v>78</v>
      </c>
      <c r="BV4" s="16" t="s">
        <v>74</v>
      </c>
      <c r="BW4" s="16" t="s">
        <v>75</v>
      </c>
      <c r="BX4" s="16" t="s">
        <v>76</v>
      </c>
      <c r="BY4" s="16" t="s">
        <v>77</v>
      </c>
      <c r="BZ4" s="16" t="s">
        <v>78</v>
      </c>
      <c r="CC4" s="164"/>
      <c r="CD4" s="16" t="s">
        <v>74</v>
      </c>
      <c r="CE4" s="16" t="s">
        <v>75</v>
      </c>
      <c r="CF4" s="16" t="s">
        <v>76</v>
      </c>
      <c r="CG4" s="16" t="s">
        <v>77</v>
      </c>
      <c r="CH4" s="16" t="s">
        <v>78</v>
      </c>
      <c r="CI4" s="16" t="s">
        <v>74</v>
      </c>
      <c r="CJ4" s="16" t="s">
        <v>75</v>
      </c>
      <c r="CK4" s="16" t="s">
        <v>76</v>
      </c>
      <c r="CL4" s="16" t="s">
        <v>77</v>
      </c>
      <c r="CM4" s="16" t="s">
        <v>78</v>
      </c>
      <c r="CN4" s="16" t="s">
        <v>74</v>
      </c>
      <c r="CO4" s="16" t="s">
        <v>75</v>
      </c>
      <c r="CP4" s="16" t="s">
        <v>76</v>
      </c>
      <c r="CQ4" s="16" t="s">
        <v>77</v>
      </c>
      <c r="CR4" s="16" t="s">
        <v>78</v>
      </c>
      <c r="CV4" s="164"/>
      <c r="CW4" s="174"/>
      <c r="CX4" s="16" t="s">
        <v>74</v>
      </c>
      <c r="CY4" s="16" t="s">
        <v>75</v>
      </c>
      <c r="CZ4" s="16" t="s">
        <v>76</v>
      </c>
      <c r="DA4" s="16" t="s">
        <v>77</v>
      </c>
      <c r="DB4" s="16" t="s">
        <v>78</v>
      </c>
      <c r="DC4" s="16" t="s">
        <v>74</v>
      </c>
      <c r="DD4" s="16" t="s">
        <v>75</v>
      </c>
      <c r="DE4" s="16" t="s">
        <v>76</v>
      </c>
      <c r="DF4" s="16" t="s">
        <v>77</v>
      </c>
      <c r="DG4" s="16" t="s">
        <v>78</v>
      </c>
    </row>
    <row r="5" spans="1:111">
      <c r="A5" s="79" t="s">
        <v>331</v>
      </c>
      <c r="B5" s="80"/>
      <c r="C5" s="80"/>
      <c r="D5" s="80"/>
      <c r="E5" s="80"/>
      <c r="F5" s="80"/>
      <c r="G5" s="80"/>
      <c r="H5" s="80"/>
      <c r="X5" s="16">
        <v>1</v>
      </c>
      <c r="Y5" s="16">
        <v>50</v>
      </c>
      <c r="Z5" s="24">
        <f>$E$50</f>
        <v>6.8000000000000005E-2</v>
      </c>
      <c r="AA5" s="16">
        <f>$Y5*$Z5*其他调用!V4</f>
        <v>11.225369540676247</v>
      </c>
      <c r="AB5" s="16">
        <f>$Y5*$Z5*其他调用!W4</f>
        <v>13.619545639884391</v>
      </c>
      <c r="AC5" s="16">
        <f>$Y5*$Z5*其他调用!X4</f>
        <v>14.472112456498751</v>
      </c>
      <c r="AD5" s="16">
        <f>$Y5*$Z5*其他调用!Y4</f>
        <v>11.411320227415276</v>
      </c>
      <c r="AE5" s="16">
        <f>$Y5*$Z5*其他调用!Z4</f>
        <v>5.9670648061418197</v>
      </c>
      <c r="AH5" s="16">
        <v>1</v>
      </c>
      <c r="AI5" s="16">
        <f>SUM(AA$5:AA5)</f>
        <v>11.225369540676247</v>
      </c>
      <c r="AJ5" s="16">
        <f>SUM(AB$5:AB5)</f>
        <v>13.619545639884391</v>
      </c>
      <c r="AK5" s="16">
        <f>SUM(AC$5:AC5)</f>
        <v>14.472112456498751</v>
      </c>
      <c r="AL5" s="16">
        <f>SUM(AD$5:AD5)</f>
        <v>11.411320227415276</v>
      </c>
      <c r="AM5" s="16">
        <f>SUM(AE$5:AE5)</f>
        <v>5.9670648061418197</v>
      </c>
      <c r="AR5" s="16">
        <v>1</v>
      </c>
      <c r="AS5" s="24">
        <f t="shared" ref="AS5:AS36" si="0">$E$50</f>
        <v>6.8000000000000005E-2</v>
      </c>
      <c r="AT5" s="16">
        <f>求节点(E$28:E$34,$M$28:$M$34,$AR5)*$AS5*其他调用!V4/$E$4</f>
        <v>0</v>
      </c>
      <c r="AU5" s="16">
        <f>求节点(F$28:F$34,$M$28:$M$34,$AR5)*$AS5*其他调用!W4/$E$4</f>
        <v>0</v>
      </c>
      <c r="AV5" s="16">
        <f>求节点(G$28:G$34,$M$28:$M$34,$AR5)*$AS5*其他调用!X4/$E$4</f>
        <v>0</v>
      </c>
      <c r="AW5" s="16">
        <f>求节点(H$28:H$34,$M$28:$M$34,$AR5)*$AS5*其他调用!Y4/$E$4</f>
        <v>0</v>
      </c>
      <c r="AX5" s="16">
        <f>求节点(I$28:I$34,$M$28:$M$34,$AR5)*$AS5*其他调用!Z4/$E$4</f>
        <v>0</v>
      </c>
      <c r="AY5" s="16">
        <f>求节点(E$28:E$34,$N$28:$N$34,$AR5)*$AS5*其他调用!V4/$E$4</f>
        <v>0</v>
      </c>
      <c r="AZ5" s="16">
        <f>求节点(F$28:F$34,$N$28:$N$34,$AR5)*$AS5*其他调用!W4/$E$4</f>
        <v>0</v>
      </c>
      <c r="BA5" s="16">
        <f>求节点(G$28:G$34,$N$28:$N$34,$AR5)*$AS5*其他调用!X4/$E$4</f>
        <v>0</v>
      </c>
      <c r="BB5" s="16">
        <f>求节点(H$28:H$34,$N$28:$N$34,$AR5)*$AS5*其他调用!Y4/$E$4</f>
        <v>0</v>
      </c>
      <c r="BC5" s="16">
        <f>求节点(I$28:I$34,$N$28:$N$34,$AR5)*$AS5*其他调用!Z4/$E$4</f>
        <v>0</v>
      </c>
      <c r="BD5" s="16">
        <f>求节点(E$28:E$34,$O$28:$O$34,$AR5)*$AS5*其他调用!V4/$E$4</f>
        <v>0</v>
      </c>
      <c r="BE5" s="16">
        <f>求节点(F$28:F$34,$O$28:$O$34,$AR5)*$AS5*其他调用!W4/$E$4</f>
        <v>0</v>
      </c>
      <c r="BF5" s="16">
        <f>求节点(G$28:G$34,$O$28:$O$34,$AR5)*$AS5*其他调用!X4/$E$4</f>
        <v>0</v>
      </c>
      <c r="BG5" s="16">
        <f>求节点(H$28:H$34,$O$28:$O$34,$AR5)*$AS5*其他调用!Y4/$E$4</f>
        <v>0</v>
      </c>
      <c r="BH5" s="16">
        <f>求节点(I$28:I$34,$O$28:$O$34,$AR5)*$AS5*其他调用!Z4/$E$4</f>
        <v>0</v>
      </c>
      <c r="BK5" s="16">
        <v>1</v>
      </c>
      <c r="BL5" s="16">
        <f>SUM(AT$5:AT5)</f>
        <v>0</v>
      </c>
      <c r="BM5" s="16">
        <f>SUM(AU$5:AU5)</f>
        <v>0</v>
      </c>
      <c r="BN5" s="16">
        <f>SUM(AV$5:AV5)</f>
        <v>0</v>
      </c>
      <c r="BO5" s="16">
        <f>SUM(AW$5:AW5)</f>
        <v>0</v>
      </c>
      <c r="BP5" s="16">
        <f>SUM(AX$5:AX5)</f>
        <v>0</v>
      </c>
      <c r="BQ5" s="16">
        <f>SUM(AY$5:AY5)</f>
        <v>0</v>
      </c>
      <c r="BR5" s="16">
        <f>SUM(AZ$5:AZ5)</f>
        <v>0</v>
      </c>
      <c r="BS5" s="16">
        <f>SUM(BA$5:BA5)</f>
        <v>0</v>
      </c>
      <c r="BT5" s="16">
        <f>SUM(BB$5:BB5)</f>
        <v>0</v>
      </c>
      <c r="BU5" s="16">
        <f>SUM(BC$5:BC5)</f>
        <v>0</v>
      </c>
      <c r="BV5" s="16">
        <f>SUM(BD$5:BD5)</f>
        <v>0</v>
      </c>
      <c r="BW5" s="16">
        <f>SUM(BE$5:BE5)</f>
        <v>0</v>
      </c>
      <c r="BX5" s="16">
        <f>SUM(BF$5:BF5)</f>
        <v>0</v>
      </c>
      <c r="BY5" s="16">
        <f>SUM(BG$5:BG5)</f>
        <v>0</v>
      </c>
      <c r="BZ5" s="16">
        <f>SUM(BH$5:BH5)</f>
        <v>0</v>
      </c>
      <c r="CC5" s="16">
        <v>1</v>
      </c>
      <c r="CD5" s="16">
        <f t="shared" ref="CD5:CD36" si="1">(BL5*$E$64+BQ5*$F$64+BV5*$G$64)/$F$6</f>
        <v>0</v>
      </c>
      <c r="CE5" s="16">
        <f t="shared" ref="CE5:CE36" si="2">(BM5*$E$64+BR5*$F$64+BW5*$G$64)/$F$6</f>
        <v>0</v>
      </c>
      <c r="CF5" s="16">
        <f t="shared" ref="CF5:CF36" si="3">(BN5*$E$64+BS5*$F$64+BX5*$G$64)/$F$6</f>
        <v>0</v>
      </c>
      <c r="CG5" s="16">
        <f t="shared" ref="CG5:CG36" si="4">(BO5*$E$64+BT5*$F$64+BY5*$G$64)/$F$6</f>
        <v>0</v>
      </c>
      <c r="CH5" s="16">
        <f t="shared" ref="CH5:CH36" si="5">(BP5*$E$64+BU5*$F$64+BZ5*$G$64)/$F$6</f>
        <v>0</v>
      </c>
      <c r="CI5" s="16">
        <f t="shared" ref="CI5:CI36" si="6">(BL5*$E$65+BQ5*$F$65+BV5*$G$65)/$F$7</f>
        <v>0</v>
      </c>
      <c r="CJ5" s="16">
        <f t="shared" ref="CJ5:CJ36" si="7">(BM5*$E$65+BR5*$F$65+BW5*$G$65)/$F$7</f>
        <v>0</v>
      </c>
      <c r="CK5" s="16">
        <f t="shared" ref="CK5:CK36" si="8">(BN5*$E$65+BS5*$F$65+BX5*$G$65)/$F$7</f>
        <v>0</v>
      </c>
      <c r="CL5" s="16">
        <f t="shared" ref="CL5:CL36" si="9">(BO5*$E$65+BT5*$F$65+BY5*$G$65)/$F$7</f>
        <v>0</v>
      </c>
      <c r="CM5" s="16">
        <f t="shared" ref="CM5:CM36" si="10">(BP5*$E$65+BU5*$F$65+BZ5*$G$65)/$F$7</f>
        <v>0</v>
      </c>
      <c r="CN5" s="16">
        <f t="shared" ref="CN5:CN36" si="11">(BL5*$E$66+BQ5*$F$66+BV5*$G$66)/$F$8</f>
        <v>0</v>
      </c>
      <c r="CO5" s="16">
        <f t="shared" ref="CO5:CO36" si="12">(BM5*$E$66+BR5*$F$66+BW5*$G$66)/$F$8</f>
        <v>0</v>
      </c>
      <c r="CP5" s="16">
        <f t="shared" ref="CP5:CP36" si="13">(BN5*$E$66+BS5*$F$66+BX5*$G$66)/$F$8</f>
        <v>0</v>
      </c>
      <c r="CQ5" s="16">
        <f t="shared" ref="CQ5:CQ36" si="14">(BO5*$E$66+BT5*$F$66+BY5*$G$66)/$F$8</f>
        <v>0</v>
      </c>
      <c r="CR5" s="16">
        <f t="shared" ref="CR5:CR36" si="15">(BP5*$E$66+BU5*$F$66+BZ5*$G$66)/$F$8</f>
        <v>0</v>
      </c>
      <c r="CV5" s="16">
        <v>1</v>
      </c>
      <c r="CW5" s="35">
        <f>$E$49</f>
        <v>0.13200000000000001</v>
      </c>
      <c r="CX5" s="16">
        <f>其他调用!V4/$E$4*求节点(E$28:E$34,$P$28:$P$34,$CV5)*$CW5</f>
        <v>0</v>
      </c>
      <c r="CY5" s="16">
        <f>其他调用!W4/$E$4*求节点(F$28:F$34,$P$28:$P$34,$CV5)*$CW5</f>
        <v>0</v>
      </c>
      <c r="CZ5" s="16">
        <f>其他调用!X4/$E$4*求节点(G$28:G$34,$P$28:$P$34,$CV5)*$CW5</f>
        <v>0</v>
      </c>
      <c r="DA5" s="16">
        <f>其他调用!Y4/$E$4*求节点(H$28:H$34,$P$28:$P$34,$CV5)*$CW5</f>
        <v>0</v>
      </c>
      <c r="DB5" s="16">
        <f>其他调用!Z4/$E$4*求节点(I$28:I$34,$P$28:$P$34,$CV5)*$CW5</f>
        <v>0</v>
      </c>
      <c r="DC5" s="16">
        <f>SUM(CX$5:CX5)</f>
        <v>0</v>
      </c>
      <c r="DD5" s="16">
        <f>SUM(CY$5:CY5)</f>
        <v>0</v>
      </c>
      <c r="DE5" s="16">
        <f>SUM(CZ$5:CZ5)</f>
        <v>0</v>
      </c>
      <c r="DF5" s="16">
        <f>SUM(DA$5:DA5)</f>
        <v>0</v>
      </c>
      <c r="DG5" s="16">
        <f>SUM(DB$5:DB5)</f>
        <v>0</v>
      </c>
    </row>
    <row r="6" spans="1:111">
      <c r="A6" s="79"/>
      <c r="B6" s="80"/>
      <c r="C6" s="80"/>
      <c r="D6" s="81" t="s">
        <v>332</v>
      </c>
      <c r="E6" s="80" t="s">
        <v>333</v>
      </c>
      <c r="F6" s="82">
        <v>20</v>
      </c>
      <c r="G6" s="79" t="s">
        <v>334</v>
      </c>
      <c r="H6" s="80"/>
      <c r="X6" s="16">
        <v>2</v>
      </c>
      <c r="Y6" s="45">
        <f t="shared" ref="Y6:Y69" si="16">IF($X6&lt;=$E$28,($J$29-$Y$5)/($E$28)*($X6-1)+$Y$5,求节点($E$28:$E$34,$J$28:$J$34,$X6))</f>
        <v>54.237288135593218</v>
      </c>
      <c r="Z6" s="24">
        <f t="shared" ref="Z6:Z69" si="17">$E$50</f>
        <v>6.8000000000000005E-2</v>
      </c>
      <c r="AA6" s="16">
        <f>$Y6*$Z6*其他调用!V5</f>
        <v>13.050633958899033</v>
      </c>
      <c r="AB6" s="16">
        <f>$Y6*$Z6*其他调用!W5</f>
        <v>16.128060171689864</v>
      </c>
      <c r="AC6" s="16">
        <f>$Y6*$Z6*其他调用!X5</f>
        <v>17.474083363997714</v>
      </c>
      <c r="AD6" s="16">
        <f>$Y6*$Z6*其他调用!Y5</f>
        <v>14.148021314602017</v>
      </c>
      <c r="AE6" s="16">
        <f>$Y6*$Z6*其他调用!Z5</f>
        <v>7.6151665632505781</v>
      </c>
      <c r="AH6" s="16">
        <v>2</v>
      </c>
      <c r="AI6" s="16">
        <f>SUM(AA$5:AA6)</f>
        <v>24.276003499575282</v>
      </c>
      <c r="AJ6" s="16">
        <f>SUM(AB$5:AB6)</f>
        <v>29.747605811574253</v>
      </c>
      <c r="AK6" s="16">
        <f>SUM(AC$5:AC6)</f>
        <v>31.946195820496463</v>
      </c>
      <c r="AL6" s="16">
        <f>SUM(AD$5:AD6)</f>
        <v>25.559341542017293</v>
      </c>
      <c r="AM6" s="16">
        <f>SUM(AE$5:AE6)</f>
        <v>13.582231369392398</v>
      </c>
      <c r="AR6" s="16">
        <v>2</v>
      </c>
      <c r="AS6" s="24">
        <f t="shared" si="0"/>
        <v>6.8000000000000005E-2</v>
      </c>
      <c r="AT6" s="16">
        <f>求节点(E$28:E$34,$M$28:$M$34,$AR6)*$AS6*其他调用!V5/$E$4</f>
        <v>0</v>
      </c>
      <c r="AU6" s="16">
        <f>求节点(F$28:F$34,$M$28:$M$34,$AR6)*$AS6*其他调用!W5/$E$4</f>
        <v>0</v>
      </c>
      <c r="AV6" s="16">
        <f>求节点(G$28:G$34,$M$28:$M$34,$AR6)*$AS6*其他调用!X5/$E$4</f>
        <v>0</v>
      </c>
      <c r="AW6" s="16">
        <f>求节点(H$28:H$34,$M$28:$M$34,$AR6)*$AS6*其他调用!Y5/$E$4</f>
        <v>0</v>
      </c>
      <c r="AX6" s="16">
        <f>求节点(I$28:I$34,$M$28:$M$34,$AR6)*$AS6*其他调用!Z5/$E$4</f>
        <v>0</v>
      </c>
      <c r="AY6" s="16">
        <f>求节点(E$28:E$34,$N$28:$N$34,$AR6)*$AS6*其他调用!V5/$E$4</f>
        <v>0</v>
      </c>
      <c r="AZ6" s="16">
        <f>求节点(F$28:F$34,$N$28:$N$34,$AR6)*$AS6*其他调用!W5/$E$4</f>
        <v>0</v>
      </c>
      <c r="BA6" s="16">
        <f>求节点(G$28:G$34,$N$28:$N$34,$AR6)*$AS6*其他调用!X5/$E$4</f>
        <v>0</v>
      </c>
      <c r="BB6" s="16">
        <f>求节点(H$28:H$34,$N$28:$N$34,$AR6)*$AS6*其他调用!Y5/$E$4</f>
        <v>0</v>
      </c>
      <c r="BC6" s="16">
        <f>求节点(I$28:I$34,$N$28:$N$34,$AR6)*$AS6*其他调用!Z5/$E$4</f>
        <v>0</v>
      </c>
      <c r="BD6" s="16">
        <f>求节点(E$28:E$34,$O$28:$O$34,$AR6)*$AS6*其他调用!V5/$E$4</f>
        <v>0</v>
      </c>
      <c r="BE6" s="16">
        <f>求节点(F$28:F$34,$O$28:$O$34,$AR6)*$AS6*其他调用!W5/$E$4</f>
        <v>0</v>
      </c>
      <c r="BF6" s="16">
        <f>求节点(G$28:G$34,$O$28:$O$34,$AR6)*$AS6*其他调用!X5/$E$4</f>
        <v>0</v>
      </c>
      <c r="BG6" s="16">
        <f>求节点(H$28:H$34,$O$28:$O$34,$AR6)*$AS6*其他调用!Y5/$E$4</f>
        <v>0</v>
      </c>
      <c r="BH6" s="16">
        <f>求节点(I$28:I$34,$O$28:$O$34,$AR6)*$AS6*其他调用!Z5/$E$4</f>
        <v>0</v>
      </c>
      <c r="BK6" s="16">
        <v>2</v>
      </c>
      <c r="BL6" s="16">
        <f>SUM(AT$5:AT6)</f>
        <v>0</v>
      </c>
      <c r="BM6" s="16">
        <f>SUM(AU$5:AU6)</f>
        <v>0</v>
      </c>
      <c r="BN6" s="16">
        <f>SUM(AV$5:AV6)</f>
        <v>0</v>
      </c>
      <c r="BO6" s="16">
        <f>SUM(AW$5:AW6)</f>
        <v>0</v>
      </c>
      <c r="BP6" s="16">
        <f>SUM(AX$5:AX6)</f>
        <v>0</v>
      </c>
      <c r="BQ6" s="16">
        <f>SUM(AY$5:AY6)</f>
        <v>0</v>
      </c>
      <c r="BR6" s="16">
        <f>SUM(AZ$5:AZ6)</f>
        <v>0</v>
      </c>
      <c r="BS6" s="16">
        <f>SUM(BA$5:BA6)</f>
        <v>0</v>
      </c>
      <c r="BT6" s="16">
        <f>SUM(BB$5:BB6)</f>
        <v>0</v>
      </c>
      <c r="BU6" s="16">
        <f>SUM(BC$5:BC6)</f>
        <v>0</v>
      </c>
      <c r="BV6" s="16">
        <f>SUM(BD$5:BD6)</f>
        <v>0</v>
      </c>
      <c r="BW6" s="16">
        <f>SUM(BE$5:BE6)</f>
        <v>0</v>
      </c>
      <c r="BX6" s="16">
        <f>SUM(BF$5:BF6)</f>
        <v>0</v>
      </c>
      <c r="BY6" s="16">
        <f>SUM(BG$5:BG6)</f>
        <v>0</v>
      </c>
      <c r="BZ6" s="16">
        <f>SUM(BH$5:BH6)</f>
        <v>0</v>
      </c>
      <c r="CC6" s="16">
        <v>2</v>
      </c>
      <c r="CD6" s="16">
        <f t="shared" si="1"/>
        <v>0</v>
      </c>
      <c r="CE6" s="16">
        <f t="shared" si="2"/>
        <v>0</v>
      </c>
      <c r="CF6" s="16">
        <f t="shared" si="3"/>
        <v>0</v>
      </c>
      <c r="CG6" s="16">
        <f t="shared" si="4"/>
        <v>0</v>
      </c>
      <c r="CH6" s="16">
        <f t="shared" si="5"/>
        <v>0</v>
      </c>
      <c r="CI6" s="16">
        <f t="shared" si="6"/>
        <v>0</v>
      </c>
      <c r="CJ6" s="16">
        <f t="shared" si="7"/>
        <v>0</v>
      </c>
      <c r="CK6" s="16">
        <f t="shared" si="8"/>
        <v>0</v>
      </c>
      <c r="CL6" s="16">
        <f t="shared" si="9"/>
        <v>0</v>
      </c>
      <c r="CM6" s="16">
        <f t="shared" si="10"/>
        <v>0</v>
      </c>
      <c r="CN6" s="16">
        <f t="shared" si="11"/>
        <v>0</v>
      </c>
      <c r="CO6" s="16">
        <f t="shared" si="12"/>
        <v>0</v>
      </c>
      <c r="CP6" s="16">
        <f t="shared" si="13"/>
        <v>0</v>
      </c>
      <c r="CQ6" s="16">
        <f t="shared" si="14"/>
        <v>0</v>
      </c>
      <c r="CR6" s="16">
        <f t="shared" si="15"/>
        <v>0</v>
      </c>
      <c r="CV6" s="16">
        <v>2</v>
      </c>
      <c r="CW6" s="35">
        <f t="shared" ref="CW6:CW69" si="18">$E$49</f>
        <v>0.13200000000000001</v>
      </c>
      <c r="CX6" s="16">
        <f>其他调用!V5/$E$4*求节点(E$28:E$34,$P$28:$P$34,$CV6)*$CW6</f>
        <v>0</v>
      </c>
      <c r="CY6" s="16">
        <f>其他调用!W5/$E$4*求节点(F$28:F$34,$P$28:$P$34,$CV6)*$CW6</f>
        <v>0</v>
      </c>
      <c r="CZ6" s="16">
        <f>其他调用!X5/$E$4*求节点(G$28:G$34,$P$28:$P$34,$CV6)*$CW6</f>
        <v>0</v>
      </c>
      <c r="DA6" s="16">
        <f>其他调用!Y5/$E$4*求节点(H$28:H$34,$P$28:$P$34,$CV6)*$CW6</f>
        <v>0</v>
      </c>
      <c r="DB6" s="16">
        <f>其他调用!Z5/$E$4*求节点(I$28:I$34,$P$28:$P$34,$CV6)*$CW6</f>
        <v>0</v>
      </c>
      <c r="DC6" s="16">
        <f>SUM(CX$5:CX6)</f>
        <v>0</v>
      </c>
      <c r="DD6" s="16">
        <f>SUM(CY$5:CY6)</f>
        <v>0</v>
      </c>
      <c r="DE6" s="16">
        <f>SUM(CZ$5:CZ6)</f>
        <v>0</v>
      </c>
      <c r="DF6" s="16">
        <f>SUM(DA$5:DA6)</f>
        <v>0</v>
      </c>
      <c r="DG6" s="16">
        <f>SUM(DB$5:DB6)</f>
        <v>0</v>
      </c>
    </row>
    <row r="7" spans="1:111">
      <c r="A7" s="79"/>
      <c r="B7" s="80"/>
      <c r="C7" s="80"/>
      <c r="D7" s="81" t="s">
        <v>335</v>
      </c>
      <c r="E7" s="80" t="s">
        <v>333</v>
      </c>
      <c r="F7" s="82">
        <v>50</v>
      </c>
      <c r="G7" s="79" t="s">
        <v>337</v>
      </c>
      <c r="H7" s="80"/>
      <c r="X7" s="16">
        <v>3</v>
      </c>
      <c r="Y7" s="45">
        <f t="shared" si="16"/>
        <v>58.474576271186443</v>
      </c>
      <c r="Z7" s="24">
        <f t="shared" si="17"/>
        <v>6.8000000000000005E-2</v>
      </c>
      <c r="AA7" s="16">
        <f>$Y7*$Z7*其他调用!V6</f>
        <v>15.080082767237204</v>
      </c>
      <c r="AB7" s="16">
        <f>$Y7*$Z7*其他调用!W6</f>
        <v>18.853909084691516</v>
      </c>
      <c r="AC7" s="16">
        <f>$Y7*$Z7*其他调用!X6</f>
        <v>20.7412030532161</v>
      </c>
      <c r="AD7" s="16">
        <f>$Y7*$Z7*其他调用!Y6</f>
        <v>16.945306969505125</v>
      </c>
      <c r="AE7" s="16">
        <f>$Y7*$Z7*其他调用!Z6</f>
        <v>9.131307550028616</v>
      </c>
      <c r="AH7" s="16">
        <v>3</v>
      </c>
      <c r="AI7" s="16">
        <f>SUM(AA$5:AA7)</f>
        <v>39.356086266812483</v>
      </c>
      <c r="AJ7" s="16">
        <f>SUM(AB$5:AB7)</f>
        <v>48.601514896265769</v>
      </c>
      <c r="AK7" s="16">
        <f>SUM(AC$5:AC7)</f>
        <v>52.687398873712567</v>
      </c>
      <c r="AL7" s="16">
        <f>SUM(AD$5:AD7)</f>
        <v>42.504648511522419</v>
      </c>
      <c r="AM7" s="16">
        <f>SUM(AE$5:AE7)</f>
        <v>22.713538919421012</v>
      </c>
      <c r="AR7" s="16">
        <v>3</v>
      </c>
      <c r="AS7" s="24">
        <f t="shared" si="0"/>
        <v>6.8000000000000005E-2</v>
      </c>
      <c r="AT7" s="16">
        <f>求节点(E$28:E$34,$M$28:$M$34,$AR7)*$AS7*其他调用!V6/$E$4</f>
        <v>0</v>
      </c>
      <c r="AU7" s="16">
        <f>求节点(F$28:F$34,$M$28:$M$34,$AR7)*$AS7*其他调用!W6/$E$4</f>
        <v>0</v>
      </c>
      <c r="AV7" s="16">
        <f>求节点(G$28:G$34,$M$28:$M$34,$AR7)*$AS7*其他调用!X6/$E$4</f>
        <v>0</v>
      </c>
      <c r="AW7" s="16">
        <f>求节点(H$28:H$34,$M$28:$M$34,$AR7)*$AS7*其他调用!Y6/$E$4</f>
        <v>0</v>
      </c>
      <c r="AX7" s="16">
        <f>求节点(I$28:I$34,$M$28:$M$34,$AR7)*$AS7*其他调用!Z6/$E$4</f>
        <v>0</v>
      </c>
      <c r="AY7" s="16">
        <f>求节点(E$28:E$34,$N$28:$N$34,$AR7)*$AS7*其他调用!V6/$E$4</f>
        <v>0</v>
      </c>
      <c r="AZ7" s="16">
        <f>求节点(F$28:F$34,$N$28:$N$34,$AR7)*$AS7*其他调用!W6/$E$4</f>
        <v>0</v>
      </c>
      <c r="BA7" s="16">
        <f>求节点(G$28:G$34,$N$28:$N$34,$AR7)*$AS7*其他调用!X6/$E$4</f>
        <v>0</v>
      </c>
      <c r="BB7" s="16">
        <f>求节点(H$28:H$34,$N$28:$N$34,$AR7)*$AS7*其他调用!Y6/$E$4</f>
        <v>0</v>
      </c>
      <c r="BC7" s="16">
        <f>求节点(I$28:I$34,$N$28:$N$34,$AR7)*$AS7*其他调用!Z6/$E$4</f>
        <v>0</v>
      </c>
      <c r="BD7" s="16">
        <f>求节点(E$28:E$34,$O$28:$O$34,$AR7)*$AS7*其他调用!V6/$E$4</f>
        <v>0</v>
      </c>
      <c r="BE7" s="16">
        <f>求节点(F$28:F$34,$O$28:$O$34,$AR7)*$AS7*其他调用!W6/$E$4</f>
        <v>0</v>
      </c>
      <c r="BF7" s="16">
        <f>求节点(G$28:G$34,$O$28:$O$34,$AR7)*$AS7*其他调用!X6/$E$4</f>
        <v>0</v>
      </c>
      <c r="BG7" s="16">
        <f>求节点(H$28:H$34,$O$28:$O$34,$AR7)*$AS7*其他调用!Y6/$E$4</f>
        <v>0</v>
      </c>
      <c r="BH7" s="16">
        <f>求节点(I$28:I$34,$O$28:$O$34,$AR7)*$AS7*其他调用!Z6/$E$4</f>
        <v>0</v>
      </c>
      <c r="BK7" s="16">
        <v>3</v>
      </c>
      <c r="BL7" s="16">
        <f>SUM(AT$5:AT7)</f>
        <v>0</v>
      </c>
      <c r="BM7" s="16">
        <f>SUM(AU$5:AU7)</f>
        <v>0</v>
      </c>
      <c r="BN7" s="16">
        <f>SUM(AV$5:AV7)</f>
        <v>0</v>
      </c>
      <c r="BO7" s="16">
        <f>SUM(AW$5:AW7)</f>
        <v>0</v>
      </c>
      <c r="BP7" s="16">
        <f>SUM(AX$5:AX7)</f>
        <v>0</v>
      </c>
      <c r="BQ7" s="16">
        <f>SUM(AY$5:AY7)</f>
        <v>0</v>
      </c>
      <c r="BR7" s="16">
        <f>SUM(AZ$5:AZ7)</f>
        <v>0</v>
      </c>
      <c r="BS7" s="16">
        <f>SUM(BA$5:BA7)</f>
        <v>0</v>
      </c>
      <c r="BT7" s="16">
        <f>SUM(BB$5:BB7)</f>
        <v>0</v>
      </c>
      <c r="BU7" s="16">
        <f>SUM(BC$5:BC7)</f>
        <v>0</v>
      </c>
      <c r="BV7" s="16">
        <f>SUM(BD$5:BD7)</f>
        <v>0</v>
      </c>
      <c r="BW7" s="16">
        <f>SUM(BE$5:BE7)</f>
        <v>0</v>
      </c>
      <c r="BX7" s="16">
        <f>SUM(BF$5:BF7)</f>
        <v>0</v>
      </c>
      <c r="BY7" s="16">
        <f>SUM(BG$5:BG7)</f>
        <v>0</v>
      </c>
      <c r="BZ7" s="16">
        <f>SUM(BH$5:BH7)</f>
        <v>0</v>
      </c>
      <c r="CC7" s="16">
        <v>3</v>
      </c>
      <c r="CD7" s="16">
        <f t="shared" si="1"/>
        <v>0</v>
      </c>
      <c r="CE7" s="16">
        <f t="shared" si="2"/>
        <v>0</v>
      </c>
      <c r="CF7" s="16">
        <f t="shared" si="3"/>
        <v>0</v>
      </c>
      <c r="CG7" s="16">
        <f t="shared" si="4"/>
        <v>0</v>
      </c>
      <c r="CH7" s="16">
        <f t="shared" si="5"/>
        <v>0</v>
      </c>
      <c r="CI7" s="16">
        <f t="shared" si="6"/>
        <v>0</v>
      </c>
      <c r="CJ7" s="16">
        <f t="shared" si="7"/>
        <v>0</v>
      </c>
      <c r="CK7" s="16">
        <f t="shared" si="8"/>
        <v>0</v>
      </c>
      <c r="CL7" s="16">
        <f t="shared" si="9"/>
        <v>0</v>
      </c>
      <c r="CM7" s="16">
        <f t="shared" si="10"/>
        <v>0</v>
      </c>
      <c r="CN7" s="16">
        <f t="shared" si="11"/>
        <v>0</v>
      </c>
      <c r="CO7" s="16">
        <f t="shared" si="12"/>
        <v>0</v>
      </c>
      <c r="CP7" s="16">
        <f t="shared" si="13"/>
        <v>0</v>
      </c>
      <c r="CQ7" s="16">
        <f t="shared" si="14"/>
        <v>0</v>
      </c>
      <c r="CR7" s="16">
        <f t="shared" si="15"/>
        <v>0</v>
      </c>
      <c r="CV7" s="16">
        <v>3</v>
      </c>
      <c r="CW7" s="35">
        <f t="shared" si="18"/>
        <v>0.13200000000000001</v>
      </c>
      <c r="CX7" s="16">
        <f>其他调用!V6/$E$4*求节点(E$28:E$34,$P$28:$P$34,$CV7)*$CW7</f>
        <v>0</v>
      </c>
      <c r="CY7" s="16">
        <f>其他调用!W6/$E$4*求节点(F$28:F$34,$P$28:$P$34,$CV7)*$CW7</f>
        <v>0</v>
      </c>
      <c r="CZ7" s="16">
        <f>其他调用!X6/$E$4*求节点(G$28:G$34,$P$28:$P$34,$CV7)*$CW7</f>
        <v>0</v>
      </c>
      <c r="DA7" s="16">
        <f>其他调用!Y6/$E$4*求节点(H$28:H$34,$P$28:$P$34,$CV7)*$CW7</f>
        <v>0</v>
      </c>
      <c r="DB7" s="16">
        <f>其他调用!Z6/$E$4*求节点(I$28:I$34,$P$28:$P$34,$CV7)*$CW7</f>
        <v>0</v>
      </c>
      <c r="DC7" s="16">
        <f>SUM(CX$5:CX7)</f>
        <v>0</v>
      </c>
      <c r="DD7" s="16">
        <f>SUM(CY$5:CY7)</f>
        <v>0</v>
      </c>
      <c r="DE7" s="16">
        <f>SUM(CZ$5:CZ7)</f>
        <v>0</v>
      </c>
      <c r="DF7" s="16">
        <f>SUM(DA$5:DA7)</f>
        <v>0</v>
      </c>
      <c r="DG7" s="16">
        <f>SUM(DB$5:DB7)</f>
        <v>0</v>
      </c>
    </row>
    <row r="8" spans="1:111">
      <c r="A8" s="79"/>
      <c r="B8" s="80"/>
      <c r="C8" s="80"/>
      <c r="D8" s="81" t="s">
        <v>336</v>
      </c>
      <c r="E8" s="80" t="s">
        <v>333</v>
      </c>
      <c r="F8" s="82">
        <v>80</v>
      </c>
      <c r="G8" s="79" t="s">
        <v>338</v>
      </c>
      <c r="H8" s="80"/>
      <c r="X8" s="16">
        <v>4</v>
      </c>
      <c r="Y8" s="45">
        <f t="shared" si="16"/>
        <v>62.711864406779661</v>
      </c>
      <c r="Z8" s="24">
        <f t="shared" si="17"/>
        <v>6.8000000000000005E-2</v>
      </c>
      <c r="AA8" s="16">
        <f>$Y8*$Z8*其他调用!V7</f>
        <v>17.333623285295676</v>
      </c>
      <c r="AB8" s="16">
        <f>$Y8*$Z8*其他调用!W7</f>
        <v>21.754241361248067</v>
      </c>
      <c r="AC8" s="16">
        <f>$Y8*$Z8*其他调用!X7</f>
        <v>24.059331277936533</v>
      </c>
      <c r="AD8" s="16">
        <f>$Y8*$Z8*其他调用!Y7</f>
        <v>19.711076738897148</v>
      </c>
      <c r="AE8" s="16">
        <f>$Y8*$Z8*其他调用!Z7</f>
        <v>10.840965312714497</v>
      </c>
      <c r="AH8" s="16">
        <v>4</v>
      </c>
      <c r="AI8" s="16">
        <f>SUM(AA$5:AA8)</f>
        <v>56.689709552108155</v>
      </c>
      <c r="AJ8" s="16">
        <f>SUM(AB$5:AB8)</f>
        <v>70.355756257513832</v>
      </c>
      <c r="AK8" s="16">
        <f>SUM(AC$5:AC8)</f>
        <v>76.746730151649103</v>
      </c>
      <c r="AL8" s="16">
        <f>SUM(AD$5:AD8)</f>
        <v>62.215725250419567</v>
      </c>
      <c r="AM8" s="16">
        <f>SUM(AE$5:AE8)</f>
        <v>33.554504232135507</v>
      </c>
      <c r="AR8" s="16">
        <v>4</v>
      </c>
      <c r="AS8" s="24">
        <f t="shared" si="0"/>
        <v>6.8000000000000005E-2</v>
      </c>
      <c r="AT8" s="16">
        <f>求节点(E$28:E$34,$M$28:$M$34,$AR8)*$AS8*其他调用!V7/$E$4</f>
        <v>0</v>
      </c>
      <c r="AU8" s="16">
        <f>求节点(F$28:F$34,$M$28:$M$34,$AR8)*$AS8*其他调用!W7/$E$4</f>
        <v>0</v>
      </c>
      <c r="AV8" s="16">
        <f>求节点(G$28:G$34,$M$28:$M$34,$AR8)*$AS8*其他调用!X7/$E$4</f>
        <v>0</v>
      </c>
      <c r="AW8" s="16">
        <f>求节点(H$28:H$34,$M$28:$M$34,$AR8)*$AS8*其他调用!Y7/$E$4</f>
        <v>0</v>
      </c>
      <c r="AX8" s="16">
        <f>求节点(I$28:I$34,$M$28:$M$34,$AR8)*$AS8*其他调用!Z7/$E$4</f>
        <v>0</v>
      </c>
      <c r="AY8" s="16">
        <f>求节点(E$28:E$34,$N$28:$N$34,$AR8)*$AS8*其他调用!V7/$E$4</f>
        <v>0</v>
      </c>
      <c r="AZ8" s="16">
        <f>求节点(F$28:F$34,$N$28:$N$34,$AR8)*$AS8*其他调用!W7/$E$4</f>
        <v>0</v>
      </c>
      <c r="BA8" s="16">
        <f>求节点(G$28:G$34,$N$28:$N$34,$AR8)*$AS8*其他调用!X7/$E$4</f>
        <v>0</v>
      </c>
      <c r="BB8" s="16">
        <f>求节点(H$28:H$34,$N$28:$N$34,$AR8)*$AS8*其他调用!Y7/$E$4</f>
        <v>0</v>
      </c>
      <c r="BC8" s="16">
        <f>求节点(I$28:I$34,$N$28:$N$34,$AR8)*$AS8*其他调用!Z7/$E$4</f>
        <v>0</v>
      </c>
      <c r="BD8" s="16">
        <f>求节点(E$28:E$34,$O$28:$O$34,$AR8)*$AS8*其他调用!V7/$E$4</f>
        <v>0</v>
      </c>
      <c r="BE8" s="16">
        <f>求节点(F$28:F$34,$O$28:$O$34,$AR8)*$AS8*其他调用!W7/$E$4</f>
        <v>0</v>
      </c>
      <c r="BF8" s="16">
        <f>求节点(G$28:G$34,$O$28:$O$34,$AR8)*$AS8*其他调用!X7/$E$4</f>
        <v>0</v>
      </c>
      <c r="BG8" s="16">
        <f>求节点(H$28:H$34,$O$28:$O$34,$AR8)*$AS8*其他调用!Y7/$E$4</f>
        <v>0</v>
      </c>
      <c r="BH8" s="16">
        <f>求节点(I$28:I$34,$O$28:$O$34,$AR8)*$AS8*其他调用!Z7/$E$4</f>
        <v>0</v>
      </c>
      <c r="BK8" s="16">
        <v>4</v>
      </c>
      <c r="BL8" s="16">
        <f>SUM(AT$5:AT8)</f>
        <v>0</v>
      </c>
      <c r="BM8" s="16">
        <f>SUM(AU$5:AU8)</f>
        <v>0</v>
      </c>
      <c r="BN8" s="16">
        <f>SUM(AV$5:AV8)</f>
        <v>0</v>
      </c>
      <c r="BO8" s="16">
        <f>SUM(AW$5:AW8)</f>
        <v>0</v>
      </c>
      <c r="BP8" s="16">
        <f>SUM(AX$5:AX8)</f>
        <v>0</v>
      </c>
      <c r="BQ8" s="16">
        <f>SUM(AY$5:AY8)</f>
        <v>0</v>
      </c>
      <c r="BR8" s="16">
        <f>SUM(AZ$5:AZ8)</f>
        <v>0</v>
      </c>
      <c r="BS8" s="16">
        <f>SUM(BA$5:BA8)</f>
        <v>0</v>
      </c>
      <c r="BT8" s="16">
        <f>SUM(BB$5:BB8)</f>
        <v>0</v>
      </c>
      <c r="BU8" s="16">
        <f>SUM(BC$5:BC8)</f>
        <v>0</v>
      </c>
      <c r="BV8" s="16">
        <f>SUM(BD$5:BD8)</f>
        <v>0</v>
      </c>
      <c r="BW8" s="16">
        <f>SUM(BE$5:BE8)</f>
        <v>0</v>
      </c>
      <c r="BX8" s="16">
        <f>SUM(BF$5:BF8)</f>
        <v>0</v>
      </c>
      <c r="BY8" s="16">
        <f>SUM(BG$5:BG8)</f>
        <v>0</v>
      </c>
      <c r="BZ8" s="16">
        <f>SUM(BH$5:BH8)</f>
        <v>0</v>
      </c>
      <c r="CC8" s="16">
        <v>4</v>
      </c>
      <c r="CD8" s="16">
        <f t="shared" si="1"/>
        <v>0</v>
      </c>
      <c r="CE8" s="16">
        <f t="shared" si="2"/>
        <v>0</v>
      </c>
      <c r="CF8" s="16">
        <f t="shared" si="3"/>
        <v>0</v>
      </c>
      <c r="CG8" s="16">
        <f t="shared" si="4"/>
        <v>0</v>
      </c>
      <c r="CH8" s="16">
        <f t="shared" si="5"/>
        <v>0</v>
      </c>
      <c r="CI8" s="16">
        <f t="shared" si="6"/>
        <v>0</v>
      </c>
      <c r="CJ8" s="16">
        <f t="shared" si="7"/>
        <v>0</v>
      </c>
      <c r="CK8" s="16">
        <f t="shared" si="8"/>
        <v>0</v>
      </c>
      <c r="CL8" s="16">
        <f t="shared" si="9"/>
        <v>0</v>
      </c>
      <c r="CM8" s="16">
        <f t="shared" si="10"/>
        <v>0</v>
      </c>
      <c r="CN8" s="16">
        <f t="shared" si="11"/>
        <v>0</v>
      </c>
      <c r="CO8" s="16">
        <f t="shared" si="12"/>
        <v>0</v>
      </c>
      <c r="CP8" s="16">
        <f t="shared" si="13"/>
        <v>0</v>
      </c>
      <c r="CQ8" s="16">
        <f t="shared" si="14"/>
        <v>0</v>
      </c>
      <c r="CR8" s="16">
        <f t="shared" si="15"/>
        <v>0</v>
      </c>
      <c r="CV8" s="16">
        <v>4</v>
      </c>
      <c r="CW8" s="35">
        <f t="shared" si="18"/>
        <v>0.13200000000000001</v>
      </c>
      <c r="CX8" s="16">
        <f>其他调用!V7/$E$4*求节点(E$28:E$34,$P$28:$P$34,$CV8)*$CW8</f>
        <v>0</v>
      </c>
      <c r="CY8" s="16">
        <f>其他调用!W7/$E$4*求节点(F$28:F$34,$P$28:$P$34,$CV8)*$CW8</f>
        <v>0</v>
      </c>
      <c r="CZ8" s="16">
        <f>其他调用!X7/$E$4*求节点(G$28:G$34,$P$28:$P$34,$CV8)*$CW8</f>
        <v>0</v>
      </c>
      <c r="DA8" s="16">
        <f>其他调用!Y7/$E$4*求节点(H$28:H$34,$P$28:$P$34,$CV8)*$CW8</f>
        <v>0</v>
      </c>
      <c r="DB8" s="16">
        <f>其他调用!Z7/$E$4*求节点(I$28:I$34,$P$28:$P$34,$CV8)*$CW8</f>
        <v>0</v>
      </c>
      <c r="DC8" s="16">
        <f>SUM(CX$5:CX8)</f>
        <v>0</v>
      </c>
      <c r="DD8" s="16">
        <f>SUM(CY$5:CY8)</f>
        <v>0</v>
      </c>
      <c r="DE8" s="16">
        <f>SUM(CZ$5:CZ8)</f>
        <v>0</v>
      </c>
      <c r="DF8" s="16">
        <f>SUM(DA$5:DA8)</f>
        <v>0</v>
      </c>
      <c r="DG8" s="16">
        <f>SUM(DB$5:DB8)</f>
        <v>0</v>
      </c>
    </row>
    <row r="9" spans="1:111">
      <c r="A9" s="21"/>
      <c r="X9" s="16">
        <v>5</v>
      </c>
      <c r="Y9" s="45">
        <f t="shared" si="16"/>
        <v>66.949152542372886</v>
      </c>
      <c r="Z9" s="24">
        <f t="shared" si="17"/>
        <v>6.8000000000000005E-2</v>
      </c>
      <c r="AA9" s="16">
        <f>$Y9*$Z9*其他调用!V8</f>
        <v>19.832968625617671</v>
      </c>
      <c r="AB9" s="16">
        <f>$Y9*$Z9*其他调用!W8</f>
        <v>24.538204616961504</v>
      </c>
      <c r="AC9" s="16">
        <f>$Y9*$Z9*其他调用!X8</f>
        <v>26.926792481512972</v>
      </c>
      <c r="AD9" s="16">
        <f>$Y9*$Z9*其他调用!Y8</f>
        <v>21.984947369437329</v>
      </c>
      <c r="AE9" s="16">
        <f>$Y9*$Z9*其他调用!Z8</f>
        <v>11.936402173329112</v>
      </c>
      <c r="AH9" s="16">
        <v>5</v>
      </c>
      <c r="AI9" s="16">
        <f>SUM(AA$5:AA9)</f>
        <v>76.522678177725822</v>
      </c>
      <c r="AJ9" s="16">
        <f>SUM(AB$5:AB9)</f>
        <v>94.89396087447534</v>
      </c>
      <c r="AK9" s="16">
        <f>SUM(AC$5:AC9)</f>
        <v>103.67352263316208</v>
      </c>
      <c r="AL9" s="16">
        <f>SUM(AD$5:AD9)</f>
        <v>84.200672619856903</v>
      </c>
      <c r="AM9" s="16">
        <f>SUM(AE$5:AE9)</f>
        <v>45.490906405464621</v>
      </c>
      <c r="AR9" s="16">
        <v>5</v>
      </c>
      <c r="AS9" s="24">
        <f t="shared" si="0"/>
        <v>6.8000000000000005E-2</v>
      </c>
      <c r="AT9" s="16">
        <f>求节点(E$28:E$34,$M$28:$M$34,$AR9)*$AS9*其他调用!V8/$E$4</f>
        <v>0</v>
      </c>
      <c r="AU9" s="16">
        <f>求节点(F$28:F$34,$M$28:$M$34,$AR9)*$AS9*其他调用!W8/$E$4</f>
        <v>0</v>
      </c>
      <c r="AV9" s="16">
        <f>求节点(G$28:G$34,$M$28:$M$34,$AR9)*$AS9*其他调用!X8/$E$4</f>
        <v>0</v>
      </c>
      <c r="AW9" s="16">
        <f>求节点(H$28:H$34,$M$28:$M$34,$AR9)*$AS9*其他调用!Y8/$E$4</f>
        <v>0</v>
      </c>
      <c r="AX9" s="16">
        <f>求节点(I$28:I$34,$M$28:$M$34,$AR9)*$AS9*其他调用!Z8/$E$4</f>
        <v>0</v>
      </c>
      <c r="AY9" s="16">
        <f>求节点(E$28:E$34,$N$28:$N$34,$AR9)*$AS9*其他调用!V8/$E$4</f>
        <v>0</v>
      </c>
      <c r="AZ9" s="16">
        <f>求节点(F$28:F$34,$N$28:$N$34,$AR9)*$AS9*其他调用!W8/$E$4</f>
        <v>0</v>
      </c>
      <c r="BA9" s="16">
        <f>求节点(G$28:G$34,$N$28:$N$34,$AR9)*$AS9*其他调用!X8/$E$4</f>
        <v>0</v>
      </c>
      <c r="BB9" s="16">
        <f>求节点(H$28:H$34,$N$28:$N$34,$AR9)*$AS9*其他调用!Y8/$E$4</f>
        <v>0</v>
      </c>
      <c r="BC9" s="16">
        <f>求节点(I$28:I$34,$N$28:$N$34,$AR9)*$AS9*其他调用!Z8/$E$4</f>
        <v>0</v>
      </c>
      <c r="BD9" s="16">
        <f>求节点(E$28:E$34,$O$28:$O$34,$AR9)*$AS9*其他调用!V8/$E$4</f>
        <v>0</v>
      </c>
      <c r="BE9" s="16">
        <f>求节点(F$28:F$34,$O$28:$O$34,$AR9)*$AS9*其他调用!W8/$E$4</f>
        <v>0</v>
      </c>
      <c r="BF9" s="16">
        <f>求节点(G$28:G$34,$O$28:$O$34,$AR9)*$AS9*其他调用!X8/$E$4</f>
        <v>0</v>
      </c>
      <c r="BG9" s="16">
        <f>求节点(H$28:H$34,$O$28:$O$34,$AR9)*$AS9*其他调用!Y8/$E$4</f>
        <v>0</v>
      </c>
      <c r="BH9" s="16">
        <f>求节点(I$28:I$34,$O$28:$O$34,$AR9)*$AS9*其他调用!Z8/$E$4</f>
        <v>0</v>
      </c>
      <c r="BK9" s="16">
        <v>5</v>
      </c>
      <c r="BL9" s="16">
        <f>SUM(AT$5:AT9)</f>
        <v>0</v>
      </c>
      <c r="BM9" s="16">
        <f>SUM(AU$5:AU9)</f>
        <v>0</v>
      </c>
      <c r="BN9" s="16">
        <f>SUM(AV$5:AV9)</f>
        <v>0</v>
      </c>
      <c r="BO9" s="16">
        <f>SUM(AW$5:AW9)</f>
        <v>0</v>
      </c>
      <c r="BP9" s="16">
        <f>SUM(AX$5:AX9)</f>
        <v>0</v>
      </c>
      <c r="BQ9" s="16">
        <f>SUM(AY$5:AY9)</f>
        <v>0</v>
      </c>
      <c r="BR9" s="16">
        <f>SUM(AZ$5:AZ9)</f>
        <v>0</v>
      </c>
      <c r="BS9" s="16">
        <f>SUM(BA$5:BA9)</f>
        <v>0</v>
      </c>
      <c r="BT9" s="16">
        <f>SUM(BB$5:BB9)</f>
        <v>0</v>
      </c>
      <c r="BU9" s="16">
        <f>SUM(BC$5:BC9)</f>
        <v>0</v>
      </c>
      <c r="BV9" s="16">
        <f>SUM(BD$5:BD9)</f>
        <v>0</v>
      </c>
      <c r="BW9" s="16">
        <f>SUM(BE$5:BE9)</f>
        <v>0</v>
      </c>
      <c r="BX9" s="16">
        <f>SUM(BF$5:BF9)</f>
        <v>0</v>
      </c>
      <c r="BY9" s="16">
        <f>SUM(BG$5:BG9)</f>
        <v>0</v>
      </c>
      <c r="BZ9" s="16">
        <f>SUM(BH$5:BH9)</f>
        <v>0</v>
      </c>
      <c r="CC9" s="16">
        <v>5</v>
      </c>
      <c r="CD9" s="16">
        <f t="shared" si="1"/>
        <v>0</v>
      </c>
      <c r="CE9" s="16">
        <f t="shared" si="2"/>
        <v>0</v>
      </c>
      <c r="CF9" s="16">
        <f t="shared" si="3"/>
        <v>0</v>
      </c>
      <c r="CG9" s="16">
        <f t="shared" si="4"/>
        <v>0</v>
      </c>
      <c r="CH9" s="16">
        <f t="shared" si="5"/>
        <v>0</v>
      </c>
      <c r="CI9" s="16">
        <f t="shared" si="6"/>
        <v>0</v>
      </c>
      <c r="CJ9" s="16">
        <f t="shared" si="7"/>
        <v>0</v>
      </c>
      <c r="CK9" s="16">
        <f t="shared" si="8"/>
        <v>0</v>
      </c>
      <c r="CL9" s="16">
        <f t="shared" si="9"/>
        <v>0</v>
      </c>
      <c r="CM9" s="16">
        <f t="shared" si="10"/>
        <v>0</v>
      </c>
      <c r="CN9" s="16">
        <f t="shared" si="11"/>
        <v>0</v>
      </c>
      <c r="CO9" s="16">
        <f t="shared" si="12"/>
        <v>0</v>
      </c>
      <c r="CP9" s="16">
        <f t="shared" si="13"/>
        <v>0</v>
      </c>
      <c r="CQ9" s="16">
        <f t="shared" si="14"/>
        <v>0</v>
      </c>
      <c r="CR9" s="16">
        <f t="shared" si="15"/>
        <v>0</v>
      </c>
      <c r="CV9" s="16">
        <v>5</v>
      </c>
      <c r="CW9" s="35">
        <f t="shared" si="18"/>
        <v>0.13200000000000001</v>
      </c>
      <c r="CX9" s="16">
        <f>其他调用!V8/$E$4*求节点(E$28:E$34,$P$28:$P$34,$CV9)*$CW9</f>
        <v>0</v>
      </c>
      <c r="CY9" s="16">
        <f>其他调用!W8/$E$4*求节点(F$28:F$34,$P$28:$P$34,$CV9)*$CW9</f>
        <v>0</v>
      </c>
      <c r="CZ9" s="16">
        <f>其他调用!X8/$E$4*求节点(G$28:G$34,$P$28:$P$34,$CV9)*$CW9</f>
        <v>0</v>
      </c>
      <c r="DA9" s="16">
        <f>其他调用!Y8/$E$4*求节点(H$28:H$34,$P$28:$P$34,$CV9)*$CW9</f>
        <v>0</v>
      </c>
      <c r="DB9" s="16">
        <f>其他调用!Z8/$E$4*求节点(I$28:I$34,$P$28:$P$34,$CV9)*$CW9</f>
        <v>0</v>
      </c>
      <c r="DC9" s="16">
        <f>SUM(CX$5:CX9)</f>
        <v>0</v>
      </c>
      <c r="DD9" s="16">
        <f>SUM(CY$5:CY9)</f>
        <v>0</v>
      </c>
      <c r="DE9" s="16">
        <f>SUM(CZ$5:CZ9)</f>
        <v>0</v>
      </c>
      <c r="DF9" s="16">
        <f>SUM(DA$5:DA9)</f>
        <v>0</v>
      </c>
      <c r="DG9" s="16">
        <f>SUM(DB$5:DB9)</f>
        <v>0</v>
      </c>
    </row>
    <row r="10" spans="1:111">
      <c r="A10" s="21"/>
      <c r="X10" s="16">
        <v>6</v>
      </c>
      <c r="Y10" s="45">
        <f t="shared" si="16"/>
        <v>71.186440677966104</v>
      </c>
      <c r="Z10" s="24">
        <f t="shared" si="17"/>
        <v>6.8000000000000005E-2</v>
      </c>
      <c r="AA10" s="16">
        <f>$Y10*$Z10*其他调用!V9</f>
        <v>22.601794358546268</v>
      </c>
      <c r="AB10" s="16">
        <f>$Y10*$Z10*其他调用!W9</f>
        <v>28.209052099201713</v>
      </c>
      <c r="AC10" s="16">
        <f>$Y10*$Z10*其他调用!X9</f>
        <v>30.928769363732179</v>
      </c>
      <c r="AD10" s="16">
        <f>$Y10*$Z10*其他调用!Y9</f>
        <v>25.646631575276785</v>
      </c>
      <c r="AE10" s="16">
        <f>$Y10*$Z10*其他调用!Z9</f>
        <v>14.383662910684778</v>
      </c>
      <c r="AH10" s="16">
        <v>6</v>
      </c>
      <c r="AI10" s="16">
        <f>SUM(AA$5:AA10)</f>
        <v>99.124472536272094</v>
      </c>
      <c r="AJ10" s="16">
        <f>SUM(AB$5:AB10)</f>
        <v>123.10301297367705</v>
      </c>
      <c r="AK10" s="16">
        <f>SUM(AC$5:AC10)</f>
        <v>134.60229199689425</v>
      </c>
      <c r="AL10" s="16">
        <f>SUM(AD$5:AD10)</f>
        <v>109.84730419513369</v>
      </c>
      <c r="AM10" s="16">
        <f>SUM(AE$5:AE10)</f>
        <v>59.874569316149397</v>
      </c>
      <c r="AR10" s="16">
        <v>6</v>
      </c>
      <c r="AS10" s="24">
        <f t="shared" si="0"/>
        <v>6.8000000000000005E-2</v>
      </c>
      <c r="AT10" s="16">
        <f>求节点(E$28:E$34,$M$28:$M$34,$AR10)*$AS10*其他调用!V9/$E$4</f>
        <v>0</v>
      </c>
      <c r="AU10" s="16">
        <f>求节点(F$28:F$34,$M$28:$M$34,$AR10)*$AS10*其他调用!W9/$E$4</f>
        <v>0</v>
      </c>
      <c r="AV10" s="16">
        <f>求节点(G$28:G$34,$M$28:$M$34,$AR10)*$AS10*其他调用!X9/$E$4</f>
        <v>0</v>
      </c>
      <c r="AW10" s="16">
        <f>求节点(H$28:H$34,$M$28:$M$34,$AR10)*$AS10*其他调用!Y9/$E$4</f>
        <v>0</v>
      </c>
      <c r="AX10" s="16">
        <f>求节点(I$28:I$34,$M$28:$M$34,$AR10)*$AS10*其他调用!Z9/$E$4</f>
        <v>0</v>
      </c>
      <c r="AY10" s="16">
        <f>求节点(E$28:E$34,$N$28:$N$34,$AR10)*$AS10*其他调用!V9/$E$4</f>
        <v>0</v>
      </c>
      <c r="AZ10" s="16">
        <f>求节点(F$28:F$34,$N$28:$N$34,$AR10)*$AS10*其他调用!W9/$E$4</f>
        <v>0</v>
      </c>
      <c r="BA10" s="16">
        <f>求节点(G$28:G$34,$N$28:$N$34,$AR10)*$AS10*其他调用!X9/$E$4</f>
        <v>0</v>
      </c>
      <c r="BB10" s="16">
        <f>求节点(H$28:H$34,$N$28:$N$34,$AR10)*$AS10*其他调用!Y9/$E$4</f>
        <v>0</v>
      </c>
      <c r="BC10" s="16">
        <f>求节点(I$28:I$34,$N$28:$N$34,$AR10)*$AS10*其他调用!Z9/$E$4</f>
        <v>0</v>
      </c>
      <c r="BD10" s="16">
        <f>求节点(E$28:E$34,$O$28:$O$34,$AR10)*$AS10*其他调用!V9/$E$4</f>
        <v>0</v>
      </c>
      <c r="BE10" s="16">
        <f>求节点(F$28:F$34,$O$28:$O$34,$AR10)*$AS10*其他调用!W9/$E$4</f>
        <v>0</v>
      </c>
      <c r="BF10" s="16">
        <f>求节点(G$28:G$34,$O$28:$O$34,$AR10)*$AS10*其他调用!X9/$E$4</f>
        <v>0</v>
      </c>
      <c r="BG10" s="16">
        <f>求节点(H$28:H$34,$O$28:$O$34,$AR10)*$AS10*其他调用!Y9/$E$4</f>
        <v>0</v>
      </c>
      <c r="BH10" s="16">
        <f>求节点(I$28:I$34,$O$28:$O$34,$AR10)*$AS10*其他调用!Z9/$E$4</f>
        <v>0</v>
      </c>
      <c r="BK10" s="16">
        <v>6</v>
      </c>
      <c r="BL10" s="16">
        <f>SUM(AT$5:AT10)</f>
        <v>0</v>
      </c>
      <c r="BM10" s="16">
        <f>SUM(AU$5:AU10)</f>
        <v>0</v>
      </c>
      <c r="BN10" s="16">
        <f>SUM(AV$5:AV10)</f>
        <v>0</v>
      </c>
      <c r="BO10" s="16">
        <f>SUM(AW$5:AW10)</f>
        <v>0</v>
      </c>
      <c r="BP10" s="16">
        <f>SUM(AX$5:AX10)</f>
        <v>0</v>
      </c>
      <c r="BQ10" s="16">
        <f>SUM(AY$5:AY10)</f>
        <v>0</v>
      </c>
      <c r="BR10" s="16">
        <f>SUM(AZ$5:AZ10)</f>
        <v>0</v>
      </c>
      <c r="BS10" s="16">
        <f>SUM(BA$5:BA10)</f>
        <v>0</v>
      </c>
      <c r="BT10" s="16">
        <f>SUM(BB$5:BB10)</f>
        <v>0</v>
      </c>
      <c r="BU10" s="16">
        <f>SUM(BC$5:BC10)</f>
        <v>0</v>
      </c>
      <c r="BV10" s="16">
        <f>SUM(BD$5:BD10)</f>
        <v>0</v>
      </c>
      <c r="BW10" s="16">
        <f>SUM(BE$5:BE10)</f>
        <v>0</v>
      </c>
      <c r="BX10" s="16">
        <f>SUM(BF$5:BF10)</f>
        <v>0</v>
      </c>
      <c r="BY10" s="16">
        <f>SUM(BG$5:BG10)</f>
        <v>0</v>
      </c>
      <c r="BZ10" s="16">
        <f>SUM(BH$5:BH10)</f>
        <v>0</v>
      </c>
      <c r="CC10" s="16">
        <v>6</v>
      </c>
      <c r="CD10" s="16">
        <f t="shared" si="1"/>
        <v>0</v>
      </c>
      <c r="CE10" s="16">
        <f t="shared" si="2"/>
        <v>0</v>
      </c>
      <c r="CF10" s="16">
        <f t="shared" si="3"/>
        <v>0</v>
      </c>
      <c r="CG10" s="16">
        <f t="shared" si="4"/>
        <v>0</v>
      </c>
      <c r="CH10" s="16">
        <f t="shared" si="5"/>
        <v>0</v>
      </c>
      <c r="CI10" s="16">
        <f t="shared" si="6"/>
        <v>0</v>
      </c>
      <c r="CJ10" s="16">
        <f t="shared" si="7"/>
        <v>0</v>
      </c>
      <c r="CK10" s="16">
        <f t="shared" si="8"/>
        <v>0</v>
      </c>
      <c r="CL10" s="16">
        <f t="shared" si="9"/>
        <v>0</v>
      </c>
      <c r="CM10" s="16">
        <f t="shared" si="10"/>
        <v>0</v>
      </c>
      <c r="CN10" s="16">
        <f t="shared" si="11"/>
        <v>0</v>
      </c>
      <c r="CO10" s="16">
        <f t="shared" si="12"/>
        <v>0</v>
      </c>
      <c r="CP10" s="16">
        <f t="shared" si="13"/>
        <v>0</v>
      </c>
      <c r="CQ10" s="16">
        <f t="shared" si="14"/>
        <v>0</v>
      </c>
      <c r="CR10" s="16">
        <f t="shared" si="15"/>
        <v>0</v>
      </c>
      <c r="CV10" s="16">
        <v>6</v>
      </c>
      <c r="CW10" s="35">
        <f t="shared" si="18"/>
        <v>0.13200000000000001</v>
      </c>
      <c r="CX10" s="16">
        <f>其他调用!V9/$E$4*求节点(E$28:E$34,$P$28:$P$34,$CV10)*$CW10</f>
        <v>0</v>
      </c>
      <c r="CY10" s="16">
        <f>其他调用!W9/$E$4*求节点(F$28:F$34,$P$28:$P$34,$CV10)*$CW10</f>
        <v>0</v>
      </c>
      <c r="CZ10" s="16">
        <f>其他调用!X9/$E$4*求节点(G$28:G$34,$P$28:$P$34,$CV10)*$CW10</f>
        <v>0</v>
      </c>
      <c r="DA10" s="16">
        <f>其他调用!Y9/$E$4*求节点(H$28:H$34,$P$28:$P$34,$CV10)*$CW10</f>
        <v>0</v>
      </c>
      <c r="DB10" s="16">
        <f>其他调用!Z9/$E$4*求节点(I$28:I$34,$P$28:$P$34,$CV10)*$CW10</f>
        <v>0</v>
      </c>
      <c r="DC10" s="16">
        <f>SUM(CX$5:CX10)</f>
        <v>0</v>
      </c>
      <c r="DD10" s="16">
        <f>SUM(CY$5:CY10)</f>
        <v>0</v>
      </c>
      <c r="DE10" s="16">
        <f>SUM(CZ$5:CZ10)</f>
        <v>0</v>
      </c>
      <c r="DF10" s="16">
        <f>SUM(DA$5:DA10)</f>
        <v>0</v>
      </c>
      <c r="DG10" s="16">
        <f>SUM(DB$5:DB10)</f>
        <v>0</v>
      </c>
    </row>
    <row r="11" spans="1:111">
      <c r="A11" s="21"/>
      <c r="X11" s="16">
        <v>7</v>
      </c>
      <c r="Y11" s="45">
        <f t="shared" si="16"/>
        <v>75.423728813559322</v>
      </c>
      <c r="Z11" s="24">
        <f t="shared" si="17"/>
        <v>6.8000000000000005E-2</v>
      </c>
      <c r="AA11" s="16">
        <f>$Y11*$Z11*其他调用!V10</f>
        <v>25.665908363430084</v>
      </c>
      <c r="AB11" s="16">
        <f>$Y11*$Z11*其他调用!W10</f>
        <v>32.55845273819061</v>
      </c>
      <c r="AC11" s="16">
        <f>$Y11*$Z11*其他调用!X10</f>
        <v>36.101866039188437</v>
      </c>
      <c r="AD11" s="16">
        <f>$Y11*$Z11*其他调用!Y10</f>
        <v>29.108397128427487</v>
      </c>
      <c r="AE11" s="16">
        <f>$Y11*$Z11*其他调用!Z10</f>
        <v>15.122102437405633</v>
      </c>
      <c r="AH11" s="16">
        <v>7</v>
      </c>
      <c r="AI11" s="16">
        <f>SUM(AA$5:AA11)</f>
        <v>124.79038089970217</v>
      </c>
      <c r="AJ11" s="16">
        <f>SUM(AB$5:AB11)</f>
        <v>155.66146571186766</v>
      </c>
      <c r="AK11" s="16">
        <f>SUM(AC$5:AC11)</f>
        <v>170.70415803608267</v>
      </c>
      <c r="AL11" s="16">
        <f>SUM(AD$5:AD11)</f>
        <v>138.95570132356119</v>
      </c>
      <c r="AM11" s="16">
        <f>SUM(AE$5:AE11)</f>
        <v>74.996671753555034</v>
      </c>
      <c r="AR11" s="16">
        <v>7</v>
      </c>
      <c r="AS11" s="24">
        <f t="shared" si="0"/>
        <v>6.8000000000000005E-2</v>
      </c>
      <c r="AT11" s="16">
        <f>求节点(E$28:E$34,$M$28:$M$34,$AR11)*$AS11*其他调用!V10/$E$4</f>
        <v>0</v>
      </c>
      <c r="AU11" s="16">
        <f>求节点(F$28:F$34,$M$28:$M$34,$AR11)*$AS11*其他调用!W10/$E$4</f>
        <v>0</v>
      </c>
      <c r="AV11" s="16">
        <f>求节点(G$28:G$34,$M$28:$M$34,$AR11)*$AS11*其他调用!X10/$E$4</f>
        <v>0</v>
      </c>
      <c r="AW11" s="16">
        <f>求节点(H$28:H$34,$M$28:$M$34,$AR11)*$AS11*其他调用!Y10/$E$4</f>
        <v>0</v>
      </c>
      <c r="AX11" s="16">
        <f>求节点(I$28:I$34,$M$28:$M$34,$AR11)*$AS11*其他调用!Z10/$E$4</f>
        <v>0</v>
      </c>
      <c r="AY11" s="16">
        <f>求节点(E$28:E$34,$N$28:$N$34,$AR11)*$AS11*其他调用!V10/$E$4</f>
        <v>0</v>
      </c>
      <c r="AZ11" s="16">
        <f>求节点(F$28:F$34,$N$28:$N$34,$AR11)*$AS11*其他调用!W10/$E$4</f>
        <v>0</v>
      </c>
      <c r="BA11" s="16">
        <f>求节点(G$28:G$34,$N$28:$N$34,$AR11)*$AS11*其他调用!X10/$E$4</f>
        <v>0</v>
      </c>
      <c r="BB11" s="16">
        <f>求节点(H$28:H$34,$N$28:$N$34,$AR11)*$AS11*其他调用!Y10/$E$4</f>
        <v>0</v>
      </c>
      <c r="BC11" s="16">
        <f>求节点(I$28:I$34,$N$28:$N$34,$AR11)*$AS11*其他调用!Z10/$E$4</f>
        <v>0</v>
      </c>
      <c r="BD11" s="16">
        <f>求节点(E$28:E$34,$O$28:$O$34,$AR11)*$AS11*其他调用!V10/$E$4</f>
        <v>0</v>
      </c>
      <c r="BE11" s="16">
        <f>求节点(F$28:F$34,$O$28:$O$34,$AR11)*$AS11*其他调用!W10/$E$4</f>
        <v>0</v>
      </c>
      <c r="BF11" s="16">
        <f>求节点(G$28:G$34,$O$28:$O$34,$AR11)*$AS11*其他调用!X10/$E$4</f>
        <v>0</v>
      </c>
      <c r="BG11" s="16">
        <f>求节点(H$28:H$34,$O$28:$O$34,$AR11)*$AS11*其他调用!Y10/$E$4</f>
        <v>0</v>
      </c>
      <c r="BH11" s="16">
        <f>求节点(I$28:I$34,$O$28:$O$34,$AR11)*$AS11*其他调用!Z10/$E$4</f>
        <v>0</v>
      </c>
      <c r="BK11" s="16">
        <v>7</v>
      </c>
      <c r="BL11" s="16">
        <f>SUM(AT$5:AT11)</f>
        <v>0</v>
      </c>
      <c r="BM11" s="16">
        <f>SUM(AU$5:AU11)</f>
        <v>0</v>
      </c>
      <c r="BN11" s="16">
        <f>SUM(AV$5:AV11)</f>
        <v>0</v>
      </c>
      <c r="BO11" s="16">
        <f>SUM(AW$5:AW11)</f>
        <v>0</v>
      </c>
      <c r="BP11" s="16">
        <f>SUM(AX$5:AX11)</f>
        <v>0</v>
      </c>
      <c r="BQ11" s="16">
        <f>SUM(AY$5:AY11)</f>
        <v>0</v>
      </c>
      <c r="BR11" s="16">
        <f>SUM(AZ$5:AZ11)</f>
        <v>0</v>
      </c>
      <c r="BS11" s="16">
        <f>SUM(BA$5:BA11)</f>
        <v>0</v>
      </c>
      <c r="BT11" s="16">
        <f>SUM(BB$5:BB11)</f>
        <v>0</v>
      </c>
      <c r="BU11" s="16">
        <f>SUM(BC$5:BC11)</f>
        <v>0</v>
      </c>
      <c r="BV11" s="16">
        <f>SUM(BD$5:BD11)</f>
        <v>0</v>
      </c>
      <c r="BW11" s="16">
        <f>SUM(BE$5:BE11)</f>
        <v>0</v>
      </c>
      <c r="BX11" s="16">
        <f>SUM(BF$5:BF11)</f>
        <v>0</v>
      </c>
      <c r="BY11" s="16">
        <f>SUM(BG$5:BG11)</f>
        <v>0</v>
      </c>
      <c r="BZ11" s="16">
        <f>SUM(BH$5:BH11)</f>
        <v>0</v>
      </c>
      <c r="CC11" s="16">
        <v>7</v>
      </c>
      <c r="CD11" s="16">
        <f t="shared" si="1"/>
        <v>0</v>
      </c>
      <c r="CE11" s="16">
        <f t="shared" si="2"/>
        <v>0</v>
      </c>
      <c r="CF11" s="16">
        <f t="shared" si="3"/>
        <v>0</v>
      </c>
      <c r="CG11" s="16">
        <f t="shared" si="4"/>
        <v>0</v>
      </c>
      <c r="CH11" s="16">
        <f t="shared" si="5"/>
        <v>0</v>
      </c>
      <c r="CI11" s="16">
        <f t="shared" si="6"/>
        <v>0</v>
      </c>
      <c r="CJ11" s="16">
        <f t="shared" si="7"/>
        <v>0</v>
      </c>
      <c r="CK11" s="16">
        <f t="shared" si="8"/>
        <v>0</v>
      </c>
      <c r="CL11" s="16">
        <f t="shared" si="9"/>
        <v>0</v>
      </c>
      <c r="CM11" s="16">
        <f t="shared" si="10"/>
        <v>0</v>
      </c>
      <c r="CN11" s="16">
        <f t="shared" si="11"/>
        <v>0</v>
      </c>
      <c r="CO11" s="16">
        <f t="shared" si="12"/>
        <v>0</v>
      </c>
      <c r="CP11" s="16">
        <f t="shared" si="13"/>
        <v>0</v>
      </c>
      <c r="CQ11" s="16">
        <f t="shared" si="14"/>
        <v>0</v>
      </c>
      <c r="CR11" s="16">
        <f t="shared" si="15"/>
        <v>0</v>
      </c>
      <c r="CV11" s="16">
        <v>7</v>
      </c>
      <c r="CW11" s="35">
        <f t="shared" si="18"/>
        <v>0.13200000000000001</v>
      </c>
      <c r="CX11" s="16">
        <f>其他调用!V10/$E$4*求节点(E$28:E$34,$P$28:$P$34,$CV11)*$CW11</f>
        <v>0</v>
      </c>
      <c r="CY11" s="16">
        <f>其他调用!W10/$E$4*求节点(F$28:F$34,$P$28:$P$34,$CV11)*$CW11</f>
        <v>0</v>
      </c>
      <c r="CZ11" s="16">
        <f>其他调用!X10/$E$4*求节点(G$28:G$34,$P$28:$P$34,$CV11)*$CW11</f>
        <v>0</v>
      </c>
      <c r="DA11" s="16">
        <f>其他调用!Y10/$E$4*求节点(H$28:H$34,$P$28:$P$34,$CV11)*$CW11</f>
        <v>0</v>
      </c>
      <c r="DB11" s="16">
        <f>其他调用!Z10/$E$4*求节点(I$28:I$34,$P$28:$P$34,$CV11)*$CW11</f>
        <v>0</v>
      </c>
      <c r="DC11" s="16">
        <f>SUM(CX$5:CX11)</f>
        <v>0</v>
      </c>
      <c r="DD11" s="16">
        <f>SUM(CY$5:CY11)</f>
        <v>0</v>
      </c>
      <c r="DE11" s="16">
        <f>SUM(CZ$5:CZ11)</f>
        <v>0</v>
      </c>
      <c r="DF11" s="16">
        <f>SUM(DA$5:DA11)</f>
        <v>0</v>
      </c>
      <c r="DG11" s="16">
        <f>SUM(DB$5:DB11)</f>
        <v>0</v>
      </c>
    </row>
    <row r="12" spans="1:111">
      <c r="X12" s="16">
        <v>8</v>
      </c>
      <c r="Y12" s="45">
        <f t="shared" si="16"/>
        <v>79.66101694915254</v>
      </c>
      <c r="Z12" s="24">
        <f t="shared" si="17"/>
        <v>6.8000000000000005E-2</v>
      </c>
      <c r="AA12" s="16">
        <f>$Y12*$Z12*其他调用!V11</f>
        <v>29.053434951981941</v>
      </c>
      <c r="AB12" s="16">
        <f>$Y12*$Z12*其他调用!W11</f>
        <v>35.117807641214647</v>
      </c>
      <c r="AC12" s="16">
        <f>$Y12*$Z12*其他调用!X11</f>
        <v>36.864263003463279</v>
      </c>
      <c r="AD12" s="16">
        <f>$Y12*$Z12*其他调用!Y11</f>
        <v>29.263817244135012</v>
      </c>
      <c r="AE12" s="16">
        <f>$Y12*$Z12*其他调用!Z11</f>
        <v>16.072373151941555</v>
      </c>
      <c r="AH12" s="16">
        <v>8</v>
      </c>
      <c r="AI12" s="16">
        <f>SUM(AA$5:AA12)</f>
        <v>153.8438158516841</v>
      </c>
      <c r="AJ12" s="16">
        <f>SUM(AB$5:AB12)</f>
        <v>190.77927335308232</v>
      </c>
      <c r="AK12" s="16">
        <f>SUM(AC$5:AC12)</f>
        <v>207.56842103954597</v>
      </c>
      <c r="AL12" s="16">
        <f>SUM(AD$5:AD12)</f>
        <v>168.21951856769618</v>
      </c>
      <c r="AM12" s="16">
        <f>SUM(AE$5:AE12)</f>
        <v>91.069044905496582</v>
      </c>
      <c r="AR12" s="16">
        <v>8</v>
      </c>
      <c r="AS12" s="24">
        <f t="shared" si="0"/>
        <v>6.8000000000000005E-2</v>
      </c>
      <c r="AT12" s="16">
        <f>求节点(E$28:E$34,$M$28:$M$34,$AR12)*$AS12*其他调用!V11/$E$4</f>
        <v>0</v>
      </c>
      <c r="AU12" s="16">
        <f>求节点(F$28:F$34,$M$28:$M$34,$AR12)*$AS12*其他调用!W11/$E$4</f>
        <v>0</v>
      </c>
      <c r="AV12" s="16">
        <f>求节点(G$28:G$34,$M$28:$M$34,$AR12)*$AS12*其他调用!X11/$E$4</f>
        <v>0</v>
      </c>
      <c r="AW12" s="16">
        <f>求节点(H$28:H$34,$M$28:$M$34,$AR12)*$AS12*其他调用!Y11/$E$4</f>
        <v>0</v>
      </c>
      <c r="AX12" s="16">
        <f>求节点(I$28:I$34,$M$28:$M$34,$AR12)*$AS12*其他调用!Z11/$E$4</f>
        <v>0</v>
      </c>
      <c r="AY12" s="16">
        <f>求节点(E$28:E$34,$N$28:$N$34,$AR12)*$AS12*其他调用!V11/$E$4</f>
        <v>0</v>
      </c>
      <c r="AZ12" s="16">
        <f>求节点(F$28:F$34,$N$28:$N$34,$AR12)*$AS12*其他调用!W11/$E$4</f>
        <v>0</v>
      </c>
      <c r="BA12" s="16">
        <f>求节点(G$28:G$34,$N$28:$N$34,$AR12)*$AS12*其他调用!X11/$E$4</f>
        <v>0</v>
      </c>
      <c r="BB12" s="16">
        <f>求节点(H$28:H$34,$N$28:$N$34,$AR12)*$AS12*其他调用!Y11/$E$4</f>
        <v>0</v>
      </c>
      <c r="BC12" s="16">
        <f>求节点(I$28:I$34,$N$28:$N$34,$AR12)*$AS12*其他调用!Z11/$E$4</f>
        <v>0</v>
      </c>
      <c r="BD12" s="16">
        <f>求节点(E$28:E$34,$O$28:$O$34,$AR12)*$AS12*其他调用!V11/$E$4</f>
        <v>0</v>
      </c>
      <c r="BE12" s="16">
        <f>求节点(F$28:F$34,$O$28:$O$34,$AR12)*$AS12*其他调用!W11/$E$4</f>
        <v>0</v>
      </c>
      <c r="BF12" s="16">
        <f>求节点(G$28:G$34,$O$28:$O$34,$AR12)*$AS12*其他调用!X11/$E$4</f>
        <v>0</v>
      </c>
      <c r="BG12" s="16">
        <f>求节点(H$28:H$34,$O$28:$O$34,$AR12)*$AS12*其他调用!Y11/$E$4</f>
        <v>0</v>
      </c>
      <c r="BH12" s="16">
        <f>求节点(I$28:I$34,$O$28:$O$34,$AR12)*$AS12*其他调用!Z11/$E$4</f>
        <v>0</v>
      </c>
      <c r="BK12" s="16">
        <v>8</v>
      </c>
      <c r="BL12" s="16">
        <f>SUM(AT$5:AT12)</f>
        <v>0</v>
      </c>
      <c r="BM12" s="16">
        <f>SUM(AU$5:AU12)</f>
        <v>0</v>
      </c>
      <c r="BN12" s="16">
        <f>SUM(AV$5:AV12)</f>
        <v>0</v>
      </c>
      <c r="BO12" s="16">
        <f>SUM(AW$5:AW12)</f>
        <v>0</v>
      </c>
      <c r="BP12" s="16">
        <f>SUM(AX$5:AX12)</f>
        <v>0</v>
      </c>
      <c r="BQ12" s="16">
        <f>SUM(AY$5:AY12)</f>
        <v>0</v>
      </c>
      <c r="BR12" s="16">
        <f>SUM(AZ$5:AZ12)</f>
        <v>0</v>
      </c>
      <c r="BS12" s="16">
        <f>SUM(BA$5:BA12)</f>
        <v>0</v>
      </c>
      <c r="BT12" s="16">
        <f>SUM(BB$5:BB12)</f>
        <v>0</v>
      </c>
      <c r="BU12" s="16">
        <f>SUM(BC$5:BC12)</f>
        <v>0</v>
      </c>
      <c r="BV12" s="16">
        <f>SUM(BD$5:BD12)</f>
        <v>0</v>
      </c>
      <c r="BW12" s="16">
        <f>SUM(BE$5:BE12)</f>
        <v>0</v>
      </c>
      <c r="BX12" s="16">
        <f>SUM(BF$5:BF12)</f>
        <v>0</v>
      </c>
      <c r="BY12" s="16">
        <f>SUM(BG$5:BG12)</f>
        <v>0</v>
      </c>
      <c r="BZ12" s="16">
        <f>SUM(BH$5:BH12)</f>
        <v>0</v>
      </c>
      <c r="CC12" s="16">
        <v>8</v>
      </c>
      <c r="CD12" s="16">
        <f t="shared" si="1"/>
        <v>0</v>
      </c>
      <c r="CE12" s="16">
        <f t="shared" si="2"/>
        <v>0</v>
      </c>
      <c r="CF12" s="16">
        <f t="shared" si="3"/>
        <v>0</v>
      </c>
      <c r="CG12" s="16">
        <f t="shared" si="4"/>
        <v>0</v>
      </c>
      <c r="CH12" s="16">
        <f t="shared" si="5"/>
        <v>0</v>
      </c>
      <c r="CI12" s="16">
        <f t="shared" si="6"/>
        <v>0</v>
      </c>
      <c r="CJ12" s="16">
        <f t="shared" si="7"/>
        <v>0</v>
      </c>
      <c r="CK12" s="16">
        <f t="shared" si="8"/>
        <v>0</v>
      </c>
      <c r="CL12" s="16">
        <f t="shared" si="9"/>
        <v>0</v>
      </c>
      <c r="CM12" s="16">
        <f t="shared" si="10"/>
        <v>0</v>
      </c>
      <c r="CN12" s="16">
        <f t="shared" si="11"/>
        <v>0</v>
      </c>
      <c r="CO12" s="16">
        <f t="shared" si="12"/>
        <v>0</v>
      </c>
      <c r="CP12" s="16">
        <f t="shared" si="13"/>
        <v>0</v>
      </c>
      <c r="CQ12" s="16">
        <f t="shared" si="14"/>
        <v>0</v>
      </c>
      <c r="CR12" s="16">
        <f t="shared" si="15"/>
        <v>0</v>
      </c>
      <c r="CV12" s="16">
        <v>8</v>
      </c>
      <c r="CW12" s="35">
        <f t="shared" si="18"/>
        <v>0.13200000000000001</v>
      </c>
      <c r="CX12" s="16">
        <f>其他调用!V11/$E$4*求节点(E$28:E$34,$P$28:$P$34,$CV12)*$CW12</f>
        <v>0</v>
      </c>
      <c r="CY12" s="16">
        <f>其他调用!W11/$E$4*求节点(F$28:F$34,$P$28:$P$34,$CV12)*$CW12</f>
        <v>0</v>
      </c>
      <c r="CZ12" s="16">
        <f>其他调用!X11/$E$4*求节点(G$28:G$34,$P$28:$P$34,$CV12)*$CW12</f>
        <v>0</v>
      </c>
      <c r="DA12" s="16">
        <f>其他调用!Y11/$E$4*求节点(H$28:H$34,$P$28:$P$34,$CV12)*$CW12</f>
        <v>0</v>
      </c>
      <c r="DB12" s="16">
        <f>其他调用!Z11/$E$4*求节点(I$28:I$34,$P$28:$P$34,$CV12)*$CW12</f>
        <v>0</v>
      </c>
      <c r="DC12" s="16">
        <f>SUM(CX$5:CX12)</f>
        <v>0</v>
      </c>
      <c r="DD12" s="16">
        <f>SUM(CY$5:CY12)</f>
        <v>0</v>
      </c>
      <c r="DE12" s="16">
        <f>SUM(CZ$5:CZ12)</f>
        <v>0</v>
      </c>
      <c r="DF12" s="16">
        <f>SUM(DA$5:DA12)</f>
        <v>0</v>
      </c>
      <c r="DG12" s="16">
        <f>SUM(DB$5:DB12)</f>
        <v>0</v>
      </c>
    </row>
    <row r="13" spans="1:111">
      <c r="X13" s="16">
        <v>9</v>
      </c>
      <c r="Y13" s="45">
        <f t="shared" si="16"/>
        <v>83.898305084745772</v>
      </c>
      <c r="Z13" s="24">
        <f t="shared" si="17"/>
        <v>6.8000000000000005E-2</v>
      </c>
      <c r="AA13" s="16">
        <f>$Y13*$Z13*其他调用!V12</f>
        <v>32.79501443754048</v>
      </c>
      <c r="AB13" s="16">
        <f>$Y13*$Z13*其他调用!W12</f>
        <v>40.564436696210372</v>
      </c>
      <c r="AC13" s="16">
        <f>$Y13*$Z13*其他调用!X12</f>
        <v>45.331775661014142</v>
      </c>
      <c r="AD13" s="16">
        <f>$Y13*$Z13*其他调用!Y12</f>
        <v>38.612515595666061</v>
      </c>
      <c r="AE13" s="16">
        <f>$Y13*$Z13*其他调用!Z12</f>
        <v>21.232932926692737</v>
      </c>
      <c r="AH13" s="16">
        <v>9</v>
      </c>
      <c r="AI13" s="16">
        <f>SUM(AA$5:AA13)</f>
        <v>186.63883028922459</v>
      </c>
      <c r="AJ13" s="16">
        <f>SUM(AB$5:AB13)</f>
        <v>231.3437100492927</v>
      </c>
      <c r="AK13" s="16">
        <f>SUM(AC$5:AC13)</f>
        <v>252.90019670056012</v>
      </c>
      <c r="AL13" s="16">
        <f>SUM(AD$5:AD13)</f>
        <v>206.83203416336224</v>
      </c>
      <c r="AM13" s="16">
        <f>SUM(AE$5:AE13)</f>
        <v>112.30197783218932</v>
      </c>
      <c r="AR13" s="16">
        <v>9</v>
      </c>
      <c r="AS13" s="24">
        <f t="shared" si="0"/>
        <v>6.8000000000000005E-2</v>
      </c>
      <c r="AT13" s="16">
        <f>求节点(E$28:E$34,$M$28:$M$34,$AR13)*$AS13*其他调用!V12/$E$4</f>
        <v>0</v>
      </c>
      <c r="AU13" s="16">
        <f>求节点(F$28:F$34,$M$28:$M$34,$AR13)*$AS13*其他调用!W12/$E$4</f>
        <v>0</v>
      </c>
      <c r="AV13" s="16">
        <f>求节点(G$28:G$34,$M$28:$M$34,$AR13)*$AS13*其他调用!X12/$E$4</f>
        <v>0</v>
      </c>
      <c r="AW13" s="16">
        <f>求节点(H$28:H$34,$M$28:$M$34,$AR13)*$AS13*其他调用!Y12/$E$4</f>
        <v>0</v>
      </c>
      <c r="AX13" s="16">
        <f>求节点(I$28:I$34,$M$28:$M$34,$AR13)*$AS13*其他调用!Z12/$E$4</f>
        <v>0</v>
      </c>
      <c r="AY13" s="16">
        <f>求节点(E$28:E$34,$N$28:$N$34,$AR13)*$AS13*其他调用!V12/$E$4</f>
        <v>0</v>
      </c>
      <c r="AZ13" s="16">
        <f>求节点(F$28:F$34,$N$28:$N$34,$AR13)*$AS13*其他调用!W12/$E$4</f>
        <v>0</v>
      </c>
      <c r="BA13" s="16">
        <f>求节点(G$28:G$34,$N$28:$N$34,$AR13)*$AS13*其他调用!X12/$E$4</f>
        <v>0</v>
      </c>
      <c r="BB13" s="16">
        <f>求节点(H$28:H$34,$N$28:$N$34,$AR13)*$AS13*其他调用!Y12/$E$4</f>
        <v>0</v>
      </c>
      <c r="BC13" s="16">
        <f>求节点(I$28:I$34,$N$28:$N$34,$AR13)*$AS13*其他调用!Z12/$E$4</f>
        <v>0</v>
      </c>
      <c r="BD13" s="16">
        <f>求节点(E$28:E$34,$O$28:$O$34,$AR13)*$AS13*其他调用!V12/$E$4</f>
        <v>0</v>
      </c>
      <c r="BE13" s="16">
        <f>求节点(F$28:F$34,$O$28:$O$34,$AR13)*$AS13*其他调用!W12/$E$4</f>
        <v>0</v>
      </c>
      <c r="BF13" s="16">
        <f>求节点(G$28:G$34,$O$28:$O$34,$AR13)*$AS13*其他调用!X12/$E$4</f>
        <v>0</v>
      </c>
      <c r="BG13" s="16">
        <f>求节点(H$28:H$34,$O$28:$O$34,$AR13)*$AS13*其他调用!Y12/$E$4</f>
        <v>0</v>
      </c>
      <c r="BH13" s="16">
        <f>求节点(I$28:I$34,$O$28:$O$34,$AR13)*$AS13*其他调用!Z12/$E$4</f>
        <v>0</v>
      </c>
      <c r="BK13" s="16">
        <v>9</v>
      </c>
      <c r="BL13" s="16">
        <f>SUM(AT$5:AT13)</f>
        <v>0</v>
      </c>
      <c r="BM13" s="16">
        <f>SUM(AU$5:AU13)</f>
        <v>0</v>
      </c>
      <c r="BN13" s="16">
        <f>SUM(AV$5:AV13)</f>
        <v>0</v>
      </c>
      <c r="BO13" s="16">
        <f>SUM(AW$5:AW13)</f>
        <v>0</v>
      </c>
      <c r="BP13" s="16">
        <f>SUM(AX$5:AX13)</f>
        <v>0</v>
      </c>
      <c r="BQ13" s="16">
        <f>SUM(AY$5:AY13)</f>
        <v>0</v>
      </c>
      <c r="BR13" s="16">
        <f>SUM(AZ$5:AZ13)</f>
        <v>0</v>
      </c>
      <c r="BS13" s="16">
        <f>SUM(BA$5:BA13)</f>
        <v>0</v>
      </c>
      <c r="BT13" s="16">
        <f>SUM(BB$5:BB13)</f>
        <v>0</v>
      </c>
      <c r="BU13" s="16">
        <f>SUM(BC$5:BC13)</f>
        <v>0</v>
      </c>
      <c r="BV13" s="16">
        <f>SUM(BD$5:BD13)</f>
        <v>0</v>
      </c>
      <c r="BW13" s="16">
        <f>SUM(BE$5:BE13)</f>
        <v>0</v>
      </c>
      <c r="BX13" s="16">
        <f>SUM(BF$5:BF13)</f>
        <v>0</v>
      </c>
      <c r="BY13" s="16">
        <f>SUM(BG$5:BG13)</f>
        <v>0</v>
      </c>
      <c r="BZ13" s="16">
        <f>SUM(BH$5:BH13)</f>
        <v>0</v>
      </c>
      <c r="CC13" s="16">
        <v>9</v>
      </c>
      <c r="CD13" s="16">
        <f t="shared" si="1"/>
        <v>0</v>
      </c>
      <c r="CE13" s="16">
        <f t="shared" si="2"/>
        <v>0</v>
      </c>
      <c r="CF13" s="16">
        <f t="shared" si="3"/>
        <v>0</v>
      </c>
      <c r="CG13" s="16">
        <f t="shared" si="4"/>
        <v>0</v>
      </c>
      <c r="CH13" s="16">
        <f t="shared" si="5"/>
        <v>0</v>
      </c>
      <c r="CI13" s="16">
        <f t="shared" si="6"/>
        <v>0</v>
      </c>
      <c r="CJ13" s="16">
        <f t="shared" si="7"/>
        <v>0</v>
      </c>
      <c r="CK13" s="16">
        <f t="shared" si="8"/>
        <v>0</v>
      </c>
      <c r="CL13" s="16">
        <f t="shared" si="9"/>
        <v>0</v>
      </c>
      <c r="CM13" s="16">
        <f t="shared" si="10"/>
        <v>0</v>
      </c>
      <c r="CN13" s="16">
        <f t="shared" si="11"/>
        <v>0</v>
      </c>
      <c r="CO13" s="16">
        <f t="shared" si="12"/>
        <v>0</v>
      </c>
      <c r="CP13" s="16">
        <f t="shared" si="13"/>
        <v>0</v>
      </c>
      <c r="CQ13" s="16">
        <f t="shared" si="14"/>
        <v>0</v>
      </c>
      <c r="CR13" s="16">
        <f t="shared" si="15"/>
        <v>0</v>
      </c>
      <c r="CV13" s="16">
        <v>9</v>
      </c>
      <c r="CW13" s="35">
        <f t="shared" si="18"/>
        <v>0.13200000000000001</v>
      </c>
      <c r="CX13" s="16">
        <f>其他调用!V12/$E$4*求节点(E$28:E$34,$P$28:$P$34,$CV13)*$CW13</f>
        <v>0</v>
      </c>
      <c r="CY13" s="16">
        <f>其他调用!W12/$E$4*求节点(F$28:F$34,$P$28:$P$34,$CV13)*$CW13</f>
        <v>0</v>
      </c>
      <c r="CZ13" s="16">
        <f>其他调用!X12/$E$4*求节点(G$28:G$34,$P$28:$P$34,$CV13)*$CW13</f>
        <v>0</v>
      </c>
      <c r="DA13" s="16">
        <f>其他调用!Y12/$E$4*求节点(H$28:H$34,$P$28:$P$34,$CV13)*$CW13</f>
        <v>0</v>
      </c>
      <c r="DB13" s="16">
        <f>其他调用!Z12/$E$4*求节点(I$28:I$34,$P$28:$P$34,$CV13)*$CW13</f>
        <v>0</v>
      </c>
      <c r="DC13" s="16">
        <f>SUM(CX$5:CX13)</f>
        <v>0</v>
      </c>
      <c r="DD13" s="16">
        <f>SUM(CY$5:CY13)</f>
        <v>0</v>
      </c>
      <c r="DE13" s="16">
        <f>SUM(CZ$5:CZ13)</f>
        <v>0</v>
      </c>
      <c r="DF13" s="16">
        <f>SUM(DA$5:DA13)</f>
        <v>0</v>
      </c>
      <c r="DG13" s="16">
        <f>SUM(DB$5:DB13)</f>
        <v>0</v>
      </c>
    </row>
    <row r="14" spans="1:111">
      <c r="X14" s="16">
        <v>10</v>
      </c>
      <c r="Y14" s="45">
        <f t="shared" si="16"/>
        <v>88.13559322033899</v>
      </c>
      <c r="Z14" s="24">
        <f t="shared" si="17"/>
        <v>6.8000000000000005E-2</v>
      </c>
      <c r="AA14" s="16">
        <f>$Y14*$Z14*其他调用!V13</f>
        <v>36.924019418945946</v>
      </c>
      <c r="AB14" s="16">
        <f>$Y14*$Z14*其他调用!W13</f>
        <v>47.29319596808859</v>
      </c>
      <c r="AC14" s="16">
        <f>$Y14*$Z14*其他调用!X13</f>
        <v>52.726452375898894</v>
      </c>
      <c r="AD14" s="16">
        <f>$Y14*$Z14*其他调用!Y13</f>
        <v>44.530056284160629</v>
      </c>
      <c r="AE14" s="16">
        <f>$Y14*$Z14*其他调用!Z13</f>
        <v>25.474516049076172</v>
      </c>
      <c r="AH14" s="16">
        <v>10</v>
      </c>
      <c r="AI14" s="16">
        <f>SUM(AA$5:AA14)</f>
        <v>223.56284970817052</v>
      </c>
      <c r="AJ14" s="16">
        <f>SUM(AB$5:AB14)</f>
        <v>278.63690601738131</v>
      </c>
      <c r="AK14" s="16">
        <f>SUM(AC$5:AC14)</f>
        <v>305.62664907645899</v>
      </c>
      <c r="AL14" s="16">
        <f>SUM(AD$5:AD14)</f>
        <v>251.36209044752286</v>
      </c>
      <c r="AM14" s="16">
        <f>SUM(AE$5:AE14)</f>
        <v>137.77649388126548</v>
      </c>
      <c r="AR14" s="16">
        <v>10</v>
      </c>
      <c r="AS14" s="24">
        <f t="shared" si="0"/>
        <v>6.8000000000000005E-2</v>
      </c>
      <c r="AT14" s="16">
        <f>求节点(E$28:E$34,$M$28:$M$34,$AR14)*$AS14*其他调用!V13/$E$4</f>
        <v>0</v>
      </c>
      <c r="AU14" s="16">
        <f>求节点(F$28:F$34,$M$28:$M$34,$AR14)*$AS14*其他调用!W13/$E$4</f>
        <v>0</v>
      </c>
      <c r="AV14" s="16">
        <f>求节点(G$28:G$34,$M$28:$M$34,$AR14)*$AS14*其他调用!X13/$E$4</f>
        <v>0</v>
      </c>
      <c r="AW14" s="16">
        <f>求节点(H$28:H$34,$M$28:$M$34,$AR14)*$AS14*其他调用!Y13/$E$4</f>
        <v>0</v>
      </c>
      <c r="AX14" s="16">
        <f>求节点(I$28:I$34,$M$28:$M$34,$AR14)*$AS14*其他调用!Z13/$E$4</f>
        <v>0</v>
      </c>
      <c r="AY14" s="16">
        <f>求节点(E$28:E$34,$N$28:$N$34,$AR14)*$AS14*其他调用!V13/$E$4</f>
        <v>0</v>
      </c>
      <c r="AZ14" s="16">
        <f>求节点(F$28:F$34,$N$28:$N$34,$AR14)*$AS14*其他调用!W13/$E$4</f>
        <v>0</v>
      </c>
      <c r="BA14" s="16">
        <f>求节点(G$28:G$34,$N$28:$N$34,$AR14)*$AS14*其他调用!X13/$E$4</f>
        <v>0</v>
      </c>
      <c r="BB14" s="16">
        <f>求节点(H$28:H$34,$N$28:$N$34,$AR14)*$AS14*其他调用!Y13/$E$4</f>
        <v>0</v>
      </c>
      <c r="BC14" s="16">
        <f>求节点(I$28:I$34,$N$28:$N$34,$AR14)*$AS14*其他调用!Z13/$E$4</f>
        <v>0</v>
      </c>
      <c r="BD14" s="16">
        <f>求节点(E$28:E$34,$O$28:$O$34,$AR14)*$AS14*其他调用!V13/$E$4</f>
        <v>0</v>
      </c>
      <c r="BE14" s="16">
        <f>求节点(F$28:F$34,$O$28:$O$34,$AR14)*$AS14*其他调用!W13/$E$4</f>
        <v>0</v>
      </c>
      <c r="BF14" s="16">
        <f>求节点(G$28:G$34,$O$28:$O$34,$AR14)*$AS14*其他调用!X13/$E$4</f>
        <v>0</v>
      </c>
      <c r="BG14" s="16">
        <f>求节点(H$28:H$34,$O$28:$O$34,$AR14)*$AS14*其他调用!Y13/$E$4</f>
        <v>0</v>
      </c>
      <c r="BH14" s="16">
        <f>求节点(I$28:I$34,$O$28:$O$34,$AR14)*$AS14*其他调用!Z13/$E$4</f>
        <v>0</v>
      </c>
      <c r="BK14" s="16">
        <v>10</v>
      </c>
      <c r="BL14" s="16">
        <f>SUM(AT$5:AT14)</f>
        <v>0</v>
      </c>
      <c r="BM14" s="16">
        <f>SUM(AU$5:AU14)</f>
        <v>0</v>
      </c>
      <c r="BN14" s="16">
        <f>SUM(AV$5:AV14)</f>
        <v>0</v>
      </c>
      <c r="BO14" s="16">
        <f>SUM(AW$5:AW14)</f>
        <v>0</v>
      </c>
      <c r="BP14" s="16">
        <f>SUM(AX$5:AX14)</f>
        <v>0</v>
      </c>
      <c r="BQ14" s="16">
        <f>SUM(AY$5:AY14)</f>
        <v>0</v>
      </c>
      <c r="BR14" s="16">
        <f>SUM(AZ$5:AZ14)</f>
        <v>0</v>
      </c>
      <c r="BS14" s="16">
        <f>SUM(BA$5:BA14)</f>
        <v>0</v>
      </c>
      <c r="BT14" s="16">
        <f>SUM(BB$5:BB14)</f>
        <v>0</v>
      </c>
      <c r="BU14" s="16">
        <f>SUM(BC$5:BC14)</f>
        <v>0</v>
      </c>
      <c r="BV14" s="16">
        <f>SUM(BD$5:BD14)</f>
        <v>0</v>
      </c>
      <c r="BW14" s="16">
        <f>SUM(BE$5:BE14)</f>
        <v>0</v>
      </c>
      <c r="BX14" s="16">
        <f>SUM(BF$5:BF14)</f>
        <v>0</v>
      </c>
      <c r="BY14" s="16">
        <f>SUM(BG$5:BG14)</f>
        <v>0</v>
      </c>
      <c r="BZ14" s="16">
        <f>SUM(BH$5:BH14)</f>
        <v>0</v>
      </c>
      <c r="CC14" s="16">
        <v>10</v>
      </c>
      <c r="CD14" s="16">
        <f t="shared" si="1"/>
        <v>0</v>
      </c>
      <c r="CE14" s="16">
        <f t="shared" si="2"/>
        <v>0</v>
      </c>
      <c r="CF14" s="16">
        <f t="shared" si="3"/>
        <v>0</v>
      </c>
      <c r="CG14" s="16">
        <f t="shared" si="4"/>
        <v>0</v>
      </c>
      <c r="CH14" s="16">
        <f t="shared" si="5"/>
        <v>0</v>
      </c>
      <c r="CI14" s="16">
        <f t="shared" si="6"/>
        <v>0</v>
      </c>
      <c r="CJ14" s="16">
        <f t="shared" si="7"/>
        <v>0</v>
      </c>
      <c r="CK14" s="16">
        <f t="shared" si="8"/>
        <v>0</v>
      </c>
      <c r="CL14" s="16">
        <f t="shared" si="9"/>
        <v>0</v>
      </c>
      <c r="CM14" s="16">
        <f t="shared" si="10"/>
        <v>0</v>
      </c>
      <c r="CN14" s="16">
        <f t="shared" si="11"/>
        <v>0</v>
      </c>
      <c r="CO14" s="16">
        <f t="shared" si="12"/>
        <v>0</v>
      </c>
      <c r="CP14" s="16">
        <f t="shared" si="13"/>
        <v>0</v>
      </c>
      <c r="CQ14" s="16">
        <f t="shared" si="14"/>
        <v>0</v>
      </c>
      <c r="CR14" s="16">
        <f t="shared" si="15"/>
        <v>0</v>
      </c>
      <c r="CV14" s="16">
        <v>10</v>
      </c>
      <c r="CW14" s="35">
        <f t="shared" si="18"/>
        <v>0.13200000000000001</v>
      </c>
      <c r="CX14" s="16">
        <f>其他调用!V13/$E$4*求节点(E$28:E$34,$P$28:$P$34,$CV14)*$CW14</f>
        <v>0</v>
      </c>
      <c r="CY14" s="16">
        <f>其他调用!W13/$E$4*求节点(F$28:F$34,$P$28:$P$34,$CV14)*$CW14</f>
        <v>0</v>
      </c>
      <c r="CZ14" s="16">
        <f>其他调用!X13/$E$4*求节点(G$28:G$34,$P$28:$P$34,$CV14)*$CW14</f>
        <v>0</v>
      </c>
      <c r="DA14" s="16">
        <f>其他调用!Y13/$E$4*求节点(H$28:H$34,$P$28:$P$34,$CV14)*$CW14</f>
        <v>0</v>
      </c>
      <c r="DB14" s="16">
        <f>其他调用!Z13/$E$4*求节点(I$28:I$34,$P$28:$P$34,$CV14)*$CW14</f>
        <v>0</v>
      </c>
      <c r="DC14" s="16">
        <f>SUM(CX$5:CX14)</f>
        <v>0</v>
      </c>
      <c r="DD14" s="16">
        <f>SUM(CY$5:CY14)</f>
        <v>0</v>
      </c>
      <c r="DE14" s="16">
        <f>SUM(CZ$5:CZ14)</f>
        <v>0</v>
      </c>
      <c r="DF14" s="16">
        <f>SUM(DA$5:DA14)</f>
        <v>0</v>
      </c>
      <c r="DG14" s="16">
        <f>SUM(DB$5:DB14)</f>
        <v>0</v>
      </c>
    </row>
    <row r="15" spans="1:111">
      <c r="C15" s="16" t="s">
        <v>300</v>
      </c>
      <c r="D15" s="75">
        <f>500*投放验证!$E$25*$P$29/75</f>
        <v>330</v>
      </c>
      <c r="E15" s="76">
        <f>500-D15</f>
        <v>170</v>
      </c>
      <c r="F15" s="21">
        <v>200</v>
      </c>
      <c r="G15" s="42">
        <v>200</v>
      </c>
      <c r="H15" s="42">
        <v>0</v>
      </c>
      <c r="I15" s="42">
        <v>0</v>
      </c>
      <c r="J15" s="42">
        <v>100</v>
      </c>
      <c r="K15" s="42"/>
      <c r="L15" s="16"/>
      <c r="M15" s="16"/>
      <c r="X15" s="16">
        <v>11</v>
      </c>
      <c r="Y15" s="45">
        <f t="shared" si="16"/>
        <v>92.372881355932208</v>
      </c>
      <c r="Z15" s="24">
        <f t="shared" si="17"/>
        <v>6.8000000000000005E-2</v>
      </c>
      <c r="AA15" s="16">
        <f>$Y15*$Z15*其他调用!V14</f>
        <v>41.476789150295311</v>
      </c>
      <c r="AB15" s="16">
        <f>$Y15*$Z15*其他调用!W14</f>
        <v>52.843201894355467</v>
      </c>
      <c r="AC15" s="16">
        <f>$Y15*$Z15*其他调用!X14</f>
        <v>60.039164319316676</v>
      </c>
      <c r="AD15" s="16">
        <f>$Y15*$Z15*其他调用!Y14</f>
        <v>49.154847000738464</v>
      </c>
      <c r="AE15" s="16">
        <f>$Y15*$Z15*其他调用!Z14</f>
        <v>28.775931629222708</v>
      </c>
      <c r="AH15" s="16">
        <v>11</v>
      </c>
      <c r="AI15" s="16">
        <f>SUM(AA$5:AA15)</f>
        <v>265.03963885846582</v>
      </c>
      <c r="AJ15" s="16">
        <f>SUM(AB$5:AB15)</f>
        <v>331.48010791173675</v>
      </c>
      <c r="AK15" s="16">
        <f>SUM(AC$5:AC15)</f>
        <v>365.66581339577567</v>
      </c>
      <c r="AL15" s="16">
        <f>SUM(AD$5:AD15)</f>
        <v>300.51693744826133</v>
      </c>
      <c r="AM15" s="16">
        <f>SUM(AE$5:AE15)</f>
        <v>166.55242551048818</v>
      </c>
      <c r="AR15" s="16">
        <v>11</v>
      </c>
      <c r="AS15" s="24">
        <f t="shared" si="0"/>
        <v>6.8000000000000005E-2</v>
      </c>
      <c r="AT15" s="16">
        <f>求节点(E$28:E$34,$M$28:$M$34,$AR15)*$AS15*其他调用!V14/$E$4</f>
        <v>0</v>
      </c>
      <c r="AU15" s="16">
        <f>求节点(F$28:F$34,$M$28:$M$34,$AR15)*$AS15*其他调用!W14/$E$4</f>
        <v>0</v>
      </c>
      <c r="AV15" s="16">
        <f>求节点(G$28:G$34,$M$28:$M$34,$AR15)*$AS15*其他调用!X14/$E$4</f>
        <v>0</v>
      </c>
      <c r="AW15" s="16">
        <f>求节点(H$28:H$34,$M$28:$M$34,$AR15)*$AS15*其他调用!Y14/$E$4</f>
        <v>0</v>
      </c>
      <c r="AX15" s="16">
        <f>求节点(I$28:I$34,$M$28:$M$34,$AR15)*$AS15*其他调用!Z14/$E$4</f>
        <v>0</v>
      </c>
      <c r="AY15" s="16">
        <f>求节点(E$28:E$34,$N$28:$N$34,$AR15)*$AS15*其他调用!V14/$E$4</f>
        <v>0</v>
      </c>
      <c r="AZ15" s="16">
        <f>求节点(F$28:F$34,$N$28:$N$34,$AR15)*$AS15*其他调用!W14/$E$4</f>
        <v>0</v>
      </c>
      <c r="BA15" s="16">
        <f>求节点(G$28:G$34,$N$28:$N$34,$AR15)*$AS15*其他调用!X14/$E$4</f>
        <v>0</v>
      </c>
      <c r="BB15" s="16">
        <f>求节点(H$28:H$34,$N$28:$N$34,$AR15)*$AS15*其他调用!Y14/$E$4</f>
        <v>0</v>
      </c>
      <c r="BC15" s="16">
        <f>求节点(I$28:I$34,$N$28:$N$34,$AR15)*$AS15*其他调用!Z14/$E$4</f>
        <v>0</v>
      </c>
      <c r="BD15" s="16">
        <f>求节点(E$28:E$34,$O$28:$O$34,$AR15)*$AS15*其他调用!V14/$E$4</f>
        <v>0</v>
      </c>
      <c r="BE15" s="16">
        <f>求节点(F$28:F$34,$O$28:$O$34,$AR15)*$AS15*其他调用!W14/$E$4</f>
        <v>0</v>
      </c>
      <c r="BF15" s="16">
        <f>求节点(G$28:G$34,$O$28:$O$34,$AR15)*$AS15*其他调用!X14/$E$4</f>
        <v>0</v>
      </c>
      <c r="BG15" s="16">
        <f>求节点(H$28:H$34,$O$28:$O$34,$AR15)*$AS15*其他调用!Y14/$E$4</f>
        <v>0</v>
      </c>
      <c r="BH15" s="16">
        <f>求节点(I$28:I$34,$O$28:$O$34,$AR15)*$AS15*其他调用!Z14/$E$4</f>
        <v>0</v>
      </c>
      <c r="BK15" s="16">
        <v>11</v>
      </c>
      <c r="BL15" s="16">
        <f>SUM(AT$5:AT15)</f>
        <v>0</v>
      </c>
      <c r="BM15" s="16">
        <f>SUM(AU$5:AU15)</f>
        <v>0</v>
      </c>
      <c r="BN15" s="16">
        <f>SUM(AV$5:AV15)</f>
        <v>0</v>
      </c>
      <c r="BO15" s="16">
        <f>SUM(AW$5:AW15)</f>
        <v>0</v>
      </c>
      <c r="BP15" s="16">
        <f>SUM(AX$5:AX15)</f>
        <v>0</v>
      </c>
      <c r="BQ15" s="16">
        <f>SUM(AY$5:AY15)</f>
        <v>0</v>
      </c>
      <c r="BR15" s="16">
        <f>SUM(AZ$5:AZ15)</f>
        <v>0</v>
      </c>
      <c r="BS15" s="16">
        <f>SUM(BA$5:BA15)</f>
        <v>0</v>
      </c>
      <c r="BT15" s="16">
        <f>SUM(BB$5:BB15)</f>
        <v>0</v>
      </c>
      <c r="BU15" s="16">
        <f>SUM(BC$5:BC15)</f>
        <v>0</v>
      </c>
      <c r="BV15" s="16">
        <f>SUM(BD$5:BD15)</f>
        <v>0</v>
      </c>
      <c r="BW15" s="16">
        <f>SUM(BE$5:BE15)</f>
        <v>0</v>
      </c>
      <c r="BX15" s="16">
        <f>SUM(BF$5:BF15)</f>
        <v>0</v>
      </c>
      <c r="BY15" s="16">
        <f>SUM(BG$5:BG15)</f>
        <v>0</v>
      </c>
      <c r="BZ15" s="16">
        <f>SUM(BH$5:BH15)</f>
        <v>0</v>
      </c>
      <c r="CC15" s="16">
        <v>11</v>
      </c>
      <c r="CD15" s="16">
        <f t="shared" si="1"/>
        <v>0</v>
      </c>
      <c r="CE15" s="16">
        <f t="shared" si="2"/>
        <v>0</v>
      </c>
      <c r="CF15" s="16">
        <f t="shared" si="3"/>
        <v>0</v>
      </c>
      <c r="CG15" s="16">
        <f t="shared" si="4"/>
        <v>0</v>
      </c>
      <c r="CH15" s="16">
        <f t="shared" si="5"/>
        <v>0</v>
      </c>
      <c r="CI15" s="16">
        <f t="shared" si="6"/>
        <v>0</v>
      </c>
      <c r="CJ15" s="16">
        <f t="shared" si="7"/>
        <v>0</v>
      </c>
      <c r="CK15" s="16">
        <f t="shared" si="8"/>
        <v>0</v>
      </c>
      <c r="CL15" s="16">
        <f t="shared" si="9"/>
        <v>0</v>
      </c>
      <c r="CM15" s="16">
        <f t="shared" si="10"/>
        <v>0</v>
      </c>
      <c r="CN15" s="16">
        <f t="shared" si="11"/>
        <v>0</v>
      </c>
      <c r="CO15" s="16">
        <f t="shared" si="12"/>
        <v>0</v>
      </c>
      <c r="CP15" s="16">
        <f t="shared" si="13"/>
        <v>0</v>
      </c>
      <c r="CQ15" s="16">
        <f t="shared" si="14"/>
        <v>0</v>
      </c>
      <c r="CR15" s="16">
        <f t="shared" si="15"/>
        <v>0</v>
      </c>
      <c r="CV15" s="16">
        <v>11</v>
      </c>
      <c r="CW15" s="35">
        <f t="shared" si="18"/>
        <v>0.13200000000000001</v>
      </c>
      <c r="CX15" s="16">
        <f>其他调用!V14/$E$4*求节点(E$28:E$34,$P$28:$P$34,$CV15)*$CW15</f>
        <v>0</v>
      </c>
      <c r="CY15" s="16">
        <f>其他调用!W14/$E$4*求节点(F$28:F$34,$P$28:$P$34,$CV15)*$CW15</f>
        <v>0</v>
      </c>
      <c r="CZ15" s="16">
        <f>其他调用!X14/$E$4*求节点(G$28:G$34,$P$28:$P$34,$CV15)*$CW15</f>
        <v>0</v>
      </c>
      <c r="DA15" s="16">
        <f>其他调用!Y14/$E$4*求节点(H$28:H$34,$P$28:$P$34,$CV15)*$CW15</f>
        <v>0</v>
      </c>
      <c r="DB15" s="16">
        <f>其他调用!Z14/$E$4*求节点(I$28:I$34,$P$28:$P$34,$CV15)*$CW15</f>
        <v>0</v>
      </c>
      <c r="DC15" s="16">
        <f>SUM(CX$5:CX15)</f>
        <v>0</v>
      </c>
      <c r="DD15" s="16">
        <f>SUM(CY$5:CY15)</f>
        <v>0</v>
      </c>
      <c r="DE15" s="16">
        <f>SUM(CZ$5:CZ15)</f>
        <v>0</v>
      </c>
      <c r="DF15" s="16">
        <f>SUM(DA$5:DA15)</f>
        <v>0</v>
      </c>
      <c r="DG15" s="16">
        <f>SUM(DB$5:DB15)</f>
        <v>0</v>
      </c>
    </row>
    <row r="16" spans="1:111">
      <c r="C16" s="174" t="s">
        <v>301</v>
      </c>
      <c r="D16" s="32"/>
      <c r="F16" s="32"/>
      <c r="G16" s="32"/>
      <c r="H16" s="164" t="s">
        <v>302</v>
      </c>
      <c r="I16" s="164"/>
      <c r="J16" s="164"/>
      <c r="K16" s="24"/>
      <c r="L16" s="24"/>
      <c r="M16" s="16"/>
      <c r="X16" s="16">
        <v>12</v>
      </c>
      <c r="Y16" s="45">
        <f t="shared" si="16"/>
        <v>96.610169491525426</v>
      </c>
      <c r="Z16" s="24">
        <f t="shared" si="17"/>
        <v>6.8000000000000005E-2</v>
      </c>
      <c r="AA16" s="16">
        <f>$Y16*$Z16*其他调用!V15</f>
        <v>46.49288347857776</v>
      </c>
      <c r="AB16" s="16">
        <f>$Y16*$Z16*其他调用!W15</f>
        <v>58.225868870853546</v>
      </c>
      <c r="AC16" s="16">
        <f>$Y16*$Z16*其他调用!X15</f>
        <v>66.541355630658558</v>
      </c>
      <c r="AD16" s="16">
        <f>$Y16*$Z16*其他调用!Y15</f>
        <v>58.473642221825642</v>
      </c>
      <c r="AE16" s="16">
        <f>$Y16*$Z16*其他调用!Z15</f>
        <v>32.43156204134138</v>
      </c>
      <c r="AH16" s="16">
        <v>12</v>
      </c>
      <c r="AI16" s="16">
        <f>SUM(AA$5:AA16)</f>
        <v>311.53252233704359</v>
      </c>
      <c r="AJ16" s="16">
        <f>SUM(AB$5:AB16)</f>
        <v>389.70597678259031</v>
      </c>
      <c r="AK16" s="16">
        <f>SUM(AC$5:AC16)</f>
        <v>432.20716902643426</v>
      </c>
      <c r="AL16" s="16">
        <f>SUM(AD$5:AD16)</f>
        <v>358.99057967008696</v>
      </c>
      <c r="AM16" s="16">
        <f>SUM(AE$5:AE16)</f>
        <v>198.98398755182956</v>
      </c>
      <c r="AR16" s="16">
        <v>12</v>
      </c>
      <c r="AS16" s="24">
        <f t="shared" si="0"/>
        <v>6.8000000000000005E-2</v>
      </c>
      <c r="AT16" s="16">
        <f>求节点(E$28:E$34,$M$28:$M$34,$AR16)*$AS16*其他调用!V15/$E$4</f>
        <v>0</v>
      </c>
      <c r="AU16" s="16">
        <f>求节点(F$28:F$34,$M$28:$M$34,$AR16)*$AS16*其他调用!W15/$E$4</f>
        <v>0</v>
      </c>
      <c r="AV16" s="16">
        <f>求节点(G$28:G$34,$M$28:$M$34,$AR16)*$AS16*其他调用!X15/$E$4</f>
        <v>0</v>
      </c>
      <c r="AW16" s="16">
        <f>求节点(H$28:H$34,$M$28:$M$34,$AR16)*$AS16*其他调用!Y15/$E$4</f>
        <v>0</v>
      </c>
      <c r="AX16" s="16">
        <f>求节点(I$28:I$34,$M$28:$M$34,$AR16)*$AS16*其他调用!Z15/$E$4</f>
        <v>0</v>
      </c>
      <c r="AY16" s="16">
        <f>求节点(E$28:E$34,$N$28:$N$34,$AR16)*$AS16*其他调用!V15/$E$4</f>
        <v>0</v>
      </c>
      <c r="AZ16" s="16">
        <f>求节点(F$28:F$34,$N$28:$N$34,$AR16)*$AS16*其他调用!W15/$E$4</f>
        <v>0</v>
      </c>
      <c r="BA16" s="16">
        <f>求节点(G$28:G$34,$N$28:$N$34,$AR16)*$AS16*其他调用!X15/$E$4</f>
        <v>0</v>
      </c>
      <c r="BB16" s="16">
        <f>求节点(H$28:H$34,$N$28:$N$34,$AR16)*$AS16*其他调用!Y15/$E$4</f>
        <v>0</v>
      </c>
      <c r="BC16" s="16">
        <f>求节点(I$28:I$34,$N$28:$N$34,$AR16)*$AS16*其他调用!Z15/$E$4</f>
        <v>0</v>
      </c>
      <c r="BD16" s="16">
        <f>求节点(E$28:E$34,$O$28:$O$34,$AR16)*$AS16*其他调用!V15/$E$4</f>
        <v>0</v>
      </c>
      <c r="BE16" s="16">
        <f>求节点(F$28:F$34,$O$28:$O$34,$AR16)*$AS16*其他调用!W15/$E$4</f>
        <v>0</v>
      </c>
      <c r="BF16" s="16">
        <f>求节点(G$28:G$34,$O$28:$O$34,$AR16)*$AS16*其他调用!X15/$E$4</f>
        <v>0</v>
      </c>
      <c r="BG16" s="16">
        <f>求节点(H$28:H$34,$O$28:$O$34,$AR16)*$AS16*其他调用!Y15/$E$4</f>
        <v>0</v>
      </c>
      <c r="BH16" s="16">
        <f>求节点(I$28:I$34,$O$28:$O$34,$AR16)*$AS16*其他调用!Z15/$E$4</f>
        <v>0</v>
      </c>
      <c r="BK16" s="16">
        <v>12</v>
      </c>
      <c r="BL16" s="16">
        <f>SUM(AT$5:AT16)</f>
        <v>0</v>
      </c>
      <c r="BM16" s="16">
        <f>SUM(AU$5:AU16)</f>
        <v>0</v>
      </c>
      <c r="BN16" s="16">
        <f>SUM(AV$5:AV16)</f>
        <v>0</v>
      </c>
      <c r="BO16" s="16">
        <f>SUM(AW$5:AW16)</f>
        <v>0</v>
      </c>
      <c r="BP16" s="16">
        <f>SUM(AX$5:AX16)</f>
        <v>0</v>
      </c>
      <c r="BQ16" s="16">
        <f>SUM(AY$5:AY16)</f>
        <v>0</v>
      </c>
      <c r="BR16" s="16">
        <f>SUM(AZ$5:AZ16)</f>
        <v>0</v>
      </c>
      <c r="BS16" s="16">
        <f>SUM(BA$5:BA16)</f>
        <v>0</v>
      </c>
      <c r="BT16" s="16">
        <f>SUM(BB$5:BB16)</f>
        <v>0</v>
      </c>
      <c r="BU16" s="16">
        <f>SUM(BC$5:BC16)</f>
        <v>0</v>
      </c>
      <c r="BV16" s="16">
        <f>SUM(BD$5:BD16)</f>
        <v>0</v>
      </c>
      <c r="BW16" s="16">
        <f>SUM(BE$5:BE16)</f>
        <v>0</v>
      </c>
      <c r="BX16" s="16">
        <f>SUM(BF$5:BF16)</f>
        <v>0</v>
      </c>
      <c r="BY16" s="16">
        <f>SUM(BG$5:BG16)</f>
        <v>0</v>
      </c>
      <c r="BZ16" s="16">
        <f>SUM(BH$5:BH16)</f>
        <v>0</v>
      </c>
      <c r="CC16" s="16">
        <v>12</v>
      </c>
      <c r="CD16" s="16">
        <f t="shared" si="1"/>
        <v>0</v>
      </c>
      <c r="CE16" s="16">
        <f t="shared" si="2"/>
        <v>0</v>
      </c>
      <c r="CF16" s="16">
        <f t="shared" si="3"/>
        <v>0</v>
      </c>
      <c r="CG16" s="16">
        <f t="shared" si="4"/>
        <v>0</v>
      </c>
      <c r="CH16" s="16">
        <f t="shared" si="5"/>
        <v>0</v>
      </c>
      <c r="CI16" s="16">
        <f t="shared" si="6"/>
        <v>0</v>
      </c>
      <c r="CJ16" s="16">
        <f t="shared" si="7"/>
        <v>0</v>
      </c>
      <c r="CK16" s="16">
        <f t="shared" si="8"/>
        <v>0</v>
      </c>
      <c r="CL16" s="16">
        <f t="shared" si="9"/>
        <v>0</v>
      </c>
      <c r="CM16" s="16">
        <f t="shared" si="10"/>
        <v>0</v>
      </c>
      <c r="CN16" s="16">
        <f t="shared" si="11"/>
        <v>0</v>
      </c>
      <c r="CO16" s="16">
        <f t="shared" si="12"/>
        <v>0</v>
      </c>
      <c r="CP16" s="16">
        <f t="shared" si="13"/>
        <v>0</v>
      </c>
      <c r="CQ16" s="16">
        <f t="shared" si="14"/>
        <v>0</v>
      </c>
      <c r="CR16" s="16">
        <f t="shared" si="15"/>
        <v>0</v>
      </c>
      <c r="CV16" s="16">
        <v>12</v>
      </c>
      <c r="CW16" s="35">
        <f t="shared" si="18"/>
        <v>0.13200000000000001</v>
      </c>
      <c r="CX16" s="16">
        <f>其他调用!V15/$E$4*求节点(E$28:E$34,$P$28:$P$34,$CV16)*$CW16</f>
        <v>0</v>
      </c>
      <c r="CY16" s="16">
        <f>其他调用!W15/$E$4*求节点(F$28:F$34,$P$28:$P$34,$CV16)*$CW16</f>
        <v>0</v>
      </c>
      <c r="CZ16" s="16">
        <f>其他调用!X15/$E$4*求节点(G$28:G$34,$P$28:$P$34,$CV16)*$CW16</f>
        <v>0</v>
      </c>
      <c r="DA16" s="16">
        <f>其他调用!Y15/$E$4*求节点(H$28:H$34,$P$28:$P$34,$CV16)*$CW16</f>
        <v>0</v>
      </c>
      <c r="DB16" s="16">
        <f>其他调用!Z15/$E$4*求节点(I$28:I$34,$P$28:$P$34,$CV16)*$CW16</f>
        <v>0</v>
      </c>
      <c r="DC16" s="16">
        <f>SUM(CX$5:CX16)</f>
        <v>0</v>
      </c>
      <c r="DD16" s="16">
        <f>SUM(CY$5:CY16)</f>
        <v>0</v>
      </c>
      <c r="DE16" s="16">
        <f>SUM(CZ$5:CZ16)</f>
        <v>0</v>
      </c>
      <c r="DF16" s="16">
        <f>SUM(DA$5:DA16)</f>
        <v>0</v>
      </c>
      <c r="DG16" s="16">
        <f>SUM(DB$5:DB16)</f>
        <v>0</v>
      </c>
    </row>
    <row r="17" spans="2:111">
      <c r="C17" s="174"/>
      <c r="D17" s="164" t="s">
        <v>303</v>
      </c>
      <c r="E17" s="164"/>
      <c r="F17" s="16" t="s">
        <v>303</v>
      </c>
      <c r="G17" s="16" t="s">
        <v>304</v>
      </c>
      <c r="H17" s="16" t="s">
        <v>305</v>
      </c>
      <c r="I17" s="16" t="s">
        <v>306</v>
      </c>
      <c r="J17" s="16" t="s">
        <v>307</v>
      </c>
      <c r="K17" s="14" t="s">
        <v>308</v>
      </c>
      <c r="L17" s="16" t="s">
        <v>309</v>
      </c>
      <c r="M17" s="14" t="s">
        <v>310</v>
      </c>
      <c r="X17" s="16">
        <v>13</v>
      </c>
      <c r="Y17" s="45">
        <f t="shared" si="16"/>
        <v>100.84745762711864</v>
      </c>
      <c r="Z17" s="24">
        <f t="shared" si="17"/>
        <v>6.8000000000000005E-2</v>
      </c>
      <c r="AA17" s="16">
        <f>$Y17*$Z17*其他调用!V16</f>
        <v>52.015357950760226</v>
      </c>
      <c r="AB17" s="16">
        <f>$Y17*$Z17*其他调用!W16</f>
        <v>69.004250345791121</v>
      </c>
      <c r="AC17" s="16">
        <f>$Y17*$Z17*其他调用!X16</f>
        <v>77.1374326429071</v>
      </c>
      <c r="AD17" s="16">
        <f>$Y17*$Z17*其他调用!Y16</f>
        <v>65.952924779806025</v>
      </c>
      <c r="AE17" s="16">
        <f>$Y17*$Z17*其他调用!Z16</f>
        <v>37.468912312106504</v>
      </c>
      <c r="AH17" s="16">
        <v>13</v>
      </c>
      <c r="AI17" s="16">
        <f>SUM(AA$5:AA17)</f>
        <v>363.54788028780382</v>
      </c>
      <c r="AJ17" s="16">
        <f>SUM(AB$5:AB17)</f>
        <v>458.71022712838146</v>
      </c>
      <c r="AK17" s="16">
        <f>SUM(AC$5:AC17)</f>
        <v>509.34460166934139</v>
      </c>
      <c r="AL17" s="16">
        <f>SUM(AD$5:AD17)</f>
        <v>424.943504449893</v>
      </c>
      <c r="AM17" s="16">
        <f>SUM(AE$5:AE17)</f>
        <v>236.45289986393607</v>
      </c>
      <c r="AR17" s="16">
        <v>13</v>
      </c>
      <c r="AS17" s="24">
        <f t="shared" si="0"/>
        <v>6.8000000000000005E-2</v>
      </c>
      <c r="AT17" s="16">
        <f>求节点(E$28:E$34,$M$28:$M$34,$AR17)*$AS17*其他调用!V16/$E$4</f>
        <v>0</v>
      </c>
      <c r="AU17" s="16">
        <f>求节点(F$28:F$34,$M$28:$M$34,$AR17)*$AS17*其他调用!W16/$E$4</f>
        <v>0</v>
      </c>
      <c r="AV17" s="16">
        <f>求节点(G$28:G$34,$M$28:$M$34,$AR17)*$AS17*其他调用!X16/$E$4</f>
        <v>0</v>
      </c>
      <c r="AW17" s="16">
        <f>求节点(H$28:H$34,$M$28:$M$34,$AR17)*$AS17*其他调用!Y16/$E$4</f>
        <v>0</v>
      </c>
      <c r="AX17" s="16">
        <f>求节点(I$28:I$34,$M$28:$M$34,$AR17)*$AS17*其他调用!Z16/$E$4</f>
        <v>0</v>
      </c>
      <c r="AY17" s="16">
        <f>求节点(E$28:E$34,$N$28:$N$34,$AR17)*$AS17*其他调用!V16/$E$4</f>
        <v>0</v>
      </c>
      <c r="AZ17" s="16">
        <f>求节点(F$28:F$34,$N$28:$N$34,$AR17)*$AS17*其他调用!W16/$E$4</f>
        <v>0</v>
      </c>
      <c r="BA17" s="16">
        <f>求节点(G$28:G$34,$N$28:$N$34,$AR17)*$AS17*其他调用!X16/$E$4</f>
        <v>0</v>
      </c>
      <c r="BB17" s="16">
        <f>求节点(H$28:H$34,$N$28:$N$34,$AR17)*$AS17*其他调用!Y16/$E$4</f>
        <v>0</v>
      </c>
      <c r="BC17" s="16">
        <f>求节点(I$28:I$34,$N$28:$N$34,$AR17)*$AS17*其他调用!Z16/$E$4</f>
        <v>0</v>
      </c>
      <c r="BD17" s="16">
        <f>求节点(E$28:E$34,$O$28:$O$34,$AR17)*$AS17*其他调用!V16/$E$4</f>
        <v>0</v>
      </c>
      <c r="BE17" s="16">
        <f>求节点(F$28:F$34,$O$28:$O$34,$AR17)*$AS17*其他调用!W16/$E$4</f>
        <v>0</v>
      </c>
      <c r="BF17" s="16">
        <f>求节点(G$28:G$34,$O$28:$O$34,$AR17)*$AS17*其他调用!X16/$E$4</f>
        <v>0</v>
      </c>
      <c r="BG17" s="16">
        <f>求节点(H$28:H$34,$O$28:$O$34,$AR17)*$AS17*其他调用!Y16/$E$4</f>
        <v>0</v>
      </c>
      <c r="BH17" s="16">
        <f>求节点(I$28:I$34,$O$28:$O$34,$AR17)*$AS17*其他调用!Z16/$E$4</f>
        <v>0</v>
      </c>
      <c r="BK17" s="16">
        <v>13</v>
      </c>
      <c r="BL17" s="16">
        <f>SUM(AT$5:AT17)</f>
        <v>0</v>
      </c>
      <c r="BM17" s="16">
        <f>SUM(AU$5:AU17)</f>
        <v>0</v>
      </c>
      <c r="BN17" s="16">
        <f>SUM(AV$5:AV17)</f>
        <v>0</v>
      </c>
      <c r="BO17" s="16">
        <f>SUM(AW$5:AW17)</f>
        <v>0</v>
      </c>
      <c r="BP17" s="16">
        <f>SUM(AX$5:AX17)</f>
        <v>0</v>
      </c>
      <c r="BQ17" s="16">
        <f>SUM(AY$5:AY17)</f>
        <v>0</v>
      </c>
      <c r="BR17" s="16">
        <f>SUM(AZ$5:AZ17)</f>
        <v>0</v>
      </c>
      <c r="BS17" s="16">
        <f>SUM(BA$5:BA17)</f>
        <v>0</v>
      </c>
      <c r="BT17" s="16">
        <f>SUM(BB$5:BB17)</f>
        <v>0</v>
      </c>
      <c r="BU17" s="16">
        <f>SUM(BC$5:BC17)</f>
        <v>0</v>
      </c>
      <c r="BV17" s="16">
        <f>SUM(BD$5:BD17)</f>
        <v>0</v>
      </c>
      <c r="BW17" s="16">
        <f>SUM(BE$5:BE17)</f>
        <v>0</v>
      </c>
      <c r="BX17" s="16">
        <f>SUM(BF$5:BF17)</f>
        <v>0</v>
      </c>
      <c r="BY17" s="16">
        <f>SUM(BG$5:BG17)</f>
        <v>0</v>
      </c>
      <c r="BZ17" s="16">
        <f>SUM(BH$5:BH17)</f>
        <v>0</v>
      </c>
      <c r="CC17" s="16">
        <v>13</v>
      </c>
      <c r="CD17" s="16">
        <f t="shared" si="1"/>
        <v>0</v>
      </c>
      <c r="CE17" s="16">
        <f t="shared" si="2"/>
        <v>0</v>
      </c>
      <c r="CF17" s="16">
        <f t="shared" si="3"/>
        <v>0</v>
      </c>
      <c r="CG17" s="16">
        <f t="shared" si="4"/>
        <v>0</v>
      </c>
      <c r="CH17" s="16">
        <f t="shared" si="5"/>
        <v>0</v>
      </c>
      <c r="CI17" s="16">
        <f t="shared" si="6"/>
        <v>0</v>
      </c>
      <c r="CJ17" s="16">
        <f t="shared" si="7"/>
        <v>0</v>
      </c>
      <c r="CK17" s="16">
        <f t="shared" si="8"/>
        <v>0</v>
      </c>
      <c r="CL17" s="16">
        <f t="shared" si="9"/>
        <v>0</v>
      </c>
      <c r="CM17" s="16">
        <f t="shared" si="10"/>
        <v>0</v>
      </c>
      <c r="CN17" s="16">
        <f t="shared" si="11"/>
        <v>0</v>
      </c>
      <c r="CO17" s="16">
        <f t="shared" si="12"/>
        <v>0</v>
      </c>
      <c r="CP17" s="16">
        <f t="shared" si="13"/>
        <v>0</v>
      </c>
      <c r="CQ17" s="16">
        <f t="shared" si="14"/>
        <v>0</v>
      </c>
      <c r="CR17" s="16">
        <f t="shared" si="15"/>
        <v>0</v>
      </c>
      <c r="CV17" s="16">
        <v>13</v>
      </c>
      <c r="CW17" s="35">
        <f t="shared" si="18"/>
        <v>0.13200000000000001</v>
      </c>
      <c r="CX17" s="16">
        <f>其他调用!V16/$E$4*求节点(E$28:E$34,$P$28:$P$34,$CV17)*$CW17</f>
        <v>0</v>
      </c>
      <c r="CY17" s="16">
        <f>其他调用!W16/$E$4*求节点(F$28:F$34,$P$28:$P$34,$CV17)*$CW17</f>
        <v>0</v>
      </c>
      <c r="CZ17" s="16">
        <f>其他调用!X16/$E$4*求节点(G$28:G$34,$P$28:$P$34,$CV17)*$CW17</f>
        <v>0</v>
      </c>
      <c r="DA17" s="16">
        <f>其他调用!Y16/$E$4*求节点(H$28:H$34,$P$28:$P$34,$CV17)*$CW17</f>
        <v>0</v>
      </c>
      <c r="DB17" s="16">
        <f>其他调用!Z16/$E$4*求节点(I$28:I$34,$P$28:$P$34,$CV17)*$CW17</f>
        <v>0</v>
      </c>
      <c r="DC17" s="16">
        <f>SUM(CX$5:CX17)</f>
        <v>0</v>
      </c>
      <c r="DD17" s="16">
        <f>SUM(CY$5:CY17)</f>
        <v>0</v>
      </c>
      <c r="DE17" s="16">
        <f>SUM(CZ$5:CZ17)</f>
        <v>0</v>
      </c>
      <c r="DF17" s="16">
        <f>SUM(DA$5:DA17)</f>
        <v>0</v>
      </c>
      <c r="DG17" s="16">
        <f>SUM(DB$5:DB17)</f>
        <v>0</v>
      </c>
    </row>
    <row r="18" spans="2:111">
      <c r="B18" s="43" t="s">
        <v>314</v>
      </c>
      <c r="C18" s="16" t="str">
        <f>'[1]功能-行军令'!AC7</f>
        <v>剿匪1(1~14级)</v>
      </c>
      <c r="D18" s="164" t="str">
        <f>'[1]功能-行军令'!AD7</f>
        <v>装备</v>
      </c>
      <c r="E18" s="164"/>
      <c r="F18" s="16" t="str">
        <f>'[1]功能-行军令'!AE7</f>
        <v>装备经验</v>
      </c>
      <c r="G18" s="16" t="str">
        <f>'[1]功能-行军令'!AF7</f>
        <v>武将经验</v>
      </c>
      <c r="H18" s="16" t="str">
        <f>'[1]功能-行军令'!AG7</f>
        <v>银币</v>
      </c>
      <c r="I18" s="16" t="str">
        <f>'[1]功能-行军令'!AH7</f>
        <v>城建资源</v>
      </c>
      <c r="J18" s="16" t="str">
        <f>'[1]功能-行军令'!AI7</f>
        <v>加速令</v>
      </c>
      <c r="K18" s="35">
        <f>'[1]功能-行军令'!AJ7</f>
        <v>0.6</v>
      </c>
      <c r="L18" s="16">
        <f>'[1]功能-行军令'!AK7</f>
        <v>1</v>
      </c>
      <c r="M18" s="16">
        <f>'[1]功能-行军令'!AL7</f>
        <v>24</v>
      </c>
      <c r="X18" s="16">
        <v>14</v>
      </c>
      <c r="Y18" s="45">
        <f t="shared" si="16"/>
        <v>105.08474576271186</v>
      </c>
      <c r="Z18" s="24">
        <f t="shared" si="17"/>
        <v>6.8000000000000005E-2</v>
      </c>
      <c r="AA18" s="16">
        <f>$Y18*$Z18*其他调用!V17</f>
        <v>58.09106182099088</v>
      </c>
      <c r="AB18" s="16">
        <f>$Y18*$Z18*其他调用!W17</f>
        <v>72.206792659402893</v>
      </c>
      <c r="AC18" s="16">
        <f>$Y18*$Z18*其他调用!X17</f>
        <v>81.329486688620094</v>
      </c>
      <c r="AD18" s="16">
        <f>$Y18*$Z18*其他调用!Y17</f>
        <v>66.605790179162909</v>
      </c>
      <c r="AE18" s="16">
        <f>$Y18*$Z18*其他调用!Z17</f>
        <v>36.395596381827566</v>
      </c>
      <c r="AH18" s="16">
        <v>14</v>
      </c>
      <c r="AI18" s="16">
        <f>SUM(AA$5:AA18)</f>
        <v>421.63894210879471</v>
      </c>
      <c r="AJ18" s="16">
        <f>SUM(AB$5:AB18)</f>
        <v>530.9170197877844</v>
      </c>
      <c r="AK18" s="16">
        <f>SUM(AC$5:AC18)</f>
        <v>590.67408835796152</v>
      </c>
      <c r="AL18" s="16">
        <f>SUM(AD$5:AD18)</f>
        <v>491.54929462905591</v>
      </c>
      <c r="AM18" s="16">
        <f>SUM(AE$5:AE18)</f>
        <v>272.84849624576361</v>
      </c>
      <c r="AR18" s="16">
        <v>14</v>
      </c>
      <c r="AS18" s="24">
        <f t="shared" si="0"/>
        <v>6.8000000000000005E-2</v>
      </c>
      <c r="AT18" s="16">
        <f>求节点(E$28:E$34,$M$28:$M$34,$AR18)*$AS18*其他调用!V17/$E$4</f>
        <v>0</v>
      </c>
      <c r="AU18" s="16">
        <f>求节点(F$28:F$34,$M$28:$M$34,$AR18)*$AS18*其他调用!W17/$E$4</f>
        <v>0</v>
      </c>
      <c r="AV18" s="16">
        <f>求节点(G$28:G$34,$M$28:$M$34,$AR18)*$AS18*其他调用!X17/$E$4</f>
        <v>0</v>
      </c>
      <c r="AW18" s="16">
        <f>求节点(H$28:H$34,$M$28:$M$34,$AR18)*$AS18*其他调用!Y17/$E$4</f>
        <v>0</v>
      </c>
      <c r="AX18" s="16">
        <f>求节点(I$28:I$34,$M$28:$M$34,$AR18)*$AS18*其他调用!Z17/$E$4</f>
        <v>0</v>
      </c>
      <c r="AY18" s="16">
        <f>求节点(E$28:E$34,$N$28:$N$34,$AR18)*$AS18*其他调用!V17/$E$4</f>
        <v>0</v>
      </c>
      <c r="AZ18" s="16">
        <f>求节点(F$28:F$34,$N$28:$N$34,$AR18)*$AS18*其他调用!W17/$E$4</f>
        <v>0</v>
      </c>
      <c r="BA18" s="16">
        <f>求节点(G$28:G$34,$N$28:$N$34,$AR18)*$AS18*其他调用!X17/$E$4</f>
        <v>0</v>
      </c>
      <c r="BB18" s="16">
        <f>求节点(H$28:H$34,$N$28:$N$34,$AR18)*$AS18*其他调用!Y17/$E$4</f>
        <v>0</v>
      </c>
      <c r="BC18" s="16">
        <f>求节点(I$28:I$34,$N$28:$N$34,$AR18)*$AS18*其他调用!Z17/$E$4</f>
        <v>0</v>
      </c>
      <c r="BD18" s="16">
        <f>求节点(E$28:E$34,$O$28:$O$34,$AR18)*$AS18*其他调用!V17/$E$4</f>
        <v>0</v>
      </c>
      <c r="BE18" s="16">
        <f>求节点(F$28:F$34,$O$28:$O$34,$AR18)*$AS18*其他调用!W17/$E$4</f>
        <v>0</v>
      </c>
      <c r="BF18" s="16">
        <f>求节点(G$28:G$34,$O$28:$O$34,$AR18)*$AS18*其他调用!X17/$E$4</f>
        <v>0</v>
      </c>
      <c r="BG18" s="16">
        <f>求节点(H$28:H$34,$O$28:$O$34,$AR18)*$AS18*其他调用!Y17/$E$4</f>
        <v>0</v>
      </c>
      <c r="BH18" s="16">
        <f>求节点(I$28:I$34,$O$28:$O$34,$AR18)*$AS18*其他调用!Z17/$E$4</f>
        <v>0</v>
      </c>
      <c r="BK18" s="16">
        <v>14</v>
      </c>
      <c r="BL18" s="16">
        <f>SUM(AT$5:AT18)</f>
        <v>0</v>
      </c>
      <c r="BM18" s="16">
        <f>SUM(AU$5:AU18)</f>
        <v>0</v>
      </c>
      <c r="BN18" s="16">
        <f>SUM(AV$5:AV18)</f>
        <v>0</v>
      </c>
      <c r="BO18" s="16">
        <f>SUM(AW$5:AW18)</f>
        <v>0</v>
      </c>
      <c r="BP18" s="16">
        <f>SUM(AX$5:AX18)</f>
        <v>0</v>
      </c>
      <c r="BQ18" s="16">
        <f>SUM(AY$5:AY18)</f>
        <v>0</v>
      </c>
      <c r="BR18" s="16">
        <f>SUM(AZ$5:AZ18)</f>
        <v>0</v>
      </c>
      <c r="BS18" s="16">
        <f>SUM(BA$5:BA18)</f>
        <v>0</v>
      </c>
      <c r="BT18" s="16">
        <f>SUM(BB$5:BB18)</f>
        <v>0</v>
      </c>
      <c r="BU18" s="16">
        <f>SUM(BC$5:BC18)</f>
        <v>0</v>
      </c>
      <c r="BV18" s="16">
        <f>SUM(BD$5:BD18)</f>
        <v>0</v>
      </c>
      <c r="BW18" s="16">
        <f>SUM(BE$5:BE18)</f>
        <v>0</v>
      </c>
      <c r="BX18" s="16">
        <f>SUM(BF$5:BF18)</f>
        <v>0</v>
      </c>
      <c r="BY18" s="16">
        <f>SUM(BG$5:BG18)</f>
        <v>0</v>
      </c>
      <c r="BZ18" s="16">
        <f>SUM(BH$5:BH18)</f>
        <v>0</v>
      </c>
      <c r="CC18" s="16">
        <v>14</v>
      </c>
      <c r="CD18" s="16">
        <f t="shared" si="1"/>
        <v>0</v>
      </c>
      <c r="CE18" s="16">
        <f t="shared" si="2"/>
        <v>0</v>
      </c>
      <c r="CF18" s="16">
        <f t="shared" si="3"/>
        <v>0</v>
      </c>
      <c r="CG18" s="16">
        <f t="shared" si="4"/>
        <v>0</v>
      </c>
      <c r="CH18" s="16">
        <f t="shared" si="5"/>
        <v>0</v>
      </c>
      <c r="CI18" s="16">
        <f t="shared" si="6"/>
        <v>0</v>
      </c>
      <c r="CJ18" s="16">
        <f t="shared" si="7"/>
        <v>0</v>
      </c>
      <c r="CK18" s="16">
        <f t="shared" si="8"/>
        <v>0</v>
      </c>
      <c r="CL18" s="16">
        <f t="shared" si="9"/>
        <v>0</v>
      </c>
      <c r="CM18" s="16">
        <f t="shared" si="10"/>
        <v>0</v>
      </c>
      <c r="CN18" s="16">
        <f t="shared" si="11"/>
        <v>0</v>
      </c>
      <c r="CO18" s="16">
        <f t="shared" si="12"/>
        <v>0</v>
      </c>
      <c r="CP18" s="16">
        <f t="shared" si="13"/>
        <v>0</v>
      </c>
      <c r="CQ18" s="16">
        <f t="shared" si="14"/>
        <v>0</v>
      </c>
      <c r="CR18" s="16">
        <f t="shared" si="15"/>
        <v>0</v>
      </c>
      <c r="CV18" s="16">
        <v>14</v>
      </c>
      <c r="CW18" s="35">
        <f t="shared" si="18"/>
        <v>0.13200000000000001</v>
      </c>
      <c r="CX18" s="16">
        <f>其他调用!V17/$E$4*求节点(E$28:E$34,$P$28:$P$34,$CV18)*$CW18</f>
        <v>0</v>
      </c>
      <c r="CY18" s="16">
        <f>其他调用!W17/$E$4*求节点(F$28:F$34,$P$28:$P$34,$CV18)*$CW18</f>
        <v>0</v>
      </c>
      <c r="CZ18" s="16">
        <f>其他调用!X17/$E$4*求节点(G$28:G$34,$P$28:$P$34,$CV18)*$CW18</f>
        <v>0</v>
      </c>
      <c r="DA18" s="16">
        <f>其他调用!Y17/$E$4*求节点(H$28:H$34,$P$28:$P$34,$CV18)*$CW18</f>
        <v>0</v>
      </c>
      <c r="DB18" s="16">
        <f>其他调用!Z17/$E$4*求节点(I$28:I$34,$P$28:$P$34,$CV18)*$CW18</f>
        <v>0</v>
      </c>
      <c r="DC18" s="16">
        <f>SUM(CX$5:CX18)</f>
        <v>0</v>
      </c>
      <c r="DD18" s="16">
        <f>SUM(CY$5:CY18)</f>
        <v>0</v>
      </c>
      <c r="DE18" s="16">
        <f>SUM(CZ$5:CZ18)</f>
        <v>0</v>
      </c>
      <c r="DF18" s="16">
        <f>SUM(DA$5:DA18)</f>
        <v>0</v>
      </c>
      <c r="DG18" s="16">
        <f>SUM(DB$5:DB18)</f>
        <v>0</v>
      </c>
    </row>
    <row r="19" spans="2:111">
      <c r="B19" s="44" t="s">
        <v>315</v>
      </c>
      <c r="C19" s="16" t="s">
        <v>313</v>
      </c>
      <c r="D19" s="16" t="s">
        <v>345</v>
      </c>
      <c r="E19" s="21" t="s">
        <v>432</v>
      </c>
      <c r="F19" s="16" t="s">
        <v>187</v>
      </c>
      <c r="G19" s="16" t="s">
        <v>194</v>
      </c>
      <c r="H19" s="16" t="s">
        <v>312</v>
      </c>
      <c r="I19" s="16" t="s">
        <v>311</v>
      </c>
      <c r="J19" s="16" t="s">
        <v>189</v>
      </c>
      <c r="K19" s="35">
        <v>0.4</v>
      </c>
      <c r="L19" s="45">
        <f>$E$4</f>
        <v>2</v>
      </c>
      <c r="M19" s="16">
        <f>K19*40/L19</f>
        <v>8</v>
      </c>
      <c r="X19" s="16">
        <v>15</v>
      </c>
      <c r="Y19" s="45">
        <f t="shared" si="16"/>
        <v>109.32203389830508</v>
      </c>
      <c r="Z19" s="24">
        <f t="shared" si="17"/>
        <v>6.8000000000000005E-2</v>
      </c>
      <c r="AA19" s="16">
        <f>$Y19*$Z19*其他调用!V18</f>
        <v>64.770960827966434</v>
      </c>
      <c r="AB19" s="16">
        <f>$Y19*$Z19*其他调用!W18</f>
        <v>82.552412467678138</v>
      </c>
      <c r="AC19" s="16">
        <f>$Y19*$Z19*其他调用!X18</f>
        <v>93.597127333451539</v>
      </c>
      <c r="AD19" s="16">
        <f>$Y19*$Z19*其他调用!Y18</f>
        <v>78.78484227278652</v>
      </c>
      <c r="AE19" s="16">
        <f>$Y19*$Z19*其他调用!Z18</f>
        <v>45.200777953148517</v>
      </c>
      <c r="AH19" s="16">
        <v>15</v>
      </c>
      <c r="AI19" s="16">
        <f>SUM(AA$5:AA19)</f>
        <v>486.40990293676111</v>
      </c>
      <c r="AJ19" s="16">
        <f>SUM(AB$5:AB19)</f>
        <v>613.46943225546249</v>
      </c>
      <c r="AK19" s="16">
        <f>SUM(AC$5:AC19)</f>
        <v>684.27121569141309</v>
      </c>
      <c r="AL19" s="16">
        <f>SUM(AD$5:AD19)</f>
        <v>570.33413690184238</v>
      </c>
      <c r="AM19" s="16">
        <f>SUM(AE$5:AE19)</f>
        <v>318.04927419891214</v>
      </c>
      <c r="AR19" s="16">
        <v>15</v>
      </c>
      <c r="AS19" s="24">
        <f t="shared" si="0"/>
        <v>6.8000000000000005E-2</v>
      </c>
      <c r="AT19" s="16">
        <f>求节点(E$28:E$34,$M$28:$M$34,$AR19)*$AS19*其他调用!V18/$E$4</f>
        <v>0</v>
      </c>
      <c r="AU19" s="16">
        <f>求节点(F$28:F$34,$M$28:$M$34,$AR19)*$AS19*其他调用!W18/$E$4</f>
        <v>0</v>
      </c>
      <c r="AV19" s="16">
        <f>求节点(G$28:G$34,$M$28:$M$34,$AR19)*$AS19*其他调用!X18/$E$4</f>
        <v>0</v>
      </c>
      <c r="AW19" s="16">
        <f>求节点(H$28:H$34,$M$28:$M$34,$AR19)*$AS19*其他调用!Y18/$E$4</f>
        <v>0</v>
      </c>
      <c r="AX19" s="16">
        <f>求节点(I$28:I$34,$M$28:$M$34,$AR19)*$AS19*其他调用!Z18/$E$4</f>
        <v>0</v>
      </c>
      <c r="AY19" s="16">
        <f>求节点(E$28:E$34,$N$28:$N$34,$AR19)*$AS19*其他调用!V18/$E$4</f>
        <v>0</v>
      </c>
      <c r="AZ19" s="16">
        <f>求节点(F$28:F$34,$N$28:$N$34,$AR19)*$AS19*其他调用!W18/$E$4</f>
        <v>0</v>
      </c>
      <c r="BA19" s="16">
        <f>求节点(G$28:G$34,$N$28:$N$34,$AR19)*$AS19*其他调用!X18/$E$4</f>
        <v>0</v>
      </c>
      <c r="BB19" s="16">
        <f>求节点(H$28:H$34,$N$28:$N$34,$AR19)*$AS19*其他调用!Y18/$E$4</f>
        <v>0</v>
      </c>
      <c r="BC19" s="16">
        <f>求节点(I$28:I$34,$N$28:$N$34,$AR19)*$AS19*其他调用!Z18/$E$4</f>
        <v>0</v>
      </c>
      <c r="BD19" s="16">
        <f>求节点(E$28:E$34,$O$28:$O$34,$AR19)*$AS19*其他调用!V18/$E$4</f>
        <v>0</v>
      </c>
      <c r="BE19" s="16">
        <f>求节点(F$28:F$34,$O$28:$O$34,$AR19)*$AS19*其他调用!W18/$E$4</f>
        <v>0</v>
      </c>
      <c r="BF19" s="16">
        <f>求节点(G$28:G$34,$O$28:$O$34,$AR19)*$AS19*其他调用!X18/$E$4</f>
        <v>0</v>
      </c>
      <c r="BG19" s="16">
        <f>求节点(H$28:H$34,$O$28:$O$34,$AR19)*$AS19*其他调用!Y18/$E$4</f>
        <v>0</v>
      </c>
      <c r="BH19" s="16">
        <f>求节点(I$28:I$34,$O$28:$O$34,$AR19)*$AS19*其他调用!Z18/$E$4</f>
        <v>0</v>
      </c>
      <c r="BK19" s="16">
        <v>15</v>
      </c>
      <c r="BL19" s="16">
        <f>SUM(AT$5:AT19)</f>
        <v>0</v>
      </c>
      <c r="BM19" s="16">
        <f>SUM(AU$5:AU19)</f>
        <v>0</v>
      </c>
      <c r="BN19" s="16">
        <f>SUM(AV$5:AV19)</f>
        <v>0</v>
      </c>
      <c r="BO19" s="16">
        <f>SUM(AW$5:AW19)</f>
        <v>0</v>
      </c>
      <c r="BP19" s="16">
        <f>SUM(AX$5:AX19)</f>
        <v>0</v>
      </c>
      <c r="BQ19" s="16">
        <f>SUM(AY$5:AY19)</f>
        <v>0</v>
      </c>
      <c r="BR19" s="16">
        <f>SUM(AZ$5:AZ19)</f>
        <v>0</v>
      </c>
      <c r="BS19" s="16">
        <f>SUM(BA$5:BA19)</f>
        <v>0</v>
      </c>
      <c r="BT19" s="16">
        <f>SUM(BB$5:BB19)</f>
        <v>0</v>
      </c>
      <c r="BU19" s="16">
        <f>SUM(BC$5:BC19)</f>
        <v>0</v>
      </c>
      <c r="BV19" s="16">
        <f>SUM(BD$5:BD19)</f>
        <v>0</v>
      </c>
      <c r="BW19" s="16">
        <f>SUM(BE$5:BE19)</f>
        <v>0</v>
      </c>
      <c r="BX19" s="16">
        <f>SUM(BF$5:BF19)</f>
        <v>0</v>
      </c>
      <c r="BY19" s="16">
        <f>SUM(BG$5:BG19)</f>
        <v>0</v>
      </c>
      <c r="BZ19" s="16">
        <f>SUM(BH$5:BH19)</f>
        <v>0</v>
      </c>
      <c r="CC19" s="16">
        <v>15</v>
      </c>
      <c r="CD19" s="16">
        <f t="shared" si="1"/>
        <v>0</v>
      </c>
      <c r="CE19" s="16">
        <f t="shared" si="2"/>
        <v>0</v>
      </c>
      <c r="CF19" s="16">
        <f t="shared" si="3"/>
        <v>0</v>
      </c>
      <c r="CG19" s="16">
        <f t="shared" si="4"/>
        <v>0</v>
      </c>
      <c r="CH19" s="16">
        <f t="shared" si="5"/>
        <v>0</v>
      </c>
      <c r="CI19" s="16">
        <f t="shared" si="6"/>
        <v>0</v>
      </c>
      <c r="CJ19" s="16">
        <f t="shared" si="7"/>
        <v>0</v>
      </c>
      <c r="CK19" s="16">
        <f t="shared" si="8"/>
        <v>0</v>
      </c>
      <c r="CL19" s="16">
        <f t="shared" si="9"/>
        <v>0</v>
      </c>
      <c r="CM19" s="16">
        <f t="shared" si="10"/>
        <v>0</v>
      </c>
      <c r="CN19" s="16">
        <f t="shared" si="11"/>
        <v>0</v>
      </c>
      <c r="CO19" s="16">
        <f t="shared" si="12"/>
        <v>0</v>
      </c>
      <c r="CP19" s="16">
        <f t="shared" si="13"/>
        <v>0</v>
      </c>
      <c r="CQ19" s="16">
        <f t="shared" si="14"/>
        <v>0</v>
      </c>
      <c r="CR19" s="16">
        <f t="shared" si="15"/>
        <v>0</v>
      </c>
      <c r="CV19" s="16">
        <v>15</v>
      </c>
      <c r="CW19" s="35">
        <f t="shared" si="18"/>
        <v>0.13200000000000001</v>
      </c>
      <c r="CX19" s="16">
        <f>其他调用!V18/$E$4*求节点(E$28:E$34,$P$28:$P$34,$CV19)*$CW19</f>
        <v>0</v>
      </c>
      <c r="CY19" s="16">
        <f>其他调用!W18/$E$4*求节点(F$28:F$34,$P$28:$P$34,$CV19)*$CW19</f>
        <v>0</v>
      </c>
      <c r="CZ19" s="16">
        <f>其他调用!X18/$E$4*求节点(G$28:G$34,$P$28:$P$34,$CV19)*$CW19</f>
        <v>0</v>
      </c>
      <c r="DA19" s="16">
        <f>其他调用!Y18/$E$4*求节点(H$28:H$34,$P$28:$P$34,$CV19)*$CW19</f>
        <v>0</v>
      </c>
      <c r="DB19" s="16">
        <f>其他调用!Z18/$E$4*求节点(I$28:I$34,$P$28:$P$34,$CV19)*$CW19</f>
        <v>0</v>
      </c>
      <c r="DC19" s="16">
        <f>SUM(CX$5:CX19)</f>
        <v>0</v>
      </c>
      <c r="DD19" s="16">
        <f>SUM(CY$5:CY19)</f>
        <v>0</v>
      </c>
      <c r="DE19" s="16">
        <f>SUM(CZ$5:CZ19)</f>
        <v>0</v>
      </c>
      <c r="DF19" s="16">
        <f>SUM(DA$5:DA19)</f>
        <v>0</v>
      </c>
      <c r="DG19" s="16">
        <f>SUM(DB$5:DB19)</f>
        <v>0</v>
      </c>
    </row>
    <row r="20" spans="2:111">
      <c r="X20" s="16">
        <v>16</v>
      </c>
      <c r="Y20" s="45">
        <f t="shared" si="16"/>
        <v>113.55932203389831</v>
      </c>
      <c r="Z20" s="24">
        <f t="shared" si="17"/>
        <v>6.8000000000000005E-2</v>
      </c>
      <c r="AA20" s="16">
        <f>$Y20*$Z20*其他调用!V19</f>
        <v>72.110486762981125</v>
      </c>
      <c r="AB20" s="16">
        <f>$Y20*$Z20*其他调用!W19</f>
        <v>92.722267704162633</v>
      </c>
      <c r="AC20" s="16">
        <f>$Y20*$Z20*其他调用!X19</f>
        <v>103.29693405533965</v>
      </c>
      <c r="AD20" s="16">
        <f>$Y20*$Z20*其他调用!Y19</f>
        <v>89.778461485862479</v>
      </c>
      <c r="AE20" s="16">
        <f>$Y20*$Z20*其他调用!Z19</f>
        <v>53.659553409677564</v>
      </c>
      <c r="AH20" s="16">
        <v>16</v>
      </c>
      <c r="AI20" s="16">
        <f>SUM(AA$5:AA20)</f>
        <v>558.52038969974228</v>
      </c>
      <c r="AJ20" s="16">
        <f>SUM(AB$5:AB20)</f>
        <v>706.19169995962511</v>
      </c>
      <c r="AK20" s="16">
        <f>SUM(AC$5:AC20)</f>
        <v>787.56814974675274</v>
      </c>
      <c r="AL20" s="16">
        <f>SUM(AD$5:AD20)</f>
        <v>660.11259838770491</v>
      </c>
      <c r="AM20" s="16">
        <f>SUM(AE$5:AE20)</f>
        <v>371.70882760858973</v>
      </c>
      <c r="AR20" s="16">
        <v>16</v>
      </c>
      <c r="AS20" s="24">
        <f t="shared" si="0"/>
        <v>6.8000000000000005E-2</v>
      </c>
      <c r="AT20" s="16">
        <f>求节点(E$28:E$34,$M$28:$M$34,$AR20)*$AS20*其他调用!V19/$E$4</f>
        <v>0</v>
      </c>
      <c r="AU20" s="16">
        <f>求节点(F$28:F$34,$M$28:$M$34,$AR20)*$AS20*其他调用!W19/$E$4</f>
        <v>0</v>
      </c>
      <c r="AV20" s="16">
        <f>求节点(G$28:G$34,$M$28:$M$34,$AR20)*$AS20*其他调用!X19/$E$4</f>
        <v>0</v>
      </c>
      <c r="AW20" s="16">
        <f>求节点(H$28:H$34,$M$28:$M$34,$AR20)*$AS20*其他调用!Y19/$E$4</f>
        <v>0</v>
      </c>
      <c r="AX20" s="16">
        <f>求节点(I$28:I$34,$M$28:$M$34,$AR20)*$AS20*其他调用!Z19/$E$4</f>
        <v>0</v>
      </c>
      <c r="AY20" s="16">
        <f>求节点(E$28:E$34,$N$28:$N$34,$AR20)*$AS20*其他调用!V19/$E$4</f>
        <v>0</v>
      </c>
      <c r="AZ20" s="16">
        <f>求节点(F$28:F$34,$N$28:$N$34,$AR20)*$AS20*其他调用!W19/$E$4</f>
        <v>0</v>
      </c>
      <c r="BA20" s="16">
        <f>求节点(G$28:G$34,$N$28:$N$34,$AR20)*$AS20*其他调用!X19/$E$4</f>
        <v>0</v>
      </c>
      <c r="BB20" s="16">
        <f>求节点(H$28:H$34,$N$28:$N$34,$AR20)*$AS20*其他调用!Y19/$E$4</f>
        <v>0</v>
      </c>
      <c r="BC20" s="16">
        <f>求节点(I$28:I$34,$N$28:$N$34,$AR20)*$AS20*其他调用!Z19/$E$4</f>
        <v>0</v>
      </c>
      <c r="BD20" s="16">
        <f>求节点(E$28:E$34,$O$28:$O$34,$AR20)*$AS20*其他调用!V19/$E$4</f>
        <v>0</v>
      </c>
      <c r="BE20" s="16">
        <f>求节点(F$28:F$34,$O$28:$O$34,$AR20)*$AS20*其他调用!W19/$E$4</f>
        <v>0</v>
      </c>
      <c r="BF20" s="16">
        <f>求节点(G$28:G$34,$O$28:$O$34,$AR20)*$AS20*其他调用!X19/$E$4</f>
        <v>0</v>
      </c>
      <c r="BG20" s="16">
        <f>求节点(H$28:H$34,$O$28:$O$34,$AR20)*$AS20*其他调用!Y19/$E$4</f>
        <v>0</v>
      </c>
      <c r="BH20" s="16">
        <f>求节点(I$28:I$34,$O$28:$O$34,$AR20)*$AS20*其他调用!Z19/$E$4</f>
        <v>0</v>
      </c>
      <c r="BK20" s="16">
        <v>16</v>
      </c>
      <c r="BL20" s="16">
        <f>SUM(AT$5:AT20)</f>
        <v>0</v>
      </c>
      <c r="BM20" s="16">
        <f>SUM(AU$5:AU20)</f>
        <v>0</v>
      </c>
      <c r="BN20" s="16">
        <f>SUM(AV$5:AV20)</f>
        <v>0</v>
      </c>
      <c r="BO20" s="16">
        <f>SUM(AW$5:AW20)</f>
        <v>0</v>
      </c>
      <c r="BP20" s="16">
        <f>SUM(AX$5:AX20)</f>
        <v>0</v>
      </c>
      <c r="BQ20" s="16">
        <f>SUM(AY$5:AY20)</f>
        <v>0</v>
      </c>
      <c r="BR20" s="16">
        <f>SUM(AZ$5:AZ20)</f>
        <v>0</v>
      </c>
      <c r="BS20" s="16">
        <f>SUM(BA$5:BA20)</f>
        <v>0</v>
      </c>
      <c r="BT20" s="16">
        <f>SUM(BB$5:BB20)</f>
        <v>0</v>
      </c>
      <c r="BU20" s="16">
        <f>SUM(BC$5:BC20)</f>
        <v>0</v>
      </c>
      <c r="BV20" s="16">
        <f>SUM(BD$5:BD20)</f>
        <v>0</v>
      </c>
      <c r="BW20" s="16">
        <f>SUM(BE$5:BE20)</f>
        <v>0</v>
      </c>
      <c r="BX20" s="16">
        <f>SUM(BF$5:BF20)</f>
        <v>0</v>
      </c>
      <c r="BY20" s="16">
        <f>SUM(BG$5:BG20)</f>
        <v>0</v>
      </c>
      <c r="BZ20" s="16">
        <f>SUM(BH$5:BH20)</f>
        <v>0</v>
      </c>
      <c r="CC20" s="16">
        <v>16</v>
      </c>
      <c r="CD20" s="16">
        <f t="shared" si="1"/>
        <v>0</v>
      </c>
      <c r="CE20" s="16">
        <f t="shared" si="2"/>
        <v>0</v>
      </c>
      <c r="CF20" s="16">
        <f t="shared" si="3"/>
        <v>0</v>
      </c>
      <c r="CG20" s="16">
        <f t="shared" si="4"/>
        <v>0</v>
      </c>
      <c r="CH20" s="16">
        <f t="shared" si="5"/>
        <v>0</v>
      </c>
      <c r="CI20" s="16">
        <f t="shared" si="6"/>
        <v>0</v>
      </c>
      <c r="CJ20" s="16">
        <f t="shared" si="7"/>
        <v>0</v>
      </c>
      <c r="CK20" s="16">
        <f t="shared" si="8"/>
        <v>0</v>
      </c>
      <c r="CL20" s="16">
        <f t="shared" si="9"/>
        <v>0</v>
      </c>
      <c r="CM20" s="16">
        <f t="shared" si="10"/>
        <v>0</v>
      </c>
      <c r="CN20" s="16">
        <f t="shared" si="11"/>
        <v>0</v>
      </c>
      <c r="CO20" s="16">
        <f t="shared" si="12"/>
        <v>0</v>
      </c>
      <c r="CP20" s="16">
        <f t="shared" si="13"/>
        <v>0</v>
      </c>
      <c r="CQ20" s="16">
        <f t="shared" si="14"/>
        <v>0</v>
      </c>
      <c r="CR20" s="16">
        <f t="shared" si="15"/>
        <v>0</v>
      </c>
      <c r="CV20" s="16">
        <v>16</v>
      </c>
      <c r="CW20" s="35">
        <f t="shared" si="18"/>
        <v>0.13200000000000001</v>
      </c>
      <c r="CX20" s="16">
        <f>其他调用!V19/$E$4*求节点(E$28:E$34,$P$28:$P$34,$CV20)*$CW20</f>
        <v>0</v>
      </c>
      <c r="CY20" s="16">
        <f>其他调用!W19/$E$4*求节点(F$28:F$34,$P$28:$P$34,$CV20)*$CW20</f>
        <v>0</v>
      </c>
      <c r="CZ20" s="16">
        <f>其他调用!X19/$E$4*求节点(G$28:G$34,$P$28:$P$34,$CV20)*$CW20</f>
        <v>0</v>
      </c>
      <c r="DA20" s="16">
        <f>其他调用!Y19/$E$4*求节点(H$28:H$34,$P$28:$P$34,$CV20)*$CW20</f>
        <v>0</v>
      </c>
      <c r="DB20" s="16">
        <f>其他调用!Z19/$E$4*求节点(I$28:I$34,$P$28:$P$34,$CV20)*$CW20</f>
        <v>0</v>
      </c>
      <c r="DC20" s="16">
        <f>SUM(CX$5:CX20)</f>
        <v>0</v>
      </c>
      <c r="DD20" s="16">
        <f>SUM(CY$5:CY20)</f>
        <v>0</v>
      </c>
      <c r="DE20" s="16">
        <f>SUM(CZ$5:CZ20)</f>
        <v>0</v>
      </c>
      <c r="DF20" s="16">
        <f>SUM(DA$5:DA20)</f>
        <v>0</v>
      </c>
      <c r="DG20" s="16">
        <f>SUM(DB$5:DB20)</f>
        <v>0</v>
      </c>
    </row>
    <row r="21" spans="2:111">
      <c r="X21" s="16">
        <v>17</v>
      </c>
      <c r="Y21" s="45">
        <f t="shared" si="16"/>
        <v>117.79661016949153</v>
      </c>
      <c r="Z21" s="24">
        <f t="shared" si="17"/>
        <v>6.8000000000000005E-2</v>
      </c>
      <c r="AA21" s="16">
        <f>$Y21*$Z21*其他调用!V20</f>
        <v>80.169916011613125</v>
      </c>
      <c r="AB21" s="16">
        <f>$Y21*$Z21*其他调用!W20</f>
        <v>99.15591608907684</v>
      </c>
      <c r="AC21" s="16">
        <f>$Y21*$Z21*其他调用!X20</f>
        <v>109.7905826777378</v>
      </c>
      <c r="AD21" s="16">
        <f>$Y21*$Z21*其他调用!Y20</f>
        <v>92.717023068333106</v>
      </c>
      <c r="AE21" s="16">
        <f>$Y21*$Z21*其他调用!Z20</f>
        <v>48.275098933274883</v>
      </c>
      <c r="AH21" s="16">
        <v>17</v>
      </c>
      <c r="AI21" s="16">
        <f>SUM(AA$5:AA21)</f>
        <v>638.69030571135545</v>
      </c>
      <c r="AJ21" s="16">
        <f>SUM(AB$5:AB21)</f>
        <v>805.34761604870198</v>
      </c>
      <c r="AK21" s="16">
        <f>SUM(AC$5:AC21)</f>
        <v>897.35873242449054</v>
      </c>
      <c r="AL21" s="16">
        <f>SUM(AD$5:AD21)</f>
        <v>752.82962145603801</v>
      </c>
      <c r="AM21" s="16">
        <f>SUM(AE$5:AE21)</f>
        <v>419.98392654186461</v>
      </c>
      <c r="AR21" s="16">
        <v>17</v>
      </c>
      <c r="AS21" s="24">
        <f t="shared" si="0"/>
        <v>6.8000000000000005E-2</v>
      </c>
      <c r="AT21" s="16">
        <f>求节点(E$28:E$34,$M$28:$M$34,$AR21)*$AS21*其他调用!V20/$E$4</f>
        <v>0</v>
      </c>
      <c r="AU21" s="16">
        <f>求节点(F$28:F$34,$M$28:$M$34,$AR21)*$AS21*其他调用!W20/$E$4</f>
        <v>0</v>
      </c>
      <c r="AV21" s="16">
        <f>求节点(G$28:G$34,$M$28:$M$34,$AR21)*$AS21*其他调用!X20/$E$4</f>
        <v>0</v>
      </c>
      <c r="AW21" s="16">
        <f>求节点(H$28:H$34,$M$28:$M$34,$AR21)*$AS21*其他调用!Y20/$E$4</f>
        <v>0</v>
      </c>
      <c r="AX21" s="16">
        <f>求节点(I$28:I$34,$M$28:$M$34,$AR21)*$AS21*其他调用!Z20/$E$4</f>
        <v>0</v>
      </c>
      <c r="AY21" s="16">
        <f>求节点(E$28:E$34,$N$28:$N$34,$AR21)*$AS21*其他调用!V20/$E$4</f>
        <v>0</v>
      </c>
      <c r="AZ21" s="16">
        <f>求节点(F$28:F$34,$N$28:$N$34,$AR21)*$AS21*其他调用!W20/$E$4</f>
        <v>0</v>
      </c>
      <c r="BA21" s="16">
        <f>求节点(G$28:G$34,$N$28:$N$34,$AR21)*$AS21*其他调用!X20/$E$4</f>
        <v>0</v>
      </c>
      <c r="BB21" s="16">
        <f>求节点(H$28:H$34,$N$28:$N$34,$AR21)*$AS21*其他调用!Y20/$E$4</f>
        <v>0</v>
      </c>
      <c r="BC21" s="16">
        <f>求节点(I$28:I$34,$N$28:$N$34,$AR21)*$AS21*其他调用!Z20/$E$4</f>
        <v>0</v>
      </c>
      <c r="BD21" s="16">
        <f>求节点(E$28:E$34,$O$28:$O$34,$AR21)*$AS21*其他调用!V20/$E$4</f>
        <v>0</v>
      </c>
      <c r="BE21" s="16">
        <f>求节点(F$28:F$34,$O$28:$O$34,$AR21)*$AS21*其他调用!W20/$E$4</f>
        <v>0</v>
      </c>
      <c r="BF21" s="16">
        <f>求节点(G$28:G$34,$O$28:$O$34,$AR21)*$AS21*其他调用!X20/$E$4</f>
        <v>0</v>
      </c>
      <c r="BG21" s="16">
        <f>求节点(H$28:H$34,$O$28:$O$34,$AR21)*$AS21*其他调用!Y20/$E$4</f>
        <v>0</v>
      </c>
      <c r="BH21" s="16">
        <f>求节点(I$28:I$34,$O$28:$O$34,$AR21)*$AS21*其他调用!Z20/$E$4</f>
        <v>0</v>
      </c>
      <c r="BK21" s="16">
        <v>17</v>
      </c>
      <c r="BL21" s="16">
        <f>SUM(AT$5:AT21)</f>
        <v>0</v>
      </c>
      <c r="BM21" s="16">
        <f>SUM(AU$5:AU21)</f>
        <v>0</v>
      </c>
      <c r="BN21" s="16">
        <f>SUM(AV$5:AV21)</f>
        <v>0</v>
      </c>
      <c r="BO21" s="16">
        <f>SUM(AW$5:AW21)</f>
        <v>0</v>
      </c>
      <c r="BP21" s="16">
        <f>SUM(AX$5:AX21)</f>
        <v>0</v>
      </c>
      <c r="BQ21" s="16">
        <f>SUM(AY$5:AY21)</f>
        <v>0</v>
      </c>
      <c r="BR21" s="16">
        <f>SUM(AZ$5:AZ21)</f>
        <v>0</v>
      </c>
      <c r="BS21" s="16">
        <f>SUM(BA$5:BA21)</f>
        <v>0</v>
      </c>
      <c r="BT21" s="16">
        <f>SUM(BB$5:BB21)</f>
        <v>0</v>
      </c>
      <c r="BU21" s="16">
        <f>SUM(BC$5:BC21)</f>
        <v>0</v>
      </c>
      <c r="BV21" s="16">
        <f>SUM(BD$5:BD21)</f>
        <v>0</v>
      </c>
      <c r="BW21" s="16">
        <f>SUM(BE$5:BE21)</f>
        <v>0</v>
      </c>
      <c r="BX21" s="16">
        <f>SUM(BF$5:BF21)</f>
        <v>0</v>
      </c>
      <c r="BY21" s="16">
        <f>SUM(BG$5:BG21)</f>
        <v>0</v>
      </c>
      <c r="BZ21" s="16">
        <f>SUM(BH$5:BH21)</f>
        <v>0</v>
      </c>
      <c r="CC21" s="16">
        <v>17</v>
      </c>
      <c r="CD21" s="16">
        <f t="shared" si="1"/>
        <v>0</v>
      </c>
      <c r="CE21" s="16">
        <f t="shared" si="2"/>
        <v>0</v>
      </c>
      <c r="CF21" s="16">
        <f t="shared" si="3"/>
        <v>0</v>
      </c>
      <c r="CG21" s="16">
        <f t="shared" si="4"/>
        <v>0</v>
      </c>
      <c r="CH21" s="16">
        <f t="shared" si="5"/>
        <v>0</v>
      </c>
      <c r="CI21" s="16">
        <f t="shared" si="6"/>
        <v>0</v>
      </c>
      <c r="CJ21" s="16">
        <f t="shared" si="7"/>
        <v>0</v>
      </c>
      <c r="CK21" s="16">
        <f t="shared" si="8"/>
        <v>0</v>
      </c>
      <c r="CL21" s="16">
        <f t="shared" si="9"/>
        <v>0</v>
      </c>
      <c r="CM21" s="16">
        <f t="shared" si="10"/>
        <v>0</v>
      </c>
      <c r="CN21" s="16">
        <f t="shared" si="11"/>
        <v>0</v>
      </c>
      <c r="CO21" s="16">
        <f t="shared" si="12"/>
        <v>0</v>
      </c>
      <c r="CP21" s="16">
        <f t="shared" si="13"/>
        <v>0</v>
      </c>
      <c r="CQ21" s="16">
        <f t="shared" si="14"/>
        <v>0</v>
      </c>
      <c r="CR21" s="16">
        <f t="shared" si="15"/>
        <v>0</v>
      </c>
      <c r="CV21" s="16">
        <v>17</v>
      </c>
      <c r="CW21" s="35">
        <f t="shared" si="18"/>
        <v>0.13200000000000001</v>
      </c>
      <c r="CX21" s="16">
        <f>其他调用!V20/$E$4*求节点(E$28:E$34,$P$28:$P$34,$CV21)*$CW21</f>
        <v>0</v>
      </c>
      <c r="CY21" s="16">
        <f>其他调用!W20/$E$4*求节点(F$28:F$34,$P$28:$P$34,$CV21)*$CW21</f>
        <v>0</v>
      </c>
      <c r="CZ21" s="16">
        <f>其他调用!X20/$E$4*求节点(G$28:G$34,$P$28:$P$34,$CV21)*$CW21</f>
        <v>0</v>
      </c>
      <c r="DA21" s="16">
        <f>其他调用!Y20/$E$4*求节点(H$28:H$34,$P$28:$P$34,$CV21)*$CW21</f>
        <v>0</v>
      </c>
      <c r="DB21" s="16">
        <f>其他调用!Z20/$E$4*求节点(I$28:I$34,$P$28:$P$34,$CV21)*$CW21</f>
        <v>0</v>
      </c>
      <c r="DC21" s="16">
        <f>SUM(CX$5:CX21)</f>
        <v>0</v>
      </c>
      <c r="DD21" s="16">
        <f>SUM(CY$5:CY21)</f>
        <v>0</v>
      </c>
      <c r="DE21" s="16">
        <f>SUM(CZ$5:CZ21)</f>
        <v>0</v>
      </c>
      <c r="DF21" s="16">
        <f>SUM(DA$5:DA21)</f>
        <v>0</v>
      </c>
      <c r="DG21" s="16">
        <f>SUM(DB$5:DB21)</f>
        <v>0</v>
      </c>
    </row>
    <row r="22" spans="2:111">
      <c r="X22" s="16">
        <v>18</v>
      </c>
      <c r="Y22" s="45">
        <f t="shared" si="16"/>
        <v>122.03389830508475</v>
      </c>
      <c r="Z22" s="24">
        <f t="shared" si="17"/>
        <v>6.8000000000000005E-2</v>
      </c>
      <c r="AA22" s="16">
        <f>$Y22*$Z22*其他调用!V21</f>
        <v>89.01477942734887</v>
      </c>
      <c r="AB22" s="16">
        <f>$Y22*$Z22*其他调用!W21</f>
        <v>115.75845094238616</v>
      </c>
      <c r="AC22" s="16">
        <f>$Y22*$Z22*其他调用!X21</f>
        <v>134.84333336881562</v>
      </c>
      <c r="AD22" s="16">
        <f>$Y22*$Z22*其他调用!Y21</f>
        <v>113.18561379186733</v>
      </c>
      <c r="AE22" s="16">
        <f>$Y22*$Z22*其他调用!Z21</f>
        <v>61.912322399467641</v>
      </c>
      <c r="AH22" s="16">
        <v>18</v>
      </c>
      <c r="AI22" s="16">
        <f>SUM(AA$5:AA22)</f>
        <v>727.70508513870436</v>
      </c>
      <c r="AJ22" s="16">
        <f>SUM(AB$5:AB22)</f>
        <v>921.10606699108814</v>
      </c>
      <c r="AK22" s="16">
        <f>SUM(AC$5:AC22)</f>
        <v>1032.2020657933062</v>
      </c>
      <c r="AL22" s="16">
        <f>SUM(AD$5:AD22)</f>
        <v>866.01523524790537</v>
      </c>
      <c r="AM22" s="16">
        <f>SUM(AE$5:AE22)</f>
        <v>481.89624894133226</v>
      </c>
      <c r="AR22" s="16">
        <v>18</v>
      </c>
      <c r="AS22" s="24">
        <f t="shared" si="0"/>
        <v>6.8000000000000005E-2</v>
      </c>
      <c r="AT22" s="16">
        <f>求节点(E$28:E$34,$M$28:$M$34,$AR22)*$AS22*其他调用!V21/$E$4</f>
        <v>0</v>
      </c>
      <c r="AU22" s="16">
        <f>求节点(F$28:F$34,$M$28:$M$34,$AR22)*$AS22*其他调用!W21/$E$4</f>
        <v>0</v>
      </c>
      <c r="AV22" s="16">
        <f>求节点(G$28:G$34,$M$28:$M$34,$AR22)*$AS22*其他调用!X21/$E$4</f>
        <v>0</v>
      </c>
      <c r="AW22" s="16">
        <f>求节点(H$28:H$34,$M$28:$M$34,$AR22)*$AS22*其他调用!Y21/$E$4</f>
        <v>0</v>
      </c>
      <c r="AX22" s="16">
        <f>求节点(I$28:I$34,$M$28:$M$34,$AR22)*$AS22*其他调用!Z21/$E$4</f>
        <v>0</v>
      </c>
      <c r="AY22" s="16">
        <f>求节点(E$28:E$34,$N$28:$N$34,$AR22)*$AS22*其他调用!V21/$E$4</f>
        <v>0</v>
      </c>
      <c r="AZ22" s="16">
        <f>求节点(F$28:F$34,$N$28:$N$34,$AR22)*$AS22*其他调用!W21/$E$4</f>
        <v>0</v>
      </c>
      <c r="BA22" s="16">
        <f>求节点(G$28:G$34,$N$28:$N$34,$AR22)*$AS22*其他调用!X21/$E$4</f>
        <v>0</v>
      </c>
      <c r="BB22" s="16">
        <f>求节点(H$28:H$34,$N$28:$N$34,$AR22)*$AS22*其他调用!Y21/$E$4</f>
        <v>0</v>
      </c>
      <c r="BC22" s="16">
        <f>求节点(I$28:I$34,$N$28:$N$34,$AR22)*$AS22*其他调用!Z21/$E$4</f>
        <v>0</v>
      </c>
      <c r="BD22" s="16">
        <f>求节点(E$28:E$34,$O$28:$O$34,$AR22)*$AS22*其他调用!V21/$E$4</f>
        <v>0</v>
      </c>
      <c r="BE22" s="16">
        <f>求节点(F$28:F$34,$O$28:$O$34,$AR22)*$AS22*其他调用!W21/$E$4</f>
        <v>0</v>
      </c>
      <c r="BF22" s="16">
        <f>求节点(G$28:G$34,$O$28:$O$34,$AR22)*$AS22*其他调用!X21/$E$4</f>
        <v>0</v>
      </c>
      <c r="BG22" s="16">
        <f>求节点(H$28:H$34,$O$28:$O$34,$AR22)*$AS22*其他调用!Y21/$E$4</f>
        <v>0</v>
      </c>
      <c r="BH22" s="16">
        <f>求节点(I$28:I$34,$O$28:$O$34,$AR22)*$AS22*其他调用!Z21/$E$4</f>
        <v>0</v>
      </c>
      <c r="BK22" s="16">
        <v>18</v>
      </c>
      <c r="BL22" s="16">
        <f>SUM(AT$5:AT22)</f>
        <v>0</v>
      </c>
      <c r="BM22" s="16">
        <f>SUM(AU$5:AU22)</f>
        <v>0</v>
      </c>
      <c r="BN22" s="16">
        <f>SUM(AV$5:AV22)</f>
        <v>0</v>
      </c>
      <c r="BO22" s="16">
        <f>SUM(AW$5:AW22)</f>
        <v>0</v>
      </c>
      <c r="BP22" s="16">
        <f>SUM(AX$5:AX22)</f>
        <v>0</v>
      </c>
      <c r="BQ22" s="16">
        <f>SUM(AY$5:AY22)</f>
        <v>0</v>
      </c>
      <c r="BR22" s="16">
        <f>SUM(AZ$5:AZ22)</f>
        <v>0</v>
      </c>
      <c r="BS22" s="16">
        <f>SUM(BA$5:BA22)</f>
        <v>0</v>
      </c>
      <c r="BT22" s="16">
        <f>SUM(BB$5:BB22)</f>
        <v>0</v>
      </c>
      <c r="BU22" s="16">
        <f>SUM(BC$5:BC22)</f>
        <v>0</v>
      </c>
      <c r="BV22" s="16">
        <f>SUM(BD$5:BD22)</f>
        <v>0</v>
      </c>
      <c r="BW22" s="16">
        <f>SUM(BE$5:BE22)</f>
        <v>0</v>
      </c>
      <c r="BX22" s="16">
        <f>SUM(BF$5:BF22)</f>
        <v>0</v>
      </c>
      <c r="BY22" s="16">
        <f>SUM(BG$5:BG22)</f>
        <v>0</v>
      </c>
      <c r="BZ22" s="16">
        <f>SUM(BH$5:BH22)</f>
        <v>0</v>
      </c>
      <c r="CC22" s="16">
        <v>18</v>
      </c>
      <c r="CD22" s="16">
        <f t="shared" si="1"/>
        <v>0</v>
      </c>
      <c r="CE22" s="16">
        <f t="shared" si="2"/>
        <v>0</v>
      </c>
      <c r="CF22" s="16">
        <f t="shared" si="3"/>
        <v>0</v>
      </c>
      <c r="CG22" s="16">
        <f t="shared" si="4"/>
        <v>0</v>
      </c>
      <c r="CH22" s="16">
        <f t="shared" si="5"/>
        <v>0</v>
      </c>
      <c r="CI22" s="16">
        <f t="shared" si="6"/>
        <v>0</v>
      </c>
      <c r="CJ22" s="16">
        <f t="shared" si="7"/>
        <v>0</v>
      </c>
      <c r="CK22" s="16">
        <f t="shared" si="8"/>
        <v>0</v>
      </c>
      <c r="CL22" s="16">
        <f t="shared" si="9"/>
        <v>0</v>
      </c>
      <c r="CM22" s="16">
        <f t="shared" si="10"/>
        <v>0</v>
      </c>
      <c r="CN22" s="16">
        <f t="shared" si="11"/>
        <v>0</v>
      </c>
      <c r="CO22" s="16">
        <f t="shared" si="12"/>
        <v>0</v>
      </c>
      <c r="CP22" s="16">
        <f t="shared" si="13"/>
        <v>0</v>
      </c>
      <c r="CQ22" s="16">
        <f t="shared" si="14"/>
        <v>0</v>
      </c>
      <c r="CR22" s="16">
        <f t="shared" si="15"/>
        <v>0</v>
      </c>
      <c r="CV22" s="16">
        <v>18</v>
      </c>
      <c r="CW22" s="35">
        <f t="shared" si="18"/>
        <v>0.13200000000000001</v>
      </c>
      <c r="CX22" s="16">
        <f>其他调用!V21/$E$4*求节点(E$28:E$34,$P$28:$P$34,$CV22)*$CW22</f>
        <v>0</v>
      </c>
      <c r="CY22" s="16">
        <f>其他调用!W21/$E$4*求节点(F$28:F$34,$P$28:$P$34,$CV22)*$CW22</f>
        <v>0</v>
      </c>
      <c r="CZ22" s="16">
        <f>其他调用!X21/$E$4*求节点(G$28:G$34,$P$28:$P$34,$CV22)*$CW22</f>
        <v>0</v>
      </c>
      <c r="DA22" s="16">
        <f>其他调用!Y21/$E$4*求节点(H$28:H$34,$P$28:$P$34,$CV22)*$CW22</f>
        <v>0</v>
      </c>
      <c r="DB22" s="16">
        <f>其他调用!Z21/$E$4*求节点(I$28:I$34,$P$28:$P$34,$CV22)*$CW22</f>
        <v>0</v>
      </c>
      <c r="DC22" s="16">
        <f>SUM(CX$5:CX22)</f>
        <v>0</v>
      </c>
      <c r="DD22" s="16">
        <f>SUM(CY$5:CY22)</f>
        <v>0</v>
      </c>
      <c r="DE22" s="16">
        <f>SUM(CZ$5:CZ22)</f>
        <v>0</v>
      </c>
      <c r="DF22" s="16">
        <f>SUM(DA$5:DA22)</f>
        <v>0</v>
      </c>
      <c r="DG22" s="16">
        <f>SUM(DB$5:DB22)</f>
        <v>0</v>
      </c>
    </row>
    <row r="23" spans="2:111">
      <c r="X23" s="16">
        <v>19</v>
      </c>
      <c r="Y23" s="45">
        <f t="shared" si="16"/>
        <v>126.27118644067797</v>
      </c>
      <c r="Z23" s="24">
        <f t="shared" si="17"/>
        <v>6.8000000000000005E-2</v>
      </c>
      <c r="AA23" s="16">
        <f>$Y23*$Z23*其他调用!V22</f>
        <v>98.716306084717786</v>
      </c>
      <c r="AB23" s="16">
        <f>$Y23*$Z23*其他调用!W22</f>
        <v>127.6169915322299</v>
      </c>
      <c r="AC23" s="16">
        <f>$Y23*$Z23*其他调用!X22</f>
        <v>142.16947717602588</v>
      </c>
      <c r="AD23" s="16">
        <f>$Y23*$Z23*其他调用!Y22</f>
        <v>117.56291736156543</v>
      </c>
      <c r="AE23" s="16">
        <f>$Y23*$Z23*其他调用!Z22</f>
        <v>68.234067890269728</v>
      </c>
      <c r="AH23" s="16">
        <v>19</v>
      </c>
      <c r="AI23" s="16">
        <f>SUM(AA$5:AA23)</f>
        <v>826.42139122342212</v>
      </c>
      <c r="AJ23" s="16">
        <f>SUM(AB$5:AB23)</f>
        <v>1048.7230585233181</v>
      </c>
      <c r="AK23" s="16">
        <f>SUM(AC$5:AC23)</f>
        <v>1174.371542969332</v>
      </c>
      <c r="AL23" s="16">
        <f>SUM(AD$5:AD23)</f>
        <v>983.57815260947075</v>
      </c>
      <c r="AM23" s="16">
        <f>SUM(AE$5:AE23)</f>
        <v>550.13031683160193</v>
      </c>
      <c r="AR23" s="16">
        <v>19</v>
      </c>
      <c r="AS23" s="24">
        <f t="shared" si="0"/>
        <v>6.8000000000000005E-2</v>
      </c>
      <c r="AT23" s="16">
        <f>求节点(E$28:E$34,$M$28:$M$34,$AR23)*$AS23*其他调用!V22/$E$4</f>
        <v>0</v>
      </c>
      <c r="AU23" s="16">
        <f>求节点(F$28:F$34,$M$28:$M$34,$AR23)*$AS23*其他调用!W22/$E$4</f>
        <v>0</v>
      </c>
      <c r="AV23" s="16">
        <f>求节点(G$28:G$34,$M$28:$M$34,$AR23)*$AS23*其他调用!X22/$E$4</f>
        <v>0</v>
      </c>
      <c r="AW23" s="16">
        <f>求节点(H$28:H$34,$M$28:$M$34,$AR23)*$AS23*其他调用!Y22/$E$4</f>
        <v>0</v>
      </c>
      <c r="AX23" s="16">
        <f>求节点(I$28:I$34,$M$28:$M$34,$AR23)*$AS23*其他调用!Z22/$E$4</f>
        <v>0</v>
      </c>
      <c r="AY23" s="16">
        <f>求节点(E$28:E$34,$N$28:$N$34,$AR23)*$AS23*其他调用!V22/$E$4</f>
        <v>0</v>
      </c>
      <c r="AZ23" s="16">
        <f>求节点(F$28:F$34,$N$28:$N$34,$AR23)*$AS23*其他调用!W22/$E$4</f>
        <v>0</v>
      </c>
      <c r="BA23" s="16">
        <f>求节点(G$28:G$34,$N$28:$N$34,$AR23)*$AS23*其他调用!X22/$E$4</f>
        <v>0</v>
      </c>
      <c r="BB23" s="16">
        <f>求节点(H$28:H$34,$N$28:$N$34,$AR23)*$AS23*其他调用!Y22/$E$4</f>
        <v>0</v>
      </c>
      <c r="BC23" s="16">
        <f>求节点(I$28:I$34,$N$28:$N$34,$AR23)*$AS23*其他调用!Z22/$E$4</f>
        <v>0</v>
      </c>
      <c r="BD23" s="16">
        <f>求节点(E$28:E$34,$O$28:$O$34,$AR23)*$AS23*其他调用!V22/$E$4</f>
        <v>0</v>
      </c>
      <c r="BE23" s="16">
        <f>求节点(F$28:F$34,$O$28:$O$34,$AR23)*$AS23*其他调用!W22/$E$4</f>
        <v>0</v>
      </c>
      <c r="BF23" s="16">
        <f>求节点(G$28:G$34,$O$28:$O$34,$AR23)*$AS23*其他调用!X22/$E$4</f>
        <v>0</v>
      </c>
      <c r="BG23" s="16">
        <f>求节点(H$28:H$34,$O$28:$O$34,$AR23)*$AS23*其他调用!Y22/$E$4</f>
        <v>0</v>
      </c>
      <c r="BH23" s="16">
        <f>求节点(I$28:I$34,$O$28:$O$34,$AR23)*$AS23*其他调用!Z22/$E$4</f>
        <v>0</v>
      </c>
      <c r="BK23" s="16">
        <v>19</v>
      </c>
      <c r="BL23" s="16">
        <f>SUM(AT$5:AT23)</f>
        <v>0</v>
      </c>
      <c r="BM23" s="16">
        <f>SUM(AU$5:AU23)</f>
        <v>0</v>
      </c>
      <c r="BN23" s="16">
        <f>SUM(AV$5:AV23)</f>
        <v>0</v>
      </c>
      <c r="BO23" s="16">
        <f>SUM(AW$5:AW23)</f>
        <v>0</v>
      </c>
      <c r="BP23" s="16">
        <f>SUM(AX$5:AX23)</f>
        <v>0</v>
      </c>
      <c r="BQ23" s="16">
        <f>SUM(AY$5:AY23)</f>
        <v>0</v>
      </c>
      <c r="BR23" s="16">
        <f>SUM(AZ$5:AZ23)</f>
        <v>0</v>
      </c>
      <c r="BS23" s="16">
        <f>SUM(BA$5:BA23)</f>
        <v>0</v>
      </c>
      <c r="BT23" s="16">
        <f>SUM(BB$5:BB23)</f>
        <v>0</v>
      </c>
      <c r="BU23" s="16">
        <f>SUM(BC$5:BC23)</f>
        <v>0</v>
      </c>
      <c r="BV23" s="16">
        <f>SUM(BD$5:BD23)</f>
        <v>0</v>
      </c>
      <c r="BW23" s="16">
        <f>SUM(BE$5:BE23)</f>
        <v>0</v>
      </c>
      <c r="BX23" s="16">
        <f>SUM(BF$5:BF23)</f>
        <v>0</v>
      </c>
      <c r="BY23" s="16">
        <f>SUM(BG$5:BG23)</f>
        <v>0</v>
      </c>
      <c r="BZ23" s="16">
        <f>SUM(BH$5:BH23)</f>
        <v>0</v>
      </c>
      <c r="CC23" s="16">
        <v>19</v>
      </c>
      <c r="CD23" s="16">
        <f t="shared" si="1"/>
        <v>0</v>
      </c>
      <c r="CE23" s="16">
        <f t="shared" si="2"/>
        <v>0</v>
      </c>
      <c r="CF23" s="16">
        <f t="shared" si="3"/>
        <v>0</v>
      </c>
      <c r="CG23" s="16">
        <f t="shared" si="4"/>
        <v>0</v>
      </c>
      <c r="CH23" s="16">
        <f t="shared" si="5"/>
        <v>0</v>
      </c>
      <c r="CI23" s="16">
        <f t="shared" si="6"/>
        <v>0</v>
      </c>
      <c r="CJ23" s="16">
        <f t="shared" si="7"/>
        <v>0</v>
      </c>
      <c r="CK23" s="16">
        <f t="shared" si="8"/>
        <v>0</v>
      </c>
      <c r="CL23" s="16">
        <f t="shared" si="9"/>
        <v>0</v>
      </c>
      <c r="CM23" s="16">
        <f t="shared" si="10"/>
        <v>0</v>
      </c>
      <c r="CN23" s="16">
        <f t="shared" si="11"/>
        <v>0</v>
      </c>
      <c r="CO23" s="16">
        <f t="shared" si="12"/>
        <v>0</v>
      </c>
      <c r="CP23" s="16">
        <f t="shared" si="13"/>
        <v>0</v>
      </c>
      <c r="CQ23" s="16">
        <f t="shared" si="14"/>
        <v>0</v>
      </c>
      <c r="CR23" s="16">
        <f t="shared" si="15"/>
        <v>0</v>
      </c>
      <c r="CV23" s="16">
        <v>19</v>
      </c>
      <c r="CW23" s="35">
        <f t="shared" si="18"/>
        <v>0.13200000000000001</v>
      </c>
      <c r="CX23" s="16">
        <f>其他调用!V22/$E$4*求节点(E$28:E$34,$P$28:$P$34,$CV23)*$CW23</f>
        <v>0</v>
      </c>
      <c r="CY23" s="16">
        <f>其他调用!W22/$E$4*求节点(F$28:F$34,$P$28:$P$34,$CV23)*$CW23</f>
        <v>0</v>
      </c>
      <c r="CZ23" s="16">
        <f>其他调用!X22/$E$4*求节点(G$28:G$34,$P$28:$P$34,$CV23)*$CW23</f>
        <v>0</v>
      </c>
      <c r="DA23" s="16">
        <f>其他调用!Y22/$E$4*求节点(H$28:H$34,$P$28:$P$34,$CV23)*$CW23</f>
        <v>0</v>
      </c>
      <c r="DB23" s="16">
        <f>其他调用!Z22/$E$4*求节点(I$28:I$34,$P$28:$P$34,$CV23)*$CW23</f>
        <v>0</v>
      </c>
      <c r="DC23" s="16">
        <f>SUM(CX$5:CX23)</f>
        <v>0</v>
      </c>
      <c r="DD23" s="16">
        <f>SUM(CY$5:CY23)</f>
        <v>0</v>
      </c>
      <c r="DE23" s="16">
        <f>SUM(CZ$5:CZ23)</f>
        <v>0</v>
      </c>
      <c r="DF23" s="16">
        <f>SUM(DA$5:DA23)</f>
        <v>0</v>
      </c>
      <c r="DG23" s="16">
        <f>SUM(DB$5:DB23)</f>
        <v>0</v>
      </c>
    </row>
    <row r="24" spans="2:111">
      <c r="X24" s="16">
        <v>20</v>
      </c>
      <c r="Y24" s="45">
        <f t="shared" si="16"/>
        <v>130.5084745762712</v>
      </c>
      <c r="Z24" s="24">
        <f t="shared" si="17"/>
        <v>6.8000000000000005E-2</v>
      </c>
      <c r="AA24" s="16">
        <f>$Y24*$Z24*其他调用!V23</f>
        <v>109.35190366380145</v>
      </c>
      <c r="AB24" s="16">
        <f>$Y24*$Z24*其他调用!W23</f>
        <v>136.93379234763378</v>
      </c>
      <c r="AC24" s="16">
        <f>$Y24*$Z24*其他调用!X23</f>
        <v>150.36012852156799</v>
      </c>
      <c r="AD24" s="16">
        <f>$Y24*$Z24*其他调用!Y23</f>
        <v>128.46468940746365</v>
      </c>
      <c r="AE24" s="16">
        <f>$Y24*$Z24*其他调用!Z23</f>
        <v>70.566740955922597</v>
      </c>
      <c r="AH24" s="16">
        <v>20</v>
      </c>
      <c r="AI24" s="16">
        <f>SUM(AA$5:AA24)</f>
        <v>935.77329488722353</v>
      </c>
      <c r="AJ24" s="16">
        <f>SUM(AB$5:AB24)</f>
        <v>1185.6568508709518</v>
      </c>
      <c r="AK24" s="16">
        <f>SUM(AC$5:AC24)</f>
        <v>1324.7316714909</v>
      </c>
      <c r="AL24" s="16">
        <f>SUM(AD$5:AD24)</f>
        <v>1112.0428420169344</v>
      </c>
      <c r="AM24" s="16">
        <f>SUM(AE$5:AE24)</f>
        <v>620.6970577875245</v>
      </c>
      <c r="AR24" s="16">
        <v>20</v>
      </c>
      <c r="AS24" s="24">
        <f t="shared" si="0"/>
        <v>6.8000000000000005E-2</v>
      </c>
      <c r="AT24" s="16">
        <f>求节点(E$28:E$34,$M$28:$M$34,$AR24)*$AS24*其他调用!V23/$E$4</f>
        <v>0</v>
      </c>
      <c r="AU24" s="16">
        <f>求节点(F$28:F$34,$M$28:$M$34,$AR24)*$AS24*其他调用!W23/$E$4</f>
        <v>0</v>
      </c>
      <c r="AV24" s="16">
        <f>求节点(G$28:G$34,$M$28:$M$34,$AR24)*$AS24*其他调用!X23/$E$4</f>
        <v>0</v>
      </c>
      <c r="AW24" s="16">
        <f>求节点(H$28:H$34,$M$28:$M$34,$AR24)*$AS24*其他调用!Y23/$E$4</f>
        <v>0</v>
      </c>
      <c r="AX24" s="16">
        <f>求节点(I$28:I$34,$M$28:$M$34,$AR24)*$AS24*其他调用!Z23/$E$4</f>
        <v>0</v>
      </c>
      <c r="AY24" s="16">
        <f>求节点(E$28:E$34,$N$28:$N$34,$AR24)*$AS24*其他调用!V23/$E$4</f>
        <v>0</v>
      </c>
      <c r="AZ24" s="16">
        <f>求节点(F$28:F$34,$N$28:$N$34,$AR24)*$AS24*其他调用!W23/$E$4</f>
        <v>0</v>
      </c>
      <c r="BA24" s="16">
        <f>求节点(G$28:G$34,$N$28:$N$34,$AR24)*$AS24*其他调用!X23/$E$4</f>
        <v>0</v>
      </c>
      <c r="BB24" s="16">
        <f>求节点(H$28:H$34,$N$28:$N$34,$AR24)*$AS24*其他调用!Y23/$E$4</f>
        <v>0</v>
      </c>
      <c r="BC24" s="16">
        <f>求节点(I$28:I$34,$N$28:$N$34,$AR24)*$AS24*其他调用!Z23/$E$4</f>
        <v>0</v>
      </c>
      <c r="BD24" s="16">
        <f>求节点(E$28:E$34,$O$28:$O$34,$AR24)*$AS24*其他调用!V23/$E$4</f>
        <v>0</v>
      </c>
      <c r="BE24" s="16">
        <f>求节点(F$28:F$34,$O$28:$O$34,$AR24)*$AS24*其他调用!W23/$E$4</f>
        <v>0</v>
      </c>
      <c r="BF24" s="16">
        <f>求节点(G$28:G$34,$O$28:$O$34,$AR24)*$AS24*其他调用!X23/$E$4</f>
        <v>0</v>
      </c>
      <c r="BG24" s="16">
        <f>求节点(H$28:H$34,$O$28:$O$34,$AR24)*$AS24*其他调用!Y23/$E$4</f>
        <v>0</v>
      </c>
      <c r="BH24" s="16">
        <f>求节点(I$28:I$34,$O$28:$O$34,$AR24)*$AS24*其他调用!Z23/$E$4</f>
        <v>0</v>
      </c>
      <c r="BK24" s="16">
        <v>20</v>
      </c>
      <c r="BL24" s="16">
        <f>SUM(AT$5:AT24)</f>
        <v>0</v>
      </c>
      <c r="BM24" s="16">
        <f>SUM(AU$5:AU24)</f>
        <v>0</v>
      </c>
      <c r="BN24" s="16">
        <f>SUM(AV$5:AV24)</f>
        <v>0</v>
      </c>
      <c r="BO24" s="16">
        <f>SUM(AW$5:AW24)</f>
        <v>0</v>
      </c>
      <c r="BP24" s="16">
        <f>SUM(AX$5:AX24)</f>
        <v>0</v>
      </c>
      <c r="BQ24" s="16">
        <f>SUM(AY$5:AY24)</f>
        <v>0</v>
      </c>
      <c r="BR24" s="16">
        <f>SUM(AZ$5:AZ24)</f>
        <v>0</v>
      </c>
      <c r="BS24" s="16">
        <f>SUM(BA$5:BA24)</f>
        <v>0</v>
      </c>
      <c r="BT24" s="16">
        <f>SUM(BB$5:BB24)</f>
        <v>0</v>
      </c>
      <c r="BU24" s="16">
        <f>SUM(BC$5:BC24)</f>
        <v>0</v>
      </c>
      <c r="BV24" s="16">
        <f>SUM(BD$5:BD24)</f>
        <v>0</v>
      </c>
      <c r="BW24" s="16">
        <f>SUM(BE$5:BE24)</f>
        <v>0</v>
      </c>
      <c r="BX24" s="16">
        <f>SUM(BF$5:BF24)</f>
        <v>0</v>
      </c>
      <c r="BY24" s="16">
        <f>SUM(BG$5:BG24)</f>
        <v>0</v>
      </c>
      <c r="BZ24" s="16">
        <f>SUM(BH$5:BH24)</f>
        <v>0</v>
      </c>
      <c r="CC24" s="16">
        <v>20</v>
      </c>
      <c r="CD24" s="16">
        <f t="shared" si="1"/>
        <v>0</v>
      </c>
      <c r="CE24" s="16">
        <f t="shared" si="2"/>
        <v>0</v>
      </c>
      <c r="CF24" s="16">
        <f t="shared" si="3"/>
        <v>0</v>
      </c>
      <c r="CG24" s="16">
        <f t="shared" si="4"/>
        <v>0</v>
      </c>
      <c r="CH24" s="16">
        <f t="shared" si="5"/>
        <v>0</v>
      </c>
      <c r="CI24" s="16">
        <f t="shared" si="6"/>
        <v>0</v>
      </c>
      <c r="CJ24" s="16">
        <f t="shared" si="7"/>
        <v>0</v>
      </c>
      <c r="CK24" s="16">
        <f t="shared" si="8"/>
        <v>0</v>
      </c>
      <c r="CL24" s="16">
        <f t="shared" si="9"/>
        <v>0</v>
      </c>
      <c r="CM24" s="16">
        <f t="shared" si="10"/>
        <v>0</v>
      </c>
      <c r="CN24" s="16">
        <f t="shared" si="11"/>
        <v>0</v>
      </c>
      <c r="CO24" s="16">
        <f t="shared" si="12"/>
        <v>0</v>
      </c>
      <c r="CP24" s="16">
        <f t="shared" si="13"/>
        <v>0</v>
      </c>
      <c r="CQ24" s="16">
        <f t="shared" si="14"/>
        <v>0</v>
      </c>
      <c r="CR24" s="16">
        <f t="shared" si="15"/>
        <v>0</v>
      </c>
      <c r="CV24" s="16">
        <v>20</v>
      </c>
      <c r="CW24" s="35">
        <f t="shared" si="18"/>
        <v>0.13200000000000001</v>
      </c>
      <c r="CX24" s="16">
        <f>其他调用!V23/$E$4*求节点(E$28:E$34,$P$28:$P$34,$CV24)*$CW24</f>
        <v>0</v>
      </c>
      <c r="CY24" s="16">
        <f>其他调用!W23/$E$4*求节点(F$28:F$34,$P$28:$P$34,$CV24)*$CW24</f>
        <v>0</v>
      </c>
      <c r="CZ24" s="16">
        <f>其他调用!X23/$E$4*求节点(G$28:G$34,$P$28:$P$34,$CV24)*$CW24</f>
        <v>0</v>
      </c>
      <c r="DA24" s="16">
        <f>其他调用!Y23/$E$4*求节点(H$28:H$34,$P$28:$P$34,$CV24)*$CW24</f>
        <v>0</v>
      </c>
      <c r="DB24" s="16">
        <f>其他调用!Z23/$E$4*求节点(I$28:I$34,$P$28:$P$34,$CV24)*$CW24</f>
        <v>0</v>
      </c>
      <c r="DC24" s="16">
        <f>SUM(CX$5:CX24)</f>
        <v>0</v>
      </c>
      <c r="DD24" s="16">
        <f>SUM(CY$5:CY24)</f>
        <v>0</v>
      </c>
      <c r="DE24" s="16">
        <f>SUM(CZ$5:CZ24)</f>
        <v>0</v>
      </c>
      <c r="DF24" s="16">
        <f>SUM(DA$5:DA24)</f>
        <v>0</v>
      </c>
      <c r="DG24" s="16">
        <f>SUM(DB$5:DB24)</f>
        <v>0</v>
      </c>
    </row>
    <row r="25" spans="2:111">
      <c r="J25" s="73" t="s">
        <v>559</v>
      </c>
      <c r="K25" s="47"/>
      <c r="L25" s="47"/>
      <c r="M25" s="47"/>
      <c r="N25" s="47"/>
      <c r="O25" s="47"/>
      <c r="P25" s="73" t="s">
        <v>426</v>
      </c>
      <c r="Q25" s="47"/>
      <c r="R25" s="47"/>
      <c r="X25" s="16">
        <v>21</v>
      </c>
      <c r="Y25" s="45">
        <f t="shared" si="16"/>
        <v>134.74576271186442</v>
      </c>
      <c r="Z25" s="24">
        <f t="shared" si="17"/>
        <v>6.8000000000000005E-2</v>
      </c>
      <c r="AA25" s="16">
        <f>$Y25*$Z25*其他调用!V24</f>
        <v>121.00567843847622</v>
      </c>
      <c r="AB25" s="16">
        <f>$Y25*$Z25*其他调用!W24</f>
        <v>152.35973375905158</v>
      </c>
      <c r="AC25" s="16">
        <f>$Y25*$Z25*其他调用!X24</f>
        <v>174.6460826647303</v>
      </c>
      <c r="AD25" s="16">
        <f>$Y25*$Z25*其他调用!Y24</f>
        <v>147.67160760797665</v>
      </c>
      <c r="AE25" s="16">
        <f>$Y25*$Z25*其他调用!Z24</f>
        <v>86.604019545525063</v>
      </c>
      <c r="AH25" s="16">
        <v>21</v>
      </c>
      <c r="AI25" s="16">
        <f>SUM(AA$5:AA25)</f>
        <v>1056.7789733256998</v>
      </c>
      <c r="AJ25" s="16">
        <f>SUM(AB$5:AB25)</f>
        <v>1338.0165846300033</v>
      </c>
      <c r="AK25" s="16">
        <f>SUM(AC$5:AC25)</f>
        <v>1499.3777541556303</v>
      </c>
      <c r="AL25" s="16">
        <f>SUM(AD$5:AD25)</f>
        <v>1259.7144496249111</v>
      </c>
      <c r="AM25" s="16">
        <f>SUM(AE$5:AE25)</f>
        <v>707.30107733304953</v>
      </c>
      <c r="AR25" s="16">
        <v>21</v>
      </c>
      <c r="AS25" s="24">
        <f t="shared" si="0"/>
        <v>6.8000000000000005E-2</v>
      </c>
      <c r="AT25" s="16">
        <f>求节点(E$28:E$34,$M$28:$M$34,$AR25)*$AS25*其他调用!V24/$E$4</f>
        <v>0</v>
      </c>
      <c r="AU25" s="16">
        <f>求节点(F$28:F$34,$M$28:$M$34,$AR25)*$AS25*其他调用!W24/$E$4</f>
        <v>0</v>
      </c>
      <c r="AV25" s="16">
        <f>求节点(G$28:G$34,$M$28:$M$34,$AR25)*$AS25*其他调用!X24/$E$4</f>
        <v>0</v>
      </c>
      <c r="AW25" s="16">
        <f>求节点(H$28:H$34,$M$28:$M$34,$AR25)*$AS25*其他调用!Y24/$E$4</f>
        <v>0</v>
      </c>
      <c r="AX25" s="16">
        <f>求节点(I$28:I$34,$M$28:$M$34,$AR25)*$AS25*其他调用!Z24/$E$4</f>
        <v>0</v>
      </c>
      <c r="AY25" s="16">
        <f>求节点(E$28:E$34,$N$28:$N$34,$AR25)*$AS25*其他调用!V24/$E$4</f>
        <v>0</v>
      </c>
      <c r="AZ25" s="16">
        <f>求节点(F$28:F$34,$N$28:$N$34,$AR25)*$AS25*其他调用!W24/$E$4</f>
        <v>0</v>
      </c>
      <c r="BA25" s="16">
        <f>求节点(G$28:G$34,$N$28:$N$34,$AR25)*$AS25*其他调用!X24/$E$4</f>
        <v>0</v>
      </c>
      <c r="BB25" s="16">
        <f>求节点(H$28:H$34,$N$28:$N$34,$AR25)*$AS25*其他调用!Y24/$E$4</f>
        <v>0</v>
      </c>
      <c r="BC25" s="16">
        <f>求节点(I$28:I$34,$N$28:$N$34,$AR25)*$AS25*其他调用!Z24/$E$4</f>
        <v>0</v>
      </c>
      <c r="BD25" s="16">
        <f>求节点(E$28:E$34,$O$28:$O$34,$AR25)*$AS25*其他调用!V24/$E$4</f>
        <v>0</v>
      </c>
      <c r="BE25" s="16">
        <f>求节点(F$28:F$34,$O$28:$O$34,$AR25)*$AS25*其他调用!W24/$E$4</f>
        <v>0</v>
      </c>
      <c r="BF25" s="16">
        <f>求节点(G$28:G$34,$O$28:$O$34,$AR25)*$AS25*其他调用!X24/$E$4</f>
        <v>0</v>
      </c>
      <c r="BG25" s="16">
        <f>求节点(H$28:H$34,$O$28:$O$34,$AR25)*$AS25*其他调用!Y24/$E$4</f>
        <v>0</v>
      </c>
      <c r="BH25" s="16">
        <f>求节点(I$28:I$34,$O$28:$O$34,$AR25)*$AS25*其他调用!Z24/$E$4</f>
        <v>0</v>
      </c>
      <c r="BK25" s="16">
        <v>21</v>
      </c>
      <c r="BL25" s="16">
        <f>SUM(AT$5:AT25)</f>
        <v>0</v>
      </c>
      <c r="BM25" s="16">
        <f>SUM(AU$5:AU25)</f>
        <v>0</v>
      </c>
      <c r="BN25" s="16">
        <f>SUM(AV$5:AV25)</f>
        <v>0</v>
      </c>
      <c r="BO25" s="16">
        <f>SUM(AW$5:AW25)</f>
        <v>0</v>
      </c>
      <c r="BP25" s="16">
        <f>SUM(AX$5:AX25)</f>
        <v>0</v>
      </c>
      <c r="BQ25" s="16">
        <f>SUM(AY$5:AY25)</f>
        <v>0</v>
      </c>
      <c r="BR25" s="16">
        <f>SUM(AZ$5:AZ25)</f>
        <v>0</v>
      </c>
      <c r="BS25" s="16">
        <f>SUM(BA$5:BA25)</f>
        <v>0</v>
      </c>
      <c r="BT25" s="16">
        <f>SUM(BB$5:BB25)</f>
        <v>0</v>
      </c>
      <c r="BU25" s="16">
        <f>SUM(BC$5:BC25)</f>
        <v>0</v>
      </c>
      <c r="BV25" s="16">
        <f>SUM(BD$5:BD25)</f>
        <v>0</v>
      </c>
      <c r="BW25" s="16">
        <f>SUM(BE$5:BE25)</f>
        <v>0</v>
      </c>
      <c r="BX25" s="16">
        <f>SUM(BF$5:BF25)</f>
        <v>0</v>
      </c>
      <c r="BY25" s="16">
        <f>SUM(BG$5:BG25)</f>
        <v>0</v>
      </c>
      <c r="BZ25" s="16">
        <f>SUM(BH$5:BH25)</f>
        <v>0</v>
      </c>
      <c r="CC25" s="16">
        <v>21</v>
      </c>
      <c r="CD25" s="16">
        <f t="shared" si="1"/>
        <v>0</v>
      </c>
      <c r="CE25" s="16">
        <f t="shared" si="2"/>
        <v>0</v>
      </c>
      <c r="CF25" s="16">
        <f t="shared" si="3"/>
        <v>0</v>
      </c>
      <c r="CG25" s="16">
        <f t="shared" si="4"/>
        <v>0</v>
      </c>
      <c r="CH25" s="16">
        <f t="shared" si="5"/>
        <v>0</v>
      </c>
      <c r="CI25" s="16">
        <f t="shared" si="6"/>
        <v>0</v>
      </c>
      <c r="CJ25" s="16">
        <f t="shared" si="7"/>
        <v>0</v>
      </c>
      <c r="CK25" s="16">
        <f t="shared" si="8"/>
        <v>0</v>
      </c>
      <c r="CL25" s="16">
        <f t="shared" si="9"/>
        <v>0</v>
      </c>
      <c r="CM25" s="16">
        <f t="shared" si="10"/>
        <v>0</v>
      </c>
      <c r="CN25" s="16">
        <f t="shared" si="11"/>
        <v>0</v>
      </c>
      <c r="CO25" s="16">
        <f t="shared" si="12"/>
        <v>0</v>
      </c>
      <c r="CP25" s="16">
        <f t="shared" si="13"/>
        <v>0</v>
      </c>
      <c r="CQ25" s="16">
        <f t="shared" si="14"/>
        <v>0</v>
      </c>
      <c r="CR25" s="16">
        <f t="shared" si="15"/>
        <v>0</v>
      </c>
      <c r="CV25" s="16">
        <v>21</v>
      </c>
      <c r="CW25" s="35">
        <f t="shared" si="18"/>
        <v>0.13200000000000001</v>
      </c>
      <c r="CX25" s="16">
        <f>其他调用!V24/$E$4*求节点(E$28:E$34,$P$28:$P$34,$CV25)*$CW25</f>
        <v>0</v>
      </c>
      <c r="CY25" s="16">
        <f>其他调用!W24/$E$4*求节点(F$28:F$34,$P$28:$P$34,$CV25)*$CW25</f>
        <v>0</v>
      </c>
      <c r="CZ25" s="16">
        <f>其他调用!X24/$E$4*求节点(G$28:G$34,$P$28:$P$34,$CV25)*$CW25</f>
        <v>0</v>
      </c>
      <c r="DA25" s="16">
        <f>其他调用!Y24/$E$4*求节点(H$28:H$34,$P$28:$P$34,$CV25)*$CW25</f>
        <v>0</v>
      </c>
      <c r="DB25" s="16">
        <f>其他调用!Z24/$E$4*求节点(I$28:I$34,$P$28:$P$34,$CV25)*$CW25</f>
        <v>0</v>
      </c>
      <c r="DC25" s="16">
        <f>SUM(CX$5:CX25)</f>
        <v>0</v>
      </c>
      <c r="DD25" s="16">
        <f>SUM(CY$5:CY25)</f>
        <v>0</v>
      </c>
      <c r="DE25" s="16">
        <f>SUM(CZ$5:CZ25)</f>
        <v>0</v>
      </c>
      <c r="DF25" s="16">
        <f>SUM(DA$5:DA25)</f>
        <v>0</v>
      </c>
      <c r="DG25" s="16">
        <f>SUM(DB$5:DB25)</f>
        <v>0</v>
      </c>
    </row>
    <row r="26" spans="2:111">
      <c r="E26" s="166" t="s">
        <v>299</v>
      </c>
      <c r="F26" s="166"/>
      <c r="G26" s="166"/>
      <c r="H26" s="166"/>
      <c r="I26" s="166"/>
      <c r="J26" s="166" t="s">
        <v>406</v>
      </c>
      <c r="K26" s="166"/>
      <c r="L26" s="166"/>
      <c r="M26" s="166" t="s">
        <v>407</v>
      </c>
      <c r="N26" s="166"/>
      <c r="O26" s="166"/>
      <c r="P26" s="162" t="s">
        <v>427</v>
      </c>
      <c r="X26" s="16">
        <v>22</v>
      </c>
      <c r="Y26" s="45">
        <f t="shared" si="16"/>
        <v>138.98305084745763</v>
      </c>
      <c r="Z26" s="24">
        <f t="shared" si="17"/>
        <v>6.8000000000000005E-2</v>
      </c>
      <c r="AA26" s="16">
        <f>$Y26*$Z26*其他调用!V25</f>
        <v>133.7689980787147</v>
      </c>
      <c r="AB26" s="16">
        <f>$Y26*$Z26*其他调用!W25</f>
        <v>172.45534619790047</v>
      </c>
      <c r="AC26" s="16">
        <f>$Y26*$Z26*其他调用!X25</f>
        <v>196.33922635211255</v>
      </c>
      <c r="AD26" s="16">
        <f>$Y26*$Z26*其他调用!Y25</f>
        <v>166.63804415944395</v>
      </c>
      <c r="AE26" s="16">
        <f>$Y26*$Z26*其他调用!Z25</f>
        <v>94.48877514415652</v>
      </c>
      <c r="AH26" s="16">
        <v>22</v>
      </c>
      <c r="AI26" s="16">
        <f>SUM(AA$5:AA26)</f>
        <v>1190.5479714044145</v>
      </c>
      <c r="AJ26" s="16">
        <f>SUM(AB$5:AB26)</f>
        <v>1510.4719308279039</v>
      </c>
      <c r="AK26" s="16">
        <f>SUM(AC$5:AC26)</f>
        <v>1695.7169805077428</v>
      </c>
      <c r="AL26" s="16">
        <f>SUM(AD$5:AD26)</f>
        <v>1426.3524937843551</v>
      </c>
      <c r="AM26" s="16">
        <f>SUM(AE$5:AE26)</f>
        <v>801.78985247720607</v>
      </c>
      <c r="AR26" s="16">
        <v>22</v>
      </c>
      <c r="AS26" s="24">
        <f t="shared" si="0"/>
        <v>6.8000000000000005E-2</v>
      </c>
      <c r="AT26" s="16">
        <f>求节点(E$28:E$34,$M$28:$M$34,$AR26)*$AS26*其他调用!V25/$E$4</f>
        <v>0</v>
      </c>
      <c r="AU26" s="16">
        <f>求节点(F$28:F$34,$M$28:$M$34,$AR26)*$AS26*其他调用!W25/$E$4</f>
        <v>0</v>
      </c>
      <c r="AV26" s="16">
        <f>求节点(G$28:G$34,$M$28:$M$34,$AR26)*$AS26*其他调用!X25/$E$4</f>
        <v>0</v>
      </c>
      <c r="AW26" s="16">
        <f>求节点(H$28:H$34,$M$28:$M$34,$AR26)*$AS26*其他调用!Y25/$E$4</f>
        <v>0</v>
      </c>
      <c r="AX26" s="16">
        <f>求节点(I$28:I$34,$M$28:$M$34,$AR26)*$AS26*其他调用!Z25/$E$4</f>
        <v>0</v>
      </c>
      <c r="AY26" s="16">
        <f>求节点(E$28:E$34,$N$28:$N$34,$AR26)*$AS26*其他调用!V25/$E$4</f>
        <v>0</v>
      </c>
      <c r="AZ26" s="16">
        <f>求节点(F$28:F$34,$N$28:$N$34,$AR26)*$AS26*其他调用!W25/$E$4</f>
        <v>0</v>
      </c>
      <c r="BA26" s="16">
        <f>求节点(G$28:G$34,$N$28:$N$34,$AR26)*$AS26*其他调用!X25/$E$4</f>
        <v>0</v>
      </c>
      <c r="BB26" s="16">
        <f>求节点(H$28:H$34,$N$28:$N$34,$AR26)*$AS26*其他调用!Y25/$E$4</f>
        <v>0</v>
      </c>
      <c r="BC26" s="16">
        <f>求节点(I$28:I$34,$N$28:$N$34,$AR26)*$AS26*其他调用!Z25/$E$4</f>
        <v>0</v>
      </c>
      <c r="BD26" s="16">
        <f>求节点(E$28:E$34,$O$28:$O$34,$AR26)*$AS26*其他调用!V25/$E$4</f>
        <v>0</v>
      </c>
      <c r="BE26" s="16">
        <f>求节点(F$28:F$34,$O$28:$O$34,$AR26)*$AS26*其他调用!W25/$E$4</f>
        <v>0</v>
      </c>
      <c r="BF26" s="16">
        <f>求节点(G$28:G$34,$O$28:$O$34,$AR26)*$AS26*其他调用!X25/$E$4</f>
        <v>0</v>
      </c>
      <c r="BG26" s="16">
        <f>求节点(H$28:H$34,$O$28:$O$34,$AR26)*$AS26*其他调用!Y25/$E$4</f>
        <v>0</v>
      </c>
      <c r="BH26" s="16">
        <f>求节点(I$28:I$34,$O$28:$O$34,$AR26)*$AS26*其他调用!Z25/$E$4</f>
        <v>0</v>
      </c>
      <c r="BK26" s="16">
        <v>22</v>
      </c>
      <c r="BL26" s="16">
        <f>SUM(AT$5:AT26)</f>
        <v>0</v>
      </c>
      <c r="BM26" s="16">
        <f>SUM(AU$5:AU26)</f>
        <v>0</v>
      </c>
      <c r="BN26" s="16">
        <f>SUM(AV$5:AV26)</f>
        <v>0</v>
      </c>
      <c r="BO26" s="16">
        <f>SUM(AW$5:AW26)</f>
        <v>0</v>
      </c>
      <c r="BP26" s="16">
        <f>SUM(AX$5:AX26)</f>
        <v>0</v>
      </c>
      <c r="BQ26" s="16">
        <f>SUM(AY$5:AY26)</f>
        <v>0</v>
      </c>
      <c r="BR26" s="16">
        <f>SUM(AZ$5:AZ26)</f>
        <v>0</v>
      </c>
      <c r="BS26" s="16">
        <f>SUM(BA$5:BA26)</f>
        <v>0</v>
      </c>
      <c r="BT26" s="16">
        <f>SUM(BB$5:BB26)</f>
        <v>0</v>
      </c>
      <c r="BU26" s="16">
        <f>SUM(BC$5:BC26)</f>
        <v>0</v>
      </c>
      <c r="BV26" s="16">
        <f>SUM(BD$5:BD26)</f>
        <v>0</v>
      </c>
      <c r="BW26" s="16">
        <f>SUM(BE$5:BE26)</f>
        <v>0</v>
      </c>
      <c r="BX26" s="16">
        <f>SUM(BF$5:BF26)</f>
        <v>0</v>
      </c>
      <c r="BY26" s="16">
        <f>SUM(BG$5:BG26)</f>
        <v>0</v>
      </c>
      <c r="BZ26" s="16">
        <f>SUM(BH$5:BH26)</f>
        <v>0</v>
      </c>
      <c r="CC26" s="16">
        <v>22</v>
      </c>
      <c r="CD26" s="16">
        <f t="shared" si="1"/>
        <v>0</v>
      </c>
      <c r="CE26" s="16">
        <f t="shared" si="2"/>
        <v>0</v>
      </c>
      <c r="CF26" s="16">
        <f t="shared" si="3"/>
        <v>0</v>
      </c>
      <c r="CG26" s="16">
        <f t="shared" si="4"/>
        <v>0</v>
      </c>
      <c r="CH26" s="16">
        <f t="shared" si="5"/>
        <v>0</v>
      </c>
      <c r="CI26" s="16">
        <f t="shared" si="6"/>
        <v>0</v>
      </c>
      <c r="CJ26" s="16">
        <f t="shared" si="7"/>
        <v>0</v>
      </c>
      <c r="CK26" s="16">
        <f t="shared" si="8"/>
        <v>0</v>
      </c>
      <c r="CL26" s="16">
        <f t="shared" si="9"/>
        <v>0</v>
      </c>
      <c r="CM26" s="16">
        <f t="shared" si="10"/>
        <v>0</v>
      </c>
      <c r="CN26" s="16">
        <f t="shared" si="11"/>
        <v>0</v>
      </c>
      <c r="CO26" s="16">
        <f t="shared" si="12"/>
        <v>0</v>
      </c>
      <c r="CP26" s="16">
        <f t="shared" si="13"/>
        <v>0</v>
      </c>
      <c r="CQ26" s="16">
        <f t="shared" si="14"/>
        <v>0</v>
      </c>
      <c r="CR26" s="16">
        <f t="shared" si="15"/>
        <v>0</v>
      </c>
      <c r="CV26" s="16">
        <v>22</v>
      </c>
      <c r="CW26" s="35">
        <f t="shared" si="18"/>
        <v>0.13200000000000001</v>
      </c>
      <c r="CX26" s="16">
        <f>其他调用!V25/$E$4*求节点(E$28:E$34,$P$28:$P$34,$CV26)*$CW26</f>
        <v>0</v>
      </c>
      <c r="CY26" s="16">
        <f>其他调用!W25/$E$4*求节点(F$28:F$34,$P$28:$P$34,$CV26)*$CW26</f>
        <v>0</v>
      </c>
      <c r="CZ26" s="16">
        <f>其他调用!X25/$E$4*求节点(G$28:G$34,$P$28:$P$34,$CV26)*$CW26</f>
        <v>0</v>
      </c>
      <c r="DA26" s="16">
        <f>其他调用!Y25/$E$4*求节点(H$28:H$34,$P$28:$P$34,$CV26)*$CW26</f>
        <v>0</v>
      </c>
      <c r="DB26" s="16">
        <f>其他调用!Z25/$E$4*求节点(I$28:I$34,$P$28:$P$34,$CV26)*$CW26</f>
        <v>0</v>
      </c>
      <c r="DC26" s="16">
        <f>SUM(CX$5:CX26)</f>
        <v>0</v>
      </c>
      <c r="DD26" s="16">
        <f>SUM(CY$5:CY26)</f>
        <v>0</v>
      </c>
      <c r="DE26" s="16">
        <f>SUM(CZ$5:CZ26)</f>
        <v>0</v>
      </c>
      <c r="DF26" s="16">
        <f>SUM(DA$5:DA26)</f>
        <v>0</v>
      </c>
      <c r="DG26" s="16">
        <f>SUM(DB$5:DB26)</f>
        <v>0</v>
      </c>
    </row>
    <row r="27" spans="2:111">
      <c r="D27" s="21" t="s">
        <v>180</v>
      </c>
      <c r="E27" s="21" t="s">
        <v>74</v>
      </c>
      <c r="F27" s="21" t="s">
        <v>75</v>
      </c>
      <c r="G27" s="21" t="s">
        <v>76</v>
      </c>
      <c r="H27" s="21" t="s">
        <v>77</v>
      </c>
      <c r="I27" s="21" t="s">
        <v>78</v>
      </c>
      <c r="J27" s="21" t="s">
        <v>1</v>
      </c>
      <c r="K27" s="21" t="s">
        <v>2</v>
      </c>
      <c r="L27" s="21" t="s">
        <v>0</v>
      </c>
      <c r="M27" s="21" t="s">
        <v>1</v>
      </c>
      <c r="N27" s="21" t="s">
        <v>2</v>
      </c>
      <c r="O27" s="21" t="s">
        <v>0</v>
      </c>
      <c r="P27" s="162"/>
      <c r="X27" s="16">
        <v>23</v>
      </c>
      <c r="Y27" s="45">
        <f t="shared" si="16"/>
        <v>143.22033898305085</v>
      </c>
      <c r="Z27" s="24">
        <f t="shared" si="17"/>
        <v>6.8000000000000005E-2</v>
      </c>
      <c r="AA27" s="16">
        <f>$Y27*$Z27*其他调用!V26</f>
        <v>147.7411007340921</v>
      </c>
      <c r="AB27" s="16">
        <f>$Y27*$Z27*其他调用!W26</f>
        <v>185.22741598495469</v>
      </c>
      <c r="AC27" s="16">
        <f>$Y27*$Z27*其他调用!X26</f>
        <v>205.17953867110378</v>
      </c>
      <c r="AD27" s="16">
        <f>$Y27*$Z27*其他调用!Y26</f>
        <v>172.41227056280431</v>
      </c>
      <c r="AE27" s="16">
        <f>$Y27*$Z27*其他调用!Z26</f>
        <v>92.445081663951299</v>
      </c>
      <c r="AH27" s="16">
        <v>23</v>
      </c>
      <c r="AI27" s="16">
        <f>SUM(AA$5:AA27)</f>
        <v>1338.2890721385065</v>
      </c>
      <c r="AJ27" s="16">
        <f>SUM(AB$5:AB27)</f>
        <v>1695.6993468128585</v>
      </c>
      <c r="AK27" s="16">
        <f>SUM(AC$5:AC27)</f>
        <v>1900.8965191788466</v>
      </c>
      <c r="AL27" s="16">
        <f>SUM(AD$5:AD27)</f>
        <v>1598.7647643471594</v>
      </c>
      <c r="AM27" s="16">
        <f>SUM(AE$5:AE27)</f>
        <v>894.2349341411574</v>
      </c>
      <c r="AR27" s="16">
        <v>23</v>
      </c>
      <c r="AS27" s="24">
        <f t="shared" si="0"/>
        <v>6.8000000000000005E-2</v>
      </c>
      <c r="AT27" s="16">
        <f>求节点(E$28:E$34,$M$28:$M$34,$AR27)*$AS27*其他调用!V26/$E$4</f>
        <v>0</v>
      </c>
      <c r="AU27" s="16">
        <f>求节点(F$28:F$34,$M$28:$M$34,$AR27)*$AS27*其他调用!W26/$E$4</f>
        <v>0</v>
      </c>
      <c r="AV27" s="16">
        <f>求节点(G$28:G$34,$M$28:$M$34,$AR27)*$AS27*其他调用!X26/$E$4</f>
        <v>0</v>
      </c>
      <c r="AW27" s="16">
        <f>求节点(H$28:H$34,$M$28:$M$34,$AR27)*$AS27*其他调用!Y26/$E$4</f>
        <v>0</v>
      </c>
      <c r="AX27" s="16">
        <f>求节点(I$28:I$34,$M$28:$M$34,$AR27)*$AS27*其他调用!Z26/$E$4</f>
        <v>0</v>
      </c>
      <c r="AY27" s="16">
        <f>求节点(E$28:E$34,$N$28:$N$34,$AR27)*$AS27*其他调用!V26/$E$4</f>
        <v>0</v>
      </c>
      <c r="AZ27" s="16">
        <f>求节点(F$28:F$34,$N$28:$N$34,$AR27)*$AS27*其他调用!W26/$E$4</f>
        <v>0</v>
      </c>
      <c r="BA27" s="16">
        <f>求节点(G$28:G$34,$N$28:$N$34,$AR27)*$AS27*其他调用!X26/$E$4</f>
        <v>0</v>
      </c>
      <c r="BB27" s="16">
        <f>求节点(H$28:H$34,$N$28:$N$34,$AR27)*$AS27*其他调用!Y26/$E$4</f>
        <v>0</v>
      </c>
      <c r="BC27" s="16">
        <f>求节点(I$28:I$34,$N$28:$N$34,$AR27)*$AS27*其他调用!Z26/$E$4</f>
        <v>0</v>
      </c>
      <c r="BD27" s="16">
        <f>求节点(E$28:E$34,$O$28:$O$34,$AR27)*$AS27*其他调用!V26/$E$4</f>
        <v>0</v>
      </c>
      <c r="BE27" s="16">
        <f>求节点(F$28:F$34,$O$28:$O$34,$AR27)*$AS27*其他调用!W26/$E$4</f>
        <v>0</v>
      </c>
      <c r="BF27" s="16">
        <f>求节点(G$28:G$34,$O$28:$O$34,$AR27)*$AS27*其他调用!X26/$E$4</f>
        <v>0</v>
      </c>
      <c r="BG27" s="16">
        <f>求节点(H$28:H$34,$O$28:$O$34,$AR27)*$AS27*其他调用!Y26/$E$4</f>
        <v>0</v>
      </c>
      <c r="BH27" s="16">
        <f>求节点(I$28:I$34,$O$28:$O$34,$AR27)*$AS27*其他调用!Z26/$E$4</f>
        <v>0</v>
      </c>
      <c r="BK27" s="16">
        <v>23</v>
      </c>
      <c r="BL27" s="16">
        <f>SUM(AT$5:AT27)</f>
        <v>0</v>
      </c>
      <c r="BM27" s="16">
        <f>SUM(AU$5:AU27)</f>
        <v>0</v>
      </c>
      <c r="BN27" s="16">
        <f>SUM(AV$5:AV27)</f>
        <v>0</v>
      </c>
      <c r="BO27" s="16">
        <f>SUM(AW$5:AW27)</f>
        <v>0</v>
      </c>
      <c r="BP27" s="16">
        <f>SUM(AX$5:AX27)</f>
        <v>0</v>
      </c>
      <c r="BQ27" s="16">
        <f>SUM(AY$5:AY27)</f>
        <v>0</v>
      </c>
      <c r="BR27" s="16">
        <f>SUM(AZ$5:AZ27)</f>
        <v>0</v>
      </c>
      <c r="BS27" s="16">
        <f>SUM(BA$5:BA27)</f>
        <v>0</v>
      </c>
      <c r="BT27" s="16">
        <f>SUM(BB$5:BB27)</f>
        <v>0</v>
      </c>
      <c r="BU27" s="16">
        <f>SUM(BC$5:BC27)</f>
        <v>0</v>
      </c>
      <c r="BV27" s="16">
        <f>SUM(BD$5:BD27)</f>
        <v>0</v>
      </c>
      <c r="BW27" s="16">
        <f>SUM(BE$5:BE27)</f>
        <v>0</v>
      </c>
      <c r="BX27" s="16">
        <f>SUM(BF$5:BF27)</f>
        <v>0</v>
      </c>
      <c r="BY27" s="16">
        <f>SUM(BG$5:BG27)</f>
        <v>0</v>
      </c>
      <c r="BZ27" s="16">
        <f>SUM(BH$5:BH27)</f>
        <v>0</v>
      </c>
      <c r="CC27" s="16">
        <v>23</v>
      </c>
      <c r="CD27" s="16">
        <f t="shared" si="1"/>
        <v>0</v>
      </c>
      <c r="CE27" s="16">
        <f t="shared" si="2"/>
        <v>0</v>
      </c>
      <c r="CF27" s="16">
        <f t="shared" si="3"/>
        <v>0</v>
      </c>
      <c r="CG27" s="16">
        <f t="shared" si="4"/>
        <v>0</v>
      </c>
      <c r="CH27" s="16">
        <f t="shared" si="5"/>
        <v>0</v>
      </c>
      <c r="CI27" s="16">
        <f t="shared" si="6"/>
        <v>0</v>
      </c>
      <c r="CJ27" s="16">
        <f t="shared" si="7"/>
        <v>0</v>
      </c>
      <c r="CK27" s="16">
        <f t="shared" si="8"/>
        <v>0</v>
      </c>
      <c r="CL27" s="16">
        <f t="shared" si="9"/>
        <v>0</v>
      </c>
      <c r="CM27" s="16">
        <f t="shared" si="10"/>
        <v>0</v>
      </c>
      <c r="CN27" s="16">
        <f t="shared" si="11"/>
        <v>0</v>
      </c>
      <c r="CO27" s="16">
        <f t="shared" si="12"/>
        <v>0</v>
      </c>
      <c r="CP27" s="16">
        <f t="shared" si="13"/>
        <v>0</v>
      </c>
      <c r="CQ27" s="16">
        <f t="shared" si="14"/>
        <v>0</v>
      </c>
      <c r="CR27" s="16">
        <f t="shared" si="15"/>
        <v>0</v>
      </c>
      <c r="CV27" s="16">
        <v>23</v>
      </c>
      <c r="CW27" s="35">
        <f t="shared" si="18"/>
        <v>0.13200000000000001</v>
      </c>
      <c r="CX27" s="16">
        <f>其他调用!V26/$E$4*求节点(E$28:E$34,$P$28:$P$34,$CV27)*$CW27</f>
        <v>0</v>
      </c>
      <c r="CY27" s="16">
        <f>其他调用!W26/$E$4*求节点(F$28:F$34,$P$28:$P$34,$CV27)*$CW27</f>
        <v>0</v>
      </c>
      <c r="CZ27" s="16">
        <f>其他调用!X26/$E$4*求节点(G$28:G$34,$P$28:$P$34,$CV27)*$CW27</f>
        <v>0</v>
      </c>
      <c r="DA27" s="16">
        <f>其他调用!Y26/$E$4*求节点(H$28:H$34,$P$28:$P$34,$CV27)*$CW27</f>
        <v>0</v>
      </c>
      <c r="DB27" s="16">
        <f>其他调用!Z26/$E$4*求节点(I$28:I$34,$P$28:$P$34,$CV27)*$CW27</f>
        <v>0</v>
      </c>
      <c r="DC27" s="16">
        <f>SUM(CX$5:CX27)</f>
        <v>0</v>
      </c>
      <c r="DD27" s="16">
        <f>SUM(CY$5:CY27)</f>
        <v>0</v>
      </c>
      <c r="DE27" s="16">
        <f>SUM(CZ$5:CZ27)</f>
        <v>0</v>
      </c>
      <c r="DF27" s="16">
        <f>SUM(DA$5:DA27)</f>
        <v>0</v>
      </c>
      <c r="DG27" s="16">
        <f>SUM(DB$5:DB27)</f>
        <v>0</v>
      </c>
    </row>
    <row r="28" spans="2:111">
      <c r="D28" s="53">
        <v>0</v>
      </c>
      <c r="E28" s="53">
        <f>E29-1</f>
        <v>59</v>
      </c>
      <c r="F28" s="53">
        <f t="shared" ref="F28:I28" si="19">F29-1</f>
        <v>58</v>
      </c>
      <c r="G28" s="53">
        <f t="shared" si="19"/>
        <v>55</v>
      </c>
      <c r="H28" s="53">
        <f t="shared" si="19"/>
        <v>52</v>
      </c>
      <c r="I28" s="53">
        <f t="shared" si="19"/>
        <v>51</v>
      </c>
      <c r="J28" s="53">
        <v>0</v>
      </c>
      <c r="K28" s="53"/>
      <c r="L28" s="53"/>
      <c r="M28" s="53"/>
      <c r="N28" s="53"/>
      <c r="O28" s="53"/>
      <c r="P28" s="21">
        <v>0</v>
      </c>
      <c r="X28" s="16">
        <v>24</v>
      </c>
      <c r="Y28" s="45">
        <f t="shared" si="16"/>
        <v>147.45762711864407</v>
      </c>
      <c r="Z28" s="24">
        <f t="shared" si="17"/>
        <v>6.8000000000000005E-2</v>
      </c>
      <c r="AA28" s="16">
        <f>$Y28*$Z28*其他调用!V27</f>
        <v>163.02975414278117</v>
      </c>
      <c r="AB28" s="16">
        <f>$Y28*$Z28*其他调用!W27</f>
        <v>210.51820254022988</v>
      </c>
      <c r="AC28" s="16">
        <f>$Y28*$Z28*其他调用!X27</f>
        <v>240.38966579110482</v>
      </c>
      <c r="AD28" s="16">
        <f>$Y28*$Z28*其他调用!Y27</f>
        <v>200.94843170951992</v>
      </c>
      <c r="AE28" s="16">
        <f>$Y28*$Z28*其他调用!Z27</f>
        <v>111.95676663855086</v>
      </c>
      <c r="AH28" s="16">
        <v>24</v>
      </c>
      <c r="AI28" s="16">
        <f>SUM(AA$5:AA28)</f>
        <v>1501.3188262812878</v>
      </c>
      <c r="AJ28" s="16">
        <f>SUM(AB$5:AB28)</f>
        <v>1906.2175493530883</v>
      </c>
      <c r="AK28" s="16">
        <f>SUM(AC$5:AC28)</f>
        <v>2141.2861849699516</v>
      </c>
      <c r="AL28" s="16">
        <f>SUM(AD$5:AD28)</f>
        <v>1799.7131960566794</v>
      </c>
      <c r="AM28" s="16">
        <f>SUM(AE$5:AE28)</f>
        <v>1006.1917007797083</v>
      </c>
      <c r="AR28" s="16">
        <v>24</v>
      </c>
      <c r="AS28" s="24">
        <f t="shared" si="0"/>
        <v>6.8000000000000005E-2</v>
      </c>
      <c r="AT28" s="16">
        <f>求节点(E$28:E$34,$M$28:$M$34,$AR28)*$AS28*其他调用!V27/$E$4</f>
        <v>0</v>
      </c>
      <c r="AU28" s="16">
        <f>求节点(F$28:F$34,$M$28:$M$34,$AR28)*$AS28*其他调用!W27/$E$4</f>
        <v>0</v>
      </c>
      <c r="AV28" s="16">
        <f>求节点(G$28:G$34,$M$28:$M$34,$AR28)*$AS28*其他调用!X27/$E$4</f>
        <v>0</v>
      </c>
      <c r="AW28" s="16">
        <f>求节点(H$28:H$34,$M$28:$M$34,$AR28)*$AS28*其他调用!Y27/$E$4</f>
        <v>0</v>
      </c>
      <c r="AX28" s="16">
        <f>求节点(I$28:I$34,$M$28:$M$34,$AR28)*$AS28*其他调用!Z27/$E$4</f>
        <v>0</v>
      </c>
      <c r="AY28" s="16">
        <f>求节点(E$28:E$34,$N$28:$N$34,$AR28)*$AS28*其他调用!V27/$E$4</f>
        <v>0</v>
      </c>
      <c r="AZ28" s="16">
        <f>求节点(F$28:F$34,$N$28:$N$34,$AR28)*$AS28*其他调用!W27/$E$4</f>
        <v>0</v>
      </c>
      <c r="BA28" s="16">
        <f>求节点(G$28:G$34,$N$28:$N$34,$AR28)*$AS28*其他调用!X27/$E$4</f>
        <v>0</v>
      </c>
      <c r="BB28" s="16">
        <f>求节点(H$28:H$34,$N$28:$N$34,$AR28)*$AS28*其他调用!Y27/$E$4</f>
        <v>0</v>
      </c>
      <c r="BC28" s="16">
        <f>求节点(I$28:I$34,$N$28:$N$34,$AR28)*$AS28*其他调用!Z27/$E$4</f>
        <v>0</v>
      </c>
      <c r="BD28" s="16">
        <f>求节点(E$28:E$34,$O$28:$O$34,$AR28)*$AS28*其他调用!V27/$E$4</f>
        <v>0</v>
      </c>
      <c r="BE28" s="16">
        <f>求节点(F$28:F$34,$O$28:$O$34,$AR28)*$AS28*其他调用!W27/$E$4</f>
        <v>0</v>
      </c>
      <c r="BF28" s="16">
        <f>求节点(G$28:G$34,$O$28:$O$34,$AR28)*$AS28*其他调用!X27/$E$4</f>
        <v>0</v>
      </c>
      <c r="BG28" s="16">
        <f>求节点(H$28:H$34,$O$28:$O$34,$AR28)*$AS28*其他调用!Y27/$E$4</f>
        <v>0</v>
      </c>
      <c r="BH28" s="16">
        <f>求节点(I$28:I$34,$O$28:$O$34,$AR28)*$AS28*其他调用!Z27/$E$4</f>
        <v>0</v>
      </c>
      <c r="BK28" s="16">
        <v>24</v>
      </c>
      <c r="BL28" s="16">
        <f>SUM(AT$5:AT28)</f>
        <v>0</v>
      </c>
      <c r="BM28" s="16">
        <f>SUM(AU$5:AU28)</f>
        <v>0</v>
      </c>
      <c r="BN28" s="16">
        <f>SUM(AV$5:AV28)</f>
        <v>0</v>
      </c>
      <c r="BO28" s="16">
        <f>SUM(AW$5:AW28)</f>
        <v>0</v>
      </c>
      <c r="BP28" s="16">
        <f>SUM(AX$5:AX28)</f>
        <v>0</v>
      </c>
      <c r="BQ28" s="16">
        <f>SUM(AY$5:AY28)</f>
        <v>0</v>
      </c>
      <c r="BR28" s="16">
        <f>SUM(AZ$5:AZ28)</f>
        <v>0</v>
      </c>
      <c r="BS28" s="16">
        <f>SUM(BA$5:BA28)</f>
        <v>0</v>
      </c>
      <c r="BT28" s="16">
        <f>SUM(BB$5:BB28)</f>
        <v>0</v>
      </c>
      <c r="BU28" s="16">
        <f>SUM(BC$5:BC28)</f>
        <v>0</v>
      </c>
      <c r="BV28" s="16">
        <f>SUM(BD$5:BD28)</f>
        <v>0</v>
      </c>
      <c r="BW28" s="16">
        <f>SUM(BE$5:BE28)</f>
        <v>0</v>
      </c>
      <c r="BX28" s="16">
        <f>SUM(BF$5:BF28)</f>
        <v>0</v>
      </c>
      <c r="BY28" s="16">
        <f>SUM(BG$5:BG28)</f>
        <v>0</v>
      </c>
      <c r="BZ28" s="16">
        <f>SUM(BH$5:BH28)</f>
        <v>0</v>
      </c>
      <c r="CC28" s="16">
        <v>24</v>
      </c>
      <c r="CD28" s="16">
        <f t="shared" si="1"/>
        <v>0</v>
      </c>
      <c r="CE28" s="16">
        <f t="shared" si="2"/>
        <v>0</v>
      </c>
      <c r="CF28" s="16">
        <f t="shared" si="3"/>
        <v>0</v>
      </c>
      <c r="CG28" s="16">
        <f t="shared" si="4"/>
        <v>0</v>
      </c>
      <c r="CH28" s="16">
        <f t="shared" si="5"/>
        <v>0</v>
      </c>
      <c r="CI28" s="16">
        <f t="shared" si="6"/>
        <v>0</v>
      </c>
      <c r="CJ28" s="16">
        <f t="shared" si="7"/>
        <v>0</v>
      </c>
      <c r="CK28" s="16">
        <f t="shared" si="8"/>
        <v>0</v>
      </c>
      <c r="CL28" s="16">
        <f t="shared" si="9"/>
        <v>0</v>
      </c>
      <c r="CM28" s="16">
        <f t="shared" si="10"/>
        <v>0</v>
      </c>
      <c r="CN28" s="16">
        <f t="shared" si="11"/>
        <v>0</v>
      </c>
      <c r="CO28" s="16">
        <f t="shared" si="12"/>
        <v>0</v>
      </c>
      <c r="CP28" s="16">
        <f t="shared" si="13"/>
        <v>0</v>
      </c>
      <c r="CQ28" s="16">
        <f t="shared" si="14"/>
        <v>0</v>
      </c>
      <c r="CR28" s="16">
        <f t="shared" si="15"/>
        <v>0</v>
      </c>
      <c r="CV28" s="16">
        <v>24</v>
      </c>
      <c r="CW28" s="35">
        <f t="shared" si="18"/>
        <v>0.13200000000000001</v>
      </c>
      <c r="CX28" s="16">
        <f>其他调用!V27/$E$4*求节点(E$28:E$34,$P$28:$P$34,$CV28)*$CW28</f>
        <v>0</v>
      </c>
      <c r="CY28" s="16">
        <f>其他调用!W27/$E$4*求节点(F$28:F$34,$P$28:$P$34,$CV28)*$CW28</f>
        <v>0</v>
      </c>
      <c r="CZ28" s="16">
        <f>其他调用!X27/$E$4*求节点(G$28:G$34,$P$28:$P$34,$CV28)*$CW28</f>
        <v>0</v>
      </c>
      <c r="DA28" s="16">
        <f>其他调用!Y27/$E$4*求节点(H$28:H$34,$P$28:$P$34,$CV28)*$CW28</f>
        <v>0</v>
      </c>
      <c r="DB28" s="16">
        <f>其他调用!Z27/$E$4*求节点(I$28:I$34,$P$28:$P$34,$CV28)*$CW28</f>
        <v>0</v>
      </c>
      <c r="DC28" s="16">
        <f>SUM(CX$5:CX28)</f>
        <v>0</v>
      </c>
      <c r="DD28" s="16">
        <f>SUM(CY$5:CY28)</f>
        <v>0</v>
      </c>
      <c r="DE28" s="16">
        <f>SUM(CZ$5:CZ28)</f>
        <v>0</v>
      </c>
      <c r="DF28" s="16">
        <f>SUM(DA$5:DA28)</f>
        <v>0</v>
      </c>
      <c r="DG28" s="16">
        <f>SUM(DB$5:DB28)</f>
        <v>0</v>
      </c>
    </row>
    <row r="29" spans="2:111">
      <c r="D29" s="21">
        <v>1</v>
      </c>
      <c r="E29" s="21">
        <v>60</v>
      </c>
      <c r="F29" s="21">
        <f>INDEX(其他调用!$AC$4:$AC$163,MATCH(INDEX(其他调用!$AD$4:$AD$163,$E29),其他调用!AE$4:AE$163,1))</f>
        <v>59</v>
      </c>
      <c r="G29" s="21">
        <f>INDEX(其他调用!$AC$4:$AC$163,MATCH(INDEX(其他调用!$AD$4:$AD$163,$E29),其他调用!AF$4:AF$163,1))</f>
        <v>56</v>
      </c>
      <c r="H29" s="21">
        <f>INDEX(其他调用!$AC$4:$AC$163,MATCH(INDEX(其他调用!$AD$4:$AD$163,$E29),其他调用!AG$4:AG$163,1))</f>
        <v>53</v>
      </c>
      <c r="I29" s="21">
        <f>INDEX(其他调用!$AC$4:$AC$163,MATCH(INDEX(其他调用!$AD$4:$AD$163,$E29),其他调用!AH$4:AH$163,1))</f>
        <v>52</v>
      </c>
      <c r="J29" s="21">
        <v>300</v>
      </c>
      <c r="P29" s="21">
        <v>0.15</v>
      </c>
      <c r="X29" s="16">
        <v>25</v>
      </c>
      <c r="Y29" s="45">
        <f t="shared" si="16"/>
        <v>151.69491525423729</v>
      </c>
      <c r="Z29" s="24">
        <f t="shared" si="17"/>
        <v>6.8000000000000005E-2</v>
      </c>
      <c r="AA29" s="16">
        <f>$Y29*$Z29*其他调用!V28</f>
        <v>179.75196880939583</v>
      </c>
      <c r="AB29" s="16">
        <f>$Y29*$Z29*其他调用!W28</f>
        <v>230.00374263478335</v>
      </c>
      <c r="AC29" s="16">
        <f>$Y29*$Z29*其他调用!X28</f>
        <v>257.79869522172908</v>
      </c>
      <c r="AD29" s="16">
        <f>$Y29*$Z29*其他调用!Y28</f>
        <v>216.9313402010435</v>
      </c>
      <c r="AE29" s="16">
        <f>$Y29*$Z29*其他调用!Z28</f>
        <v>117.93388844065998</v>
      </c>
      <c r="AH29" s="16">
        <v>25</v>
      </c>
      <c r="AI29" s="16">
        <f>SUM(AA$5:AA29)</f>
        <v>1681.0707950906835</v>
      </c>
      <c r="AJ29" s="16">
        <f>SUM(AB$5:AB29)</f>
        <v>2136.2212919878716</v>
      </c>
      <c r="AK29" s="16">
        <f>SUM(AC$5:AC29)</f>
        <v>2399.0848801916809</v>
      </c>
      <c r="AL29" s="16">
        <f>SUM(AD$5:AD29)</f>
        <v>2016.6445362577228</v>
      </c>
      <c r="AM29" s="16">
        <f>SUM(AE$5:AE29)</f>
        <v>1124.1255892203683</v>
      </c>
      <c r="AR29" s="16">
        <v>25</v>
      </c>
      <c r="AS29" s="24">
        <f t="shared" si="0"/>
        <v>6.8000000000000005E-2</v>
      </c>
      <c r="AT29" s="16">
        <f>求节点(E$28:E$34,$M$28:$M$34,$AR29)*$AS29*其他调用!V28/$E$4</f>
        <v>0</v>
      </c>
      <c r="AU29" s="16">
        <f>求节点(F$28:F$34,$M$28:$M$34,$AR29)*$AS29*其他调用!W28/$E$4</f>
        <v>0</v>
      </c>
      <c r="AV29" s="16">
        <f>求节点(G$28:G$34,$M$28:$M$34,$AR29)*$AS29*其他调用!X28/$E$4</f>
        <v>0</v>
      </c>
      <c r="AW29" s="16">
        <f>求节点(H$28:H$34,$M$28:$M$34,$AR29)*$AS29*其他调用!Y28/$E$4</f>
        <v>0</v>
      </c>
      <c r="AX29" s="16">
        <f>求节点(I$28:I$34,$M$28:$M$34,$AR29)*$AS29*其他调用!Z28/$E$4</f>
        <v>0</v>
      </c>
      <c r="AY29" s="16">
        <f>求节点(E$28:E$34,$N$28:$N$34,$AR29)*$AS29*其他调用!V28/$E$4</f>
        <v>0</v>
      </c>
      <c r="AZ29" s="16">
        <f>求节点(F$28:F$34,$N$28:$N$34,$AR29)*$AS29*其他调用!W28/$E$4</f>
        <v>0</v>
      </c>
      <c r="BA29" s="16">
        <f>求节点(G$28:G$34,$N$28:$N$34,$AR29)*$AS29*其他调用!X28/$E$4</f>
        <v>0</v>
      </c>
      <c r="BB29" s="16">
        <f>求节点(H$28:H$34,$N$28:$N$34,$AR29)*$AS29*其他调用!Y28/$E$4</f>
        <v>0</v>
      </c>
      <c r="BC29" s="16">
        <f>求节点(I$28:I$34,$N$28:$N$34,$AR29)*$AS29*其他调用!Z28/$E$4</f>
        <v>0</v>
      </c>
      <c r="BD29" s="16">
        <f>求节点(E$28:E$34,$O$28:$O$34,$AR29)*$AS29*其他调用!V28/$E$4</f>
        <v>0</v>
      </c>
      <c r="BE29" s="16">
        <f>求节点(F$28:F$34,$O$28:$O$34,$AR29)*$AS29*其他调用!W28/$E$4</f>
        <v>0</v>
      </c>
      <c r="BF29" s="16">
        <f>求节点(G$28:G$34,$O$28:$O$34,$AR29)*$AS29*其他调用!X28/$E$4</f>
        <v>0</v>
      </c>
      <c r="BG29" s="16">
        <f>求节点(H$28:H$34,$O$28:$O$34,$AR29)*$AS29*其他调用!Y28/$E$4</f>
        <v>0</v>
      </c>
      <c r="BH29" s="16">
        <f>求节点(I$28:I$34,$O$28:$O$34,$AR29)*$AS29*其他调用!Z28/$E$4</f>
        <v>0</v>
      </c>
      <c r="BK29" s="16">
        <v>25</v>
      </c>
      <c r="BL29" s="16">
        <f>SUM(AT$5:AT29)</f>
        <v>0</v>
      </c>
      <c r="BM29" s="16">
        <f>SUM(AU$5:AU29)</f>
        <v>0</v>
      </c>
      <c r="BN29" s="16">
        <f>SUM(AV$5:AV29)</f>
        <v>0</v>
      </c>
      <c r="BO29" s="16">
        <f>SUM(AW$5:AW29)</f>
        <v>0</v>
      </c>
      <c r="BP29" s="16">
        <f>SUM(AX$5:AX29)</f>
        <v>0</v>
      </c>
      <c r="BQ29" s="16">
        <f>SUM(AY$5:AY29)</f>
        <v>0</v>
      </c>
      <c r="BR29" s="16">
        <f>SUM(AZ$5:AZ29)</f>
        <v>0</v>
      </c>
      <c r="BS29" s="16">
        <f>SUM(BA$5:BA29)</f>
        <v>0</v>
      </c>
      <c r="BT29" s="16">
        <f>SUM(BB$5:BB29)</f>
        <v>0</v>
      </c>
      <c r="BU29" s="16">
        <f>SUM(BC$5:BC29)</f>
        <v>0</v>
      </c>
      <c r="BV29" s="16">
        <f>SUM(BD$5:BD29)</f>
        <v>0</v>
      </c>
      <c r="BW29" s="16">
        <f>SUM(BE$5:BE29)</f>
        <v>0</v>
      </c>
      <c r="BX29" s="16">
        <f>SUM(BF$5:BF29)</f>
        <v>0</v>
      </c>
      <c r="BY29" s="16">
        <f>SUM(BG$5:BG29)</f>
        <v>0</v>
      </c>
      <c r="BZ29" s="16">
        <f>SUM(BH$5:BH29)</f>
        <v>0</v>
      </c>
      <c r="CC29" s="16">
        <v>25</v>
      </c>
      <c r="CD29" s="16">
        <f t="shared" si="1"/>
        <v>0</v>
      </c>
      <c r="CE29" s="16">
        <f t="shared" si="2"/>
        <v>0</v>
      </c>
      <c r="CF29" s="16">
        <f t="shared" si="3"/>
        <v>0</v>
      </c>
      <c r="CG29" s="16">
        <f t="shared" si="4"/>
        <v>0</v>
      </c>
      <c r="CH29" s="16">
        <f t="shared" si="5"/>
        <v>0</v>
      </c>
      <c r="CI29" s="16">
        <f t="shared" si="6"/>
        <v>0</v>
      </c>
      <c r="CJ29" s="16">
        <f t="shared" si="7"/>
        <v>0</v>
      </c>
      <c r="CK29" s="16">
        <f t="shared" si="8"/>
        <v>0</v>
      </c>
      <c r="CL29" s="16">
        <f t="shared" si="9"/>
        <v>0</v>
      </c>
      <c r="CM29" s="16">
        <f t="shared" si="10"/>
        <v>0</v>
      </c>
      <c r="CN29" s="16">
        <f t="shared" si="11"/>
        <v>0</v>
      </c>
      <c r="CO29" s="16">
        <f t="shared" si="12"/>
        <v>0</v>
      </c>
      <c r="CP29" s="16">
        <f t="shared" si="13"/>
        <v>0</v>
      </c>
      <c r="CQ29" s="16">
        <f t="shared" si="14"/>
        <v>0</v>
      </c>
      <c r="CR29" s="16">
        <f t="shared" si="15"/>
        <v>0</v>
      </c>
      <c r="CV29" s="16">
        <v>25</v>
      </c>
      <c r="CW29" s="35">
        <f t="shared" si="18"/>
        <v>0.13200000000000001</v>
      </c>
      <c r="CX29" s="16">
        <f>其他调用!V28/$E$4*求节点(E$28:E$34,$P$28:$P$34,$CV29)*$CW29</f>
        <v>0</v>
      </c>
      <c r="CY29" s="16">
        <f>其他调用!W28/$E$4*求节点(F$28:F$34,$P$28:$P$34,$CV29)*$CW29</f>
        <v>0</v>
      </c>
      <c r="CZ29" s="16">
        <f>其他调用!X28/$E$4*求节点(G$28:G$34,$P$28:$P$34,$CV29)*$CW29</f>
        <v>0</v>
      </c>
      <c r="DA29" s="16">
        <f>其他调用!Y28/$E$4*求节点(H$28:H$34,$P$28:$P$34,$CV29)*$CW29</f>
        <v>0</v>
      </c>
      <c r="DB29" s="16">
        <f>其他调用!Z28/$E$4*求节点(I$28:I$34,$P$28:$P$34,$CV29)*$CW29</f>
        <v>0</v>
      </c>
      <c r="DC29" s="16">
        <f>SUM(CX$5:CX29)</f>
        <v>0</v>
      </c>
      <c r="DD29" s="16">
        <f>SUM(CY$5:CY29)</f>
        <v>0</v>
      </c>
      <c r="DE29" s="16">
        <f>SUM(CZ$5:CZ29)</f>
        <v>0</v>
      </c>
      <c r="DF29" s="16">
        <f>SUM(DA$5:DA29)</f>
        <v>0</v>
      </c>
      <c r="DG29" s="16">
        <f>SUM(DB$5:DB29)</f>
        <v>0</v>
      </c>
    </row>
    <row r="30" spans="2:111">
      <c r="D30" s="21">
        <v>2</v>
      </c>
      <c r="E30" s="21">
        <v>68</v>
      </c>
      <c r="F30" s="21">
        <f>INDEX(其他调用!$AC$4:$AC$163,MATCH(INDEX(其他调用!$AD$4:$AD$163,$E30),其他调用!AE$4:AE$163,1))</f>
        <v>66</v>
      </c>
      <c r="G30" s="21">
        <f>INDEX(其他调用!$AC$4:$AC$163,MATCH(INDEX(其他调用!$AD$4:$AD$163,$E30),其他调用!AF$4:AF$163,1))</f>
        <v>64</v>
      </c>
      <c r="H30" s="21">
        <f>INDEX(其他调用!$AC$4:$AC$163,MATCH(INDEX(其他调用!$AD$4:$AD$163,$E30),其他调用!AG$4:AG$163,1))</f>
        <v>61</v>
      </c>
      <c r="I30" s="21">
        <f>INDEX(其他调用!$AC$4:$AC$163,MATCH(INDEX(其他调用!$AD$4:$AD$163,$E30),其他调用!AH$4:AH$163,1))</f>
        <v>60</v>
      </c>
      <c r="J30" s="21">
        <v>375</v>
      </c>
      <c r="P30" s="21">
        <v>0.15</v>
      </c>
      <c r="X30" s="16">
        <v>26</v>
      </c>
      <c r="Y30" s="45">
        <f t="shared" si="16"/>
        <v>155.93220338983053</v>
      </c>
      <c r="Z30" s="24">
        <f t="shared" si="17"/>
        <v>6.8000000000000005E-2</v>
      </c>
      <c r="AA30" s="16">
        <f>$Y30*$Z30*其他调用!V29</f>
        <v>198.03476961773859</v>
      </c>
      <c r="AB30" s="16">
        <f>$Y30*$Z30*其他调用!W29</f>
        <v>251.83691860209694</v>
      </c>
      <c r="AC30" s="16">
        <f>$Y30*$Z30*其他调用!X29</f>
        <v>282.34225812382118</v>
      </c>
      <c r="AD30" s="16">
        <f>$Y30*$Z30*其他调用!Y29</f>
        <v>232.67350372642346</v>
      </c>
      <c r="AE30" s="16">
        <f>$Y30*$Z30*其他调用!Z29</f>
        <v>130.32549047122768</v>
      </c>
      <c r="AH30" s="16">
        <v>26</v>
      </c>
      <c r="AI30" s="16">
        <f>SUM(AA$5:AA30)</f>
        <v>1879.1055647084222</v>
      </c>
      <c r="AJ30" s="16">
        <f>SUM(AB$5:AB30)</f>
        <v>2388.0582105899684</v>
      </c>
      <c r="AK30" s="16">
        <f>SUM(AC$5:AC30)</f>
        <v>2681.4271383155019</v>
      </c>
      <c r="AL30" s="16">
        <f>SUM(AD$5:AD30)</f>
        <v>2249.3180399841463</v>
      </c>
      <c r="AM30" s="16">
        <f>SUM(AE$5:AE30)</f>
        <v>1254.4510796915961</v>
      </c>
      <c r="AR30" s="16">
        <v>26</v>
      </c>
      <c r="AS30" s="24">
        <f t="shared" si="0"/>
        <v>6.8000000000000005E-2</v>
      </c>
      <c r="AT30" s="16">
        <f>求节点(E$28:E$34,$M$28:$M$34,$AR30)*$AS30*其他调用!V29/$E$4</f>
        <v>0</v>
      </c>
      <c r="AU30" s="16">
        <f>求节点(F$28:F$34,$M$28:$M$34,$AR30)*$AS30*其他调用!W29/$E$4</f>
        <v>0</v>
      </c>
      <c r="AV30" s="16">
        <f>求节点(G$28:G$34,$M$28:$M$34,$AR30)*$AS30*其他调用!X29/$E$4</f>
        <v>0</v>
      </c>
      <c r="AW30" s="16">
        <f>求节点(H$28:H$34,$M$28:$M$34,$AR30)*$AS30*其他调用!Y29/$E$4</f>
        <v>0</v>
      </c>
      <c r="AX30" s="16">
        <f>求节点(I$28:I$34,$M$28:$M$34,$AR30)*$AS30*其他调用!Z29/$E$4</f>
        <v>0</v>
      </c>
      <c r="AY30" s="16">
        <f>求节点(E$28:E$34,$N$28:$N$34,$AR30)*$AS30*其他调用!V29/$E$4</f>
        <v>0</v>
      </c>
      <c r="AZ30" s="16">
        <f>求节点(F$28:F$34,$N$28:$N$34,$AR30)*$AS30*其他调用!W29/$E$4</f>
        <v>0</v>
      </c>
      <c r="BA30" s="16">
        <f>求节点(G$28:G$34,$N$28:$N$34,$AR30)*$AS30*其他调用!X29/$E$4</f>
        <v>0</v>
      </c>
      <c r="BB30" s="16">
        <f>求节点(H$28:H$34,$N$28:$N$34,$AR30)*$AS30*其他调用!Y29/$E$4</f>
        <v>0</v>
      </c>
      <c r="BC30" s="16">
        <f>求节点(I$28:I$34,$N$28:$N$34,$AR30)*$AS30*其他调用!Z29/$E$4</f>
        <v>0</v>
      </c>
      <c r="BD30" s="16">
        <f>求节点(E$28:E$34,$O$28:$O$34,$AR30)*$AS30*其他调用!V29/$E$4</f>
        <v>0</v>
      </c>
      <c r="BE30" s="16">
        <f>求节点(F$28:F$34,$O$28:$O$34,$AR30)*$AS30*其他调用!W29/$E$4</f>
        <v>0</v>
      </c>
      <c r="BF30" s="16">
        <f>求节点(G$28:G$34,$O$28:$O$34,$AR30)*$AS30*其他调用!X29/$E$4</f>
        <v>0</v>
      </c>
      <c r="BG30" s="16">
        <f>求节点(H$28:H$34,$O$28:$O$34,$AR30)*$AS30*其他调用!Y29/$E$4</f>
        <v>0</v>
      </c>
      <c r="BH30" s="16">
        <f>求节点(I$28:I$34,$O$28:$O$34,$AR30)*$AS30*其他调用!Z29/$E$4</f>
        <v>0</v>
      </c>
      <c r="BK30" s="16">
        <v>26</v>
      </c>
      <c r="BL30" s="16">
        <f>SUM(AT$5:AT30)</f>
        <v>0</v>
      </c>
      <c r="BM30" s="16">
        <f>SUM(AU$5:AU30)</f>
        <v>0</v>
      </c>
      <c r="BN30" s="16">
        <f>SUM(AV$5:AV30)</f>
        <v>0</v>
      </c>
      <c r="BO30" s="16">
        <f>SUM(AW$5:AW30)</f>
        <v>0</v>
      </c>
      <c r="BP30" s="16">
        <f>SUM(AX$5:AX30)</f>
        <v>0</v>
      </c>
      <c r="BQ30" s="16">
        <f>SUM(AY$5:AY30)</f>
        <v>0</v>
      </c>
      <c r="BR30" s="16">
        <f>SUM(AZ$5:AZ30)</f>
        <v>0</v>
      </c>
      <c r="BS30" s="16">
        <f>SUM(BA$5:BA30)</f>
        <v>0</v>
      </c>
      <c r="BT30" s="16">
        <f>SUM(BB$5:BB30)</f>
        <v>0</v>
      </c>
      <c r="BU30" s="16">
        <f>SUM(BC$5:BC30)</f>
        <v>0</v>
      </c>
      <c r="BV30" s="16">
        <f>SUM(BD$5:BD30)</f>
        <v>0</v>
      </c>
      <c r="BW30" s="16">
        <f>SUM(BE$5:BE30)</f>
        <v>0</v>
      </c>
      <c r="BX30" s="16">
        <f>SUM(BF$5:BF30)</f>
        <v>0</v>
      </c>
      <c r="BY30" s="16">
        <f>SUM(BG$5:BG30)</f>
        <v>0</v>
      </c>
      <c r="BZ30" s="16">
        <f>SUM(BH$5:BH30)</f>
        <v>0</v>
      </c>
      <c r="CC30" s="16">
        <v>26</v>
      </c>
      <c r="CD30" s="16">
        <f t="shared" si="1"/>
        <v>0</v>
      </c>
      <c r="CE30" s="16">
        <f t="shared" si="2"/>
        <v>0</v>
      </c>
      <c r="CF30" s="16">
        <f t="shared" si="3"/>
        <v>0</v>
      </c>
      <c r="CG30" s="16">
        <f t="shared" si="4"/>
        <v>0</v>
      </c>
      <c r="CH30" s="16">
        <f t="shared" si="5"/>
        <v>0</v>
      </c>
      <c r="CI30" s="16">
        <f t="shared" si="6"/>
        <v>0</v>
      </c>
      <c r="CJ30" s="16">
        <f t="shared" si="7"/>
        <v>0</v>
      </c>
      <c r="CK30" s="16">
        <f t="shared" si="8"/>
        <v>0</v>
      </c>
      <c r="CL30" s="16">
        <f t="shared" si="9"/>
        <v>0</v>
      </c>
      <c r="CM30" s="16">
        <f t="shared" si="10"/>
        <v>0</v>
      </c>
      <c r="CN30" s="16">
        <f t="shared" si="11"/>
        <v>0</v>
      </c>
      <c r="CO30" s="16">
        <f t="shared" si="12"/>
        <v>0</v>
      </c>
      <c r="CP30" s="16">
        <f t="shared" si="13"/>
        <v>0</v>
      </c>
      <c r="CQ30" s="16">
        <f t="shared" si="14"/>
        <v>0</v>
      </c>
      <c r="CR30" s="16">
        <f t="shared" si="15"/>
        <v>0</v>
      </c>
      <c r="CV30" s="16">
        <v>26</v>
      </c>
      <c r="CW30" s="35">
        <f t="shared" si="18"/>
        <v>0.13200000000000001</v>
      </c>
      <c r="CX30" s="16">
        <f>其他调用!V29/$E$4*求节点(E$28:E$34,$P$28:$P$34,$CV30)*$CW30</f>
        <v>0</v>
      </c>
      <c r="CY30" s="16">
        <f>其他调用!W29/$E$4*求节点(F$28:F$34,$P$28:$P$34,$CV30)*$CW30</f>
        <v>0</v>
      </c>
      <c r="CZ30" s="16">
        <f>其他调用!X29/$E$4*求节点(G$28:G$34,$P$28:$P$34,$CV30)*$CW30</f>
        <v>0</v>
      </c>
      <c r="DA30" s="16">
        <f>其他调用!Y29/$E$4*求节点(H$28:H$34,$P$28:$P$34,$CV30)*$CW30</f>
        <v>0</v>
      </c>
      <c r="DB30" s="16">
        <f>其他调用!Z29/$E$4*求节点(I$28:I$34,$P$28:$P$34,$CV30)*$CW30</f>
        <v>0</v>
      </c>
      <c r="DC30" s="16">
        <f>SUM(CX$5:CX30)</f>
        <v>0</v>
      </c>
      <c r="DD30" s="16">
        <f>SUM(CY$5:CY30)</f>
        <v>0</v>
      </c>
      <c r="DE30" s="16">
        <f>SUM(CZ$5:CZ30)</f>
        <v>0</v>
      </c>
      <c r="DF30" s="16">
        <f>SUM(DA$5:DA30)</f>
        <v>0</v>
      </c>
      <c r="DG30" s="16">
        <f>SUM(DB$5:DB30)</f>
        <v>0</v>
      </c>
    </row>
    <row r="31" spans="2:111">
      <c r="D31" s="21">
        <v>3</v>
      </c>
      <c r="E31" s="21">
        <v>76</v>
      </c>
      <c r="F31" s="21">
        <f>INDEX(其他调用!$AC$4:$AC$163,MATCH(INDEX(其他调用!$AD$4:$AD$163,$E31),其他调用!AE$4:AE$163,1))</f>
        <v>73</v>
      </c>
      <c r="G31" s="21">
        <f>INDEX(其他调用!$AC$4:$AC$163,MATCH(INDEX(其他调用!$AD$4:$AD$163,$E31),其他调用!AF$4:AF$163,1))</f>
        <v>71</v>
      </c>
      <c r="H31" s="21">
        <f>INDEX(其他调用!$AC$4:$AC$163,MATCH(INDEX(其他调用!$AD$4:$AD$163,$E31),其他调用!AG$4:AG$163,1))</f>
        <v>68</v>
      </c>
      <c r="I31" s="21">
        <f>INDEX(其他调用!$AC$4:$AC$163,MATCH(INDEX(其他调用!$AD$4:$AD$163,$E31),其他调用!AH$4:AH$163,1))</f>
        <v>67</v>
      </c>
      <c r="J31" s="21">
        <v>450</v>
      </c>
      <c r="P31" s="21">
        <v>0.15</v>
      </c>
      <c r="X31" s="16">
        <v>27</v>
      </c>
      <c r="Y31" s="45">
        <f t="shared" si="16"/>
        <v>160.16949152542372</v>
      </c>
      <c r="Z31" s="24">
        <f t="shared" si="17"/>
        <v>6.8000000000000005E-2</v>
      </c>
      <c r="AA31" s="16">
        <f>$Y31*$Z31*其他调用!V30</f>
        <v>218.01603059273239</v>
      </c>
      <c r="AB31" s="16">
        <f>$Y31*$Z31*其他调用!W30</f>
        <v>276.91947082721191</v>
      </c>
      <c r="AC31" s="16">
        <f>$Y31*$Z31*其他调用!X30</f>
        <v>309.29566657347789</v>
      </c>
      <c r="AD31" s="16">
        <f>$Y31*$Z31*其他调用!Y30</f>
        <v>257.04208989158167</v>
      </c>
      <c r="AE31" s="16">
        <f>$Y31*$Z31*其他调用!Z30</f>
        <v>145.21164946006465</v>
      </c>
      <c r="AH31" s="16">
        <v>27</v>
      </c>
      <c r="AI31" s="16">
        <f>SUM(AA$5:AA31)</f>
        <v>2097.1215953011547</v>
      </c>
      <c r="AJ31" s="16">
        <f>SUM(AB$5:AB31)</f>
        <v>2664.9776814171805</v>
      </c>
      <c r="AK31" s="16">
        <f>SUM(AC$5:AC31)</f>
        <v>2990.7228048889797</v>
      </c>
      <c r="AL31" s="16">
        <f>SUM(AD$5:AD31)</f>
        <v>2506.360129875728</v>
      </c>
      <c r="AM31" s="16">
        <f>SUM(AE$5:AE31)</f>
        <v>1399.6627291516606</v>
      </c>
      <c r="AR31" s="16">
        <v>27</v>
      </c>
      <c r="AS31" s="24">
        <f t="shared" si="0"/>
        <v>6.8000000000000005E-2</v>
      </c>
      <c r="AT31" s="16">
        <f>求节点(E$28:E$34,$M$28:$M$34,$AR31)*$AS31*其他调用!V30/$E$4</f>
        <v>0</v>
      </c>
      <c r="AU31" s="16">
        <f>求节点(F$28:F$34,$M$28:$M$34,$AR31)*$AS31*其他调用!W30/$E$4</f>
        <v>0</v>
      </c>
      <c r="AV31" s="16">
        <f>求节点(G$28:G$34,$M$28:$M$34,$AR31)*$AS31*其他调用!X30/$E$4</f>
        <v>0</v>
      </c>
      <c r="AW31" s="16">
        <f>求节点(H$28:H$34,$M$28:$M$34,$AR31)*$AS31*其他调用!Y30/$E$4</f>
        <v>0</v>
      </c>
      <c r="AX31" s="16">
        <f>求节点(I$28:I$34,$M$28:$M$34,$AR31)*$AS31*其他调用!Z30/$E$4</f>
        <v>0</v>
      </c>
      <c r="AY31" s="16">
        <f>求节点(E$28:E$34,$N$28:$N$34,$AR31)*$AS31*其他调用!V30/$E$4</f>
        <v>0</v>
      </c>
      <c r="AZ31" s="16">
        <f>求节点(F$28:F$34,$N$28:$N$34,$AR31)*$AS31*其他调用!W30/$E$4</f>
        <v>0</v>
      </c>
      <c r="BA31" s="16">
        <f>求节点(G$28:G$34,$N$28:$N$34,$AR31)*$AS31*其他调用!X30/$E$4</f>
        <v>0</v>
      </c>
      <c r="BB31" s="16">
        <f>求节点(H$28:H$34,$N$28:$N$34,$AR31)*$AS31*其他调用!Y30/$E$4</f>
        <v>0</v>
      </c>
      <c r="BC31" s="16">
        <f>求节点(I$28:I$34,$N$28:$N$34,$AR31)*$AS31*其他调用!Z30/$E$4</f>
        <v>0</v>
      </c>
      <c r="BD31" s="16">
        <f>求节点(E$28:E$34,$O$28:$O$34,$AR31)*$AS31*其他调用!V30/$E$4</f>
        <v>0</v>
      </c>
      <c r="BE31" s="16">
        <f>求节点(F$28:F$34,$O$28:$O$34,$AR31)*$AS31*其他调用!W30/$E$4</f>
        <v>0</v>
      </c>
      <c r="BF31" s="16">
        <f>求节点(G$28:G$34,$O$28:$O$34,$AR31)*$AS31*其他调用!X30/$E$4</f>
        <v>0</v>
      </c>
      <c r="BG31" s="16">
        <f>求节点(H$28:H$34,$O$28:$O$34,$AR31)*$AS31*其他调用!Y30/$E$4</f>
        <v>0</v>
      </c>
      <c r="BH31" s="16">
        <f>求节点(I$28:I$34,$O$28:$O$34,$AR31)*$AS31*其他调用!Z30/$E$4</f>
        <v>0</v>
      </c>
      <c r="BK31" s="16">
        <v>27</v>
      </c>
      <c r="BL31" s="16">
        <f>SUM(AT$5:AT31)</f>
        <v>0</v>
      </c>
      <c r="BM31" s="16">
        <f>SUM(AU$5:AU31)</f>
        <v>0</v>
      </c>
      <c r="BN31" s="16">
        <f>SUM(AV$5:AV31)</f>
        <v>0</v>
      </c>
      <c r="BO31" s="16">
        <f>SUM(AW$5:AW31)</f>
        <v>0</v>
      </c>
      <c r="BP31" s="16">
        <f>SUM(AX$5:AX31)</f>
        <v>0</v>
      </c>
      <c r="BQ31" s="16">
        <f>SUM(AY$5:AY31)</f>
        <v>0</v>
      </c>
      <c r="BR31" s="16">
        <f>SUM(AZ$5:AZ31)</f>
        <v>0</v>
      </c>
      <c r="BS31" s="16">
        <f>SUM(BA$5:BA31)</f>
        <v>0</v>
      </c>
      <c r="BT31" s="16">
        <f>SUM(BB$5:BB31)</f>
        <v>0</v>
      </c>
      <c r="BU31" s="16">
        <f>SUM(BC$5:BC31)</f>
        <v>0</v>
      </c>
      <c r="BV31" s="16">
        <f>SUM(BD$5:BD31)</f>
        <v>0</v>
      </c>
      <c r="BW31" s="16">
        <f>SUM(BE$5:BE31)</f>
        <v>0</v>
      </c>
      <c r="BX31" s="16">
        <f>SUM(BF$5:BF31)</f>
        <v>0</v>
      </c>
      <c r="BY31" s="16">
        <f>SUM(BG$5:BG31)</f>
        <v>0</v>
      </c>
      <c r="BZ31" s="16">
        <f>SUM(BH$5:BH31)</f>
        <v>0</v>
      </c>
      <c r="CC31" s="16">
        <v>27</v>
      </c>
      <c r="CD31" s="16">
        <f t="shared" si="1"/>
        <v>0</v>
      </c>
      <c r="CE31" s="16">
        <f t="shared" si="2"/>
        <v>0</v>
      </c>
      <c r="CF31" s="16">
        <f t="shared" si="3"/>
        <v>0</v>
      </c>
      <c r="CG31" s="16">
        <f t="shared" si="4"/>
        <v>0</v>
      </c>
      <c r="CH31" s="16">
        <f t="shared" si="5"/>
        <v>0</v>
      </c>
      <c r="CI31" s="16">
        <f t="shared" si="6"/>
        <v>0</v>
      </c>
      <c r="CJ31" s="16">
        <f t="shared" si="7"/>
        <v>0</v>
      </c>
      <c r="CK31" s="16">
        <f t="shared" si="8"/>
        <v>0</v>
      </c>
      <c r="CL31" s="16">
        <f t="shared" si="9"/>
        <v>0</v>
      </c>
      <c r="CM31" s="16">
        <f t="shared" si="10"/>
        <v>0</v>
      </c>
      <c r="CN31" s="16">
        <f t="shared" si="11"/>
        <v>0</v>
      </c>
      <c r="CO31" s="16">
        <f t="shared" si="12"/>
        <v>0</v>
      </c>
      <c r="CP31" s="16">
        <f t="shared" si="13"/>
        <v>0</v>
      </c>
      <c r="CQ31" s="16">
        <f t="shared" si="14"/>
        <v>0</v>
      </c>
      <c r="CR31" s="16">
        <f t="shared" si="15"/>
        <v>0</v>
      </c>
      <c r="CV31" s="16">
        <v>27</v>
      </c>
      <c r="CW31" s="35">
        <f t="shared" si="18"/>
        <v>0.13200000000000001</v>
      </c>
      <c r="CX31" s="16">
        <f>其他调用!V30/$E$4*求节点(E$28:E$34,$P$28:$P$34,$CV31)*$CW31</f>
        <v>0</v>
      </c>
      <c r="CY31" s="16">
        <f>其他调用!W30/$E$4*求节点(F$28:F$34,$P$28:$P$34,$CV31)*$CW31</f>
        <v>0</v>
      </c>
      <c r="CZ31" s="16">
        <f>其他调用!X30/$E$4*求节点(G$28:G$34,$P$28:$P$34,$CV31)*$CW31</f>
        <v>0</v>
      </c>
      <c r="DA31" s="16">
        <f>其他调用!Y30/$E$4*求节点(H$28:H$34,$P$28:$P$34,$CV31)*$CW31</f>
        <v>0</v>
      </c>
      <c r="DB31" s="16">
        <f>其他调用!Z30/$E$4*求节点(I$28:I$34,$P$28:$P$34,$CV31)*$CW31</f>
        <v>0</v>
      </c>
      <c r="DC31" s="16">
        <f>SUM(CX$5:CX31)</f>
        <v>0</v>
      </c>
      <c r="DD31" s="16">
        <f>SUM(CY$5:CY31)</f>
        <v>0</v>
      </c>
      <c r="DE31" s="16">
        <f>SUM(CZ$5:CZ31)</f>
        <v>0</v>
      </c>
      <c r="DF31" s="16">
        <f>SUM(DA$5:DA31)</f>
        <v>0</v>
      </c>
      <c r="DG31" s="16">
        <f>SUM(DB$5:DB31)</f>
        <v>0</v>
      </c>
    </row>
    <row r="32" spans="2:111">
      <c r="D32" s="21">
        <v>4</v>
      </c>
      <c r="E32" s="21">
        <v>84</v>
      </c>
      <c r="F32" s="21">
        <f>INDEX(其他调用!$AC$4:$AC$163,MATCH(INDEX(其他调用!$AD$4:$AD$163,$E32),其他调用!AE$4:AE$163,1))</f>
        <v>80</v>
      </c>
      <c r="G32" s="21">
        <f>INDEX(其他调用!$AC$4:$AC$163,MATCH(INDEX(其他调用!$AD$4:$AD$163,$E32),其他调用!AF$4:AF$163,1))</f>
        <v>78</v>
      </c>
      <c r="H32" s="21">
        <f>INDEX(其他调用!$AC$4:$AC$163,MATCH(INDEX(其他调用!$AD$4:$AD$163,$E32),其他调用!AG$4:AG$163,1))</f>
        <v>74</v>
      </c>
      <c r="I32" s="21">
        <f>INDEX(其他调用!$AC$4:$AC$163,MATCH(INDEX(其他调用!$AD$4:$AD$163,$E32),其他调用!AH$4:AH$163,1))</f>
        <v>73</v>
      </c>
      <c r="J32" s="21">
        <v>525</v>
      </c>
      <c r="P32" s="21">
        <v>0.15</v>
      </c>
      <c r="X32" s="16">
        <v>28</v>
      </c>
      <c r="Y32" s="45">
        <f t="shared" si="16"/>
        <v>164.40677966101697</v>
      </c>
      <c r="Z32" s="24">
        <f t="shared" si="17"/>
        <v>6.8000000000000005E-2</v>
      </c>
      <c r="AA32" s="16">
        <f>$Y32*$Z32*其他调用!V31</f>
        <v>239.84537790146686</v>
      </c>
      <c r="AB32" s="16">
        <f>$Y32*$Z32*其他调用!W31</f>
        <v>302.00643135864539</v>
      </c>
      <c r="AC32" s="16">
        <f>$Y32*$Z32*其他调用!X31</f>
        <v>331.71480937205467</v>
      </c>
      <c r="AD32" s="16">
        <f>$Y32*$Z32*其他调用!Y31</f>
        <v>281.84432825366736</v>
      </c>
      <c r="AE32" s="16">
        <f>$Y32*$Z32*其他调用!Z31</f>
        <v>166.6813051029398</v>
      </c>
      <c r="AH32" s="16">
        <v>28</v>
      </c>
      <c r="AI32" s="16">
        <f>SUM(AA$5:AA32)</f>
        <v>2336.9669732026214</v>
      </c>
      <c r="AJ32" s="16">
        <f>SUM(AB$5:AB32)</f>
        <v>2966.9841127758259</v>
      </c>
      <c r="AK32" s="16">
        <f>SUM(AC$5:AC32)</f>
        <v>3322.4376142610345</v>
      </c>
      <c r="AL32" s="16">
        <f>SUM(AD$5:AD32)</f>
        <v>2788.2044581293953</v>
      </c>
      <c r="AM32" s="16">
        <f>SUM(AE$5:AE32)</f>
        <v>1566.3440342546005</v>
      </c>
      <c r="AR32" s="16">
        <v>28</v>
      </c>
      <c r="AS32" s="24">
        <f t="shared" si="0"/>
        <v>6.8000000000000005E-2</v>
      </c>
      <c r="AT32" s="16">
        <f>求节点(E$28:E$34,$M$28:$M$34,$AR32)*$AS32*其他调用!V31/$E$4</f>
        <v>0</v>
      </c>
      <c r="AU32" s="16">
        <f>求节点(F$28:F$34,$M$28:$M$34,$AR32)*$AS32*其他调用!W31/$E$4</f>
        <v>0</v>
      </c>
      <c r="AV32" s="16">
        <f>求节点(G$28:G$34,$M$28:$M$34,$AR32)*$AS32*其他调用!X31/$E$4</f>
        <v>0</v>
      </c>
      <c r="AW32" s="16">
        <f>求节点(H$28:H$34,$M$28:$M$34,$AR32)*$AS32*其他调用!Y31/$E$4</f>
        <v>0</v>
      </c>
      <c r="AX32" s="16">
        <f>求节点(I$28:I$34,$M$28:$M$34,$AR32)*$AS32*其他调用!Z31/$E$4</f>
        <v>0</v>
      </c>
      <c r="AY32" s="16">
        <f>求节点(E$28:E$34,$N$28:$N$34,$AR32)*$AS32*其他调用!V31/$E$4</f>
        <v>0</v>
      </c>
      <c r="AZ32" s="16">
        <f>求节点(F$28:F$34,$N$28:$N$34,$AR32)*$AS32*其他调用!W31/$E$4</f>
        <v>0</v>
      </c>
      <c r="BA32" s="16">
        <f>求节点(G$28:G$34,$N$28:$N$34,$AR32)*$AS32*其他调用!X31/$E$4</f>
        <v>0</v>
      </c>
      <c r="BB32" s="16">
        <f>求节点(H$28:H$34,$N$28:$N$34,$AR32)*$AS32*其他调用!Y31/$E$4</f>
        <v>0</v>
      </c>
      <c r="BC32" s="16">
        <f>求节点(I$28:I$34,$N$28:$N$34,$AR32)*$AS32*其他调用!Z31/$E$4</f>
        <v>0</v>
      </c>
      <c r="BD32" s="16">
        <f>求节点(E$28:E$34,$O$28:$O$34,$AR32)*$AS32*其他调用!V31/$E$4</f>
        <v>0</v>
      </c>
      <c r="BE32" s="16">
        <f>求节点(F$28:F$34,$O$28:$O$34,$AR32)*$AS32*其他调用!W31/$E$4</f>
        <v>0</v>
      </c>
      <c r="BF32" s="16">
        <f>求节点(G$28:G$34,$O$28:$O$34,$AR32)*$AS32*其他调用!X31/$E$4</f>
        <v>0</v>
      </c>
      <c r="BG32" s="16">
        <f>求节点(H$28:H$34,$O$28:$O$34,$AR32)*$AS32*其他调用!Y31/$E$4</f>
        <v>0</v>
      </c>
      <c r="BH32" s="16">
        <f>求节点(I$28:I$34,$O$28:$O$34,$AR32)*$AS32*其他调用!Z31/$E$4</f>
        <v>0</v>
      </c>
      <c r="BK32" s="16">
        <v>28</v>
      </c>
      <c r="BL32" s="16">
        <f>SUM(AT$5:AT32)</f>
        <v>0</v>
      </c>
      <c r="BM32" s="16">
        <f>SUM(AU$5:AU32)</f>
        <v>0</v>
      </c>
      <c r="BN32" s="16">
        <f>SUM(AV$5:AV32)</f>
        <v>0</v>
      </c>
      <c r="BO32" s="16">
        <f>SUM(AW$5:AW32)</f>
        <v>0</v>
      </c>
      <c r="BP32" s="16">
        <f>SUM(AX$5:AX32)</f>
        <v>0</v>
      </c>
      <c r="BQ32" s="16">
        <f>SUM(AY$5:AY32)</f>
        <v>0</v>
      </c>
      <c r="BR32" s="16">
        <f>SUM(AZ$5:AZ32)</f>
        <v>0</v>
      </c>
      <c r="BS32" s="16">
        <f>SUM(BA$5:BA32)</f>
        <v>0</v>
      </c>
      <c r="BT32" s="16">
        <f>SUM(BB$5:BB32)</f>
        <v>0</v>
      </c>
      <c r="BU32" s="16">
        <f>SUM(BC$5:BC32)</f>
        <v>0</v>
      </c>
      <c r="BV32" s="16">
        <f>SUM(BD$5:BD32)</f>
        <v>0</v>
      </c>
      <c r="BW32" s="16">
        <f>SUM(BE$5:BE32)</f>
        <v>0</v>
      </c>
      <c r="BX32" s="16">
        <f>SUM(BF$5:BF32)</f>
        <v>0</v>
      </c>
      <c r="BY32" s="16">
        <f>SUM(BG$5:BG32)</f>
        <v>0</v>
      </c>
      <c r="BZ32" s="16">
        <f>SUM(BH$5:BH32)</f>
        <v>0</v>
      </c>
      <c r="CC32" s="16">
        <v>28</v>
      </c>
      <c r="CD32" s="16">
        <f t="shared" si="1"/>
        <v>0</v>
      </c>
      <c r="CE32" s="16">
        <f t="shared" si="2"/>
        <v>0</v>
      </c>
      <c r="CF32" s="16">
        <f t="shared" si="3"/>
        <v>0</v>
      </c>
      <c r="CG32" s="16">
        <f t="shared" si="4"/>
        <v>0</v>
      </c>
      <c r="CH32" s="16">
        <f t="shared" si="5"/>
        <v>0</v>
      </c>
      <c r="CI32" s="16">
        <f t="shared" si="6"/>
        <v>0</v>
      </c>
      <c r="CJ32" s="16">
        <f t="shared" si="7"/>
        <v>0</v>
      </c>
      <c r="CK32" s="16">
        <f t="shared" si="8"/>
        <v>0</v>
      </c>
      <c r="CL32" s="16">
        <f t="shared" si="9"/>
        <v>0</v>
      </c>
      <c r="CM32" s="16">
        <f t="shared" si="10"/>
        <v>0</v>
      </c>
      <c r="CN32" s="16">
        <f t="shared" si="11"/>
        <v>0</v>
      </c>
      <c r="CO32" s="16">
        <f t="shared" si="12"/>
        <v>0</v>
      </c>
      <c r="CP32" s="16">
        <f t="shared" si="13"/>
        <v>0</v>
      </c>
      <c r="CQ32" s="16">
        <f t="shared" si="14"/>
        <v>0</v>
      </c>
      <c r="CR32" s="16">
        <f t="shared" si="15"/>
        <v>0</v>
      </c>
      <c r="CV32" s="16">
        <v>28</v>
      </c>
      <c r="CW32" s="35">
        <f t="shared" si="18"/>
        <v>0.13200000000000001</v>
      </c>
      <c r="CX32" s="16">
        <f>其他调用!V31/$E$4*求节点(E$28:E$34,$P$28:$P$34,$CV32)*$CW32</f>
        <v>0</v>
      </c>
      <c r="CY32" s="16">
        <f>其他调用!W31/$E$4*求节点(F$28:F$34,$P$28:$P$34,$CV32)*$CW32</f>
        <v>0</v>
      </c>
      <c r="CZ32" s="16">
        <f>其他调用!X31/$E$4*求节点(G$28:G$34,$P$28:$P$34,$CV32)*$CW32</f>
        <v>0</v>
      </c>
      <c r="DA32" s="16">
        <f>其他调用!Y31/$E$4*求节点(H$28:H$34,$P$28:$P$34,$CV32)*$CW32</f>
        <v>0</v>
      </c>
      <c r="DB32" s="16">
        <f>其他调用!Z31/$E$4*求节点(I$28:I$34,$P$28:$P$34,$CV32)*$CW32</f>
        <v>0</v>
      </c>
      <c r="DC32" s="16">
        <f>SUM(CX$5:CX32)</f>
        <v>0</v>
      </c>
      <c r="DD32" s="16">
        <f>SUM(CY$5:CY32)</f>
        <v>0</v>
      </c>
      <c r="DE32" s="16">
        <f>SUM(CZ$5:CZ32)</f>
        <v>0</v>
      </c>
      <c r="DF32" s="16">
        <f>SUM(DA$5:DA32)</f>
        <v>0</v>
      </c>
      <c r="DG32" s="16">
        <f>SUM(DB$5:DB32)</f>
        <v>0</v>
      </c>
    </row>
    <row r="33" spans="4:111">
      <c r="D33" s="21">
        <v>5</v>
      </c>
      <c r="E33" s="21">
        <v>92</v>
      </c>
      <c r="F33" s="21">
        <f>INDEX(其他调用!$AC$4:$AC$163,MATCH(INDEX(其他调用!$AD$4:$AD$163,$E33),其他调用!AE$4:AE$163,1))</f>
        <v>87</v>
      </c>
      <c r="G33" s="21">
        <f>INDEX(其他调用!$AC$4:$AC$163,MATCH(INDEX(其他调用!$AD$4:$AD$163,$E33),其他调用!AF$4:AF$163,1))</f>
        <v>85</v>
      </c>
      <c r="H33" s="21">
        <f>INDEX(其他调用!$AC$4:$AC$163,MATCH(INDEX(其他调用!$AD$4:$AD$163,$E33),其他调用!AG$4:AG$163,1))</f>
        <v>80</v>
      </c>
      <c r="I33" s="21">
        <f>INDEX(其他调用!$AC$4:$AC$163,MATCH(INDEX(其他调用!$AD$4:$AD$163,$E33),其他调用!AH$4:AH$163,1))</f>
        <v>79</v>
      </c>
      <c r="J33" s="21">
        <v>600</v>
      </c>
      <c r="P33" s="21">
        <v>0.15</v>
      </c>
      <c r="X33" s="16">
        <v>29</v>
      </c>
      <c r="Y33" s="45">
        <f t="shared" si="16"/>
        <v>168.64406779661016</v>
      </c>
      <c r="Z33" s="24">
        <f t="shared" si="17"/>
        <v>6.8000000000000005E-2</v>
      </c>
      <c r="AA33" s="16">
        <f>$Y33*$Z33*其他调用!V32</f>
        <v>263.68516658870925</v>
      </c>
      <c r="AB33" s="16">
        <f>$Y33*$Z33*其他调用!W32</f>
        <v>338.75868072850818</v>
      </c>
      <c r="AC33" s="16">
        <f>$Y33*$Z33*其他调用!X32</f>
        <v>392.12410533903187</v>
      </c>
      <c r="AD33" s="16">
        <f>$Y33*$Z33*其他调用!Y32</f>
        <v>340.06297961884013</v>
      </c>
      <c r="AE33" s="16">
        <f>$Y33*$Z33*其他调用!Z32</f>
        <v>192.39059204507299</v>
      </c>
      <c r="AH33" s="16">
        <v>29</v>
      </c>
      <c r="AI33" s="16">
        <f>SUM(AA$5:AA33)</f>
        <v>2600.6521397913307</v>
      </c>
      <c r="AJ33" s="16">
        <f>SUM(AB$5:AB33)</f>
        <v>3305.7427935043343</v>
      </c>
      <c r="AK33" s="16">
        <f>SUM(AC$5:AC33)</f>
        <v>3714.5617196000662</v>
      </c>
      <c r="AL33" s="16">
        <f>SUM(AD$5:AD33)</f>
        <v>3128.2674377482354</v>
      </c>
      <c r="AM33" s="16">
        <f>SUM(AE$5:AE33)</f>
        <v>1758.7346262996734</v>
      </c>
      <c r="AR33" s="16">
        <v>29</v>
      </c>
      <c r="AS33" s="24">
        <f t="shared" si="0"/>
        <v>6.8000000000000005E-2</v>
      </c>
      <c r="AT33" s="16">
        <f>求节点(E$28:E$34,$M$28:$M$34,$AR33)*$AS33*其他调用!V32/$E$4</f>
        <v>0</v>
      </c>
      <c r="AU33" s="16">
        <f>求节点(F$28:F$34,$M$28:$M$34,$AR33)*$AS33*其他调用!W32/$E$4</f>
        <v>0</v>
      </c>
      <c r="AV33" s="16">
        <f>求节点(G$28:G$34,$M$28:$M$34,$AR33)*$AS33*其他调用!X32/$E$4</f>
        <v>0</v>
      </c>
      <c r="AW33" s="16">
        <f>求节点(H$28:H$34,$M$28:$M$34,$AR33)*$AS33*其他调用!Y32/$E$4</f>
        <v>0</v>
      </c>
      <c r="AX33" s="16">
        <f>求节点(I$28:I$34,$M$28:$M$34,$AR33)*$AS33*其他调用!Z32/$E$4</f>
        <v>0</v>
      </c>
      <c r="AY33" s="16">
        <f>求节点(E$28:E$34,$N$28:$N$34,$AR33)*$AS33*其他调用!V32/$E$4</f>
        <v>0</v>
      </c>
      <c r="AZ33" s="16">
        <f>求节点(F$28:F$34,$N$28:$N$34,$AR33)*$AS33*其他调用!W32/$E$4</f>
        <v>0</v>
      </c>
      <c r="BA33" s="16">
        <f>求节点(G$28:G$34,$N$28:$N$34,$AR33)*$AS33*其他调用!X32/$E$4</f>
        <v>0</v>
      </c>
      <c r="BB33" s="16">
        <f>求节点(H$28:H$34,$N$28:$N$34,$AR33)*$AS33*其他调用!Y32/$E$4</f>
        <v>0</v>
      </c>
      <c r="BC33" s="16">
        <f>求节点(I$28:I$34,$N$28:$N$34,$AR33)*$AS33*其他调用!Z32/$E$4</f>
        <v>0</v>
      </c>
      <c r="BD33" s="16">
        <f>求节点(E$28:E$34,$O$28:$O$34,$AR33)*$AS33*其他调用!V32/$E$4</f>
        <v>0</v>
      </c>
      <c r="BE33" s="16">
        <f>求节点(F$28:F$34,$O$28:$O$34,$AR33)*$AS33*其他调用!W32/$E$4</f>
        <v>0</v>
      </c>
      <c r="BF33" s="16">
        <f>求节点(G$28:G$34,$O$28:$O$34,$AR33)*$AS33*其他调用!X32/$E$4</f>
        <v>0</v>
      </c>
      <c r="BG33" s="16">
        <f>求节点(H$28:H$34,$O$28:$O$34,$AR33)*$AS33*其他调用!Y32/$E$4</f>
        <v>0</v>
      </c>
      <c r="BH33" s="16">
        <f>求节点(I$28:I$34,$O$28:$O$34,$AR33)*$AS33*其他调用!Z32/$E$4</f>
        <v>0</v>
      </c>
      <c r="BK33" s="16">
        <v>29</v>
      </c>
      <c r="BL33" s="16">
        <f>SUM(AT$5:AT33)</f>
        <v>0</v>
      </c>
      <c r="BM33" s="16">
        <f>SUM(AU$5:AU33)</f>
        <v>0</v>
      </c>
      <c r="BN33" s="16">
        <f>SUM(AV$5:AV33)</f>
        <v>0</v>
      </c>
      <c r="BO33" s="16">
        <f>SUM(AW$5:AW33)</f>
        <v>0</v>
      </c>
      <c r="BP33" s="16">
        <f>SUM(AX$5:AX33)</f>
        <v>0</v>
      </c>
      <c r="BQ33" s="16">
        <f>SUM(AY$5:AY33)</f>
        <v>0</v>
      </c>
      <c r="BR33" s="16">
        <f>SUM(AZ$5:AZ33)</f>
        <v>0</v>
      </c>
      <c r="BS33" s="16">
        <f>SUM(BA$5:BA33)</f>
        <v>0</v>
      </c>
      <c r="BT33" s="16">
        <f>SUM(BB$5:BB33)</f>
        <v>0</v>
      </c>
      <c r="BU33" s="16">
        <f>SUM(BC$5:BC33)</f>
        <v>0</v>
      </c>
      <c r="BV33" s="16">
        <f>SUM(BD$5:BD33)</f>
        <v>0</v>
      </c>
      <c r="BW33" s="16">
        <f>SUM(BE$5:BE33)</f>
        <v>0</v>
      </c>
      <c r="BX33" s="16">
        <f>SUM(BF$5:BF33)</f>
        <v>0</v>
      </c>
      <c r="BY33" s="16">
        <f>SUM(BG$5:BG33)</f>
        <v>0</v>
      </c>
      <c r="BZ33" s="16">
        <f>SUM(BH$5:BH33)</f>
        <v>0</v>
      </c>
      <c r="CC33" s="16">
        <v>29</v>
      </c>
      <c r="CD33" s="16">
        <f t="shared" si="1"/>
        <v>0</v>
      </c>
      <c r="CE33" s="16">
        <f t="shared" si="2"/>
        <v>0</v>
      </c>
      <c r="CF33" s="16">
        <f t="shared" si="3"/>
        <v>0</v>
      </c>
      <c r="CG33" s="16">
        <f t="shared" si="4"/>
        <v>0</v>
      </c>
      <c r="CH33" s="16">
        <f t="shared" si="5"/>
        <v>0</v>
      </c>
      <c r="CI33" s="16">
        <f t="shared" si="6"/>
        <v>0</v>
      </c>
      <c r="CJ33" s="16">
        <f t="shared" si="7"/>
        <v>0</v>
      </c>
      <c r="CK33" s="16">
        <f t="shared" si="8"/>
        <v>0</v>
      </c>
      <c r="CL33" s="16">
        <f t="shared" si="9"/>
        <v>0</v>
      </c>
      <c r="CM33" s="16">
        <f t="shared" si="10"/>
        <v>0</v>
      </c>
      <c r="CN33" s="16">
        <f t="shared" si="11"/>
        <v>0</v>
      </c>
      <c r="CO33" s="16">
        <f t="shared" si="12"/>
        <v>0</v>
      </c>
      <c r="CP33" s="16">
        <f t="shared" si="13"/>
        <v>0</v>
      </c>
      <c r="CQ33" s="16">
        <f t="shared" si="14"/>
        <v>0</v>
      </c>
      <c r="CR33" s="16">
        <f t="shared" si="15"/>
        <v>0</v>
      </c>
      <c r="CV33" s="16">
        <v>29</v>
      </c>
      <c r="CW33" s="35">
        <f t="shared" si="18"/>
        <v>0.13200000000000001</v>
      </c>
      <c r="CX33" s="16">
        <f>其他调用!V32/$E$4*求节点(E$28:E$34,$P$28:$P$34,$CV33)*$CW33</f>
        <v>0</v>
      </c>
      <c r="CY33" s="16">
        <f>其他调用!W32/$E$4*求节点(F$28:F$34,$P$28:$P$34,$CV33)*$CW33</f>
        <v>0</v>
      </c>
      <c r="CZ33" s="16">
        <f>其他调用!X32/$E$4*求节点(G$28:G$34,$P$28:$P$34,$CV33)*$CW33</f>
        <v>0</v>
      </c>
      <c r="DA33" s="16">
        <f>其他调用!Y32/$E$4*求节点(H$28:H$34,$P$28:$P$34,$CV33)*$CW33</f>
        <v>0</v>
      </c>
      <c r="DB33" s="16">
        <f>其他调用!Z32/$E$4*求节点(I$28:I$34,$P$28:$P$34,$CV33)*$CW33</f>
        <v>0</v>
      </c>
      <c r="DC33" s="16">
        <f>SUM(CX$5:CX33)</f>
        <v>0</v>
      </c>
      <c r="DD33" s="16">
        <f>SUM(CY$5:CY33)</f>
        <v>0</v>
      </c>
      <c r="DE33" s="16">
        <f>SUM(CZ$5:CZ33)</f>
        <v>0</v>
      </c>
      <c r="DF33" s="16">
        <f>SUM(DA$5:DA33)</f>
        <v>0</v>
      </c>
      <c r="DG33" s="16">
        <f>SUM(DB$5:DB33)</f>
        <v>0</v>
      </c>
    </row>
    <row r="34" spans="4:111">
      <c r="D34" s="21">
        <v>6</v>
      </c>
      <c r="E34" s="21">
        <v>100</v>
      </c>
      <c r="F34" s="21">
        <f>INDEX(其他调用!$AC$4:$AC$163,MATCH(INDEX(其他调用!$AD$4:$AD$163,$E34),其他调用!AE$4:AE$163,1))</f>
        <v>95</v>
      </c>
      <c r="G34" s="21">
        <f>INDEX(其他调用!$AC$4:$AC$163,MATCH(INDEX(其他调用!$AD$4:$AD$163,$E34),其他调用!AF$4:AF$163,1))</f>
        <v>91</v>
      </c>
      <c r="H34" s="21">
        <f>INDEX(其他调用!$AC$4:$AC$163,MATCH(INDEX(其他调用!$AD$4:$AD$163,$E34),其他调用!AG$4:AG$163,1))</f>
        <v>87</v>
      </c>
      <c r="I34" s="21">
        <f>INDEX(其他调用!$AC$4:$AC$163,MATCH(INDEX(其他调用!$AD$4:$AD$163,$E34),其他调用!AH$4:AH$163,1))</f>
        <v>85</v>
      </c>
      <c r="J34" s="21">
        <v>700</v>
      </c>
      <c r="P34" s="21">
        <v>0.15</v>
      </c>
      <c r="X34" s="16">
        <v>30</v>
      </c>
      <c r="Y34" s="45">
        <f t="shared" si="16"/>
        <v>172.88135593220341</v>
      </c>
      <c r="Z34" s="24">
        <f t="shared" si="17"/>
        <v>6.8000000000000005E-2</v>
      </c>
      <c r="AA34" s="16">
        <f>$Y34*$Z34*其他调用!V33</f>
        <v>289.7115369794227</v>
      </c>
      <c r="AB34" s="16">
        <f>$Y34*$Z34*其他调用!W33</f>
        <v>370.42023056694416</v>
      </c>
      <c r="AC34" s="16">
        <f>$Y34*$Z34*其他调用!X33</f>
        <v>418.35425844126581</v>
      </c>
      <c r="AD34" s="16">
        <f>$Y34*$Z34*其他调用!Y33</f>
        <v>350.77457909419121</v>
      </c>
      <c r="AE34" s="16">
        <f>$Y34*$Z34*其他调用!Z33</f>
        <v>198.58910871890072</v>
      </c>
      <c r="AH34" s="16">
        <v>30</v>
      </c>
      <c r="AI34" s="16">
        <f>SUM(AA$5:AA34)</f>
        <v>2890.3636767707535</v>
      </c>
      <c r="AJ34" s="16">
        <f>SUM(AB$5:AB34)</f>
        <v>3676.1630240712784</v>
      </c>
      <c r="AK34" s="16">
        <f>SUM(AC$5:AC34)</f>
        <v>4132.915978041332</v>
      </c>
      <c r="AL34" s="16">
        <f>SUM(AD$5:AD34)</f>
        <v>3479.0420168424266</v>
      </c>
      <c r="AM34" s="16">
        <f>SUM(AE$5:AE34)</f>
        <v>1957.3237350185741</v>
      </c>
      <c r="AR34" s="16">
        <v>30</v>
      </c>
      <c r="AS34" s="24">
        <f t="shared" si="0"/>
        <v>6.8000000000000005E-2</v>
      </c>
      <c r="AT34" s="16">
        <f>求节点(E$28:E$34,$M$28:$M$34,$AR34)*$AS34*其他调用!V33/$E$4</f>
        <v>0</v>
      </c>
      <c r="AU34" s="16">
        <f>求节点(F$28:F$34,$M$28:$M$34,$AR34)*$AS34*其他调用!W33/$E$4</f>
        <v>0</v>
      </c>
      <c r="AV34" s="16">
        <f>求节点(G$28:G$34,$M$28:$M$34,$AR34)*$AS34*其他调用!X33/$E$4</f>
        <v>0</v>
      </c>
      <c r="AW34" s="16">
        <f>求节点(H$28:H$34,$M$28:$M$34,$AR34)*$AS34*其他调用!Y33/$E$4</f>
        <v>0</v>
      </c>
      <c r="AX34" s="16">
        <f>求节点(I$28:I$34,$M$28:$M$34,$AR34)*$AS34*其他调用!Z33/$E$4</f>
        <v>0</v>
      </c>
      <c r="AY34" s="16">
        <f>求节点(E$28:E$34,$N$28:$N$34,$AR34)*$AS34*其他调用!V33/$E$4</f>
        <v>0</v>
      </c>
      <c r="AZ34" s="16">
        <f>求节点(F$28:F$34,$N$28:$N$34,$AR34)*$AS34*其他调用!W33/$E$4</f>
        <v>0</v>
      </c>
      <c r="BA34" s="16">
        <f>求节点(G$28:G$34,$N$28:$N$34,$AR34)*$AS34*其他调用!X33/$E$4</f>
        <v>0</v>
      </c>
      <c r="BB34" s="16">
        <f>求节点(H$28:H$34,$N$28:$N$34,$AR34)*$AS34*其他调用!Y33/$E$4</f>
        <v>0</v>
      </c>
      <c r="BC34" s="16">
        <f>求节点(I$28:I$34,$N$28:$N$34,$AR34)*$AS34*其他调用!Z33/$E$4</f>
        <v>0</v>
      </c>
      <c r="BD34" s="16">
        <f>求节点(E$28:E$34,$O$28:$O$34,$AR34)*$AS34*其他调用!V33/$E$4</f>
        <v>0</v>
      </c>
      <c r="BE34" s="16">
        <f>求节点(F$28:F$34,$O$28:$O$34,$AR34)*$AS34*其他调用!W33/$E$4</f>
        <v>0</v>
      </c>
      <c r="BF34" s="16">
        <f>求节点(G$28:G$34,$O$28:$O$34,$AR34)*$AS34*其他调用!X33/$E$4</f>
        <v>0</v>
      </c>
      <c r="BG34" s="16">
        <f>求节点(H$28:H$34,$O$28:$O$34,$AR34)*$AS34*其他调用!Y33/$E$4</f>
        <v>0</v>
      </c>
      <c r="BH34" s="16">
        <f>求节点(I$28:I$34,$O$28:$O$34,$AR34)*$AS34*其他调用!Z33/$E$4</f>
        <v>0</v>
      </c>
      <c r="BK34" s="16">
        <v>30</v>
      </c>
      <c r="BL34" s="16">
        <f>SUM(AT$5:AT34)</f>
        <v>0</v>
      </c>
      <c r="BM34" s="16">
        <f>SUM(AU$5:AU34)</f>
        <v>0</v>
      </c>
      <c r="BN34" s="16">
        <f>SUM(AV$5:AV34)</f>
        <v>0</v>
      </c>
      <c r="BO34" s="16">
        <f>SUM(AW$5:AW34)</f>
        <v>0</v>
      </c>
      <c r="BP34" s="16">
        <f>SUM(AX$5:AX34)</f>
        <v>0</v>
      </c>
      <c r="BQ34" s="16">
        <f>SUM(AY$5:AY34)</f>
        <v>0</v>
      </c>
      <c r="BR34" s="16">
        <f>SUM(AZ$5:AZ34)</f>
        <v>0</v>
      </c>
      <c r="BS34" s="16">
        <f>SUM(BA$5:BA34)</f>
        <v>0</v>
      </c>
      <c r="BT34" s="16">
        <f>SUM(BB$5:BB34)</f>
        <v>0</v>
      </c>
      <c r="BU34" s="16">
        <f>SUM(BC$5:BC34)</f>
        <v>0</v>
      </c>
      <c r="BV34" s="16">
        <f>SUM(BD$5:BD34)</f>
        <v>0</v>
      </c>
      <c r="BW34" s="16">
        <f>SUM(BE$5:BE34)</f>
        <v>0</v>
      </c>
      <c r="BX34" s="16">
        <f>SUM(BF$5:BF34)</f>
        <v>0</v>
      </c>
      <c r="BY34" s="16">
        <f>SUM(BG$5:BG34)</f>
        <v>0</v>
      </c>
      <c r="BZ34" s="16">
        <f>SUM(BH$5:BH34)</f>
        <v>0</v>
      </c>
      <c r="CC34" s="16">
        <v>30</v>
      </c>
      <c r="CD34" s="16">
        <f t="shared" si="1"/>
        <v>0</v>
      </c>
      <c r="CE34" s="16">
        <f t="shared" si="2"/>
        <v>0</v>
      </c>
      <c r="CF34" s="16">
        <f t="shared" si="3"/>
        <v>0</v>
      </c>
      <c r="CG34" s="16">
        <f t="shared" si="4"/>
        <v>0</v>
      </c>
      <c r="CH34" s="16">
        <f t="shared" si="5"/>
        <v>0</v>
      </c>
      <c r="CI34" s="16">
        <f t="shared" si="6"/>
        <v>0</v>
      </c>
      <c r="CJ34" s="16">
        <f t="shared" si="7"/>
        <v>0</v>
      </c>
      <c r="CK34" s="16">
        <f t="shared" si="8"/>
        <v>0</v>
      </c>
      <c r="CL34" s="16">
        <f t="shared" si="9"/>
        <v>0</v>
      </c>
      <c r="CM34" s="16">
        <f t="shared" si="10"/>
        <v>0</v>
      </c>
      <c r="CN34" s="16">
        <f t="shared" si="11"/>
        <v>0</v>
      </c>
      <c r="CO34" s="16">
        <f t="shared" si="12"/>
        <v>0</v>
      </c>
      <c r="CP34" s="16">
        <f t="shared" si="13"/>
        <v>0</v>
      </c>
      <c r="CQ34" s="16">
        <f t="shared" si="14"/>
        <v>0</v>
      </c>
      <c r="CR34" s="16">
        <f t="shared" si="15"/>
        <v>0</v>
      </c>
      <c r="CV34" s="16">
        <v>30</v>
      </c>
      <c r="CW34" s="35">
        <f t="shared" si="18"/>
        <v>0.13200000000000001</v>
      </c>
      <c r="CX34" s="16">
        <f>其他调用!V33/$E$4*求节点(E$28:E$34,$P$28:$P$34,$CV34)*$CW34</f>
        <v>0</v>
      </c>
      <c r="CY34" s="16">
        <f>其他调用!W33/$E$4*求节点(F$28:F$34,$P$28:$P$34,$CV34)*$CW34</f>
        <v>0</v>
      </c>
      <c r="CZ34" s="16">
        <f>其他调用!X33/$E$4*求节点(G$28:G$34,$P$28:$P$34,$CV34)*$CW34</f>
        <v>0</v>
      </c>
      <c r="DA34" s="16">
        <f>其他调用!Y33/$E$4*求节点(H$28:H$34,$P$28:$P$34,$CV34)*$CW34</f>
        <v>0</v>
      </c>
      <c r="DB34" s="16">
        <f>其他调用!Z33/$E$4*求节点(I$28:I$34,$P$28:$P$34,$CV34)*$CW34</f>
        <v>0</v>
      </c>
      <c r="DC34" s="16">
        <f>SUM(CX$5:CX34)</f>
        <v>0</v>
      </c>
      <c r="DD34" s="16">
        <f>SUM(CY$5:CY34)</f>
        <v>0</v>
      </c>
      <c r="DE34" s="16">
        <f>SUM(CZ$5:CZ34)</f>
        <v>0</v>
      </c>
      <c r="DF34" s="16">
        <f>SUM(DA$5:DA34)</f>
        <v>0</v>
      </c>
      <c r="DG34" s="16">
        <f>SUM(DB$5:DB34)</f>
        <v>0</v>
      </c>
    </row>
    <row r="35" spans="4:111">
      <c r="X35" s="16">
        <v>31</v>
      </c>
      <c r="Y35" s="45">
        <f t="shared" si="16"/>
        <v>177.11864406779662</v>
      </c>
      <c r="Z35" s="24">
        <f t="shared" si="17"/>
        <v>6.8000000000000005E-2</v>
      </c>
      <c r="AA35" s="16">
        <f>$Y35*$Z35*其他调用!V34</f>
        <v>318.11555715272232</v>
      </c>
      <c r="AB35" s="16">
        <f>$Y35*$Z35*其他调用!W34</f>
        <v>410.66496238468369</v>
      </c>
      <c r="AC35" s="16">
        <f>$Y35*$Z35*其他调用!X34</f>
        <v>461.59738368769212</v>
      </c>
      <c r="AD35" s="16">
        <f>$Y35*$Z35*其他调用!Y34</f>
        <v>383.686822666598</v>
      </c>
      <c r="AE35" s="16">
        <f>$Y35*$Z35*其他调用!Z34</f>
        <v>220.33915053713469</v>
      </c>
      <c r="AH35" s="16">
        <v>31</v>
      </c>
      <c r="AI35" s="16">
        <f>SUM(AA$5:AA35)</f>
        <v>3208.4792339234759</v>
      </c>
      <c r="AJ35" s="16">
        <f>SUM(AB$5:AB35)</f>
        <v>4086.8279864559622</v>
      </c>
      <c r="AK35" s="16">
        <f>SUM(AC$5:AC35)</f>
        <v>4594.5133617290239</v>
      </c>
      <c r="AL35" s="16">
        <f>SUM(AD$5:AD35)</f>
        <v>3862.7288395090245</v>
      </c>
      <c r="AM35" s="16">
        <f>SUM(AE$5:AE35)</f>
        <v>2177.6628855557087</v>
      </c>
      <c r="AR35" s="16">
        <v>31</v>
      </c>
      <c r="AS35" s="24">
        <f t="shared" si="0"/>
        <v>6.8000000000000005E-2</v>
      </c>
      <c r="AT35" s="16">
        <f>求节点(E$28:E$34,$M$28:$M$34,$AR35)*$AS35*其他调用!V34/$E$4</f>
        <v>0</v>
      </c>
      <c r="AU35" s="16">
        <f>求节点(F$28:F$34,$M$28:$M$34,$AR35)*$AS35*其他调用!W34/$E$4</f>
        <v>0</v>
      </c>
      <c r="AV35" s="16">
        <f>求节点(G$28:G$34,$M$28:$M$34,$AR35)*$AS35*其他调用!X34/$E$4</f>
        <v>0</v>
      </c>
      <c r="AW35" s="16">
        <f>求节点(H$28:H$34,$M$28:$M$34,$AR35)*$AS35*其他调用!Y34/$E$4</f>
        <v>0</v>
      </c>
      <c r="AX35" s="16">
        <f>求节点(I$28:I$34,$M$28:$M$34,$AR35)*$AS35*其他调用!Z34/$E$4</f>
        <v>0</v>
      </c>
      <c r="AY35" s="16">
        <f>求节点(E$28:E$34,$N$28:$N$34,$AR35)*$AS35*其他调用!V34/$E$4</f>
        <v>0</v>
      </c>
      <c r="AZ35" s="16">
        <f>求节点(F$28:F$34,$N$28:$N$34,$AR35)*$AS35*其他调用!W34/$E$4</f>
        <v>0</v>
      </c>
      <c r="BA35" s="16">
        <f>求节点(G$28:G$34,$N$28:$N$34,$AR35)*$AS35*其他调用!X34/$E$4</f>
        <v>0</v>
      </c>
      <c r="BB35" s="16">
        <f>求节点(H$28:H$34,$N$28:$N$34,$AR35)*$AS35*其他调用!Y34/$E$4</f>
        <v>0</v>
      </c>
      <c r="BC35" s="16">
        <f>求节点(I$28:I$34,$N$28:$N$34,$AR35)*$AS35*其他调用!Z34/$E$4</f>
        <v>0</v>
      </c>
      <c r="BD35" s="16">
        <f>求节点(E$28:E$34,$O$28:$O$34,$AR35)*$AS35*其他调用!V34/$E$4</f>
        <v>0</v>
      </c>
      <c r="BE35" s="16">
        <f>求节点(F$28:F$34,$O$28:$O$34,$AR35)*$AS35*其他调用!W34/$E$4</f>
        <v>0</v>
      </c>
      <c r="BF35" s="16">
        <f>求节点(G$28:G$34,$O$28:$O$34,$AR35)*$AS35*其他调用!X34/$E$4</f>
        <v>0</v>
      </c>
      <c r="BG35" s="16">
        <f>求节点(H$28:H$34,$O$28:$O$34,$AR35)*$AS35*其他调用!Y34/$E$4</f>
        <v>0</v>
      </c>
      <c r="BH35" s="16">
        <f>求节点(I$28:I$34,$O$28:$O$34,$AR35)*$AS35*其他调用!Z34/$E$4</f>
        <v>0</v>
      </c>
      <c r="BK35" s="16">
        <v>31</v>
      </c>
      <c r="BL35" s="16">
        <f>SUM(AT$5:AT35)</f>
        <v>0</v>
      </c>
      <c r="BM35" s="16">
        <f>SUM(AU$5:AU35)</f>
        <v>0</v>
      </c>
      <c r="BN35" s="16">
        <f>SUM(AV$5:AV35)</f>
        <v>0</v>
      </c>
      <c r="BO35" s="16">
        <f>SUM(AW$5:AW35)</f>
        <v>0</v>
      </c>
      <c r="BP35" s="16">
        <f>SUM(AX$5:AX35)</f>
        <v>0</v>
      </c>
      <c r="BQ35" s="16">
        <f>SUM(AY$5:AY35)</f>
        <v>0</v>
      </c>
      <c r="BR35" s="16">
        <f>SUM(AZ$5:AZ35)</f>
        <v>0</v>
      </c>
      <c r="BS35" s="16">
        <f>SUM(BA$5:BA35)</f>
        <v>0</v>
      </c>
      <c r="BT35" s="16">
        <f>SUM(BB$5:BB35)</f>
        <v>0</v>
      </c>
      <c r="BU35" s="16">
        <f>SUM(BC$5:BC35)</f>
        <v>0</v>
      </c>
      <c r="BV35" s="16">
        <f>SUM(BD$5:BD35)</f>
        <v>0</v>
      </c>
      <c r="BW35" s="16">
        <f>SUM(BE$5:BE35)</f>
        <v>0</v>
      </c>
      <c r="BX35" s="16">
        <f>SUM(BF$5:BF35)</f>
        <v>0</v>
      </c>
      <c r="BY35" s="16">
        <f>SUM(BG$5:BG35)</f>
        <v>0</v>
      </c>
      <c r="BZ35" s="16">
        <f>SUM(BH$5:BH35)</f>
        <v>0</v>
      </c>
      <c r="CC35" s="16">
        <v>31</v>
      </c>
      <c r="CD35" s="16">
        <f t="shared" si="1"/>
        <v>0</v>
      </c>
      <c r="CE35" s="16">
        <f t="shared" si="2"/>
        <v>0</v>
      </c>
      <c r="CF35" s="16">
        <f t="shared" si="3"/>
        <v>0</v>
      </c>
      <c r="CG35" s="16">
        <f t="shared" si="4"/>
        <v>0</v>
      </c>
      <c r="CH35" s="16">
        <f t="shared" si="5"/>
        <v>0</v>
      </c>
      <c r="CI35" s="16">
        <f t="shared" si="6"/>
        <v>0</v>
      </c>
      <c r="CJ35" s="16">
        <f t="shared" si="7"/>
        <v>0</v>
      </c>
      <c r="CK35" s="16">
        <f t="shared" si="8"/>
        <v>0</v>
      </c>
      <c r="CL35" s="16">
        <f t="shared" si="9"/>
        <v>0</v>
      </c>
      <c r="CM35" s="16">
        <f t="shared" si="10"/>
        <v>0</v>
      </c>
      <c r="CN35" s="16">
        <f t="shared" si="11"/>
        <v>0</v>
      </c>
      <c r="CO35" s="16">
        <f t="shared" si="12"/>
        <v>0</v>
      </c>
      <c r="CP35" s="16">
        <f t="shared" si="13"/>
        <v>0</v>
      </c>
      <c r="CQ35" s="16">
        <f t="shared" si="14"/>
        <v>0</v>
      </c>
      <c r="CR35" s="16">
        <f t="shared" si="15"/>
        <v>0</v>
      </c>
      <c r="CV35" s="16">
        <v>31</v>
      </c>
      <c r="CW35" s="35">
        <f t="shared" si="18"/>
        <v>0.13200000000000001</v>
      </c>
      <c r="CX35" s="16">
        <f>其他调用!V34/$E$4*求节点(E$28:E$34,$P$28:$P$34,$CV35)*$CW35</f>
        <v>0</v>
      </c>
      <c r="CY35" s="16">
        <f>其他调用!W34/$E$4*求节点(F$28:F$34,$P$28:$P$34,$CV35)*$CW35</f>
        <v>0</v>
      </c>
      <c r="CZ35" s="16">
        <f>其他调用!X34/$E$4*求节点(G$28:G$34,$P$28:$P$34,$CV35)*$CW35</f>
        <v>0</v>
      </c>
      <c r="DA35" s="16">
        <f>其他调用!Y34/$E$4*求节点(H$28:H$34,$P$28:$P$34,$CV35)*$CW35</f>
        <v>0</v>
      </c>
      <c r="DB35" s="16">
        <f>其他调用!Z34/$E$4*求节点(I$28:I$34,$P$28:$P$34,$CV35)*$CW35</f>
        <v>0</v>
      </c>
      <c r="DC35" s="16">
        <f>SUM(CX$5:CX35)</f>
        <v>0</v>
      </c>
      <c r="DD35" s="16">
        <f>SUM(CY$5:CY35)</f>
        <v>0</v>
      </c>
      <c r="DE35" s="16">
        <f>SUM(CZ$5:CZ35)</f>
        <v>0</v>
      </c>
      <c r="DF35" s="16">
        <f>SUM(DA$5:DA35)</f>
        <v>0</v>
      </c>
      <c r="DG35" s="16">
        <f>SUM(DB$5:DB35)</f>
        <v>0</v>
      </c>
    </row>
    <row r="36" spans="4:111">
      <c r="X36" s="16">
        <v>32</v>
      </c>
      <c r="Y36" s="45">
        <f t="shared" si="16"/>
        <v>181.35593220338984</v>
      </c>
      <c r="Z36" s="24">
        <f t="shared" si="17"/>
        <v>6.8000000000000005E-2</v>
      </c>
      <c r="AA36" s="16">
        <f>$Y36*$Z36*其他调用!V35</f>
        <v>349.1044584005495</v>
      </c>
      <c r="AB36" s="16">
        <f>$Y36*$Z36*其他调用!W35</f>
        <v>446.55733292351505</v>
      </c>
      <c r="AC36" s="16">
        <f>$Y36*$Z36*其他调用!X35</f>
        <v>497.22492157600101</v>
      </c>
      <c r="AD36" s="16">
        <f>$Y36*$Z36*其他调用!Y35</f>
        <v>423.40564948713512</v>
      </c>
      <c r="AE36" s="16">
        <f>$Y36*$Z36*其他调用!Z35</f>
        <v>237.21298805320734</v>
      </c>
      <c r="AH36" s="16">
        <v>32</v>
      </c>
      <c r="AI36" s="16">
        <f>SUM(AA$5:AA36)</f>
        <v>3557.5836923240254</v>
      </c>
      <c r="AJ36" s="16">
        <f>SUM(AB$5:AB36)</f>
        <v>4533.3853193794776</v>
      </c>
      <c r="AK36" s="16">
        <f>SUM(AC$5:AC36)</f>
        <v>5091.7382833050251</v>
      </c>
      <c r="AL36" s="16">
        <f>SUM(AD$5:AD36)</f>
        <v>4286.1344889961592</v>
      </c>
      <c r="AM36" s="16">
        <f>SUM(AE$5:AE36)</f>
        <v>2414.8758736089162</v>
      </c>
      <c r="AR36" s="16">
        <v>32</v>
      </c>
      <c r="AS36" s="24">
        <f t="shared" si="0"/>
        <v>6.8000000000000005E-2</v>
      </c>
      <c r="AT36" s="16">
        <f>求节点(E$28:E$34,$M$28:$M$34,$AR36)*$AS36*其他调用!V35/$E$4</f>
        <v>0</v>
      </c>
      <c r="AU36" s="16">
        <f>求节点(F$28:F$34,$M$28:$M$34,$AR36)*$AS36*其他调用!W35/$E$4</f>
        <v>0</v>
      </c>
      <c r="AV36" s="16">
        <f>求节点(G$28:G$34,$M$28:$M$34,$AR36)*$AS36*其他调用!X35/$E$4</f>
        <v>0</v>
      </c>
      <c r="AW36" s="16">
        <f>求节点(H$28:H$34,$M$28:$M$34,$AR36)*$AS36*其他调用!Y35/$E$4</f>
        <v>0</v>
      </c>
      <c r="AX36" s="16">
        <f>求节点(I$28:I$34,$M$28:$M$34,$AR36)*$AS36*其他调用!Z35/$E$4</f>
        <v>0</v>
      </c>
      <c r="AY36" s="16">
        <f>求节点(E$28:E$34,$N$28:$N$34,$AR36)*$AS36*其他调用!V35/$E$4</f>
        <v>0</v>
      </c>
      <c r="AZ36" s="16">
        <f>求节点(F$28:F$34,$N$28:$N$34,$AR36)*$AS36*其他调用!W35/$E$4</f>
        <v>0</v>
      </c>
      <c r="BA36" s="16">
        <f>求节点(G$28:G$34,$N$28:$N$34,$AR36)*$AS36*其他调用!X35/$E$4</f>
        <v>0</v>
      </c>
      <c r="BB36" s="16">
        <f>求节点(H$28:H$34,$N$28:$N$34,$AR36)*$AS36*其他调用!Y35/$E$4</f>
        <v>0</v>
      </c>
      <c r="BC36" s="16">
        <f>求节点(I$28:I$34,$N$28:$N$34,$AR36)*$AS36*其他调用!Z35/$E$4</f>
        <v>0</v>
      </c>
      <c r="BD36" s="16">
        <f>求节点(E$28:E$34,$O$28:$O$34,$AR36)*$AS36*其他调用!V35/$E$4</f>
        <v>0</v>
      </c>
      <c r="BE36" s="16">
        <f>求节点(F$28:F$34,$O$28:$O$34,$AR36)*$AS36*其他调用!W35/$E$4</f>
        <v>0</v>
      </c>
      <c r="BF36" s="16">
        <f>求节点(G$28:G$34,$O$28:$O$34,$AR36)*$AS36*其他调用!X35/$E$4</f>
        <v>0</v>
      </c>
      <c r="BG36" s="16">
        <f>求节点(H$28:H$34,$O$28:$O$34,$AR36)*$AS36*其他调用!Y35/$E$4</f>
        <v>0</v>
      </c>
      <c r="BH36" s="16">
        <f>求节点(I$28:I$34,$O$28:$O$34,$AR36)*$AS36*其他调用!Z35/$E$4</f>
        <v>0</v>
      </c>
      <c r="BK36" s="16">
        <v>32</v>
      </c>
      <c r="BL36" s="16">
        <f>SUM(AT$5:AT36)</f>
        <v>0</v>
      </c>
      <c r="BM36" s="16">
        <f>SUM(AU$5:AU36)</f>
        <v>0</v>
      </c>
      <c r="BN36" s="16">
        <f>SUM(AV$5:AV36)</f>
        <v>0</v>
      </c>
      <c r="BO36" s="16">
        <f>SUM(AW$5:AW36)</f>
        <v>0</v>
      </c>
      <c r="BP36" s="16">
        <f>SUM(AX$5:AX36)</f>
        <v>0</v>
      </c>
      <c r="BQ36" s="16">
        <f>SUM(AY$5:AY36)</f>
        <v>0</v>
      </c>
      <c r="BR36" s="16">
        <f>SUM(AZ$5:AZ36)</f>
        <v>0</v>
      </c>
      <c r="BS36" s="16">
        <f>SUM(BA$5:BA36)</f>
        <v>0</v>
      </c>
      <c r="BT36" s="16">
        <f>SUM(BB$5:BB36)</f>
        <v>0</v>
      </c>
      <c r="BU36" s="16">
        <f>SUM(BC$5:BC36)</f>
        <v>0</v>
      </c>
      <c r="BV36" s="16">
        <f>SUM(BD$5:BD36)</f>
        <v>0</v>
      </c>
      <c r="BW36" s="16">
        <f>SUM(BE$5:BE36)</f>
        <v>0</v>
      </c>
      <c r="BX36" s="16">
        <f>SUM(BF$5:BF36)</f>
        <v>0</v>
      </c>
      <c r="BY36" s="16">
        <f>SUM(BG$5:BG36)</f>
        <v>0</v>
      </c>
      <c r="BZ36" s="16">
        <f>SUM(BH$5:BH36)</f>
        <v>0</v>
      </c>
      <c r="CC36" s="16">
        <v>32</v>
      </c>
      <c r="CD36" s="16">
        <f t="shared" si="1"/>
        <v>0</v>
      </c>
      <c r="CE36" s="16">
        <f t="shared" si="2"/>
        <v>0</v>
      </c>
      <c r="CF36" s="16">
        <f t="shared" si="3"/>
        <v>0</v>
      </c>
      <c r="CG36" s="16">
        <f t="shared" si="4"/>
        <v>0</v>
      </c>
      <c r="CH36" s="16">
        <f t="shared" si="5"/>
        <v>0</v>
      </c>
      <c r="CI36" s="16">
        <f t="shared" si="6"/>
        <v>0</v>
      </c>
      <c r="CJ36" s="16">
        <f t="shared" si="7"/>
        <v>0</v>
      </c>
      <c r="CK36" s="16">
        <f t="shared" si="8"/>
        <v>0</v>
      </c>
      <c r="CL36" s="16">
        <f t="shared" si="9"/>
        <v>0</v>
      </c>
      <c r="CM36" s="16">
        <f t="shared" si="10"/>
        <v>0</v>
      </c>
      <c r="CN36" s="16">
        <f t="shared" si="11"/>
        <v>0</v>
      </c>
      <c r="CO36" s="16">
        <f t="shared" si="12"/>
        <v>0</v>
      </c>
      <c r="CP36" s="16">
        <f t="shared" si="13"/>
        <v>0</v>
      </c>
      <c r="CQ36" s="16">
        <f t="shared" si="14"/>
        <v>0</v>
      </c>
      <c r="CR36" s="16">
        <f t="shared" si="15"/>
        <v>0</v>
      </c>
      <c r="CV36" s="16">
        <v>32</v>
      </c>
      <c r="CW36" s="35">
        <f t="shared" si="18"/>
        <v>0.13200000000000001</v>
      </c>
      <c r="CX36" s="16">
        <f>其他调用!V35/$E$4*求节点(E$28:E$34,$P$28:$P$34,$CV36)*$CW36</f>
        <v>0</v>
      </c>
      <c r="CY36" s="16">
        <f>其他调用!W35/$E$4*求节点(F$28:F$34,$P$28:$P$34,$CV36)*$CW36</f>
        <v>0</v>
      </c>
      <c r="CZ36" s="16">
        <f>其他调用!X35/$E$4*求节点(G$28:G$34,$P$28:$P$34,$CV36)*$CW36</f>
        <v>0</v>
      </c>
      <c r="DA36" s="16">
        <f>其他调用!Y35/$E$4*求节点(H$28:H$34,$P$28:$P$34,$CV36)*$CW36</f>
        <v>0</v>
      </c>
      <c r="DB36" s="16">
        <f>其他调用!Z35/$E$4*求节点(I$28:I$34,$P$28:$P$34,$CV36)*$CW36</f>
        <v>0</v>
      </c>
      <c r="DC36" s="16">
        <f>SUM(CX$5:CX36)</f>
        <v>0</v>
      </c>
      <c r="DD36" s="16">
        <f>SUM(CY$5:CY36)</f>
        <v>0</v>
      </c>
      <c r="DE36" s="16">
        <f>SUM(CZ$5:CZ36)</f>
        <v>0</v>
      </c>
      <c r="DF36" s="16">
        <f>SUM(DA$5:DA36)</f>
        <v>0</v>
      </c>
      <c r="DG36" s="16">
        <f>SUM(DB$5:DB36)</f>
        <v>0</v>
      </c>
    </row>
    <row r="37" spans="4:111">
      <c r="X37" s="16">
        <v>33</v>
      </c>
      <c r="Y37" s="45">
        <f t="shared" si="16"/>
        <v>185.59322033898306</v>
      </c>
      <c r="Z37" s="24">
        <f t="shared" si="17"/>
        <v>6.8000000000000005E-2</v>
      </c>
      <c r="AA37" s="16">
        <f>$Y37*$Z37*其他调用!V36</f>
        <v>382.90297113332741</v>
      </c>
      <c r="AB37" s="16">
        <f>$Y37*$Z37*其他调用!W36</f>
        <v>473.57655933571618</v>
      </c>
      <c r="AC37" s="16">
        <f>$Y37*$Z37*其他调用!X36</f>
        <v>532.06804501768647</v>
      </c>
      <c r="AD37" s="16">
        <f>$Y37*$Z37*其他调用!Y36</f>
        <v>455.67058073667795</v>
      </c>
      <c r="AE37" s="16">
        <f>$Y37*$Z37*其他调用!Z36</f>
        <v>256.91798136747423</v>
      </c>
      <c r="AH37" s="16">
        <v>33</v>
      </c>
      <c r="AI37" s="16">
        <f>SUM(AA$5:AA37)</f>
        <v>3940.4866634573527</v>
      </c>
      <c r="AJ37" s="16">
        <f>SUM(AB$5:AB37)</f>
        <v>5006.961878715194</v>
      </c>
      <c r="AK37" s="16">
        <f>SUM(AC$5:AC37)</f>
        <v>5623.8063283227111</v>
      </c>
      <c r="AL37" s="16">
        <f>SUM(AD$5:AD37)</f>
        <v>4741.8050697328372</v>
      </c>
      <c r="AM37" s="16">
        <f>SUM(AE$5:AE37)</f>
        <v>2671.7938549763903</v>
      </c>
      <c r="AR37" s="16">
        <v>33</v>
      </c>
      <c r="AS37" s="24">
        <f t="shared" ref="AS37:AS68" si="20">$E$50</f>
        <v>6.8000000000000005E-2</v>
      </c>
      <c r="AT37" s="16">
        <f>求节点(E$28:E$34,$M$28:$M$34,$AR37)*$AS37*其他调用!V36/$E$4</f>
        <v>0</v>
      </c>
      <c r="AU37" s="16">
        <f>求节点(F$28:F$34,$M$28:$M$34,$AR37)*$AS37*其他调用!W36/$E$4</f>
        <v>0</v>
      </c>
      <c r="AV37" s="16">
        <f>求节点(G$28:G$34,$M$28:$M$34,$AR37)*$AS37*其他调用!X36/$E$4</f>
        <v>0</v>
      </c>
      <c r="AW37" s="16">
        <f>求节点(H$28:H$34,$M$28:$M$34,$AR37)*$AS37*其他调用!Y36/$E$4</f>
        <v>0</v>
      </c>
      <c r="AX37" s="16">
        <f>求节点(I$28:I$34,$M$28:$M$34,$AR37)*$AS37*其他调用!Z36/$E$4</f>
        <v>0</v>
      </c>
      <c r="AY37" s="16">
        <f>求节点(E$28:E$34,$N$28:$N$34,$AR37)*$AS37*其他调用!V36/$E$4</f>
        <v>0</v>
      </c>
      <c r="AZ37" s="16">
        <f>求节点(F$28:F$34,$N$28:$N$34,$AR37)*$AS37*其他调用!W36/$E$4</f>
        <v>0</v>
      </c>
      <c r="BA37" s="16">
        <f>求节点(G$28:G$34,$N$28:$N$34,$AR37)*$AS37*其他调用!X36/$E$4</f>
        <v>0</v>
      </c>
      <c r="BB37" s="16">
        <f>求节点(H$28:H$34,$N$28:$N$34,$AR37)*$AS37*其他调用!Y36/$E$4</f>
        <v>0</v>
      </c>
      <c r="BC37" s="16">
        <f>求节点(I$28:I$34,$N$28:$N$34,$AR37)*$AS37*其他调用!Z36/$E$4</f>
        <v>0</v>
      </c>
      <c r="BD37" s="16">
        <f>求节点(E$28:E$34,$O$28:$O$34,$AR37)*$AS37*其他调用!V36/$E$4</f>
        <v>0</v>
      </c>
      <c r="BE37" s="16">
        <f>求节点(F$28:F$34,$O$28:$O$34,$AR37)*$AS37*其他调用!W36/$E$4</f>
        <v>0</v>
      </c>
      <c r="BF37" s="16">
        <f>求节点(G$28:G$34,$O$28:$O$34,$AR37)*$AS37*其他调用!X36/$E$4</f>
        <v>0</v>
      </c>
      <c r="BG37" s="16">
        <f>求节点(H$28:H$34,$O$28:$O$34,$AR37)*$AS37*其他调用!Y36/$E$4</f>
        <v>0</v>
      </c>
      <c r="BH37" s="16">
        <f>求节点(I$28:I$34,$O$28:$O$34,$AR37)*$AS37*其他调用!Z36/$E$4</f>
        <v>0</v>
      </c>
      <c r="BK37" s="16">
        <v>33</v>
      </c>
      <c r="BL37" s="16">
        <f>SUM(AT$5:AT37)</f>
        <v>0</v>
      </c>
      <c r="BM37" s="16">
        <f>SUM(AU$5:AU37)</f>
        <v>0</v>
      </c>
      <c r="BN37" s="16">
        <f>SUM(AV$5:AV37)</f>
        <v>0</v>
      </c>
      <c r="BO37" s="16">
        <f>SUM(AW$5:AW37)</f>
        <v>0</v>
      </c>
      <c r="BP37" s="16">
        <f>SUM(AX$5:AX37)</f>
        <v>0</v>
      </c>
      <c r="BQ37" s="16">
        <f>SUM(AY$5:AY37)</f>
        <v>0</v>
      </c>
      <c r="BR37" s="16">
        <f>SUM(AZ$5:AZ37)</f>
        <v>0</v>
      </c>
      <c r="BS37" s="16">
        <f>SUM(BA$5:BA37)</f>
        <v>0</v>
      </c>
      <c r="BT37" s="16">
        <f>SUM(BB$5:BB37)</f>
        <v>0</v>
      </c>
      <c r="BU37" s="16">
        <f>SUM(BC$5:BC37)</f>
        <v>0</v>
      </c>
      <c r="BV37" s="16">
        <f>SUM(BD$5:BD37)</f>
        <v>0</v>
      </c>
      <c r="BW37" s="16">
        <f>SUM(BE$5:BE37)</f>
        <v>0</v>
      </c>
      <c r="BX37" s="16">
        <f>SUM(BF$5:BF37)</f>
        <v>0</v>
      </c>
      <c r="BY37" s="16">
        <f>SUM(BG$5:BG37)</f>
        <v>0</v>
      </c>
      <c r="BZ37" s="16">
        <f>SUM(BH$5:BH37)</f>
        <v>0</v>
      </c>
      <c r="CC37" s="16">
        <v>33</v>
      </c>
      <c r="CD37" s="16">
        <f t="shared" ref="CD37:CD68" si="21">(BL37*$E$64+BQ37*$F$64+BV37*$G$64)/$F$6</f>
        <v>0</v>
      </c>
      <c r="CE37" s="16">
        <f t="shared" ref="CE37:CE68" si="22">(BM37*$E$64+BR37*$F$64+BW37*$G$64)/$F$6</f>
        <v>0</v>
      </c>
      <c r="CF37" s="16">
        <f t="shared" ref="CF37:CF68" si="23">(BN37*$E$64+BS37*$F$64+BX37*$G$64)/$F$6</f>
        <v>0</v>
      </c>
      <c r="CG37" s="16">
        <f t="shared" ref="CG37:CG68" si="24">(BO37*$E$64+BT37*$F$64+BY37*$G$64)/$F$6</f>
        <v>0</v>
      </c>
      <c r="CH37" s="16">
        <f t="shared" ref="CH37:CH68" si="25">(BP37*$E$64+BU37*$F$64+BZ37*$G$64)/$F$6</f>
        <v>0</v>
      </c>
      <c r="CI37" s="16">
        <f t="shared" ref="CI37:CI68" si="26">(BL37*$E$65+BQ37*$F$65+BV37*$G$65)/$F$7</f>
        <v>0</v>
      </c>
      <c r="CJ37" s="16">
        <f t="shared" ref="CJ37:CJ68" si="27">(BM37*$E$65+BR37*$F$65+BW37*$G$65)/$F$7</f>
        <v>0</v>
      </c>
      <c r="CK37" s="16">
        <f t="shared" ref="CK37:CK68" si="28">(BN37*$E$65+BS37*$F$65+BX37*$G$65)/$F$7</f>
        <v>0</v>
      </c>
      <c r="CL37" s="16">
        <f t="shared" ref="CL37:CL68" si="29">(BO37*$E$65+BT37*$F$65+BY37*$G$65)/$F$7</f>
        <v>0</v>
      </c>
      <c r="CM37" s="16">
        <f t="shared" ref="CM37:CM68" si="30">(BP37*$E$65+BU37*$F$65+BZ37*$G$65)/$F$7</f>
        <v>0</v>
      </c>
      <c r="CN37" s="16">
        <f t="shared" ref="CN37:CN68" si="31">(BL37*$E$66+BQ37*$F$66+BV37*$G$66)/$F$8</f>
        <v>0</v>
      </c>
      <c r="CO37" s="16">
        <f t="shared" ref="CO37:CO68" si="32">(BM37*$E$66+BR37*$F$66+BW37*$G$66)/$F$8</f>
        <v>0</v>
      </c>
      <c r="CP37" s="16">
        <f t="shared" ref="CP37:CP68" si="33">(BN37*$E$66+BS37*$F$66+BX37*$G$66)/$F$8</f>
        <v>0</v>
      </c>
      <c r="CQ37" s="16">
        <f t="shared" ref="CQ37:CQ68" si="34">(BO37*$E$66+BT37*$F$66+BY37*$G$66)/$F$8</f>
        <v>0</v>
      </c>
      <c r="CR37" s="16">
        <f t="shared" ref="CR37:CR68" si="35">(BP37*$E$66+BU37*$F$66+BZ37*$G$66)/$F$8</f>
        <v>0</v>
      </c>
      <c r="CV37" s="16">
        <v>33</v>
      </c>
      <c r="CW37" s="35">
        <f t="shared" si="18"/>
        <v>0.13200000000000001</v>
      </c>
      <c r="CX37" s="16">
        <f>其他调用!V36/$E$4*求节点(E$28:E$34,$P$28:$P$34,$CV37)*$CW37</f>
        <v>0</v>
      </c>
      <c r="CY37" s="16">
        <f>其他调用!W36/$E$4*求节点(F$28:F$34,$P$28:$P$34,$CV37)*$CW37</f>
        <v>0</v>
      </c>
      <c r="CZ37" s="16">
        <f>其他调用!X36/$E$4*求节点(G$28:G$34,$P$28:$P$34,$CV37)*$CW37</f>
        <v>0</v>
      </c>
      <c r="DA37" s="16">
        <f>其他调用!Y36/$E$4*求节点(H$28:H$34,$P$28:$P$34,$CV37)*$CW37</f>
        <v>0</v>
      </c>
      <c r="DB37" s="16">
        <f>其他调用!Z36/$E$4*求节点(I$28:I$34,$P$28:$P$34,$CV37)*$CW37</f>
        <v>0</v>
      </c>
      <c r="DC37" s="16">
        <f>SUM(CX$5:CX37)</f>
        <v>0</v>
      </c>
      <c r="DD37" s="16">
        <f>SUM(CY$5:CY37)</f>
        <v>0</v>
      </c>
      <c r="DE37" s="16">
        <f>SUM(CZ$5:CZ37)</f>
        <v>0</v>
      </c>
      <c r="DF37" s="16">
        <f>SUM(DA$5:DA37)</f>
        <v>0</v>
      </c>
      <c r="DG37" s="16">
        <f>SUM(DB$5:DB37)</f>
        <v>0</v>
      </c>
    </row>
    <row r="38" spans="4:111">
      <c r="X38" s="16">
        <v>34</v>
      </c>
      <c r="Y38" s="45">
        <f t="shared" si="16"/>
        <v>189.83050847457628</v>
      </c>
      <c r="Z38" s="24">
        <f t="shared" si="17"/>
        <v>6.8000000000000005E-2</v>
      </c>
      <c r="AA38" s="16">
        <f>$Y38*$Z38*其他调用!V37</f>
        <v>419.75476928715995</v>
      </c>
      <c r="AB38" s="16">
        <f>$Y38*$Z38*其他调用!W37</f>
        <v>535.29878585570452</v>
      </c>
      <c r="AC38" s="16">
        <f>$Y38*$Z38*其他调用!X37</f>
        <v>613.42604131413611</v>
      </c>
      <c r="AD38" s="16">
        <f>$Y38*$Z38*其他调用!Y37</f>
        <v>522.0850393275324</v>
      </c>
      <c r="AE38" s="16">
        <f>$Y38*$Z38*其他调用!Z37</f>
        <v>290.43489038665797</v>
      </c>
      <c r="AH38" s="16">
        <v>34</v>
      </c>
      <c r="AI38" s="16">
        <f>SUM(AA$5:AA38)</f>
        <v>4360.2414327445131</v>
      </c>
      <c r="AJ38" s="16">
        <f>SUM(AB$5:AB38)</f>
        <v>5542.2606645708984</v>
      </c>
      <c r="AK38" s="16">
        <f>SUM(AC$5:AC38)</f>
        <v>6237.2323696368476</v>
      </c>
      <c r="AL38" s="16">
        <f>SUM(AD$5:AD38)</f>
        <v>5263.8901090603695</v>
      </c>
      <c r="AM38" s="16">
        <f>SUM(AE$5:AE38)</f>
        <v>2962.2287453630483</v>
      </c>
      <c r="AR38" s="16">
        <v>34</v>
      </c>
      <c r="AS38" s="24">
        <f t="shared" si="20"/>
        <v>6.8000000000000005E-2</v>
      </c>
      <c r="AT38" s="16">
        <f>求节点(E$28:E$34,$M$28:$M$34,$AR38)*$AS38*其他调用!V37/$E$4</f>
        <v>0</v>
      </c>
      <c r="AU38" s="16">
        <f>求节点(F$28:F$34,$M$28:$M$34,$AR38)*$AS38*其他调用!W37/$E$4</f>
        <v>0</v>
      </c>
      <c r="AV38" s="16">
        <f>求节点(G$28:G$34,$M$28:$M$34,$AR38)*$AS38*其他调用!X37/$E$4</f>
        <v>0</v>
      </c>
      <c r="AW38" s="16">
        <f>求节点(H$28:H$34,$M$28:$M$34,$AR38)*$AS38*其他调用!Y37/$E$4</f>
        <v>0</v>
      </c>
      <c r="AX38" s="16">
        <f>求节点(I$28:I$34,$M$28:$M$34,$AR38)*$AS38*其他调用!Z37/$E$4</f>
        <v>0</v>
      </c>
      <c r="AY38" s="16">
        <f>求节点(E$28:E$34,$N$28:$N$34,$AR38)*$AS38*其他调用!V37/$E$4</f>
        <v>0</v>
      </c>
      <c r="AZ38" s="16">
        <f>求节点(F$28:F$34,$N$28:$N$34,$AR38)*$AS38*其他调用!W37/$E$4</f>
        <v>0</v>
      </c>
      <c r="BA38" s="16">
        <f>求节点(G$28:G$34,$N$28:$N$34,$AR38)*$AS38*其他调用!X37/$E$4</f>
        <v>0</v>
      </c>
      <c r="BB38" s="16">
        <f>求节点(H$28:H$34,$N$28:$N$34,$AR38)*$AS38*其他调用!Y37/$E$4</f>
        <v>0</v>
      </c>
      <c r="BC38" s="16">
        <f>求节点(I$28:I$34,$N$28:$N$34,$AR38)*$AS38*其他调用!Z37/$E$4</f>
        <v>0</v>
      </c>
      <c r="BD38" s="16">
        <f>求节点(E$28:E$34,$O$28:$O$34,$AR38)*$AS38*其他调用!V37/$E$4</f>
        <v>0</v>
      </c>
      <c r="BE38" s="16">
        <f>求节点(F$28:F$34,$O$28:$O$34,$AR38)*$AS38*其他调用!W37/$E$4</f>
        <v>0</v>
      </c>
      <c r="BF38" s="16">
        <f>求节点(G$28:G$34,$O$28:$O$34,$AR38)*$AS38*其他调用!X37/$E$4</f>
        <v>0</v>
      </c>
      <c r="BG38" s="16">
        <f>求节点(H$28:H$34,$O$28:$O$34,$AR38)*$AS38*其他调用!Y37/$E$4</f>
        <v>0</v>
      </c>
      <c r="BH38" s="16">
        <f>求节点(I$28:I$34,$O$28:$O$34,$AR38)*$AS38*其他调用!Z37/$E$4</f>
        <v>0</v>
      </c>
      <c r="BK38" s="16">
        <v>34</v>
      </c>
      <c r="BL38" s="16">
        <f>SUM(AT$5:AT38)</f>
        <v>0</v>
      </c>
      <c r="BM38" s="16">
        <f>SUM(AU$5:AU38)</f>
        <v>0</v>
      </c>
      <c r="BN38" s="16">
        <f>SUM(AV$5:AV38)</f>
        <v>0</v>
      </c>
      <c r="BO38" s="16">
        <f>SUM(AW$5:AW38)</f>
        <v>0</v>
      </c>
      <c r="BP38" s="16">
        <f>SUM(AX$5:AX38)</f>
        <v>0</v>
      </c>
      <c r="BQ38" s="16">
        <f>SUM(AY$5:AY38)</f>
        <v>0</v>
      </c>
      <c r="BR38" s="16">
        <f>SUM(AZ$5:AZ38)</f>
        <v>0</v>
      </c>
      <c r="BS38" s="16">
        <f>SUM(BA$5:BA38)</f>
        <v>0</v>
      </c>
      <c r="BT38" s="16">
        <f>SUM(BB$5:BB38)</f>
        <v>0</v>
      </c>
      <c r="BU38" s="16">
        <f>SUM(BC$5:BC38)</f>
        <v>0</v>
      </c>
      <c r="BV38" s="16">
        <f>SUM(BD$5:BD38)</f>
        <v>0</v>
      </c>
      <c r="BW38" s="16">
        <f>SUM(BE$5:BE38)</f>
        <v>0</v>
      </c>
      <c r="BX38" s="16">
        <f>SUM(BF$5:BF38)</f>
        <v>0</v>
      </c>
      <c r="BY38" s="16">
        <f>SUM(BG$5:BG38)</f>
        <v>0</v>
      </c>
      <c r="BZ38" s="16">
        <f>SUM(BH$5:BH38)</f>
        <v>0</v>
      </c>
      <c r="CC38" s="16">
        <v>34</v>
      </c>
      <c r="CD38" s="16">
        <f t="shared" si="21"/>
        <v>0</v>
      </c>
      <c r="CE38" s="16">
        <f t="shared" si="22"/>
        <v>0</v>
      </c>
      <c r="CF38" s="16">
        <f t="shared" si="23"/>
        <v>0</v>
      </c>
      <c r="CG38" s="16">
        <f t="shared" si="24"/>
        <v>0</v>
      </c>
      <c r="CH38" s="16">
        <f t="shared" si="25"/>
        <v>0</v>
      </c>
      <c r="CI38" s="16">
        <f t="shared" si="26"/>
        <v>0</v>
      </c>
      <c r="CJ38" s="16">
        <f t="shared" si="27"/>
        <v>0</v>
      </c>
      <c r="CK38" s="16">
        <f t="shared" si="28"/>
        <v>0</v>
      </c>
      <c r="CL38" s="16">
        <f t="shared" si="29"/>
        <v>0</v>
      </c>
      <c r="CM38" s="16">
        <f t="shared" si="30"/>
        <v>0</v>
      </c>
      <c r="CN38" s="16">
        <f t="shared" si="31"/>
        <v>0</v>
      </c>
      <c r="CO38" s="16">
        <f t="shared" si="32"/>
        <v>0</v>
      </c>
      <c r="CP38" s="16">
        <f t="shared" si="33"/>
        <v>0</v>
      </c>
      <c r="CQ38" s="16">
        <f t="shared" si="34"/>
        <v>0</v>
      </c>
      <c r="CR38" s="16">
        <f t="shared" si="35"/>
        <v>0</v>
      </c>
      <c r="CV38" s="16">
        <v>34</v>
      </c>
      <c r="CW38" s="35">
        <f t="shared" si="18"/>
        <v>0.13200000000000001</v>
      </c>
      <c r="CX38" s="16">
        <f>其他调用!V37/$E$4*求节点(E$28:E$34,$P$28:$P$34,$CV38)*$CW38</f>
        <v>0</v>
      </c>
      <c r="CY38" s="16">
        <f>其他调用!W37/$E$4*求节点(F$28:F$34,$P$28:$P$34,$CV38)*$CW38</f>
        <v>0</v>
      </c>
      <c r="CZ38" s="16">
        <f>其他调用!X37/$E$4*求节点(G$28:G$34,$P$28:$P$34,$CV38)*$CW38</f>
        <v>0</v>
      </c>
      <c r="DA38" s="16">
        <f>其他调用!Y37/$E$4*求节点(H$28:H$34,$P$28:$P$34,$CV38)*$CW38</f>
        <v>0</v>
      </c>
      <c r="DB38" s="16">
        <f>其他调用!Z37/$E$4*求节点(I$28:I$34,$P$28:$P$34,$CV38)*$CW38</f>
        <v>0</v>
      </c>
      <c r="DC38" s="16">
        <f>SUM(CX$5:CX38)</f>
        <v>0</v>
      </c>
      <c r="DD38" s="16">
        <f>SUM(CY$5:CY38)</f>
        <v>0</v>
      </c>
      <c r="DE38" s="16">
        <f>SUM(CZ$5:CZ38)</f>
        <v>0</v>
      </c>
      <c r="DF38" s="16">
        <f>SUM(DA$5:DA38)</f>
        <v>0</v>
      </c>
      <c r="DG38" s="16">
        <f>SUM(DB$5:DB38)</f>
        <v>0</v>
      </c>
    </row>
    <row r="39" spans="4:111">
      <c r="X39" s="16">
        <v>35</v>
      </c>
      <c r="Y39" s="45">
        <f t="shared" si="16"/>
        <v>194.06779661016949</v>
      </c>
      <c r="Z39" s="24">
        <f t="shared" si="17"/>
        <v>6.8000000000000005E-2</v>
      </c>
      <c r="AA39" s="16">
        <f>$Y39*$Z39*其他调用!V38</f>
        <v>459.92403192571589</v>
      </c>
      <c r="AB39" s="16">
        <f>$Y39*$Z39*其他调用!W38</f>
        <v>595.86436783888655</v>
      </c>
      <c r="AC39" s="16">
        <f>$Y39*$Z39*其他调用!X38</f>
        <v>676.00064690833301</v>
      </c>
      <c r="AD39" s="16">
        <f>$Y39*$Z39*其他调用!Y38</f>
        <v>559.71916453616006</v>
      </c>
      <c r="AE39" s="16">
        <f>$Y39*$Z39*其他调用!Z38</f>
        <v>311.89560581996676</v>
      </c>
      <c r="AH39" s="16">
        <v>35</v>
      </c>
      <c r="AI39" s="16">
        <f>SUM(AA$5:AA39)</f>
        <v>4820.1654646702291</v>
      </c>
      <c r="AJ39" s="16">
        <f>SUM(AB$5:AB39)</f>
        <v>6138.1250324097846</v>
      </c>
      <c r="AK39" s="16">
        <f>SUM(AC$5:AC39)</f>
        <v>6913.2330165451804</v>
      </c>
      <c r="AL39" s="16">
        <f>SUM(AD$5:AD39)</f>
        <v>5823.6092735965294</v>
      </c>
      <c r="AM39" s="16">
        <f>SUM(AE$5:AE39)</f>
        <v>3274.1243511830153</v>
      </c>
      <c r="AR39" s="16">
        <v>35</v>
      </c>
      <c r="AS39" s="24">
        <f t="shared" si="20"/>
        <v>6.8000000000000005E-2</v>
      </c>
      <c r="AT39" s="16">
        <f>求节点(E$28:E$34,$M$28:$M$34,$AR39)*$AS39*其他调用!V38/$E$4</f>
        <v>0</v>
      </c>
      <c r="AU39" s="16">
        <f>求节点(F$28:F$34,$M$28:$M$34,$AR39)*$AS39*其他调用!W38/$E$4</f>
        <v>0</v>
      </c>
      <c r="AV39" s="16">
        <f>求节点(G$28:G$34,$M$28:$M$34,$AR39)*$AS39*其他调用!X38/$E$4</f>
        <v>0</v>
      </c>
      <c r="AW39" s="16">
        <f>求节点(H$28:H$34,$M$28:$M$34,$AR39)*$AS39*其他调用!Y38/$E$4</f>
        <v>0</v>
      </c>
      <c r="AX39" s="16">
        <f>求节点(I$28:I$34,$M$28:$M$34,$AR39)*$AS39*其他调用!Z38/$E$4</f>
        <v>0</v>
      </c>
      <c r="AY39" s="16">
        <f>求节点(E$28:E$34,$N$28:$N$34,$AR39)*$AS39*其他调用!V38/$E$4</f>
        <v>0</v>
      </c>
      <c r="AZ39" s="16">
        <f>求节点(F$28:F$34,$N$28:$N$34,$AR39)*$AS39*其他调用!W38/$E$4</f>
        <v>0</v>
      </c>
      <c r="BA39" s="16">
        <f>求节点(G$28:G$34,$N$28:$N$34,$AR39)*$AS39*其他调用!X38/$E$4</f>
        <v>0</v>
      </c>
      <c r="BB39" s="16">
        <f>求节点(H$28:H$34,$N$28:$N$34,$AR39)*$AS39*其他调用!Y38/$E$4</f>
        <v>0</v>
      </c>
      <c r="BC39" s="16">
        <f>求节点(I$28:I$34,$N$28:$N$34,$AR39)*$AS39*其他调用!Z38/$E$4</f>
        <v>0</v>
      </c>
      <c r="BD39" s="16">
        <f>求节点(E$28:E$34,$O$28:$O$34,$AR39)*$AS39*其他调用!V38/$E$4</f>
        <v>0</v>
      </c>
      <c r="BE39" s="16">
        <f>求节点(F$28:F$34,$O$28:$O$34,$AR39)*$AS39*其他调用!W38/$E$4</f>
        <v>0</v>
      </c>
      <c r="BF39" s="16">
        <f>求节点(G$28:G$34,$O$28:$O$34,$AR39)*$AS39*其他调用!X38/$E$4</f>
        <v>0</v>
      </c>
      <c r="BG39" s="16">
        <f>求节点(H$28:H$34,$O$28:$O$34,$AR39)*$AS39*其他调用!Y38/$E$4</f>
        <v>0</v>
      </c>
      <c r="BH39" s="16">
        <f>求节点(I$28:I$34,$O$28:$O$34,$AR39)*$AS39*其他调用!Z38/$E$4</f>
        <v>0</v>
      </c>
      <c r="BK39" s="16">
        <v>35</v>
      </c>
      <c r="BL39" s="16">
        <f>SUM(AT$5:AT39)</f>
        <v>0</v>
      </c>
      <c r="BM39" s="16">
        <f>SUM(AU$5:AU39)</f>
        <v>0</v>
      </c>
      <c r="BN39" s="16">
        <f>SUM(AV$5:AV39)</f>
        <v>0</v>
      </c>
      <c r="BO39" s="16">
        <f>SUM(AW$5:AW39)</f>
        <v>0</v>
      </c>
      <c r="BP39" s="16">
        <f>SUM(AX$5:AX39)</f>
        <v>0</v>
      </c>
      <c r="BQ39" s="16">
        <f>SUM(AY$5:AY39)</f>
        <v>0</v>
      </c>
      <c r="BR39" s="16">
        <f>SUM(AZ$5:AZ39)</f>
        <v>0</v>
      </c>
      <c r="BS39" s="16">
        <f>SUM(BA$5:BA39)</f>
        <v>0</v>
      </c>
      <c r="BT39" s="16">
        <f>SUM(BB$5:BB39)</f>
        <v>0</v>
      </c>
      <c r="BU39" s="16">
        <f>SUM(BC$5:BC39)</f>
        <v>0</v>
      </c>
      <c r="BV39" s="16">
        <f>SUM(BD$5:BD39)</f>
        <v>0</v>
      </c>
      <c r="BW39" s="16">
        <f>SUM(BE$5:BE39)</f>
        <v>0</v>
      </c>
      <c r="BX39" s="16">
        <f>SUM(BF$5:BF39)</f>
        <v>0</v>
      </c>
      <c r="BY39" s="16">
        <f>SUM(BG$5:BG39)</f>
        <v>0</v>
      </c>
      <c r="BZ39" s="16">
        <f>SUM(BH$5:BH39)</f>
        <v>0</v>
      </c>
      <c r="CC39" s="16">
        <v>35</v>
      </c>
      <c r="CD39" s="16">
        <f t="shared" si="21"/>
        <v>0</v>
      </c>
      <c r="CE39" s="16">
        <f t="shared" si="22"/>
        <v>0</v>
      </c>
      <c r="CF39" s="16">
        <f t="shared" si="23"/>
        <v>0</v>
      </c>
      <c r="CG39" s="16">
        <f t="shared" si="24"/>
        <v>0</v>
      </c>
      <c r="CH39" s="16">
        <f t="shared" si="25"/>
        <v>0</v>
      </c>
      <c r="CI39" s="16">
        <f t="shared" si="26"/>
        <v>0</v>
      </c>
      <c r="CJ39" s="16">
        <f t="shared" si="27"/>
        <v>0</v>
      </c>
      <c r="CK39" s="16">
        <f t="shared" si="28"/>
        <v>0</v>
      </c>
      <c r="CL39" s="16">
        <f t="shared" si="29"/>
        <v>0</v>
      </c>
      <c r="CM39" s="16">
        <f t="shared" si="30"/>
        <v>0</v>
      </c>
      <c r="CN39" s="16">
        <f t="shared" si="31"/>
        <v>0</v>
      </c>
      <c r="CO39" s="16">
        <f t="shared" si="32"/>
        <v>0</v>
      </c>
      <c r="CP39" s="16">
        <f t="shared" si="33"/>
        <v>0</v>
      </c>
      <c r="CQ39" s="16">
        <f t="shared" si="34"/>
        <v>0</v>
      </c>
      <c r="CR39" s="16">
        <f t="shared" si="35"/>
        <v>0</v>
      </c>
      <c r="CV39" s="16">
        <v>35</v>
      </c>
      <c r="CW39" s="35">
        <f t="shared" si="18"/>
        <v>0.13200000000000001</v>
      </c>
      <c r="CX39" s="16">
        <f>其他调用!V38/$E$4*求节点(E$28:E$34,$P$28:$P$34,$CV39)*$CW39</f>
        <v>0</v>
      </c>
      <c r="CY39" s="16">
        <f>其他调用!W38/$E$4*求节点(F$28:F$34,$P$28:$P$34,$CV39)*$CW39</f>
        <v>0</v>
      </c>
      <c r="CZ39" s="16">
        <f>其他调用!X38/$E$4*求节点(G$28:G$34,$P$28:$P$34,$CV39)*$CW39</f>
        <v>0</v>
      </c>
      <c r="DA39" s="16">
        <f>其他调用!Y38/$E$4*求节点(H$28:H$34,$P$28:$P$34,$CV39)*$CW39</f>
        <v>0</v>
      </c>
      <c r="DB39" s="16">
        <f>其他调用!Z38/$E$4*求节点(I$28:I$34,$P$28:$P$34,$CV39)*$CW39</f>
        <v>0</v>
      </c>
      <c r="DC39" s="16">
        <f>SUM(CX$5:CX39)</f>
        <v>0</v>
      </c>
      <c r="DD39" s="16">
        <f>SUM(CY$5:CY39)</f>
        <v>0</v>
      </c>
      <c r="DE39" s="16">
        <f>SUM(CZ$5:CZ39)</f>
        <v>0</v>
      </c>
      <c r="DF39" s="16">
        <f>SUM(DA$5:DA39)</f>
        <v>0</v>
      </c>
      <c r="DG39" s="16">
        <f>SUM(DB$5:DB39)</f>
        <v>0</v>
      </c>
    </row>
    <row r="40" spans="4:111">
      <c r="X40" s="16">
        <v>36</v>
      </c>
      <c r="Y40" s="45">
        <f t="shared" si="16"/>
        <v>198.30508474576271</v>
      </c>
      <c r="Z40" s="24">
        <f t="shared" si="17"/>
        <v>6.8000000000000005E-2</v>
      </c>
      <c r="AA40" s="16">
        <f>$Y40*$Z40*其他调用!V39</f>
        <v>503.69713141903225</v>
      </c>
      <c r="AB40" s="16">
        <f>$Y40*$Z40*其他调用!W39</f>
        <v>651.60320667618942</v>
      </c>
      <c r="AC40" s="16">
        <f>$Y40*$Z40*其他调用!X39</f>
        <v>718.86470641445726</v>
      </c>
      <c r="AD40" s="16">
        <f>$Y40*$Z40*其他调用!Y39</f>
        <v>596.60585920474421</v>
      </c>
      <c r="AE40" s="16">
        <f>$Y40*$Z40*其他调用!Z39</f>
        <v>316.97834705626451</v>
      </c>
      <c r="AH40" s="16">
        <v>36</v>
      </c>
      <c r="AI40" s="16">
        <f>SUM(AA$5:AA40)</f>
        <v>5323.8625960892614</v>
      </c>
      <c r="AJ40" s="16">
        <f>SUM(AB$5:AB40)</f>
        <v>6789.7282390859737</v>
      </c>
      <c r="AK40" s="16">
        <f>SUM(AC$5:AC40)</f>
        <v>7632.0977229596374</v>
      </c>
      <c r="AL40" s="16">
        <f>SUM(AD$5:AD40)</f>
        <v>6420.2151328012733</v>
      </c>
      <c r="AM40" s="16">
        <f>SUM(AE$5:AE40)</f>
        <v>3591.1026982392796</v>
      </c>
      <c r="AR40" s="16">
        <v>36</v>
      </c>
      <c r="AS40" s="24">
        <f t="shared" si="20"/>
        <v>6.8000000000000005E-2</v>
      </c>
      <c r="AT40" s="16">
        <f>求节点(E$28:E$34,$M$28:$M$34,$AR40)*$AS40*其他调用!V39/$E$4</f>
        <v>0</v>
      </c>
      <c r="AU40" s="16">
        <f>求节点(F$28:F$34,$M$28:$M$34,$AR40)*$AS40*其他调用!W39/$E$4</f>
        <v>0</v>
      </c>
      <c r="AV40" s="16">
        <f>求节点(G$28:G$34,$M$28:$M$34,$AR40)*$AS40*其他调用!X39/$E$4</f>
        <v>0</v>
      </c>
      <c r="AW40" s="16">
        <f>求节点(H$28:H$34,$M$28:$M$34,$AR40)*$AS40*其他调用!Y39/$E$4</f>
        <v>0</v>
      </c>
      <c r="AX40" s="16">
        <f>求节点(I$28:I$34,$M$28:$M$34,$AR40)*$AS40*其他调用!Z39/$E$4</f>
        <v>0</v>
      </c>
      <c r="AY40" s="16">
        <f>求节点(E$28:E$34,$N$28:$N$34,$AR40)*$AS40*其他调用!V39/$E$4</f>
        <v>0</v>
      </c>
      <c r="AZ40" s="16">
        <f>求节点(F$28:F$34,$N$28:$N$34,$AR40)*$AS40*其他调用!W39/$E$4</f>
        <v>0</v>
      </c>
      <c r="BA40" s="16">
        <f>求节点(G$28:G$34,$N$28:$N$34,$AR40)*$AS40*其他调用!X39/$E$4</f>
        <v>0</v>
      </c>
      <c r="BB40" s="16">
        <f>求节点(H$28:H$34,$N$28:$N$34,$AR40)*$AS40*其他调用!Y39/$E$4</f>
        <v>0</v>
      </c>
      <c r="BC40" s="16">
        <f>求节点(I$28:I$34,$N$28:$N$34,$AR40)*$AS40*其他调用!Z39/$E$4</f>
        <v>0</v>
      </c>
      <c r="BD40" s="16">
        <f>求节点(E$28:E$34,$O$28:$O$34,$AR40)*$AS40*其他调用!V39/$E$4</f>
        <v>0</v>
      </c>
      <c r="BE40" s="16">
        <f>求节点(F$28:F$34,$O$28:$O$34,$AR40)*$AS40*其他调用!W39/$E$4</f>
        <v>0</v>
      </c>
      <c r="BF40" s="16">
        <f>求节点(G$28:G$34,$O$28:$O$34,$AR40)*$AS40*其他调用!X39/$E$4</f>
        <v>0</v>
      </c>
      <c r="BG40" s="16">
        <f>求节点(H$28:H$34,$O$28:$O$34,$AR40)*$AS40*其他调用!Y39/$E$4</f>
        <v>0</v>
      </c>
      <c r="BH40" s="16">
        <f>求节点(I$28:I$34,$O$28:$O$34,$AR40)*$AS40*其他调用!Z39/$E$4</f>
        <v>0</v>
      </c>
      <c r="BK40" s="16">
        <v>36</v>
      </c>
      <c r="BL40" s="16">
        <f>SUM(AT$5:AT40)</f>
        <v>0</v>
      </c>
      <c r="BM40" s="16">
        <f>SUM(AU$5:AU40)</f>
        <v>0</v>
      </c>
      <c r="BN40" s="16">
        <f>SUM(AV$5:AV40)</f>
        <v>0</v>
      </c>
      <c r="BO40" s="16">
        <f>SUM(AW$5:AW40)</f>
        <v>0</v>
      </c>
      <c r="BP40" s="16">
        <f>SUM(AX$5:AX40)</f>
        <v>0</v>
      </c>
      <c r="BQ40" s="16">
        <f>SUM(AY$5:AY40)</f>
        <v>0</v>
      </c>
      <c r="BR40" s="16">
        <f>SUM(AZ$5:AZ40)</f>
        <v>0</v>
      </c>
      <c r="BS40" s="16">
        <f>SUM(BA$5:BA40)</f>
        <v>0</v>
      </c>
      <c r="BT40" s="16">
        <f>SUM(BB$5:BB40)</f>
        <v>0</v>
      </c>
      <c r="BU40" s="16">
        <f>SUM(BC$5:BC40)</f>
        <v>0</v>
      </c>
      <c r="BV40" s="16">
        <f>SUM(BD$5:BD40)</f>
        <v>0</v>
      </c>
      <c r="BW40" s="16">
        <f>SUM(BE$5:BE40)</f>
        <v>0</v>
      </c>
      <c r="BX40" s="16">
        <f>SUM(BF$5:BF40)</f>
        <v>0</v>
      </c>
      <c r="BY40" s="16">
        <f>SUM(BG$5:BG40)</f>
        <v>0</v>
      </c>
      <c r="BZ40" s="16">
        <f>SUM(BH$5:BH40)</f>
        <v>0</v>
      </c>
      <c r="CC40" s="16">
        <v>36</v>
      </c>
      <c r="CD40" s="16">
        <f t="shared" si="21"/>
        <v>0</v>
      </c>
      <c r="CE40" s="16">
        <f t="shared" si="22"/>
        <v>0</v>
      </c>
      <c r="CF40" s="16">
        <f t="shared" si="23"/>
        <v>0</v>
      </c>
      <c r="CG40" s="16">
        <f t="shared" si="24"/>
        <v>0</v>
      </c>
      <c r="CH40" s="16">
        <f t="shared" si="25"/>
        <v>0</v>
      </c>
      <c r="CI40" s="16">
        <f t="shared" si="26"/>
        <v>0</v>
      </c>
      <c r="CJ40" s="16">
        <f t="shared" si="27"/>
        <v>0</v>
      </c>
      <c r="CK40" s="16">
        <f t="shared" si="28"/>
        <v>0</v>
      </c>
      <c r="CL40" s="16">
        <f t="shared" si="29"/>
        <v>0</v>
      </c>
      <c r="CM40" s="16">
        <f t="shared" si="30"/>
        <v>0</v>
      </c>
      <c r="CN40" s="16">
        <f t="shared" si="31"/>
        <v>0</v>
      </c>
      <c r="CO40" s="16">
        <f t="shared" si="32"/>
        <v>0</v>
      </c>
      <c r="CP40" s="16">
        <f t="shared" si="33"/>
        <v>0</v>
      </c>
      <c r="CQ40" s="16">
        <f t="shared" si="34"/>
        <v>0</v>
      </c>
      <c r="CR40" s="16">
        <f t="shared" si="35"/>
        <v>0</v>
      </c>
      <c r="CV40" s="16">
        <v>36</v>
      </c>
      <c r="CW40" s="35">
        <f t="shared" si="18"/>
        <v>0.13200000000000001</v>
      </c>
      <c r="CX40" s="16">
        <f>其他调用!V39/$E$4*求节点(E$28:E$34,$P$28:$P$34,$CV40)*$CW40</f>
        <v>0</v>
      </c>
      <c r="CY40" s="16">
        <f>其他调用!W39/$E$4*求节点(F$28:F$34,$P$28:$P$34,$CV40)*$CW40</f>
        <v>0</v>
      </c>
      <c r="CZ40" s="16">
        <f>其他调用!X39/$E$4*求节点(G$28:G$34,$P$28:$P$34,$CV40)*$CW40</f>
        <v>0</v>
      </c>
      <c r="DA40" s="16">
        <f>其他调用!Y39/$E$4*求节点(H$28:H$34,$P$28:$P$34,$CV40)*$CW40</f>
        <v>0</v>
      </c>
      <c r="DB40" s="16">
        <f>其他调用!Z39/$E$4*求节点(I$28:I$34,$P$28:$P$34,$CV40)*$CW40</f>
        <v>0</v>
      </c>
      <c r="DC40" s="16">
        <f>SUM(CX$5:CX40)</f>
        <v>0</v>
      </c>
      <c r="DD40" s="16">
        <f>SUM(CY$5:CY40)</f>
        <v>0</v>
      </c>
      <c r="DE40" s="16">
        <f>SUM(CZ$5:CZ40)</f>
        <v>0</v>
      </c>
      <c r="DF40" s="16">
        <f>SUM(DA$5:DA40)</f>
        <v>0</v>
      </c>
      <c r="DG40" s="16">
        <f>SUM(DB$5:DB40)</f>
        <v>0</v>
      </c>
    </row>
    <row r="41" spans="4:111">
      <c r="X41" s="16">
        <v>37</v>
      </c>
      <c r="Y41" s="45">
        <f t="shared" si="16"/>
        <v>202.54237288135593</v>
      </c>
      <c r="Z41" s="24">
        <f t="shared" si="17"/>
        <v>6.8000000000000005E-2</v>
      </c>
      <c r="AA41" s="16">
        <f>$Y41*$Z41*其他调用!V40</f>
        <v>551.38445832447587</v>
      </c>
      <c r="AB41" s="16">
        <f>$Y41*$Z41*其他调用!W40</f>
        <v>698.75211387938009</v>
      </c>
      <c r="AC41" s="16">
        <f>$Y41*$Z41*其他调用!X40</f>
        <v>785.30136252382522</v>
      </c>
      <c r="AD41" s="16">
        <f>$Y41*$Z41*其他调用!Y40</f>
        <v>633.56799172675051</v>
      </c>
      <c r="AE41" s="16">
        <f>$Y41*$Z41*其他调用!Z40</f>
        <v>370.50997874232723</v>
      </c>
      <c r="AH41" s="16">
        <v>37</v>
      </c>
      <c r="AI41" s="16">
        <f>SUM(AA$5:AA41)</f>
        <v>5875.2470544137377</v>
      </c>
      <c r="AJ41" s="16">
        <f>SUM(AB$5:AB41)</f>
        <v>7488.4803529653536</v>
      </c>
      <c r="AK41" s="16">
        <f>SUM(AC$5:AC41)</f>
        <v>8417.3990854834628</v>
      </c>
      <c r="AL41" s="16">
        <f>SUM(AD$5:AD41)</f>
        <v>7053.783124528024</v>
      </c>
      <c r="AM41" s="16">
        <f>SUM(AE$5:AE41)</f>
        <v>3961.6126769816069</v>
      </c>
      <c r="AR41" s="16">
        <v>37</v>
      </c>
      <c r="AS41" s="24">
        <f t="shared" si="20"/>
        <v>6.8000000000000005E-2</v>
      </c>
      <c r="AT41" s="16">
        <f>求节点(E$28:E$34,$M$28:$M$34,$AR41)*$AS41*其他调用!V40/$E$4</f>
        <v>0</v>
      </c>
      <c r="AU41" s="16">
        <f>求节点(F$28:F$34,$M$28:$M$34,$AR41)*$AS41*其他调用!W40/$E$4</f>
        <v>0</v>
      </c>
      <c r="AV41" s="16">
        <f>求节点(G$28:G$34,$M$28:$M$34,$AR41)*$AS41*其他调用!X40/$E$4</f>
        <v>0</v>
      </c>
      <c r="AW41" s="16">
        <f>求节点(H$28:H$34,$M$28:$M$34,$AR41)*$AS41*其他调用!Y40/$E$4</f>
        <v>0</v>
      </c>
      <c r="AX41" s="16">
        <f>求节点(I$28:I$34,$M$28:$M$34,$AR41)*$AS41*其他调用!Z40/$E$4</f>
        <v>0</v>
      </c>
      <c r="AY41" s="16">
        <f>求节点(E$28:E$34,$N$28:$N$34,$AR41)*$AS41*其他调用!V40/$E$4</f>
        <v>0</v>
      </c>
      <c r="AZ41" s="16">
        <f>求节点(F$28:F$34,$N$28:$N$34,$AR41)*$AS41*其他调用!W40/$E$4</f>
        <v>0</v>
      </c>
      <c r="BA41" s="16">
        <f>求节点(G$28:G$34,$N$28:$N$34,$AR41)*$AS41*其他调用!X40/$E$4</f>
        <v>0</v>
      </c>
      <c r="BB41" s="16">
        <f>求节点(H$28:H$34,$N$28:$N$34,$AR41)*$AS41*其他调用!Y40/$E$4</f>
        <v>0</v>
      </c>
      <c r="BC41" s="16">
        <f>求节点(I$28:I$34,$N$28:$N$34,$AR41)*$AS41*其他调用!Z40/$E$4</f>
        <v>0</v>
      </c>
      <c r="BD41" s="16">
        <f>求节点(E$28:E$34,$O$28:$O$34,$AR41)*$AS41*其他调用!V40/$E$4</f>
        <v>0</v>
      </c>
      <c r="BE41" s="16">
        <f>求节点(F$28:F$34,$O$28:$O$34,$AR41)*$AS41*其他调用!W40/$E$4</f>
        <v>0</v>
      </c>
      <c r="BF41" s="16">
        <f>求节点(G$28:G$34,$O$28:$O$34,$AR41)*$AS41*其他调用!X40/$E$4</f>
        <v>0</v>
      </c>
      <c r="BG41" s="16">
        <f>求节点(H$28:H$34,$O$28:$O$34,$AR41)*$AS41*其他调用!Y40/$E$4</f>
        <v>0</v>
      </c>
      <c r="BH41" s="16">
        <f>求节点(I$28:I$34,$O$28:$O$34,$AR41)*$AS41*其他调用!Z40/$E$4</f>
        <v>0</v>
      </c>
      <c r="BK41" s="16">
        <v>37</v>
      </c>
      <c r="BL41" s="16">
        <f>SUM(AT$5:AT41)</f>
        <v>0</v>
      </c>
      <c r="BM41" s="16">
        <f>SUM(AU$5:AU41)</f>
        <v>0</v>
      </c>
      <c r="BN41" s="16">
        <f>SUM(AV$5:AV41)</f>
        <v>0</v>
      </c>
      <c r="BO41" s="16">
        <f>SUM(AW$5:AW41)</f>
        <v>0</v>
      </c>
      <c r="BP41" s="16">
        <f>SUM(AX$5:AX41)</f>
        <v>0</v>
      </c>
      <c r="BQ41" s="16">
        <f>SUM(AY$5:AY41)</f>
        <v>0</v>
      </c>
      <c r="BR41" s="16">
        <f>SUM(AZ$5:AZ41)</f>
        <v>0</v>
      </c>
      <c r="BS41" s="16">
        <f>SUM(BA$5:BA41)</f>
        <v>0</v>
      </c>
      <c r="BT41" s="16">
        <f>SUM(BB$5:BB41)</f>
        <v>0</v>
      </c>
      <c r="BU41" s="16">
        <f>SUM(BC$5:BC41)</f>
        <v>0</v>
      </c>
      <c r="BV41" s="16">
        <f>SUM(BD$5:BD41)</f>
        <v>0</v>
      </c>
      <c r="BW41" s="16">
        <f>SUM(BE$5:BE41)</f>
        <v>0</v>
      </c>
      <c r="BX41" s="16">
        <f>SUM(BF$5:BF41)</f>
        <v>0</v>
      </c>
      <c r="BY41" s="16">
        <f>SUM(BG$5:BG41)</f>
        <v>0</v>
      </c>
      <c r="BZ41" s="16">
        <f>SUM(BH$5:BH41)</f>
        <v>0</v>
      </c>
      <c r="CC41" s="16">
        <v>37</v>
      </c>
      <c r="CD41" s="16">
        <f t="shared" si="21"/>
        <v>0</v>
      </c>
      <c r="CE41" s="16">
        <f t="shared" si="22"/>
        <v>0</v>
      </c>
      <c r="CF41" s="16">
        <f t="shared" si="23"/>
        <v>0</v>
      </c>
      <c r="CG41" s="16">
        <f t="shared" si="24"/>
        <v>0</v>
      </c>
      <c r="CH41" s="16">
        <f t="shared" si="25"/>
        <v>0</v>
      </c>
      <c r="CI41" s="16">
        <f t="shared" si="26"/>
        <v>0</v>
      </c>
      <c r="CJ41" s="16">
        <f t="shared" si="27"/>
        <v>0</v>
      </c>
      <c r="CK41" s="16">
        <f t="shared" si="28"/>
        <v>0</v>
      </c>
      <c r="CL41" s="16">
        <f t="shared" si="29"/>
        <v>0</v>
      </c>
      <c r="CM41" s="16">
        <f t="shared" si="30"/>
        <v>0</v>
      </c>
      <c r="CN41" s="16">
        <f t="shared" si="31"/>
        <v>0</v>
      </c>
      <c r="CO41" s="16">
        <f t="shared" si="32"/>
        <v>0</v>
      </c>
      <c r="CP41" s="16">
        <f t="shared" si="33"/>
        <v>0</v>
      </c>
      <c r="CQ41" s="16">
        <f t="shared" si="34"/>
        <v>0</v>
      </c>
      <c r="CR41" s="16">
        <f t="shared" si="35"/>
        <v>0</v>
      </c>
      <c r="CV41" s="16">
        <v>37</v>
      </c>
      <c r="CW41" s="35">
        <f t="shared" si="18"/>
        <v>0.13200000000000001</v>
      </c>
      <c r="CX41" s="16">
        <f>其他调用!V40/$E$4*求节点(E$28:E$34,$P$28:$P$34,$CV41)*$CW41</f>
        <v>0</v>
      </c>
      <c r="CY41" s="16">
        <f>其他调用!W40/$E$4*求节点(F$28:F$34,$P$28:$P$34,$CV41)*$CW41</f>
        <v>0</v>
      </c>
      <c r="CZ41" s="16">
        <f>其他调用!X40/$E$4*求节点(G$28:G$34,$P$28:$P$34,$CV41)*$CW41</f>
        <v>0</v>
      </c>
      <c r="DA41" s="16">
        <f>其他调用!Y40/$E$4*求节点(H$28:H$34,$P$28:$P$34,$CV41)*$CW41</f>
        <v>0</v>
      </c>
      <c r="DB41" s="16">
        <f>其他调用!Z40/$E$4*求节点(I$28:I$34,$P$28:$P$34,$CV41)*$CW41</f>
        <v>0</v>
      </c>
      <c r="DC41" s="16">
        <f>SUM(CX$5:CX41)</f>
        <v>0</v>
      </c>
      <c r="DD41" s="16">
        <f>SUM(CY$5:CY41)</f>
        <v>0</v>
      </c>
      <c r="DE41" s="16">
        <f>SUM(CZ$5:CZ41)</f>
        <v>0</v>
      </c>
      <c r="DF41" s="16">
        <f>SUM(DA$5:DA41)</f>
        <v>0</v>
      </c>
      <c r="DG41" s="16">
        <f>SUM(DB$5:DB41)</f>
        <v>0</v>
      </c>
    </row>
    <row r="42" spans="4:111">
      <c r="X42" s="16">
        <v>38</v>
      </c>
      <c r="Y42" s="45">
        <f t="shared" si="16"/>
        <v>206.77966101694915</v>
      </c>
      <c r="Z42" s="24">
        <f t="shared" si="17"/>
        <v>6.8000000000000005E-2</v>
      </c>
      <c r="AA42" s="16">
        <f>$Y42*$Z42*其他调用!V41</f>
        <v>603.32239389647407</v>
      </c>
      <c r="AB42" s="16">
        <f>$Y42*$Z42*其他调用!W41</f>
        <v>761.85149342284524</v>
      </c>
      <c r="AC42" s="16">
        <f>$Y42*$Z42*其他调用!X41</f>
        <v>834.20150913339114</v>
      </c>
      <c r="AD42" s="16">
        <f>$Y42*$Z42*其他调用!Y41</f>
        <v>694.51889371087157</v>
      </c>
      <c r="AE42" s="16">
        <f>$Y42*$Z42*其他调用!Z41</f>
        <v>392.3031341894461</v>
      </c>
      <c r="AH42" s="16">
        <v>38</v>
      </c>
      <c r="AI42" s="16">
        <f>SUM(AA$5:AA42)</f>
        <v>6478.5694483102116</v>
      </c>
      <c r="AJ42" s="16">
        <f>SUM(AB$5:AB42)</f>
        <v>8250.3318463881988</v>
      </c>
      <c r="AK42" s="16">
        <f>SUM(AC$5:AC42)</f>
        <v>9251.6005946168534</v>
      </c>
      <c r="AL42" s="16">
        <f>SUM(AD$5:AD42)</f>
        <v>7748.3020182388955</v>
      </c>
      <c r="AM42" s="16">
        <f>SUM(AE$5:AE42)</f>
        <v>4353.9158111710531</v>
      </c>
      <c r="AR42" s="16">
        <v>38</v>
      </c>
      <c r="AS42" s="24">
        <f t="shared" si="20"/>
        <v>6.8000000000000005E-2</v>
      </c>
      <c r="AT42" s="16">
        <f>求节点(E$28:E$34,$M$28:$M$34,$AR42)*$AS42*其他调用!V41/$E$4</f>
        <v>0</v>
      </c>
      <c r="AU42" s="16">
        <f>求节点(F$28:F$34,$M$28:$M$34,$AR42)*$AS42*其他调用!W41/$E$4</f>
        <v>0</v>
      </c>
      <c r="AV42" s="16">
        <f>求节点(G$28:G$34,$M$28:$M$34,$AR42)*$AS42*其他调用!X41/$E$4</f>
        <v>0</v>
      </c>
      <c r="AW42" s="16">
        <f>求节点(H$28:H$34,$M$28:$M$34,$AR42)*$AS42*其他调用!Y41/$E$4</f>
        <v>0</v>
      </c>
      <c r="AX42" s="16">
        <f>求节点(I$28:I$34,$M$28:$M$34,$AR42)*$AS42*其他调用!Z41/$E$4</f>
        <v>0</v>
      </c>
      <c r="AY42" s="16">
        <f>求节点(E$28:E$34,$N$28:$N$34,$AR42)*$AS42*其他调用!V41/$E$4</f>
        <v>0</v>
      </c>
      <c r="AZ42" s="16">
        <f>求节点(F$28:F$34,$N$28:$N$34,$AR42)*$AS42*其他调用!W41/$E$4</f>
        <v>0</v>
      </c>
      <c r="BA42" s="16">
        <f>求节点(G$28:G$34,$N$28:$N$34,$AR42)*$AS42*其他调用!X41/$E$4</f>
        <v>0</v>
      </c>
      <c r="BB42" s="16">
        <f>求节点(H$28:H$34,$N$28:$N$34,$AR42)*$AS42*其他调用!Y41/$E$4</f>
        <v>0</v>
      </c>
      <c r="BC42" s="16">
        <f>求节点(I$28:I$34,$N$28:$N$34,$AR42)*$AS42*其他调用!Z41/$E$4</f>
        <v>0</v>
      </c>
      <c r="BD42" s="16">
        <f>求节点(E$28:E$34,$O$28:$O$34,$AR42)*$AS42*其他调用!V41/$E$4</f>
        <v>0</v>
      </c>
      <c r="BE42" s="16">
        <f>求节点(F$28:F$34,$O$28:$O$34,$AR42)*$AS42*其他调用!W41/$E$4</f>
        <v>0</v>
      </c>
      <c r="BF42" s="16">
        <f>求节点(G$28:G$34,$O$28:$O$34,$AR42)*$AS42*其他调用!X41/$E$4</f>
        <v>0</v>
      </c>
      <c r="BG42" s="16">
        <f>求节点(H$28:H$34,$O$28:$O$34,$AR42)*$AS42*其他调用!Y41/$E$4</f>
        <v>0</v>
      </c>
      <c r="BH42" s="16">
        <f>求节点(I$28:I$34,$O$28:$O$34,$AR42)*$AS42*其他调用!Z41/$E$4</f>
        <v>0</v>
      </c>
      <c r="BK42" s="16">
        <v>38</v>
      </c>
      <c r="BL42" s="16">
        <f>SUM(AT$5:AT42)</f>
        <v>0</v>
      </c>
      <c r="BM42" s="16">
        <f>SUM(AU$5:AU42)</f>
        <v>0</v>
      </c>
      <c r="BN42" s="16">
        <f>SUM(AV$5:AV42)</f>
        <v>0</v>
      </c>
      <c r="BO42" s="16">
        <f>SUM(AW$5:AW42)</f>
        <v>0</v>
      </c>
      <c r="BP42" s="16">
        <f>SUM(AX$5:AX42)</f>
        <v>0</v>
      </c>
      <c r="BQ42" s="16">
        <f>SUM(AY$5:AY42)</f>
        <v>0</v>
      </c>
      <c r="BR42" s="16">
        <f>SUM(AZ$5:AZ42)</f>
        <v>0</v>
      </c>
      <c r="BS42" s="16">
        <f>SUM(BA$5:BA42)</f>
        <v>0</v>
      </c>
      <c r="BT42" s="16">
        <f>SUM(BB$5:BB42)</f>
        <v>0</v>
      </c>
      <c r="BU42" s="16">
        <f>SUM(BC$5:BC42)</f>
        <v>0</v>
      </c>
      <c r="BV42" s="16">
        <f>SUM(BD$5:BD42)</f>
        <v>0</v>
      </c>
      <c r="BW42" s="16">
        <f>SUM(BE$5:BE42)</f>
        <v>0</v>
      </c>
      <c r="BX42" s="16">
        <f>SUM(BF$5:BF42)</f>
        <v>0</v>
      </c>
      <c r="BY42" s="16">
        <f>SUM(BG$5:BG42)</f>
        <v>0</v>
      </c>
      <c r="BZ42" s="16">
        <f>SUM(BH$5:BH42)</f>
        <v>0</v>
      </c>
      <c r="CC42" s="16">
        <v>38</v>
      </c>
      <c r="CD42" s="16">
        <f t="shared" si="21"/>
        <v>0</v>
      </c>
      <c r="CE42" s="16">
        <f t="shared" si="22"/>
        <v>0</v>
      </c>
      <c r="CF42" s="16">
        <f t="shared" si="23"/>
        <v>0</v>
      </c>
      <c r="CG42" s="16">
        <f t="shared" si="24"/>
        <v>0</v>
      </c>
      <c r="CH42" s="16">
        <f t="shared" si="25"/>
        <v>0</v>
      </c>
      <c r="CI42" s="16">
        <f t="shared" si="26"/>
        <v>0</v>
      </c>
      <c r="CJ42" s="16">
        <f t="shared" si="27"/>
        <v>0</v>
      </c>
      <c r="CK42" s="16">
        <f t="shared" si="28"/>
        <v>0</v>
      </c>
      <c r="CL42" s="16">
        <f t="shared" si="29"/>
        <v>0</v>
      </c>
      <c r="CM42" s="16">
        <f t="shared" si="30"/>
        <v>0</v>
      </c>
      <c r="CN42" s="16">
        <f t="shared" si="31"/>
        <v>0</v>
      </c>
      <c r="CO42" s="16">
        <f t="shared" si="32"/>
        <v>0</v>
      </c>
      <c r="CP42" s="16">
        <f t="shared" si="33"/>
        <v>0</v>
      </c>
      <c r="CQ42" s="16">
        <f t="shared" si="34"/>
        <v>0</v>
      </c>
      <c r="CR42" s="16">
        <f t="shared" si="35"/>
        <v>0</v>
      </c>
      <c r="CV42" s="16">
        <v>38</v>
      </c>
      <c r="CW42" s="35">
        <f t="shared" si="18"/>
        <v>0.13200000000000001</v>
      </c>
      <c r="CX42" s="16">
        <f>其他调用!V41/$E$4*求节点(E$28:E$34,$P$28:$P$34,$CV42)*$CW42</f>
        <v>0</v>
      </c>
      <c r="CY42" s="16">
        <f>其他调用!W41/$E$4*求节点(F$28:F$34,$P$28:$P$34,$CV42)*$CW42</f>
        <v>0</v>
      </c>
      <c r="CZ42" s="16">
        <f>其他调用!X41/$E$4*求节点(G$28:G$34,$P$28:$P$34,$CV42)*$CW42</f>
        <v>0</v>
      </c>
      <c r="DA42" s="16">
        <f>其他调用!Y41/$E$4*求节点(H$28:H$34,$P$28:$P$34,$CV42)*$CW42</f>
        <v>0</v>
      </c>
      <c r="DB42" s="16">
        <f>其他调用!Z41/$E$4*求节点(I$28:I$34,$P$28:$P$34,$CV42)*$CW42</f>
        <v>0</v>
      </c>
      <c r="DC42" s="16">
        <f>SUM(CX$5:CX42)</f>
        <v>0</v>
      </c>
      <c r="DD42" s="16">
        <f>SUM(CY$5:CY42)</f>
        <v>0</v>
      </c>
      <c r="DE42" s="16">
        <f>SUM(CZ$5:CZ42)</f>
        <v>0</v>
      </c>
      <c r="DF42" s="16">
        <f>SUM(DA$5:DA42)</f>
        <v>0</v>
      </c>
      <c r="DG42" s="16">
        <f>SUM(DB$5:DB42)</f>
        <v>0</v>
      </c>
    </row>
    <row r="43" spans="4:111">
      <c r="X43" s="16">
        <v>39</v>
      </c>
      <c r="Y43" s="45">
        <f t="shared" si="16"/>
        <v>211.0169491525424</v>
      </c>
      <c r="Z43" s="24">
        <f t="shared" si="17"/>
        <v>6.8000000000000005E-2</v>
      </c>
      <c r="AA43" s="16">
        <f>$Y43*$Z43*其他调用!V42</f>
        <v>659.87544201596597</v>
      </c>
      <c r="AB43" s="16">
        <f>$Y43*$Z43*其他调用!W42</f>
        <v>822.03673399466174</v>
      </c>
      <c r="AC43" s="16">
        <f>$Y43*$Z43*其他调用!X42</f>
        <v>910.01773619944754</v>
      </c>
      <c r="AD43" s="16">
        <f>$Y43*$Z43*其他调用!Y42</f>
        <v>773.71357731308092</v>
      </c>
      <c r="AE43" s="16">
        <f>$Y43*$Z43*其他调用!Z42</f>
        <v>442.37762730384259</v>
      </c>
      <c r="AH43" s="16">
        <v>39</v>
      </c>
      <c r="AI43" s="16">
        <f>SUM(AA$5:AA43)</f>
        <v>7138.4448903261773</v>
      </c>
      <c r="AJ43" s="16">
        <f>SUM(AB$5:AB43)</f>
        <v>9072.3685803828612</v>
      </c>
      <c r="AK43" s="16">
        <f>SUM(AC$5:AC43)</f>
        <v>10161.618330816302</v>
      </c>
      <c r="AL43" s="16">
        <f>SUM(AD$5:AD43)</f>
        <v>8522.0155955519767</v>
      </c>
      <c r="AM43" s="16">
        <f>SUM(AE$5:AE43)</f>
        <v>4796.293438474896</v>
      </c>
      <c r="AR43" s="16">
        <v>39</v>
      </c>
      <c r="AS43" s="24">
        <f t="shared" si="20"/>
        <v>6.8000000000000005E-2</v>
      </c>
      <c r="AT43" s="16">
        <f>求节点(E$28:E$34,$M$28:$M$34,$AR43)*$AS43*其他调用!V42/$E$4</f>
        <v>0</v>
      </c>
      <c r="AU43" s="16">
        <f>求节点(F$28:F$34,$M$28:$M$34,$AR43)*$AS43*其他调用!W42/$E$4</f>
        <v>0</v>
      </c>
      <c r="AV43" s="16">
        <f>求节点(G$28:G$34,$M$28:$M$34,$AR43)*$AS43*其他调用!X42/$E$4</f>
        <v>0</v>
      </c>
      <c r="AW43" s="16">
        <f>求节点(H$28:H$34,$M$28:$M$34,$AR43)*$AS43*其他调用!Y42/$E$4</f>
        <v>0</v>
      </c>
      <c r="AX43" s="16">
        <f>求节点(I$28:I$34,$M$28:$M$34,$AR43)*$AS43*其他调用!Z42/$E$4</f>
        <v>0</v>
      </c>
      <c r="AY43" s="16">
        <f>求节点(E$28:E$34,$N$28:$N$34,$AR43)*$AS43*其他调用!V42/$E$4</f>
        <v>0</v>
      </c>
      <c r="AZ43" s="16">
        <f>求节点(F$28:F$34,$N$28:$N$34,$AR43)*$AS43*其他调用!W42/$E$4</f>
        <v>0</v>
      </c>
      <c r="BA43" s="16">
        <f>求节点(G$28:G$34,$N$28:$N$34,$AR43)*$AS43*其他调用!X42/$E$4</f>
        <v>0</v>
      </c>
      <c r="BB43" s="16">
        <f>求节点(H$28:H$34,$N$28:$N$34,$AR43)*$AS43*其他调用!Y42/$E$4</f>
        <v>0</v>
      </c>
      <c r="BC43" s="16">
        <f>求节点(I$28:I$34,$N$28:$N$34,$AR43)*$AS43*其他调用!Z42/$E$4</f>
        <v>0</v>
      </c>
      <c r="BD43" s="16">
        <f>求节点(E$28:E$34,$O$28:$O$34,$AR43)*$AS43*其他调用!V42/$E$4</f>
        <v>0</v>
      </c>
      <c r="BE43" s="16">
        <f>求节点(F$28:F$34,$O$28:$O$34,$AR43)*$AS43*其他调用!W42/$E$4</f>
        <v>0</v>
      </c>
      <c r="BF43" s="16">
        <f>求节点(G$28:G$34,$O$28:$O$34,$AR43)*$AS43*其他调用!X42/$E$4</f>
        <v>0</v>
      </c>
      <c r="BG43" s="16">
        <f>求节点(H$28:H$34,$O$28:$O$34,$AR43)*$AS43*其他调用!Y42/$E$4</f>
        <v>0</v>
      </c>
      <c r="BH43" s="16">
        <f>求节点(I$28:I$34,$O$28:$O$34,$AR43)*$AS43*其他调用!Z42/$E$4</f>
        <v>0</v>
      </c>
      <c r="BK43" s="16">
        <v>39</v>
      </c>
      <c r="BL43" s="16">
        <f>SUM(AT$5:AT43)</f>
        <v>0</v>
      </c>
      <c r="BM43" s="16">
        <f>SUM(AU$5:AU43)</f>
        <v>0</v>
      </c>
      <c r="BN43" s="16">
        <f>SUM(AV$5:AV43)</f>
        <v>0</v>
      </c>
      <c r="BO43" s="16">
        <f>SUM(AW$5:AW43)</f>
        <v>0</v>
      </c>
      <c r="BP43" s="16">
        <f>SUM(AX$5:AX43)</f>
        <v>0</v>
      </c>
      <c r="BQ43" s="16">
        <f>SUM(AY$5:AY43)</f>
        <v>0</v>
      </c>
      <c r="BR43" s="16">
        <f>SUM(AZ$5:AZ43)</f>
        <v>0</v>
      </c>
      <c r="BS43" s="16">
        <f>SUM(BA$5:BA43)</f>
        <v>0</v>
      </c>
      <c r="BT43" s="16">
        <f>SUM(BB$5:BB43)</f>
        <v>0</v>
      </c>
      <c r="BU43" s="16">
        <f>SUM(BC$5:BC43)</f>
        <v>0</v>
      </c>
      <c r="BV43" s="16">
        <f>SUM(BD$5:BD43)</f>
        <v>0</v>
      </c>
      <c r="BW43" s="16">
        <f>SUM(BE$5:BE43)</f>
        <v>0</v>
      </c>
      <c r="BX43" s="16">
        <f>SUM(BF$5:BF43)</f>
        <v>0</v>
      </c>
      <c r="BY43" s="16">
        <f>SUM(BG$5:BG43)</f>
        <v>0</v>
      </c>
      <c r="BZ43" s="16">
        <f>SUM(BH$5:BH43)</f>
        <v>0</v>
      </c>
      <c r="CC43" s="16">
        <v>39</v>
      </c>
      <c r="CD43" s="16">
        <f t="shared" si="21"/>
        <v>0</v>
      </c>
      <c r="CE43" s="16">
        <f t="shared" si="22"/>
        <v>0</v>
      </c>
      <c r="CF43" s="16">
        <f t="shared" si="23"/>
        <v>0</v>
      </c>
      <c r="CG43" s="16">
        <f t="shared" si="24"/>
        <v>0</v>
      </c>
      <c r="CH43" s="16">
        <f t="shared" si="25"/>
        <v>0</v>
      </c>
      <c r="CI43" s="16">
        <f t="shared" si="26"/>
        <v>0</v>
      </c>
      <c r="CJ43" s="16">
        <f t="shared" si="27"/>
        <v>0</v>
      </c>
      <c r="CK43" s="16">
        <f t="shared" si="28"/>
        <v>0</v>
      </c>
      <c r="CL43" s="16">
        <f t="shared" si="29"/>
        <v>0</v>
      </c>
      <c r="CM43" s="16">
        <f t="shared" si="30"/>
        <v>0</v>
      </c>
      <c r="CN43" s="16">
        <f t="shared" si="31"/>
        <v>0</v>
      </c>
      <c r="CO43" s="16">
        <f t="shared" si="32"/>
        <v>0</v>
      </c>
      <c r="CP43" s="16">
        <f t="shared" si="33"/>
        <v>0</v>
      </c>
      <c r="CQ43" s="16">
        <f t="shared" si="34"/>
        <v>0</v>
      </c>
      <c r="CR43" s="16">
        <f t="shared" si="35"/>
        <v>0</v>
      </c>
      <c r="CV43" s="16">
        <v>39</v>
      </c>
      <c r="CW43" s="35">
        <f t="shared" si="18"/>
        <v>0.13200000000000001</v>
      </c>
      <c r="CX43" s="16">
        <f>其他调用!V42/$E$4*求节点(E$28:E$34,$P$28:$P$34,$CV43)*$CW43</f>
        <v>0</v>
      </c>
      <c r="CY43" s="16">
        <f>其他调用!W42/$E$4*求节点(F$28:F$34,$P$28:$P$34,$CV43)*$CW43</f>
        <v>0</v>
      </c>
      <c r="CZ43" s="16">
        <f>其他调用!X42/$E$4*求节点(G$28:G$34,$P$28:$P$34,$CV43)*$CW43</f>
        <v>0</v>
      </c>
      <c r="DA43" s="16">
        <f>其他调用!Y42/$E$4*求节点(H$28:H$34,$P$28:$P$34,$CV43)*$CW43</f>
        <v>0</v>
      </c>
      <c r="DB43" s="16">
        <f>其他调用!Z42/$E$4*求节点(I$28:I$34,$P$28:$P$34,$CV43)*$CW43</f>
        <v>0</v>
      </c>
      <c r="DC43" s="16">
        <f>SUM(CX$5:CX43)</f>
        <v>0</v>
      </c>
      <c r="DD43" s="16">
        <f>SUM(CY$5:CY43)</f>
        <v>0</v>
      </c>
      <c r="DE43" s="16">
        <f>SUM(CZ$5:CZ43)</f>
        <v>0</v>
      </c>
      <c r="DF43" s="16">
        <f>SUM(DA$5:DA43)</f>
        <v>0</v>
      </c>
      <c r="DG43" s="16">
        <f>SUM(DB$5:DB43)</f>
        <v>0</v>
      </c>
    </row>
    <row r="44" spans="4:111">
      <c r="X44" s="16">
        <v>40</v>
      </c>
      <c r="Y44" s="45">
        <f t="shared" si="16"/>
        <v>215.25423728813561</v>
      </c>
      <c r="Z44" s="24">
        <f t="shared" si="17"/>
        <v>6.8000000000000005E-2</v>
      </c>
      <c r="AA44" s="16">
        <f>$Y44*$Z44*其他调用!V43</f>
        <v>721.43853326248404</v>
      </c>
      <c r="AB44" s="16">
        <f>$Y44*$Z44*其他调用!W43</f>
        <v>894.32903825516462</v>
      </c>
      <c r="AC44" s="16">
        <f>$Y44*$Z44*其他调用!X43</f>
        <v>1020.3009627581218</v>
      </c>
      <c r="AD44" s="16">
        <f>$Y44*$Z44*其他调用!Y43</f>
        <v>876.35113118167226</v>
      </c>
      <c r="AE44" s="16">
        <f>$Y44*$Z44*其他调用!Z43</f>
        <v>497.21802211158888</v>
      </c>
      <c r="AH44" s="16">
        <v>40</v>
      </c>
      <c r="AI44" s="16">
        <f>SUM(AA$5:AA44)</f>
        <v>7859.8834235886616</v>
      </c>
      <c r="AJ44" s="16">
        <f>SUM(AB$5:AB44)</f>
        <v>9966.6976186380252</v>
      </c>
      <c r="AK44" s="16">
        <f>SUM(AC$5:AC44)</f>
        <v>11181.919293574423</v>
      </c>
      <c r="AL44" s="16">
        <f>SUM(AD$5:AD44)</f>
        <v>9398.3667267336496</v>
      </c>
      <c r="AM44" s="16">
        <f>SUM(AE$5:AE44)</f>
        <v>5293.5114605864846</v>
      </c>
      <c r="AR44" s="16">
        <v>40</v>
      </c>
      <c r="AS44" s="24">
        <f t="shared" si="20"/>
        <v>6.8000000000000005E-2</v>
      </c>
      <c r="AT44" s="16">
        <f>求节点(E$28:E$34,$M$28:$M$34,$AR44)*$AS44*其他调用!V43/$E$4</f>
        <v>0</v>
      </c>
      <c r="AU44" s="16">
        <f>求节点(F$28:F$34,$M$28:$M$34,$AR44)*$AS44*其他调用!W43/$E$4</f>
        <v>0</v>
      </c>
      <c r="AV44" s="16">
        <f>求节点(G$28:G$34,$M$28:$M$34,$AR44)*$AS44*其他调用!X43/$E$4</f>
        <v>0</v>
      </c>
      <c r="AW44" s="16">
        <f>求节点(H$28:H$34,$M$28:$M$34,$AR44)*$AS44*其他调用!Y43/$E$4</f>
        <v>0</v>
      </c>
      <c r="AX44" s="16">
        <f>求节点(I$28:I$34,$M$28:$M$34,$AR44)*$AS44*其他调用!Z43/$E$4</f>
        <v>0</v>
      </c>
      <c r="AY44" s="16">
        <f>求节点(E$28:E$34,$N$28:$N$34,$AR44)*$AS44*其他调用!V43/$E$4</f>
        <v>0</v>
      </c>
      <c r="AZ44" s="16">
        <f>求节点(F$28:F$34,$N$28:$N$34,$AR44)*$AS44*其他调用!W43/$E$4</f>
        <v>0</v>
      </c>
      <c r="BA44" s="16">
        <f>求节点(G$28:G$34,$N$28:$N$34,$AR44)*$AS44*其他调用!X43/$E$4</f>
        <v>0</v>
      </c>
      <c r="BB44" s="16">
        <f>求节点(H$28:H$34,$N$28:$N$34,$AR44)*$AS44*其他调用!Y43/$E$4</f>
        <v>0</v>
      </c>
      <c r="BC44" s="16">
        <f>求节点(I$28:I$34,$N$28:$N$34,$AR44)*$AS44*其他调用!Z43/$E$4</f>
        <v>0</v>
      </c>
      <c r="BD44" s="16">
        <f>求节点(E$28:E$34,$O$28:$O$34,$AR44)*$AS44*其他调用!V43/$E$4</f>
        <v>0</v>
      </c>
      <c r="BE44" s="16">
        <f>求节点(F$28:F$34,$O$28:$O$34,$AR44)*$AS44*其他调用!W43/$E$4</f>
        <v>0</v>
      </c>
      <c r="BF44" s="16">
        <f>求节点(G$28:G$34,$O$28:$O$34,$AR44)*$AS44*其他调用!X43/$E$4</f>
        <v>0</v>
      </c>
      <c r="BG44" s="16">
        <f>求节点(H$28:H$34,$O$28:$O$34,$AR44)*$AS44*其他调用!Y43/$E$4</f>
        <v>0</v>
      </c>
      <c r="BH44" s="16">
        <f>求节点(I$28:I$34,$O$28:$O$34,$AR44)*$AS44*其他调用!Z43/$E$4</f>
        <v>0</v>
      </c>
      <c r="BK44" s="16">
        <v>40</v>
      </c>
      <c r="BL44" s="16">
        <f>SUM(AT$5:AT44)</f>
        <v>0</v>
      </c>
      <c r="BM44" s="16">
        <f>SUM(AU$5:AU44)</f>
        <v>0</v>
      </c>
      <c r="BN44" s="16">
        <f>SUM(AV$5:AV44)</f>
        <v>0</v>
      </c>
      <c r="BO44" s="16">
        <f>SUM(AW$5:AW44)</f>
        <v>0</v>
      </c>
      <c r="BP44" s="16">
        <f>SUM(AX$5:AX44)</f>
        <v>0</v>
      </c>
      <c r="BQ44" s="16">
        <f>SUM(AY$5:AY44)</f>
        <v>0</v>
      </c>
      <c r="BR44" s="16">
        <f>SUM(AZ$5:AZ44)</f>
        <v>0</v>
      </c>
      <c r="BS44" s="16">
        <f>SUM(BA$5:BA44)</f>
        <v>0</v>
      </c>
      <c r="BT44" s="16">
        <f>SUM(BB$5:BB44)</f>
        <v>0</v>
      </c>
      <c r="BU44" s="16">
        <f>SUM(BC$5:BC44)</f>
        <v>0</v>
      </c>
      <c r="BV44" s="16">
        <f>SUM(BD$5:BD44)</f>
        <v>0</v>
      </c>
      <c r="BW44" s="16">
        <f>SUM(BE$5:BE44)</f>
        <v>0</v>
      </c>
      <c r="BX44" s="16">
        <f>SUM(BF$5:BF44)</f>
        <v>0</v>
      </c>
      <c r="BY44" s="16">
        <f>SUM(BG$5:BG44)</f>
        <v>0</v>
      </c>
      <c r="BZ44" s="16">
        <f>SUM(BH$5:BH44)</f>
        <v>0</v>
      </c>
      <c r="CC44" s="16">
        <v>40</v>
      </c>
      <c r="CD44" s="16">
        <f t="shared" si="21"/>
        <v>0</v>
      </c>
      <c r="CE44" s="16">
        <f t="shared" si="22"/>
        <v>0</v>
      </c>
      <c r="CF44" s="16">
        <f t="shared" si="23"/>
        <v>0</v>
      </c>
      <c r="CG44" s="16">
        <f t="shared" si="24"/>
        <v>0</v>
      </c>
      <c r="CH44" s="16">
        <f t="shared" si="25"/>
        <v>0</v>
      </c>
      <c r="CI44" s="16">
        <f t="shared" si="26"/>
        <v>0</v>
      </c>
      <c r="CJ44" s="16">
        <f t="shared" si="27"/>
        <v>0</v>
      </c>
      <c r="CK44" s="16">
        <f t="shared" si="28"/>
        <v>0</v>
      </c>
      <c r="CL44" s="16">
        <f t="shared" si="29"/>
        <v>0</v>
      </c>
      <c r="CM44" s="16">
        <f t="shared" si="30"/>
        <v>0</v>
      </c>
      <c r="CN44" s="16">
        <f t="shared" si="31"/>
        <v>0</v>
      </c>
      <c r="CO44" s="16">
        <f t="shared" si="32"/>
        <v>0</v>
      </c>
      <c r="CP44" s="16">
        <f t="shared" si="33"/>
        <v>0</v>
      </c>
      <c r="CQ44" s="16">
        <f t="shared" si="34"/>
        <v>0</v>
      </c>
      <c r="CR44" s="16">
        <f t="shared" si="35"/>
        <v>0</v>
      </c>
      <c r="CV44" s="16">
        <v>40</v>
      </c>
      <c r="CW44" s="35">
        <f t="shared" si="18"/>
        <v>0.13200000000000001</v>
      </c>
      <c r="CX44" s="16">
        <f>其他调用!V43/$E$4*求节点(E$28:E$34,$P$28:$P$34,$CV44)*$CW44</f>
        <v>0</v>
      </c>
      <c r="CY44" s="16">
        <f>其他调用!W43/$E$4*求节点(F$28:F$34,$P$28:$P$34,$CV44)*$CW44</f>
        <v>0</v>
      </c>
      <c r="CZ44" s="16">
        <f>其他调用!X43/$E$4*求节点(G$28:G$34,$P$28:$P$34,$CV44)*$CW44</f>
        <v>0</v>
      </c>
      <c r="DA44" s="16">
        <f>其他调用!Y43/$E$4*求节点(H$28:H$34,$P$28:$P$34,$CV44)*$CW44</f>
        <v>0</v>
      </c>
      <c r="DB44" s="16">
        <f>其他调用!Z43/$E$4*求节点(I$28:I$34,$P$28:$P$34,$CV44)*$CW44</f>
        <v>0</v>
      </c>
      <c r="DC44" s="16">
        <f>SUM(CX$5:CX44)</f>
        <v>0</v>
      </c>
      <c r="DD44" s="16">
        <f>SUM(CY$5:CY44)</f>
        <v>0</v>
      </c>
      <c r="DE44" s="16">
        <f>SUM(CZ$5:CZ44)</f>
        <v>0</v>
      </c>
      <c r="DF44" s="16">
        <f>SUM(DA$5:DA44)</f>
        <v>0</v>
      </c>
      <c r="DG44" s="16">
        <f>SUM(DB$5:DB44)</f>
        <v>0</v>
      </c>
    </row>
    <row r="45" spans="4:111">
      <c r="D45" s="164" t="s">
        <v>182</v>
      </c>
      <c r="E45" s="164"/>
      <c r="F45" s="16"/>
      <c r="G45" s="16"/>
      <c r="X45" s="16">
        <v>41</v>
      </c>
      <c r="Y45" s="45">
        <f t="shared" si="16"/>
        <v>219.49152542372883</v>
      </c>
      <c r="Z45" s="24">
        <f t="shared" si="17"/>
        <v>6.8000000000000005E-2</v>
      </c>
      <c r="AA45" s="16">
        <f>$Y45*$Z45*其他调用!V44</f>
        <v>788.4395148569846</v>
      </c>
      <c r="AB45" s="16">
        <f>$Y45*$Z45*其他调用!W44</f>
        <v>1006.2383848717869</v>
      </c>
      <c r="AC45" s="16">
        <f>$Y45*$Z45*其他调用!X44</f>
        <v>1140.8800703263676</v>
      </c>
      <c r="AD45" s="16">
        <f>$Y45*$Z45*其他调用!Y44</f>
        <v>966.49964714310295</v>
      </c>
      <c r="AE45" s="16">
        <f>$Y45*$Z45*其他调用!Z44</f>
        <v>554.45087268517091</v>
      </c>
      <c r="AH45" s="16">
        <v>41</v>
      </c>
      <c r="AI45" s="16">
        <f>SUM(AA$5:AA45)</f>
        <v>8648.3229384456463</v>
      </c>
      <c r="AJ45" s="16">
        <f>SUM(AB$5:AB45)</f>
        <v>10972.936003509813</v>
      </c>
      <c r="AK45" s="16">
        <f>SUM(AC$5:AC45)</f>
        <v>12322.799363900791</v>
      </c>
      <c r="AL45" s="16">
        <f>SUM(AD$5:AD45)</f>
        <v>10364.866373876752</v>
      </c>
      <c r="AM45" s="16">
        <f>SUM(AE$5:AE45)</f>
        <v>5847.9623332716556</v>
      </c>
      <c r="AR45" s="16">
        <v>41</v>
      </c>
      <c r="AS45" s="24">
        <f t="shared" si="20"/>
        <v>6.8000000000000005E-2</v>
      </c>
      <c r="AT45" s="16">
        <f>求节点(E$28:E$34,$M$28:$M$34,$AR45)*$AS45*其他调用!V44/$E$4</f>
        <v>0</v>
      </c>
      <c r="AU45" s="16">
        <f>求节点(F$28:F$34,$M$28:$M$34,$AR45)*$AS45*其他调用!W44/$E$4</f>
        <v>0</v>
      </c>
      <c r="AV45" s="16">
        <f>求节点(G$28:G$34,$M$28:$M$34,$AR45)*$AS45*其他调用!X44/$E$4</f>
        <v>0</v>
      </c>
      <c r="AW45" s="16">
        <f>求节点(H$28:H$34,$M$28:$M$34,$AR45)*$AS45*其他调用!Y44/$E$4</f>
        <v>0</v>
      </c>
      <c r="AX45" s="16">
        <f>求节点(I$28:I$34,$M$28:$M$34,$AR45)*$AS45*其他调用!Z44/$E$4</f>
        <v>0</v>
      </c>
      <c r="AY45" s="16">
        <f>求节点(E$28:E$34,$N$28:$N$34,$AR45)*$AS45*其他调用!V44/$E$4</f>
        <v>0</v>
      </c>
      <c r="AZ45" s="16">
        <f>求节点(F$28:F$34,$N$28:$N$34,$AR45)*$AS45*其他调用!W44/$E$4</f>
        <v>0</v>
      </c>
      <c r="BA45" s="16">
        <f>求节点(G$28:G$34,$N$28:$N$34,$AR45)*$AS45*其他调用!X44/$E$4</f>
        <v>0</v>
      </c>
      <c r="BB45" s="16">
        <f>求节点(H$28:H$34,$N$28:$N$34,$AR45)*$AS45*其他调用!Y44/$E$4</f>
        <v>0</v>
      </c>
      <c r="BC45" s="16">
        <f>求节点(I$28:I$34,$N$28:$N$34,$AR45)*$AS45*其他调用!Z44/$E$4</f>
        <v>0</v>
      </c>
      <c r="BD45" s="16">
        <f>求节点(E$28:E$34,$O$28:$O$34,$AR45)*$AS45*其他调用!V44/$E$4</f>
        <v>0</v>
      </c>
      <c r="BE45" s="16">
        <f>求节点(F$28:F$34,$O$28:$O$34,$AR45)*$AS45*其他调用!W44/$E$4</f>
        <v>0</v>
      </c>
      <c r="BF45" s="16">
        <f>求节点(G$28:G$34,$O$28:$O$34,$AR45)*$AS45*其他调用!X44/$E$4</f>
        <v>0</v>
      </c>
      <c r="BG45" s="16">
        <f>求节点(H$28:H$34,$O$28:$O$34,$AR45)*$AS45*其他调用!Y44/$E$4</f>
        <v>0</v>
      </c>
      <c r="BH45" s="16">
        <f>求节点(I$28:I$34,$O$28:$O$34,$AR45)*$AS45*其他调用!Z44/$E$4</f>
        <v>0</v>
      </c>
      <c r="BK45" s="16">
        <v>41</v>
      </c>
      <c r="BL45" s="16">
        <f>SUM(AT$5:AT45)</f>
        <v>0</v>
      </c>
      <c r="BM45" s="16">
        <f>SUM(AU$5:AU45)</f>
        <v>0</v>
      </c>
      <c r="BN45" s="16">
        <f>SUM(AV$5:AV45)</f>
        <v>0</v>
      </c>
      <c r="BO45" s="16">
        <f>SUM(AW$5:AW45)</f>
        <v>0</v>
      </c>
      <c r="BP45" s="16">
        <f>SUM(AX$5:AX45)</f>
        <v>0</v>
      </c>
      <c r="BQ45" s="16">
        <f>SUM(AY$5:AY45)</f>
        <v>0</v>
      </c>
      <c r="BR45" s="16">
        <f>SUM(AZ$5:AZ45)</f>
        <v>0</v>
      </c>
      <c r="BS45" s="16">
        <f>SUM(BA$5:BA45)</f>
        <v>0</v>
      </c>
      <c r="BT45" s="16">
        <f>SUM(BB$5:BB45)</f>
        <v>0</v>
      </c>
      <c r="BU45" s="16">
        <f>SUM(BC$5:BC45)</f>
        <v>0</v>
      </c>
      <c r="BV45" s="16">
        <f>SUM(BD$5:BD45)</f>
        <v>0</v>
      </c>
      <c r="BW45" s="16">
        <f>SUM(BE$5:BE45)</f>
        <v>0</v>
      </c>
      <c r="BX45" s="16">
        <f>SUM(BF$5:BF45)</f>
        <v>0</v>
      </c>
      <c r="BY45" s="16">
        <f>SUM(BG$5:BG45)</f>
        <v>0</v>
      </c>
      <c r="BZ45" s="16">
        <f>SUM(BH$5:BH45)</f>
        <v>0</v>
      </c>
      <c r="CC45" s="16">
        <v>41</v>
      </c>
      <c r="CD45" s="16">
        <f t="shared" si="21"/>
        <v>0</v>
      </c>
      <c r="CE45" s="16">
        <f t="shared" si="22"/>
        <v>0</v>
      </c>
      <c r="CF45" s="16">
        <f t="shared" si="23"/>
        <v>0</v>
      </c>
      <c r="CG45" s="16">
        <f t="shared" si="24"/>
        <v>0</v>
      </c>
      <c r="CH45" s="16">
        <f t="shared" si="25"/>
        <v>0</v>
      </c>
      <c r="CI45" s="16">
        <f t="shared" si="26"/>
        <v>0</v>
      </c>
      <c r="CJ45" s="16">
        <f t="shared" si="27"/>
        <v>0</v>
      </c>
      <c r="CK45" s="16">
        <f t="shared" si="28"/>
        <v>0</v>
      </c>
      <c r="CL45" s="16">
        <f t="shared" si="29"/>
        <v>0</v>
      </c>
      <c r="CM45" s="16">
        <f t="shared" si="30"/>
        <v>0</v>
      </c>
      <c r="CN45" s="16">
        <f t="shared" si="31"/>
        <v>0</v>
      </c>
      <c r="CO45" s="16">
        <f t="shared" si="32"/>
        <v>0</v>
      </c>
      <c r="CP45" s="16">
        <f t="shared" si="33"/>
        <v>0</v>
      </c>
      <c r="CQ45" s="16">
        <f t="shared" si="34"/>
        <v>0</v>
      </c>
      <c r="CR45" s="16">
        <f t="shared" si="35"/>
        <v>0</v>
      </c>
      <c r="CV45" s="16">
        <v>41</v>
      </c>
      <c r="CW45" s="35">
        <f t="shared" si="18"/>
        <v>0.13200000000000001</v>
      </c>
      <c r="CX45" s="16">
        <f>其他调用!V44/$E$4*求节点(E$28:E$34,$P$28:$P$34,$CV45)*$CW45</f>
        <v>0</v>
      </c>
      <c r="CY45" s="16">
        <f>其他调用!W44/$E$4*求节点(F$28:F$34,$P$28:$P$34,$CV45)*$CW45</f>
        <v>0</v>
      </c>
      <c r="CZ45" s="16">
        <f>其他调用!X44/$E$4*求节点(G$28:G$34,$P$28:$P$34,$CV45)*$CW45</f>
        <v>0</v>
      </c>
      <c r="DA45" s="16">
        <f>其他调用!Y44/$E$4*求节点(H$28:H$34,$P$28:$P$34,$CV45)*$CW45</f>
        <v>0</v>
      </c>
      <c r="DB45" s="16">
        <f>其他调用!Z44/$E$4*求节点(I$28:I$34,$P$28:$P$34,$CV45)*$CW45</f>
        <v>0</v>
      </c>
      <c r="DC45" s="16">
        <f>SUM(CX$5:CX45)</f>
        <v>0</v>
      </c>
      <c r="DD45" s="16">
        <f>SUM(CY$5:CY45)</f>
        <v>0</v>
      </c>
      <c r="DE45" s="16">
        <f>SUM(CZ$5:CZ45)</f>
        <v>0</v>
      </c>
      <c r="DF45" s="16">
        <f>SUM(DA$5:DA45)</f>
        <v>0</v>
      </c>
      <c r="DG45" s="16">
        <f>SUM(DB$5:DB45)</f>
        <v>0</v>
      </c>
    </row>
    <row r="46" spans="4:111">
      <c r="D46" s="16"/>
      <c r="E46" s="16" t="s">
        <v>183</v>
      </c>
      <c r="F46" s="16" t="s">
        <v>184</v>
      </c>
      <c r="G46" s="16" t="s">
        <v>185</v>
      </c>
      <c r="X46" s="16">
        <v>42</v>
      </c>
      <c r="Y46" s="45">
        <f t="shared" si="16"/>
        <v>223.72881355932205</v>
      </c>
      <c r="Z46" s="24">
        <f t="shared" si="17"/>
        <v>6.8000000000000005E-2</v>
      </c>
      <c r="AA46" s="16">
        <f>$Y46*$Z46*其他调用!V45</f>
        <v>861.34184128733875</v>
      </c>
      <c r="AB46" s="16">
        <f>$Y46*$Z46*其他调用!W45</f>
        <v>1138.7827960428917</v>
      </c>
      <c r="AC46" s="16">
        <f>$Y46*$Z46*其他调用!X45</f>
        <v>1281.6779209816109</v>
      </c>
      <c r="AD46" s="16">
        <f>$Y46*$Z46*其他调用!Y45</f>
        <v>1085.1403698434408</v>
      </c>
      <c r="AE46" s="16">
        <f>$Y46*$Z46*其他调用!Z45</f>
        <v>607.75878244906153</v>
      </c>
      <c r="AH46" s="16">
        <v>42</v>
      </c>
      <c r="AI46" s="16">
        <f>SUM(AA$5:AA46)</f>
        <v>9509.6647797329842</v>
      </c>
      <c r="AJ46" s="16">
        <f>SUM(AB$5:AB46)</f>
        <v>12111.718799552704</v>
      </c>
      <c r="AK46" s="16">
        <f>SUM(AC$5:AC46)</f>
        <v>13604.477284882401</v>
      </c>
      <c r="AL46" s="16">
        <f>SUM(AD$5:AD46)</f>
        <v>11450.006743720192</v>
      </c>
      <c r="AM46" s="16">
        <f>SUM(AE$5:AE46)</f>
        <v>6455.7211157207166</v>
      </c>
      <c r="AR46" s="16">
        <v>42</v>
      </c>
      <c r="AS46" s="24">
        <f t="shared" si="20"/>
        <v>6.8000000000000005E-2</v>
      </c>
      <c r="AT46" s="16">
        <f>求节点(E$28:E$34,$M$28:$M$34,$AR46)*$AS46*其他调用!V45/$E$4</f>
        <v>0</v>
      </c>
      <c r="AU46" s="16">
        <f>求节点(F$28:F$34,$M$28:$M$34,$AR46)*$AS46*其他调用!W45/$E$4</f>
        <v>0</v>
      </c>
      <c r="AV46" s="16">
        <f>求节点(G$28:G$34,$M$28:$M$34,$AR46)*$AS46*其他调用!X45/$E$4</f>
        <v>0</v>
      </c>
      <c r="AW46" s="16">
        <f>求节点(H$28:H$34,$M$28:$M$34,$AR46)*$AS46*其他调用!Y45/$E$4</f>
        <v>0</v>
      </c>
      <c r="AX46" s="16">
        <f>求节点(I$28:I$34,$M$28:$M$34,$AR46)*$AS46*其他调用!Z45/$E$4</f>
        <v>0</v>
      </c>
      <c r="AY46" s="16">
        <f>求节点(E$28:E$34,$N$28:$N$34,$AR46)*$AS46*其他调用!V45/$E$4</f>
        <v>0</v>
      </c>
      <c r="AZ46" s="16">
        <f>求节点(F$28:F$34,$N$28:$N$34,$AR46)*$AS46*其他调用!W45/$E$4</f>
        <v>0</v>
      </c>
      <c r="BA46" s="16">
        <f>求节点(G$28:G$34,$N$28:$N$34,$AR46)*$AS46*其他调用!X45/$E$4</f>
        <v>0</v>
      </c>
      <c r="BB46" s="16">
        <f>求节点(H$28:H$34,$N$28:$N$34,$AR46)*$AS46*其他调用!Y45/$E$4</f>
        <v>0</v>
      </c>
      <c r="BC46" s="16">
        <f>求节点(I$28:I$34,$N$28:$N$34,$AR46)*$AS46*其他调用!Z45/$E$4</f>
        <v>0</v>
      </c>
      <c r="BD46" s="16">
        <f>求节点(E$28:E$34,$O$28:$O$34,$AR46)*$AS46*其他调用!V45/$E$4</f>
        <v>0</v>
      </c>
      <c r="BE46" s="16">
        <f>求节点(F$28:F$34,$O$28:$O$34,$AR46)*$AS46*其他调用!W45/$E$4</f>
        <v>0</v>
      </c>
      <c r="BF46" s="16">
        <f>求节点(G$28:G$34,$O$28:$O$34,$AR46)*$AS46*其他调用!X45/$E$4</f>
        <v>0</v>
      </c>
      <c r="BG46" s="16">
        <f>求节点(H$28:H$34,$O$28:$O$34,$AR46)*$AS46*其他调用!Y45/$E$4</f>
        <v>0</v>
      </c>
      <c r="BH46" s="16">
        <f>求节点(I$28:I$34,$O$28:$O$34,$AR46)*$AS46*其他调用!Z45/$E$4</f>
        <v>0</v>
      </c>
      <c r="BK46" s="16">
        <v>42</v>
      </c>
      <c r="BL46" s="16">
        <f>SUM(AT$5:AT46)</f>
        <v>0</v>
      </c>
      <c r="BM46" s="16">
        <f>SUM(AU$5:AU46)</f>
        <v>0</v>
      </c>
      <c r="BN46" s="16">
        <f>SUM(AV$5:AV46)</f>
        <v>0</v>
      </c>
      <c r="BO46" s="16">
        <f>SUM(AW$5:AW46)</f>
        <v>0</v>
      </c>
      <c r="BP46" s="16">
        <f>SUM(AX$5:AX46)</f>
        <v>0</v>
      </c>
      <c r="BQ46" s="16">
        <f>SUM(AY$5:AY46)</f>
        <v>0</v>
      </c>
      <c r="BR46" s="16">
        <f>SUM(AZ$5:AZ46)</f>
        <v>0</v>
      </c>
      <c r="BS46" s="16">
        <f>SUM(BA$5:BA46)</f>
        <v>0</v>
      </c>
      <c r="BT46" s="16">
        <f>SUM(BB$5:BB46)</f>
        <v>0</v>
      </c>
      <c r="BU46" s="16">
        <f>SUM(BC$5:BC46)</f>
        <v>0</v>
      </c>
      <c r="BV46" s="16">
        <f>SUM(BD$5:BD46)</f>
        <v>0</v>
      </c>
      <c r="BW46" s="16">
        <f>SUM(BE$5:BE46)</f>
        <v>0</v>
      </c>
      <c r="BX46" s="16">
        <f>SUM(BF$5:BF46)</f>
        <v>0</v>
      </c>
      <c r="BY46" s="16">
        <f>SUM(BG$5:BG46)</f>
        <v>0</v>
      </c>
      <c r="BZ46" s="16">
        <f>SUM(BH$5:BH46)</f>
        <v>0</v>
      </c>
      <c r="CC46" s="16">
        <v>42</v>
      </c>
      <c r="CD46" s="16">
        <f t="shared" si="21"/>
        <v>0</v>
      </c>
      <c r="CE46" s="16">
        <f t="shared" si="22"/>
        <v>0</v>
      </c>
      <c r="CF46" s="16">
        <f t="shared" si="23"/>
        <v>0</v>
      </c>
      <c r="CG46" s="16">
        <f t="shared" si="24"/>
        <v>0</v>
      </c>
      <c r="CH46" s="16">
        <f t="shared" si="25"/>
        <v>0</v>
      </c>
      <c r="CI46" s="16">
        <f t="shared" si="26"/>
        <v>0</v>
      </c>
      <c r="CJ46" s="16">
        <f t="shared" si="27"/>
        <v>0</v>
      </c>
      <c r="CK46" s="16">
        <f t="shared" si="28"/>
        <v>0</v>
      </c>
      <c r="CL46" s="16">
        <f t="shared" si="29"/>
        <v>0</v>
      </c>
      <c r="CM46" s="16">
        <f t="shared" si="30"/>
        <v>0</v>
      </c>
      <c r="CN46" s="16">
        <f t="shared" si="31"/>
        <v>0</v>
      </c>
      <c r="CO46" s="16">
        <f t="shared" si="32"/>
        <v>0</v>
      </c>
      <c r="CP46" s="16">
        <f t="shared" si="33"/>
        <v>0</v>
      </c>
      <c r="CQ46" s="16">
        <f t="shared" si="34"/>
        <v>0</v>
      </c>
      <c r="CR46" s="16">
        <f t="shared" si="35"/>
        <v>0</v>
      </c>
      <c r="CV46" s="16">
        <v>42</v>
      </c>
      <c r="CW46" s="35">
        <f t="shared" si="18"/>
        <v>0.13200000000000001</v>
      </c>
      <c r="CX46" s="16">
        <f>其他调用!V45/$E$4*求节点(E$28:E$34,$P$28:$P$34,$CV46)*$CW46</f>
        <v>0</v>
      </c>
      <c r="CY46" s="16">
        <f>其他调用!W45/$E$4*求节点(F$28:F$34,$P$28:$P$34,$CV46)*$CW46</f>
        <v>0</v>
      </c>
      <c r="CZ46" s="16">
        <f>其他调用!X45/$E$4*求节点(G$28:G$34,$P$28:$P$34,$CV46)*$CW46</f>
        <v>0</v>
      </c>
      <c r="DA46" s="16">
        <f>其他调用!Y45/$E$4*求节点(H$28:H$34,$P$28:$P$34,$CV46)*$CW46</f>
        <v>0</v>
      </c>
      <c r="DB46" s="16">
        <f>其他调用!Z45/$E$4*求节点(I$28:I$34,$P$28:$P$34,$CV46)*$CW46</f>
        <v>0</v>
      </c>
      <c r="DC46" s="16">
        <f>SUM(CX$5:CX46)</f>
        <v>0</v>
      </c>
      <c r="DD46" s="16">
        <f>SUM(CY$5:CY46)</f>
        <v>0</v>
      </c>
      <c r="DE46" s="16">
        <f>SUM(CZ$5:CZ46)</f>
        <v>0</v>
      </c>
      <c r="DF46" s="16">
        <f>SUM(DA$5:DA46)</f>
        <v>0</v>
      </c>
      <c r="DG46" s="16">
        <f>SUM(DB$5:DB46)</f>
        <v>0</v>
      </c>
    </row>
    <row r="47" spans="4:111">
      <c r="D47" s="55" t="s">
        <v>186</v>
      </c>
      <c r="E47" s="26">
        <f>'[1]功能-行军令'!AD15</f>
        <v>0.3</v>
      </c>
      <c r="F47" s="26">
        <f>'[1]功能-行军令'!AE15</f>
        <v>0.5</v>
      </c>
      <c r="G47" s="26">
        <f>'[1]功能-行军令'!AF15</f>
        <v>1.6666666666666667</v>
      </c>
      <c r="X47" s="16">
        <v>43</v>
      </c>
      <c r="Y47" s="45">
        <f t="shared" si="16"/>
        <v>227.96610169491527</v>
      </c>
      <c r="Z47" s="24">
        <f t="shared" si="17"/>
        <v>6.8000000000000005E-2</v>
      </c>
      <c r="AA47" s="16">
        <f>$Y47*$Z47*其他调用!V46</f>
        <v>940.64748159694307</v>
      </c>
      <c r="AB47" s="16">
        <f>$Y47*$Z47*其他调用!W46</f>
        <v>1200.7802784585094</v>
      </c>
      <c r="AC47" s="16">
        <f>$Y47*$Z47*其他调用!X46</f>
        <v>1356.7193132851185</v>
      </c>
      <c r="AD47" s="16">
        <f>$Y47*$Z47*其他调用!Y46</f>
        <v>1114.8555031565638</v>
      </c>
      <c r="AE47" s="16">
        <f>$Y47*$Z47*其他调用!Z46</f>
        <v>624.14013927215956</v>
      </c>
      <c r="AH47" s="16">
        <v>43</v>
      </c>
      <c r="AI47" s="16">
        <f>SUM(AA$5:AA47)</f>
        <v>10450.312261329927</v>
      </c>
      <c r="AJ47" s="16">
        <f>SUM(AB$5:AB47)</f>
        <v>13312.499078011213</v>
      </c>
      <c r="AK47" s="16">
        <f>SUM(AC$5:AC47)</f>
        <v>14961.19659816752</v>
      </c>
      <c r="AL47" s="16">
        <f>SUM(AD$5:AD47)</f>
        <v>12564.862246876757</v>
      </c>
      <c r="AM47" s="16">
        <f>SUM(AE$5:AE47)</f>
        <v>7079.8612549928766</v>
      </c>
      <c r="AR47" s="16">
        <v>43</v>
      </c>
      <c r="AS47" s="24">
        <f t="shared" si="20"/>
        <v>6.8000000000000005E-2</v>
      </c>
      <c r="AT47" s="16">
        <f>求节点(E$28:E$34,$M$28:$M$34,$AR47)*$AS47*其他调用!V46/$E$4</f>
        <v>0</v>
      </c>
      <c r="AU47" s="16">
        <f>求节点(F$28:F$34,$M$28:$M$34,$AR47)*$AS47*其他调用!W46/$E$4</f>
        <v>0</v>
      </c>
      <c r="AV47" s="16">
        <f>求节点(G$28:G$34,$M$28:$M$34,$AR47)*$AS47*其他调用!X46/$E$4</f>
        <v>0</v>
      </c>
      <c r="AW47" s="16">
        <f>求节点(H$28:H$34,$M$28:$M$34,$AR47)*$AS47*其他调用!Y46/$E$4</f>
        <v>0</v>
      </c>
      <c r="AX47" s="16">
        <f>求节点(I$28:I$34,$M$28:$M$34,$AR47)*$AS47*其他调用!Z46/$E$4</f>
        <v>0</v>
      </c>
      <c r="AY47" s="16">
        <f>求节点(E$28:E$34,$N$28:$N$34,$AR47)*$AS47*其他调用!V46/$E$4</f>
        <v>0</v>
      </c>
      <c r="AZ47" s="16">
        <f>求节点(F$28:F$34,$N$28:$N$34,$AR47)*$AS47*其他调用!W46/$E$4</f>
        <v>0</v>
      </c>
      <c r="BA47" s="16">
        <f>求节点(G$28:G$34,$N$28:$N$34,$AR47)*$AS47*其他调用!X46/$E$4</f>
        <v>0</v>
      </c>
      <c r="BB47" s="16">
        <f>求节点(H$28:H$34,$N$28:$N$34,$AR47)*$AS47*其他调用!Y46/$E$4</f>
        <v>0</v>
      </c>
      <c r="BC47" s="16">
        <f>求节点(I$28:I$34,$N$28:$N$34,$AR47)*$AS47*其他调用!Z46/$E$4</f>
        <v>0</v>
      </c>
      <c r="BD47" s="16">
        <f>求节点(E$28:E$34,$O$28:$O$34,$AR47)*$AS47*其他调用!V46/$E$4</f>
        <v>0</v>
      </c>
      <c r="BE47" s="16">
        <f>求节点(F$28:F$34,$O$28:$O$34,$AR47)*$AS47*其他调用!W46/$E$4</f>
        <v>0</v>
      </c>
      <c r="BF47" s="16">
        <f>求节点(G$28:G$34,$O$28:$O$34,$AR47)*$AS47*其他调用!X46/$E$4</f>
        <v>0</v>
      </c>
      <c r="BG47" s="16">
        <f>求节点(H$28:H$34,$O$28:$O$34,$AR47)*$AS47*其他调用!Y46/$E$4</f>
        <v>0</v>
      </c>
      <c r="BH47" s="16">
        <f>求节点(I$28:I$34,$O$28:$O$34,$AR47)*$AS47*其他调用!Z46/$E$4</f>
        <v>0</v>
      </c>
      <c r="BK47" s="16">
        <v>43</v>
      </c>
      <c r="BL47" s="16">
        <f>SUM(AT$5:AT47)</f>
        <v>0</v>
      </c>
      <c r="BM47" s="16">
        <f>SUM(AU$5:AU47)</f>
        <v>0</v>
      </c>
      <c r="BN47" s="16">
        <f>SUM(AV$5:AV47)</f>
        <v>0</v>
      </c>
      <c r="BO47" s="16">
        <f>SUM(AW$5:AW47)</f>
        <v>0</v>
      </c>
      <c r="BP47" s="16">
        <f>SUM(AX$5:AX47)</f>
        <v>0</v>
      </c>
      <c r="BQ47" s="16">
        <f>SUM(AY$5:AY47)</f>
        <v>0</v>
      </c>
      <c r="BR47" s="16">
        <f>SUM(AZ$5:AZ47)</f>
        <v>0</v>
      </c>
      <c r="BS47" s="16">
        <f>SUM(BA$5:BA47)</f>
        <v>0</v>
      </c>
      <c r="BT47" s="16">
        <f>SUM(BB$5:BB47)</f>
        <v>0</v>
      </c>
      <c r="BU47" s="16">
        <f>SUM(BC$5:BC47)</f>
        <v>0</v>
      </c>
      <c r="BV47" s="16">
        <f>SUM(BD$5:BD47)</f>
        <v>0</v>
      </c>
      <c r="BW47" s="16">
        <f>SUM(BE$5:BE47)</f>
        <v>0</v>
      </c>
      <c r="BX47" s="16">
        <f>SUM(BF$5:BF47)</f>
        <v>0</v>
      </c>
      <c r="BY47" s="16">
        <f>SUM(BG$5:BG47)</f>
        <v>0</v>
      </c>
      <c r="BZ47" s="16">
        <f>SUM(BH$5:BH47)</f>
        <v>0</v>
      </c>
      <c r="CC47" s="16">
        <v>43</v>
      </c>
      <c r="CD47" s="16">
        <f t="shared" si="21"/>
        <v>0</v>
      </c>
      <c r="CE47" s="16">
        <f t="shared" si="22"/>
        <v>0</v>
      </c>
      <c r="CF47" s="16">
        <f t="shared" si="23"/>
        <v>0</v>
      </c>
      <c r="CG47" s="16">
        <f t="shared" si="24"/>
        <v>0</v>
      </c>
      <c r="CH47" s="16">
        <f t="shared" si="25"/>
        <v>0</v>
      </c>
      <c r="CI47" s="16">
        <f t="shared" si="26"/>
        <v>0</v>
      </c>
      <c r="CJ47" s="16">
        <f t="shared" si="27"/>
        <v>0</v>
      </c>
      <c r="CK47" s="16">
        <f t="shared" si="28"/>
        <v>0</v>
      </c>
      <c r="CL47" s="16">
        <f t="shared" si="29"/>
        <v>0</v>
      </c>
      <c r="CM47" s="16">
        <f t="shared" si="30"/>
        <v>0</v>
      </c>
      <c r="CN47" s="16">
        <f t="shared" si="31"/>
        <v>0</v>
      </c>
      <c r="CO47" s="16">
        <f t="shared" si="32"/>
        <v>0</v>
      </c>
      <c r="CP47" s="16">
        <f t="shared" si="33"/>
        <v>0</v>
      </c>
      <c r="CQ47" s="16">
        <f t="shared" si="34"/>
        <v>0</v>
      </c>
      <c r="CR47" s="16">
        <f t="shared" si="35"/>
        <v>0</v>
      </c>
      <c r="CV47" s="16">
        <v>43</v>
      </c>
      <c r="CW47" s="35">
        <f t="shared" si="18"/>
        <v>0.13200000000000001</v>
      </c>
      <c r="CX47" s="16">
        <f>其他调用!V46/$E$4*求节点(E$28:E$34,$P$28:$P$34,$CV47)*$CW47</f>
        <v>0</v>
      </c>
      <c r="CY47" s="16">
        <f>其他调用!W46/$E$4*求节点(F$28:F$34,$P$28:$P$34,$CV47)*$CW47</f>
        <v>0</v>
      </c>
      <c r="CZ47" s="16">
        <f>其他调用!X46/$E$4*求节点(G$28:G$34,$P$28:$P$34,$CV47)*$CW47</f>
        <v>0</v>
      </c>
      <c r="DA47" s="16">
        <f>其他调用!Y46/$E$4*求节点(H$28:H$34,$P$28:$P$34,$CV47)*$CW47</f>
        <v>0</v>
      </c>
      <c r="DB47" s="16">
        <f>其他调用!Z46/$E$4*求节点(I$28:I$34,$P$28:$P$34,$CV47)*$CW47</f>
        <v>0</v>
      </c>
      <c r="DC47" s="16">
        <f>SUM(CX$5:CX47)</f>
        <v>0</v>
      </c>
      <c r="DD47" s="16">
        <f>SUM(CY$5:CY47)</f>
        <v>0</v>
      </c>
      <c r="DE47" s="16">
        <f>SUM(CZ$5:CZ47)</f>
        <v>0</v>
      </c>
      <c r="DF47" s="16">
        <f>SUM(DA$5:DA47)</f>
        <v>0</v>
      </c>
      <c r="DG47" s="16">
        <f>SUM(DB$5:DB47)</f>
        <v>0</v>
      </c>
    </row>
    <row r="48" spans="4:111">
      <c r="D48" s="48" t="s">
        <v>187</v>
      </c>
      <c r="E48" s="25">
        <f>'[1]功能-行军令'!AD16</f>
        <v>0.2</v>
      </c>
      <c r="F48" s="25">
        <f>'[1]功能-行军令'!AE16</f>
        <v>0.2</v>
      </c>
      <c r="G48" s="25">
        <f>'[1]功能-行军令'!AF16</f>
        <v>1</v>
      </c>
      <c r="I48" s="16"/>
      <c r="J48" s="16"/>
      <c r="K48" s="16"/>
      <c r="X48" s="16">
        <v>44</v>
      </c>
      <c r="Y48" s="45">
        <f t="shared" si="16"/>
        <v>232.20338983050848</v>
      </c>
      <c r="Z48" s="24">
        <f t="shared" si="17"/>
        <v>6.8000000000000005E-2</v>
      </c>
      <c r="AA48" s="16">
        <f>$Y48*$Z48*其他调用!V47</f>
        <v>1026.9000605775163</v>
      </c>
      <c r="AB48" s="16">
        <f>$Y48*$Z48*其他调用!W47</f>
        <v>1306.9446366627496</v>
      </c>
      <c r="AC48" s="16">
        <f>$Y48*$Z48*其他调用!X47</f>
        <v>1453.2922577358454</v>
      </c>
      <c r="AD48" s="16">
        <f>$Y48*$Z48*其他调用!Y47</f>
        <v>1215.8740235982423</v>
      </c>
      <c r="AE48" s="16">
        <f>$Y48*$Z48*其他调用!Z47</f>
        <v>673.86228991226085</v>
      </c>
      <c r="AH48" s="16">
        <v>44</v>
      </c>
      <c r="AI48" s="16">
        <f>SUM(AA$5:AA48)</f>
        <v>11477.212321907444</v>
      </c>
      <c r="AJ48" s="16">
        <f>SUM(AB$5:AB48)</f>
        <v>14619.443714673962</v>
      </c>
      <c r="AK48" s="16">
        <f>SUM(AC$5:AC48)</f>
        <v>16414.488855903364</v>
      </c>
      <c r="AL48" s="16">
        <f>SUM(AD$5:AD48)</f>
        <v>13780.736270474999</v>
      </c>
      <c r="AM48" s="16">
        <f>SUM(AE$5:AE48)</f>
        <v>7753.7235449051377</v>
      </c>
      <c r="AR48" s="16">
        <v>44</v>
      </c>
      <c r="AS48" s="24">
        <f t="shared" si="20"/>
        <v>6.8000000000000005E-2</v>
      </c>
      <c r="AT48" s="16">
        <f>求节点(E$28:E$34,$M$28:$M$34,$AR48)*$AS48*其他调用!V47/$E$4</f>
        <v>0</v>
      </c>
      <c r="AU48" s="16">
        <f>求节点(F$28:F$34,$M$28:$M$34,$AR48)*$AS48*其他调用!W47/$E$4</f>
        <v>0</v>
      </c>
      <c r="AV48" s="16">
        <f>求节点(G$28:G$34,$M$28:$M$34,$AR48)*$AS48*其他调用!X47/$E$4</f>
        <v>0</v>
      </c>
      <c r="AW48" s="16">
        <f>求节点(H$28:H$34,$M$28:$M$34,$AR48)*$AS48*其他调用!Y47/$E$4</f>
        <v>0</v>
      </c>
      <c r="AX48" s="16">
        <f>求节点(I$28:I$34,$M$28:$M$34,$AR48)*$AS48*其他调用!Z47/$E$4</f>
        <v>0</v>
      </c>
      <c r="AY48" s="16">
        <f>求节点(E$28:E$34,$N$28:$N$34,$AR48)*$AS48*其他调用!V47/$E$4</f>
        <v>0</v>
      </c>
      <c r="AZ48" s="16">
        <f>求节点(F$28:F$34,$N$28:$N$34,$AR48)*$AS48*其他调用!W47/$E$4</f>
        <v>0</v>
      </c>
      <c r="BA48" s="16">
        <f>求节点(G$28:G$34,$N$28:$N$34,$AR48)*$AS48*其他调用!X47/$E$4</f>
        <v>0</v>
      </c>
      <c r="BB48" s="16">
        <f>求节点(H$28:H$34,$N$28:$N$34,$AR48)*$AS48*其他调用!Y47/$E$4</f>
        <v>0</v>
      </c>
      <c r="BC48" s="16">
        <f>求节点(I$28:I$34,$N$28:$N$34,$AR48)*$AS48*其他调用!Z47/$E$4</f>
        <v>0</v>
      </c>
      <c r="BD48" s="16">
        <f>求节点(E$28:E$34,$O$28:$O$34,$AR48)*$AS48*其他调用!V47/$E$4</f>
        <v>0</v>
      </c>
      <c r="BE48" s="16">
        <f>求节点(F$28:F$34,$O$28:$O$34,$AR48)*$AS48*其他调用!W47/$E$4</f>
        <v>0</v>
      </c>
      <c r="BF48" s="16">
        <f>求节点(G$28:G$34,$O$28:$O$34,$AR48)*$AS48*其他调用!X47/$E$4</f>
        <v>0</v>
      </c>
      <c r="BG48" s="16">
        <f>求节点(H$28:H$34,$O$28:$O$34,$AR48)*$AS48*其他调用!Y47/$E$4</f>
        <v>0</v>
      </c>
      <c r="BH48" s="16">
        <f>求节点(I$28:I$34,$O$28:$O$34,$AR48)*$AS48*其他调用!Z47/$E$4</f>
        <v>0</v>
      </c>
      <c r="BK48" s="16">
        <v>44</v>
      </c>
      <c r="BL48" s="16">
        <f>SUM(AT$5:AT48)</f>
        <v>0</v>
      </c>
      <c r="BM48" s="16">
        <f>SUM(AU$5:AU48)</f>
        <v>0</v>
      </c>
      <c r="BN48" s="16">
        <f>SUM(AV$5:AV48)</f>
        <v>0</v>
      </c>
      <c r="BO48" s="16">
        <f>SUM(AW$5:AW48)</f>
        <v>0</v>
      </c>
      <c r="BP48" s="16">
        <f>SUM(AX$5:AX48)</f>
        <v>0</v>
      </c>
      <c r="BQ48" s="16">
        <f>SUM(AY$5:AY48)</f>
        <v>0</v>
      </c>
      <c r="BR48" s="16">
        <f>SUM(AZ$5:AZ48)</f>
        <v>0</v>
      </c>
      <c r="BS48" s="16">
        <f>SUM(BA$5:BA48)</f>
        <v>0</v>
      </c>
      <c r="BT48" s="16">
        <f>SUM(BB$5:BB48)</f>
        <v>0</v>
      </c>
      <c r="BU48" s="16">
        <f>SUM(BC$5:BC48)</f>
        <v>0</v>
      </c>
      <c r="BV48" s="16">
        <f>SUM(BD$5:BD48)</f>
        <v>0</v>
      </c>
      <c r="BW48" s="16">
        <f>SUM(BE$5:BE48)</f>
        <v>0</v>
      </c>
      <c r="BX48" s="16">
        <f>SUM(BF$5:BF48)</f>
        <v>0</v>
      </c>
      <c r="BY48" s="16">
        <f>SUM(BG$5:BG48)</f>
        <v>0</v>
      </c>
      <c r="BZ48" s="16">
        <f>SUM(BH$5:BH48)</f>
        <v>0</v>
      </c>
      <c r="CC48" s="16">
        <v>44</v>
      </c>
      <c r="CD48" s="16">
        <f t="shared" si="21"/>
        <v>0</v>
      </c>
      <c r="CE48" s="16">
        <f t="shared" si="22"/>
        <v>0</v>
      </c>
      <c r="CF48" s="16">
        <f t="shared" si="23"/>
        <v>0</v>
      </c>
      <c r="CG48" s="16">
        <f t="shared" si="24"/>
        <v>0</v>
      </c>
      <c r="CH48" s="16">
        <f t="shared" si="25"/>
        <v>0</v>
      </c>
      <c r="CI48" s="16">
        <f t="shared" si="26"/>
        <v>0</v>
      </c>
      <c r="CJ48" s="16">
        <f t="shared" si="27"/>
        <v>0</v>
      </c>
      <c r="CK48" s="16">
        <f t="shared" si="28"/>
        <v>0</v>
      </c>
      <c r="CL48" s="16">
        <f t="shared" si="29"/>
        <v>0</v>
      </c>
      <c r="CM48" s="16">
        <f t="shared" si="30"/>
        <v>0</v>
      </c>
      <c r="CN48" s="16">
        <f t="shared" si="31"/>
        <v>0</v>
      </c>
      <c r="CO48" s="16">
        <f t="shared" si="32"/>
        <v>0</v>
      </c>
      <c r="CP48" s="16">
        <f t="shared" si="33"/>
        <v>0</v>
      </c>
      <c r="CQ48" s="16">
        <f t="shared" si="34"/>
        <v>0</v>
      </c>
      <c r="CR48" s="16">
        <f t="shared" si="35"/>
        <v>0</v>
      </c>
      <c r="CV48" s="16">
        <v>44</v>
      </c>
      <c r="CW48" s="35">
        <f t="shared" si="18"/>
        <v>0.13200000000000001</v>
      </c>
      <c r="CX48" s="16">
        <f>其他调用!V47/$E$4*求节点(E$28:E$34,$P$28:$P$34,$CV48)*$CW48</f>
        <v>0</v>
      </c>
      <c r="CY48" s="16">
        <f>其他调用!W47/$E$4*求节点(F$28:F$34,$P$28:$P$34,$CV48)*$CW48</f>
        <v>0</v>
      </c>
      <c r="CZ48" s="16">
        <f>其他调用!X47/$E$4*求节点(G$28:G$34,$P$28:$P$34,$CV48)*$CW48</f>
        <v>0</v>
      </c>
      <c r="DA48" s="16">
        <f>其他调用!Y47/$E$4*求节点(H$28:H$34,$P$28:$P$34,$CV48)*$CW48</f>
        <v>0</v>
      </c>
      <c r="DB48" s="16">
        <f>其他调用!Z47/$E$4*求节点(I$28:I$34,$P$28:$P$34,$CV48)*$CW48</f>
        <v>0</v>
      </c>
      <c r="DC48" s="16">
        <f>SUM(CX$5:CX48)</f>
        <v>0</v>
      </c>
      <c r="DD48" s="16">
        <f>SUM(CY$5:CY48)</f>
        <v>0</v>
      </c>
      <c r="DE48" s="16">
        <f>SUM(CZ$5:CZ48)</f>
        <v>0</v>
      </c>
      <c r="DF48" s="16">
        <f>SUM(DA$5:DA48)</f>
        <v>0</v>
      </c>
      <c r="DG48" s="16">
        <f>SUM(DB$5:DB48)</f>
        <v>0</v>
      </c>
    </row>
    <row r="49" spans="2:111">
      <c r="D49" s="48" t="s">
        <v>345</v>
      </c>
      <c r="E49" s="46">
        <f>$D$15/SUM($D$15:$K$15)*$K$19</f>
        <v>0.13200000000000001</v>
      </c>
      <c r="F49" s="46">
        <f>E49/$K$19</f>
        <v>0.33</v>
      </c>
      <c r="G49" s="46">
        <f>F49/E49</f>
        <v>2.5</v>
      </c>
      <c r="X49" s="16">
        <v>45</v>
      </c>
      <c r="Y49" s="45">
        <f t="shared" si="16"/>
        <v>236.4406779661017</v>
      </c>
      <c r="Z49" s="24">
        <f t="shared" si="17"/>
        <v>6.8000000000000005E-2</v>
      </c>
      <c r="AA49" s="16">
        <f>$Y49*$Z49*其他调用!V48</f>
        <v>1120.6882524652797</v>
      </c>
      <c r="AB49" s="16">
        <f>$Y49*$Z49*其他调用!W48</f>
        <v>1428.6394407061177</v>
      </c>
      <c r="AC49" s="16">
        <f>$Y49*$Z49*其他调用!X48</f>
        <v>1584.8624216338753</v>
      </c>
      <c r="AD49" s="16">
        <f>$Y49*$Z49*其他调用!Y48</f>
        <v>1332.7704862482726</v>
      </c>
      <c r="AE49" s="16">
        <f>$Y49*$Z49*其他调用!Z48</f>
        <v>737.41168818943117</v>
      </c>
      <c r="AH49" s="16">
        <v>45</v>
      </c>
      <c r="AI49" s="16">
        <f>SUM(AA$5:AA49)</f>
        <v>12597.900574372723</v>
      </c>
      <c r="AJ49" s="16">
        <f>SUM(AB$5:AB49)</f>
        <v>16048.08315538008</v>
      </c>
      <c r="AK49" s="16">
        <f>SUM(AC$5:AC49)</f>
        <v>17999.35127753724</v>
      </c>
      <c r="AL49" s="16">
        <f>SUM(AD$5:AD49)</f>
        <v>15113.506756723273</v>
      </c>
      <c r="AM49" s="16">
        <f>SUM(AE$5:AE49)</f>
        <v>8491.1352330945683</v>
      </c>
      <c r="AR49" s="16">
        <v>45</v>
      </c>
      <c r="AS49" s="24">
        <f t="shared" si="20"/>
        <v>6.8000000000000005E-2</v>
      </c>
      <c r="AT49" s="16">
        <f>求节点(E$28:E$34,$M$28:$M$34,$AR49)*$AS49*其他调用!V48/$E$4</f>
        <v>0</v>
      </c>
      <c r="AU49" s="16">
        <f>求节点(F$28:F$34,$M$28:$M$34,$AR49)*$AS49*其他调用!W48/$E$4</f>
        <v>0</v>
      </c>
      <c r="AV49" s="16">
        <f>求节点(G$28:G$34,$M$28:$M$34,$AR49)*$AS49*其他调用!X48/$E$4</f>
        <v>0</v>
      </c>
      <c r="AW49" s="16">
        <f>求节点(H$28:H$34,$M$28:$M$34,$AR49)*$AS49*其他调用!Y48/$E$4</f>
        <v>0</v>
      </c>
      <c r="AX49" s="16">
        <f>求节点(I$28:I$34,$M$28:$M$34,$AR49)*$AS49*其他调用!Z48/$E$4</f>
        <v>0</v>
      </c>
      <c r="AY49" s="16">
        <f>求节点(E$28:E$34,$N$28:$N$34,$AR49)*$AS49*其他调用!V48/$E$4</f>
        <v>0</v>
      </c>
      <c r="AZ49" s="16">
        <f>求节点(F$28:F$34,$N$28:$N$34,$AR49)*$AS49*其他调用!W48/$E$4</f>
        <v>0</v>
      </c>
      <c r="BA49" s="16">
        <f>求节点(G$28:G$34,$N$28:$N$34,$AR49)*$AS49*其他调用!X48/$E$4</f>
        <v>0</v>
      </c>
      <c r="BB49" s="16">
        <f>求节点(H$28:H$34,$N$28:$N$34,$AR49)*$AS49*其他调用!Y48/$E$4</f>
        <v>0</v>
      </c>
      <c r="BC49" s="16">
        <f>求节点(I$28:I$34,$N$28:$N$34,$AR49)*$AS49*其他调用!Z48/$E$4</f>
        <v>0</v>
      </c>
      <c r="BD49" s="16">
        <f>求节点(E$28:E$34,$O$28:$O$34,$AR49)*$AS49*其他调用!V48/$E$4</f>
        <v>0</v>
      </c>
      <c r="BE49" s="16">
        <f>求节点(F$28:F$34,$O$28:$O$34,$AR49)*$AS49*其他调用!W48/$E$4</f>
        <v>0</v>
      </c>
      <c r="BF49" s="16">
        <f>求节点(G$28:G$34,$O$28:$O$34,$AR49)*$AS49*其他调用!X48/$E$4</f>
        <v>0</v>
      </c>
      <c r="BG49" s="16">
        <f>求节点(H$28:H$34,$O$28:$O$34,$AR49)*$AS49*其他调用!Y48/$E$4</f>
        <v>0</v>
      </c>
      <c r="BH49" s="16">
        <f>求节点(I$28:I$34,$O$28:$O$34,$AR49)*$AS49*其他调用!Z48/$E$4</f>
        <v>0</v>
      </c>
      <c r="BK49" s="16">
        <v>45</v>
      </c>
      <c r="BL49" s="16">
        <f>SUM(AT$5:AT49)</f>
        <v>0</v>
      </c>
      <c r="BM49" s="16">
        <f>SUM(AU$5:AU49)</f>
        <v>0</v>
      </c>
      <c r="BN49" s="16">
        <f>SUM(AV$5:AV49)</f>
        <v>0</v>
      </c>
      <c r="BO49" s="16">
        <f>SUM(AW$5:AW49)</f>
        <v>0</v>
      </c>
      <c r="BP49" s="16">
        <f>SUM(AX$5:AX49)</f>
        <v>0</v>
      </c>
      <c r="BQ49" s="16">
        <f>SUM(AY$5:AY49)</f>
        <v>0</v>
      </c>
      <c r="BR49" s="16">
        <f>SUM(AZ$5:AZ49)</f>
        <v>0</v>
      </c>
      <c r="BS49" s="16">
        <f>SUM(BA$5:BA49)</f>
        <v>0</v>
      </c>
      <c r="BT49" s="16">
        <f>SUM(BB$5:BB49)</f>
        <v>0</v>
      </c>
      <c r="BU49" s="16">
        <f>SUM(BC$5:BC49)</f>
        <v>0</v>
      </c>
      <c r="BV49" s="16">
        <f>SUM(BD$5:BD49)</f>
        <v>0</v>
      </c>
      <c r="BW49" s="16">
        <f>SUM(BE$5:BE49)</f>
        <v>0</v>
      </c>
      <c r="BX49" s="16">
        <f>SUM(BF$5:BF49)</f>
        <v>0</v>
      </c>
      <c r="BY49" s="16">
        <f>SUM(BG$5:BG49)</f>
        <v>0</v>
      </c>
      <c r="BZ49" s="16">
        <f>SUM(BH$5:BH49)</f>
        <v>0</v>
      </c>
      <c r="CC49" s="16">
        <v>45</v>
      </c>
      <c r="CD49" s="16">
        <f t="shared" si="21"/>
        <v>0</v>
      </c>
      <c r="CE49" s="16">
        <f t="shared" si="22"/>
        <v>0</v>
      </c>
      <c r="CF49" s="16">
        <f t="shared" si="23"/>
        <v>0</v>
      </c>
      <c r="CG49" s="16">
        <f t="shared" si="24"/>
        <v>0</v>
      </c>
      <c r="CH49" s="16">
        <f t="shared" si="25"/>
        <v>0</v>
      </c>
      <c r="CI49" s="16">
        <f t="shared" si="26"/>
        <v>0</v>
      </c>
      <c r="CJ49" s="16">
        <f t="shared" si="27"/>
        <v>0</v>
      </c>
      <c r="CK49" s="16">
        <f t="shared" si="28"/>
        <v>0</v>
      </c>
      <c r="CL49" s="16">
        <f t="shared" si="29"/>
        <v>0</v>
      </c>
      <c r="CM49" s="16">
        <f t="shared" si="30"/>
        <v>0</v>
      </c>
      <c r="CN49" s="16">
        <f t="shared" si="31"/>
        <v>0</v>
      </c>
      <c r="CO49" s="16">
        <f t="shared" si="32"/>
        <v>0</v>
      </c>
      <c r="CP49" s="16">
        <f t="shared" si="33"/>
        <v>0</v>
      </c>
      <c r="CQ49" s="16">
        <f t="shared" si="34"/>
        <v>0</v>
      </c>
      <c r="CR49" s="16">
        <f t="shared" si="35"/>
        <v>0</v>
      </c>
      <c r="CV49" s="16">
        <v>45</v>
      </c>
      <c r="CW49" s="35">
        <f t="shared" si="18"/>
        <v>0.13200000000000001</v>
      </c>
      <c r="CX49" s="16">
        <f>其他调用!V48/$E$4*求节点(E$28:E$34,$P$28:$P$34,$CV49)*$CW49</f>
        <v>0</v>
      </c>
      <c r="CY49" s="16">
        <f>其他调用!W48/$E$4*求节点(F$28:F$34,$P$28:$P$34,$CV49)*$CW49</f>
        <v>0</v>
      </c>
      <c r="CZ49" s="16">
        <f>其他调用!X48/$E$4*求节点(G$28:G$34,$P$28:$P$34,$CV49)*$CW49</f>
        <v>0</v>
      </c>
      <c r="DA49" s="16">
        <f>其他调用!Y48/$E$4*求节点(H$28:H$34,$P$28:$P$34,$CV49)*$CW49</f>
        <v>0</v>
      </c>
      <c r="DB49" s="16">
        <f>其他调用!Z48/$E$4*求节点(I$28:I$34,$P$28:$P$34,$CV49)*$CW49</f>
        <v>0</v>
      </c>
      <c r="DC49" s="16">
        <f>SUM(CX$5:CX49)</f>
        <v>0</v>
      </c>
      <c r="DD49" s="16">
        <f>SUM(CY$5:CY49)</f>
        <v>0</v>
      </c>
      <c r="DE49" s="16">
        <f>SUM(CZ$5:CZ49)</f>
        <v>0</v>
      </c>
      <c r="DF49" s="16">
        <f>SUM(DA$5:DA49)</f>
        <v>0</v>
      </c>
      <c r="DG49" s="16">
        <f>SUM(DB$5:DB49)</f>
        <v>0</v>
      </c>
    </row>
    <row r="50" spans="2:111">
      <c r="D50" s="48" t="s">
        <v>432</v>
      </c>
      <c r="E50" s="46">
        <f>$E$15/SUM($D$15:$K$15)*$K$19</f>
        <v>6.8000000000000005E-2</v>
      </c>
      <c r="F50" s="46">
        <f>E50/$K$19</f>
        <v>0.17</v>
      </c>
      <c r="G50" s="46">
        <f>F50/E50</f>
        <v>2.5</v>
      </c>
      <c r="X50" s="16">
        <v>46</v>
      </c>
      <c r="Y50" s="45">
        <f t="shared" si="16"/>
        <v>240.67796610169492</v>
      </c>
      <c r="Z50" s="24">
        <f t="shared" si="17"/>
        <v>6.8000000000000005E-2</v>
      </c>
      <c r="AA50" s="16">
        <f>$Y50*$Z50*其他调用!V49</f>
        <v>1222.6494472051647</v>
      </c>
      <c r="AB50" s="16">
        <f>$Y50*$Z50*其他调用!W49</f>
        <v>1546.0563041821258</v>
      </c>
      <c r="AC50" s="16">
        <f>$Y50*$Z50*其他调用!X49</f>
        <v>1717.4031522482508</v>
      </c>
      <c r="AD50" s="16">
        <f>$Y50*$Z50*其他调用!Y49</f>
        <v>1437.4914327097035</v>
      </c>
      <c r="AE50" s="16">
        <f>$Y50*$Z50*其他调用!Z49</f>
        <v>767.79704389934659</v>
      </c>
      <c r="AH50" s="16">
        <v>46</v>
      </c>
      <c r="AI50" s="16">
        <f>SUM(AA$5:AA50)</f>
        <v>13820.550021577888</v>
      </c>
      <c r="AJ50" s="16">
        <f>SUM(AB$5:AB50)</f>
        <v>17594.139459562204</v>
      </c>
      <c r="AK50" s="16">
        <f>SUM(AC$5:AC50)</f>
        <v>19716.754429785491</v>
      </c>
      <c r="AL50" s="16">
        <f>SUM(AD$5:AD50)</f>
        <v>16550.998189432976</v>
      </c>
      <c r="AM50" s="16">
        <f>SUM(AE$5:AE50)</f>
        <v>9258.9322769939154</v>
      </c>
      <c r="AR50" s="16">
        <v>46</v>
      </c>
      <c r="AS50" s="24">
        <f t="shared" si="20"/>
        <v>6.8000000000000005E-2</v>
      </c>
      <c r="AT50" s="16">
        <f>求节点(E$28:E$34,$M$28:$M$34,$AR50)*$AS50*其他调用!V49/$E$4</f>
        <v>0</v>
      </c>
      <c r="AU50" s="16">
        <f>求节点(F$28:F$34,$M$28:$M$34,$AR50)*$AS50*其他调用!W49/$E$4</f>
        <v>0</v>
      </c>
      <c r="AV50" s="16">
        <f>求节点(G$28:G$34,$M$28:$M$34,$AR50)*$AS50*其他调用!X49/$E$4</f>
        <v>0</v>
      </c>
      <c r="AW50" s="16">
        <f>求节点(H$28:H$34,$M$28:$M$34,$AR50)*$AS50*其他调用!Y49/$E$4</f>
        <v>0</v>
      </c>
      <c r="AX50" s="16">
        <f>求节点(I$28:I$34,$M$28:$M$34,$AR50)*$AS50*其他调用!Z49/$E$4</f>
        <v>0</v>
      </c>
      <c r="AY50" s="16">
        <f>求节点(E$28:E$34,$N$28:$N$34,$AR50)*$AS50*其他调用!V49/$E$4</f>
        <v>0</v>
      </c>
      <c r="AZ50" s="16">
        <f>求节点(F$28:F$34,$N$28:$N$34,$AR50)*$AS50*其他调用!W49/$E$4</f>
        <v>0</v>
      </c>
      <c r="BA50" s="16">
        <f>求节点(G$28:G$34,$N$28:$N$34,$AR50)*$AS50*其他调用!X49/$E$4</f>
        <v>0</v>
      </c>
      <c r="BB50" s="16">
        <f>求节点(H$28:H$34,$N$28:$N$34,$AR50)*$AS50*其他调用!Y49/$E$4</f>
        <v>0</v>
      </c>
      <c r="BC50" s="16">
        <f>求节点(I$28:I$34,$N$28:$N$34,$AR50)*$AS50*其他调用!Z49/$E$4</f>
        <v>0</v>
      </c>
      <c r="BD50" s="16">
        <f>求节点(E$28:E$34,$O$28:$O$34,$AR50)*$AS50*其他调用!V49/$E$4</f>
        <v>0</v>
      </c>
      <c r="BE50" s="16">
        <f>求节点(F$28:F$34,$O$28:$O$34,$AR50)*$AS50*其他调用!W49/$E$4</f>
        <v>0</v>
      </c>
      <c r="BF50" s="16">
        <f>求节点(G$28:G$34,$O$28:$O$34,$AR50)*$AS50*其他调用!X49/$E$4</f>
        <v>0</v>
      </c>
      <c r="BG50" s="16">
        <f>求节点(H$28:H$34,$O$28:$O$34,$AR50)*$AS50*其他调用!Y49/$E$4</f>
        <v>0</v>
      </c>
      <c r="BH50" s="16">
        <f>求节点(I$28:I$34,$O$28:$O$34,$AR50)*$AS50*其他调用!Z49/$E$4</f>
        <v>0</v>
      </c>
      <c r="BK50" s="16">
        <v>46</v>
      </c>
      <c r="BL50" s="16">
        <f>SUM(AT$5:AT50)</f>
        <v>0</v>
      </c>
      <c r="BM50" s="16">
        <f>SUM(AU$5:AU50)</f>
        <v>0</v>
      </c>
      <c r="BN50" s="16">
        <f>SUM(AV$5:AV50)</f>
        <v>0</v>
      </c>
      <c r="BO50" s="16">
        <f>SUM(AW$5:AW50)</f>
        <v>0</v>
      </c>
      <c r="BP50" s="16">
        <f>SUM(AX$5:AX50)</f>
        <v>0</v>
      </c>
      <c r="BQ50" s="16">
        <f>SUM(AY$5:AY50)</f>
        <v>0</v>
      </c>
      <c r="BR50" s="16">
        <f>SUM(AZ$5:AZ50)</f>
        <v>0</v>
      </c>
      <c r="BS50" s="16">
        <f>SUM(BA$5:BA50)</f>
        <v>0</v>
      </c>
      <c r="BT50" s="16">
        <f>SUM(BB$5:BB50)</f>
        <v>0</v>
      </c>
      <c r="BU50" s="16">
        <f>SUM(BC$5:BC50)</f>
        <v>0</v>
      </c>
      <c r="BV50" s="16">
        <f>SUM(BD$5:BD50)</f>
        <v>0</v>
      </c>
      <c r="BW50" s="16">
        <f>SUM(BE$5:BE50)</f>
        <v>0</v>
      </c>
      <c r="BX50" s="16">
        <f>SUM(BF$5:BF50)</f>
        <v>0</v>
      </c>
      <c r="BY50" s="16">
        <f>SUM(BG$5:BG50)</f>
        <v>0</v>
      </c>
      <c r="BZ50" s="16">
        <f>SUM(BH$5:BH50)</f>
        <v>0</v>
      </c>
      <c r="CC50" s="16">
        <v>46</v>
      </c>
      <c r="CD50" s="16">
        <f t="shared" si="21"/>
        <v>0</v>
      </c>
      <c r="CE50" s="16">
        <f t="shared" si="22"/>
        <v>0</v>
      </c>
      <c r="CF50" s="16">
        <f t="shared" si="23"/>
        <v>0</v>
      </c>
      <c r="CG50" s="16">
        <f t="shared" si="24"/>
        <v>0</v>
      </c>
      <c r="CH50" s="16">
        <f t="shared" si="25"/>
        <v>0</v>
      </c>
      <c r="CI50" s="16">
        <f t="shared" si="26"/>
        <v>0</v>
      </c>
      <c r="CJ50" s="16">
        <f t="shared" si="27"/>
        <v>0</v>
      </c>
      <c r="CK50" s="16">
        <f t="shared" si="28"/>
        <v>0</v>
      </c>
      <c r="CL50" s="16">
        <f t="shared" si="29"/>
        <v>0</v>
      </c>
      <c r="CM50" s="16">
        <f t="shared" si="30"/>
        <v>0</v>
      </c>
      <c r="CN50" s="16">
        <f t="shared" si="31"/>
        <v>0</v>
      </c>
      <c r="CO50" s="16">
        <f t="shared" si="32"/>
        <v>0</v>
      </c>
      <c r="CP50" s="16">
        <f t="shared" si="33"/>
        <v>0</v>
      </c>
      <c r="CQ50" s="16">
        <f t="shared" si="34"/>
        <v>0</v>
      </c>
      <c r="CR50" s="16">
        <f t="shared" si="35"/>
        <v>0</v>
      </c>
      <c r="CV50" s="16">
        <v>46</v>
      </c>
      <c r="CW50" s="35">
        <f t="shared" si="18"/>
        <v>0.13200000000000001</v>
      </c>
      <c r="CX50" s="16">
        <f>其他调用!V49/$E$4*求节点(E$28:E$34,$P$28:$P$34,$CV50)*$CW50</f>
        <v>0</v>
      </c>
      <c r="CY50" s="16">
        <f>其他调用!W49/$E$4*求节点(F$28:F$34,$P$28:$P$34,$CV50)*$CW50</f>
        <v>0</v>
      </c>
      <c r="CZ50" s="16">
        <f>其他调用!X49/$E$4*求节点(G$28:G$34,$P$28:$P$34,$CV50)*$CW50</f>
        <v>0</v>
      </c>
      <c r="DA50" s="16">
        <f>其他调用!Y49/$E$4*求节点(H$28:H$34,$P$28:$P$34,$CV50)*$CW50</f>
        <v>0</v>
      </c>
      <c r="DB50" s="16">
        <f>其他调用!Z49/$E$4*求节点(I$28:I$34,$P$28:$P$34,$CV50)*$CW50</f>
        <v>0</v>
      </c>
      <c r="DC50" s="16">
        <f>SUM(CX$5:CX50)</f>
        <v>0</v>
      </c>
      <c r="DD50" s="16">
        <f>SUM(CY$5:CY50)</f>
        <v>0</v>
      </c>
      <c r="DE50" s="16">
        <f>SUM(CZ$5:CZ50)</f>
        <v>0</v>
      </c>
      <c r="DF50" s="16">
        <f>SUM(DA$5:DA50)</f>
        <v>0</v>
      </c>
      <c r="DG50" s="16">
        <f>SUM(DB$5:DB50)</f>
        <v>0</v>
      </c>
    </row>
    <row r="51" spans="2:111">
      <c r="D51" s="55"/>
      <c r="E51" s="26">
        <f>'[1]功能-行军令'!AD19</f>
        <v>0</v>
      </c>
      <c r="F51" s="26">
        <f>'[1]功能-行军令'!AE19</f>
        <v>0</v>
      </c>
      <c r="G51" s="26">
        <f>'[1]功能-行军令'!AF19</f>
        <v>0</v>
      </c>
      <c r="X51" s="16">
        <v>47</v>
      </c>
      <c r="Y51" s="45">
        <f t="shared" si="16"/>
        <v>244.91525423728814</v>
      </c>
      <c r="Z51" s="24">
        <f t="shared" si="17"/>
        <v>6.8000000000000005E-2</v>
      </c>
      <c r="AA51" s="16">
        <f>$Y51*$Z51*其他调用!V50</f>
        <v>1333.4737109269827</v>
      </c>
      <c r="AB51" s="16">
        <f>$Y51*$Z51*其他调用!W50</f>
        <v>1688.1748153800729</v>
      </c>
      <c r="AC51" s="16">
        <f>$Y51*$Z51*其他调用!X50</f>
        <v>1878.4511234496845</v>
      </c>
      <c r="AD51" s="16">
        <f>$Y51*$Z51*其他调用!Y50</f>
        <v>1561.3261914979817</v>
      </c>
      <c r="AE51" s="16">
        <f>$Y51*$Z51*其他调用!Z50</f>
        <v>837.32684131541544</v>
      </c>
      <c r="AH51" s="16">
        <v>47</v>
      </c>
      <c r="AI51" s="16">
        <f>SUM(AA$5:AA51)</f>
        <v>15154.023732504871</v>
      </c>
      <c r="AJ51" s="16">
        <f>SUM(AB$5:AB51)</f>
        <v>19282.314274942277</v>
      </c>
      <c r="AK51" s="16">
        <f>SUM(AC$5:AC51)</f>
        <v>21595.205553235177</v>
      </c>
      <c r="AL51" s="16">
        <f>SUM(AD$5:AD51)</f>
        <v>18112.324380930957</v>
      </c>
      <c r="AM51" s="16">
        <f>SUM(AE$5:AE51)</f>
        <v>10096.25911830933</v>
      </c>
      <c r="AR51" s="16">
        <v>47</v>
      </c>
      <c r="AS51" s="24">
        <f t="shared" si="20"/>
        <v>6.8000000000000005E-2</v>
      </c>
      <c r="AT51" s="16">
        <f>求节点(E$28:E$34,$M$28:$M$34,$AR51)*$AS51*其他调用!V50/$E$4</f>
        <v>0</v>
      </c>
      <c r="AU51" s="16">
        <f>求节点(F$28:F$34,$M$28:$M$34,$AR51)*$AS51*其他调用!W50/$E$4</f>
        <v>0</v>
      </c>
      <c r="AV51" s="16">
        <f>求节点(G$28:G$34,$M$28:$M$34,$AR51)*$AS51*其他调用!X50/$E$4</f>
        <v>0</v>
      </c>
      <c r="AW51" s="16">
        <f>求节点(H$28:H$34,$M$28:$M$34,$AR51)*$AS51*其他调用!Y50/$E$4</f>
        <v>0</v>
      </c>
      <c r="AX51" s="16">
        <f>求节点(I$28:I$34,$M$28:$M$34,$AR51)*$AS51*其他调用!Z50/$E$4</f>
        <v>0</v>
      </c>
      <c r="AY51" s="16">
        <f>求节点(E$28:E$34,$N$28:$N$34,$AR51)*$AS51*其他调用!V50/$E$4</f>
        <v>0</v>
      </c>
      <c r="AZ51" s="16">
        <f>求节点(F$28:F$34,$N$28:$N$34,$AR51)*$AS51*其他调用!W50/$E$4</f>
        <v>0</v>
      </c>
      <c r="BA51" s="16">
        <f>求节点(G$28:G$34,$N$28:$N$34,$AR51)*$AS51*其他调用!X50/$E$4</f>
        <v>0</v>
      </c>
      <c r="BB51" s="16">
        <f>求节点(H$28:H$34,$N$28:$N$34,$AR51)*$AS51*其他调用!Y50/$E$4</f>
        <v>0</v>
      </c>
      <c r="BC51" s="16">
        <f>求节点(I$28:I$34,$N$28:$N$34,$AR51)*$AS51*其他调用!Z50/$E$4</f>
        <v>0</v>
      </c>
      <c r="BD51" s="16">
        <f>求节点(E$28:E$34,$O$28:$O$34,$AR51)*$AS51*其他调用!V50/$E$4</f>
        <v>0</v>
      </c>
      <c r="BE51" s="16">
        <f>求节点(F$28:F$34,$O$28:$O$34,$AR51)*$AS51*其他调用!W50/$E$4</f>
        <v>0</v>
      </c>
      <c r="BF51" s="16">
        <f>求节点(G$28:G$34,$O$28:$O$34,$AR51)*$AS51*其他调用!X50/$E$4</f>
        <v>0</v>
      </c>
      <c r="BG51" s="16">
        <f>求节点(H$28:H$34,$O$28:$O$34,$AR51)*$AS51*其他调用!Y50/$E$4</f>
        <v>0</v>
      </c>
      <c r="BH51" s="16">
        <f>求节点(I$28:I$34,$O$28:$O$34,$AR51)*$AS51*其他调用!Z50/$E$4</f>
        <v>0</v>
      </c>
      <c r="BK51" s="16">
        <v>47</v>
      </c>
      <c r="BL51" s="16">
        <f>SUM(AT$5:AT51)</f>
        <v>0</v>
      </c>
      <c r="BM51" s="16">
        <f>SUM(AU$5:AU51)</f>
        <v>0</v>
      </c>
      <c r="BN51" s="16">
        <f>SUM(AV$5:AV51)</f>
        <v>0</v>
      </c>
      <c r="BO51" s="16">
        <f>SUM(AW$5:AW51)</f>
        <v>0</v>
      </c>
      <c r="BP51" s="16">
        <f>SUM(AX$5:AX51)</f>
        <v>0</v>
      </c>
      <c r="BQ51" s="16">
        <f>SUM(AY$5:AY51)</f>
        <v>0</v>
      </c>
      <c r="BR51" s="16">
        <f>SUM(AZ$5:AZ51)</f>
        <v>0</v>
      </c>
      <c r="BS51" s="16">
        <f>SUM(BA$5:BA51)</f>
        <v>0</v>
      </c>
      <c r="BT51" s="16">
        <f>SUM(BB$5:BB51)</f>
        <v>0</v>
      </c>
      <c r="BU51" s="16">
        <f>SUM(BC$5:BC51)</f>
        <v>0</v>
      </c>
      <c r="BV51" s="16">
        <f>SUM(BD$5:BD51)</f>
        <v>0</v>
      </c>
      <c r="BW51" s="16">
        <f>SUM(BE$5:BE51)</f>
        <v>0</v>
      </c>
      <c r="BX51" s="16">
        <f>SUM(BF$5:BF51)</f>
        <v>0</v>
      </c>
      <c r="BY51" s="16">
        <f>SUM(BG$5:BG51)</f>
        <v>0</v>
      </c>
      <c r="BZ51" s="16">
        <f>SUM(BH$5:BH51)</f>
        <v>0</v>
      </c>
      <c r="CC51" s="16">
        <v>47</v>
      </c>
      <c r="CD51" s="16">
        <f t="shared" si="21"/>
        <v>0</v>
      </c>
      <c r="CE51" s="16">
        <f t="shared" si="22"/>
        <v>0</v>
      </c>
      <c r="CF51" s="16">
        <f t="shared" si="23"/>
        <v>0</v>
      </c>
      <c r="CG51" s="16">
        <f t="shared" si="24"/>
        <v>0</v>
      </c>
      <c r="CH51" s="16">
        <f t="shared" si="25"/>
        <v>0</v>
      </c>
      <c r="CI51" s="16">
        <f t="shared" si="26"/>
        <v>0</v>
      </c>
      <c r="CJ51" s="16">
        <f t="shared" si="27"/>
        <v>0</v>
      </c>
      <c r="CK51" s="16">
        <f t="shared" si="28"/>
        <v>0</v>
      </c>
      <c r="CL51" s="16">
        <f t="shared" si="29"/>
        <v>0</v>
      </c>
      <c r="CM51" s="16">
        <f t="shared" si="30"/>
        <v>0</v>
      </c>
      <c r="CN51" s="16">
        <f t="shared" si="31"/>
        <v>0</v>
      </c>
      <c r="CO51" s="16">
        <f t="shared" si="32"/>
        <v>0</v>
      </c>
      <c r="CP51" s="16">
        <f t="shared" si="33"/>
        <v>0</v>
      </c>
      <c r="CQ51" s="16">
        <f t="shared" si="34"/>
        <v>0</v>
      </c>
      <c r="CR51" s="16">
        <f t="shared" si="35"/>
        <v>0</v>
      </c>
      <c r="CV51" s="16">
        <v>47</v>
      </c>
      <c r="CW51" s="35">
        <f t="shared" si="18"/>
        <v>0.13200000000000001</v>
      </c>
      <c r="CX51" s="16">
        <f>其他调用!V50/$E$4*求节点(E$28:E$34,$P$28:$P$34,$CV51)*$CW51</f>
        <v>0</v>
      </c>
      <c r="CY51" s="16">
        <f>其他调用!W50/$E$4*求节点(F$28:F$34,$P$28:$P$34,$CV51)*$CW51</f>
        <v>0</v>
      </c>
      <c r="CZ51" s="16">
        <f>其他调用!X50/$E$4*求节点(G$28:G$34,$P$28:$P$34,$CV51)*$CW51</f>
        <v>0</v>
      </c>
      <c r="DA51" s="16">
        <f>其他调用!Y50/$E$4*求节点(H$28:H$34,$P$28:$P$34,$CV51)*$CW51</f>
        <v>0</v>
      </c>
      <c r="DB51" s="16">
        <f>其他调用!Z50/$E$4*求节点(I$28:I$34,$P$28:$P$34,$CV51)*$CW51</f>
        <v>0</v>
      </c>
      <c r="DC51" s="16">
        <f>SUM(CX$5:CX51)</f>
        <v>0</v>
      </c>
      <c r="DD51" s="16">
        <f>SUM(CY$5:CY51)</f>
        <v>0</v>
      </c>
      <c r="DE51" s="16">
        <f>SUM(CZ$5:CZ51)</f>
        <v>0</v>
      </c>
      <c r="DF51" s="16">
        <f>SUM(DA$5:DA51)</f>
        <v>0</v>
      </c>
      <c r="DG51" s="16">
        <f>SUM(DB$5:DB51)</f>
        <v>0</v>
      </c>
    </row>
    <row r="52" spans="2:111">
      <c r="D52" s="55" t="s">
        <v>188</v>
      </c>
      <c r="E52" s="26">
        <f>'[1]功能-行军令'!AD20</f>
        <v>0</v>
      </c>
      <c r="F52" s="26">
        <f>'[1]功能-行军令'!AE20</f>
        <v>0</v>
      </c>
      <c r="G52" s="26" t="e">
        <f>'[1]功能-行军令'!AF20</f>
        <v>#DIV/0!</v>
      </c>
      <c r="X52" s="16">
        <v>48</v>
      </c>
      <c r="Y52" s="45">
        <f t="shared" si="16"/>
        <v>249.15254237288136</v>
      </c>
      <c r="Z52" s="24">
        <f t="shared" si="17"/>
        <v>6.8000000000000005E-2</v>
      </c>
      <c r="AA52" s="16">
        <f>$Y52*$Z52*其他调用!V51</f>
        <v>1453.9080639800316</v>
      </c>
      <c r="AB52" s="16">
        <f>$Y52*$Z52*其他调用!W51</f>
        <v>1818.6437172724625</v>
      </c>
      <c r="AC52" s="16">
        <f>$Y52*$Z52*其他调用!X51</f>
        <v>2054.5952544370975</v>
      </c>
      <c r="AD52" s="16">
        <f>$Y52*$Z52*其他调用!Y51</f>
        <v>1629.3323263289158</v>
      </c>
      <c r="AE52" s="16">
        <f>$Y52*$Z52*其他调用!Z51</f>
        <v>903.86927850611119</v>
      </c>
      <c r="AH52" s="16">
        <v>48</v>
      </c>
      <c r="AI52" s="16">
        <f>SUM(AA$5:AA52)</f>
        <v>16607.931796484903</v>
      </c>
      <c r="AJ52" s="16">
        <f>SUM(AB$5:AB52)</f>
        <v>21100.957992214739</v>
      </c>
      <c r="AK52" s="16">
        <f>SUM(AC$5:AC52)</f>
        <v>23649.800807672276</v>
      </c>
      <c r="AL52" s="16">
        <f>SUM(AD$5:AD52)</f>
        <v>19741.656707259874</v>
      </c>
      <c r="AM52" s="16">
        <f>SUM(AE$5:AE52)</f>
        <v>11000.128396815442</v>
      </c>
      <c r="AR52" s="16">
        <v>48</v>
      </c>
      <c r="AS52" s="24">
        <f t="shared" si="20"/>
        <v>6.8000000000000005E-2</v>
      </c>
      <c r="AT52" s="16">
        <f>求节点(E$28:E$34,$M$28:$M$34,$AR52)*$AS52*其他调用!V51/$E$4</f>
        <v>0</v>
      </c>
      <c r="AU52" s="16">
        <f>求节点(F$28:F$34,$M$28:$M$34,$AR52)*$AS52*其他调用!W51/$E$4</f>
        <v>0</v>
      </c>
      <c r="AV52" s="16">
        <f>求节点(G$28:G$34,$M$28:$M$34,$AR52)*$AS52*其他调用!X51/$E$4</f>
        <v>0</v>
      </c>
      <c r="AW52" s="16">
        <f>求节点(H$28:H$34,$M$28:$M$34,$AR52)*$AS52*其他调用!Y51/$E$4</f>
        <v>0</v>
      </c>
      <c r="AX52" s="16">
        <f>求节点(I$28:I$34,$M$28:$M$34,$AR52)*$AS52*其他调用!Z51/$E$4</f>
        <v>0</v>
      </c>
      <c r="AY52" s="16">
        <f>求节点(E$28:E$34,$N$28:$N$34,$AR52)*$AS52*其他调用!V51/$E$4</f>
        <v>0</v>
      </c>
      <c r="AZ52" s="16">
        <f>求节点(F$28:F$34,$N$28:$N$34,$AR52)*$AS52*其他调用!W51/$E$4</f>
        <v>0</v>
      </c>
      <c r="BA52" s="16">
        <f>求节点(G$28:G$34,$N$28:$N$34,$AR52)*$AS52*其他调用!X51/$E$4</f>
        <v>0</v>
      </c>
      <c r="BB52" s="16">
        <f>求节点(H$28:H$34,$N$28:$N$34,$AR52)*$AS52*其他调用!Y51/$E$4</f>
        <v>0</v>
      </c>
      <c r="BC52" s="16">
        <f>求节点(I$28:I$34,$N$28:$N$34,$AR52)*$AS52*其他调用!Z51/$E$4</f>
        <v>0</v>
      </c>
      <c r="BD52" s="16">
        <f>求节点(E$28:E$34,$O$28:$O$34,$AR52)*$AS52*其他调用!V51/$E$4</f>
        <v>0</v>
      </c>
      <c r="BE52" s="16">
        <f>求节点(F$28:F$34,$O$28:$O$34,$AR52)*$AS52*其他调用!W51/$E$4</f>
        <v>0</v>
      </c>
      <c r="BF52" s="16">
        <f>求节点(G$28:G$34,$O$28:$O$34,$AR52)*$AS52*其他调用!X51/$E$4</f>
        <v>0</v>
      </c>
      <c r="BG52" s="16">
        <f>求节点(H$28:H$34,$O$28:$O$34,$AR52)*$AS52*其他调用!Y51/$E$4</f>
        <v>0</v>
      </c>
      <c r="BH52" s="16">
        <f>求节点(I$28:I$34,$O$28:$O$34,$AR52)*$AS52*其他调用!Z51/$E$4</f>
        <v>0</v>
      </c>
      <c r="BK52" s="16">
        <v>48</v>
      </c>
      <c r="BL52" s="16">
        <f>SUM(AT$5:AT52)</f>
        <v>0</v>
      </c>
      <c r="BM52" s="16">
        <f>SUM(AU$5:AU52)</f>
        <v>0</v>
      </c>
      <c r="BN52" s="16">
        <f>SUM(AV$5:AV52)</f>
        <v>0</v>
      </c>
      <c r="BO52" s="16">
        <f>SUM(AW$5:AW52)</f>
        <v>0</v>
      </c>
      <c r="BP52" s="16">
        <f>SUM(AX$5:AX52)</f>
        <v>0</v>
      </c>
      <c r="BQ52" s="16">
        <f>SUM(AY$5:AY52)</f>
        <v>0</v>
      </c>
      <c r="BR52" s="16">
        <f>SUM(AZ$5:AZ52)</f>
        <v>0</v>
      </c>
      <c r="BS52" s="16">
        <f>SUM(BA$5:BA52)</f>
        <v>0</v>
      </c>
      <c r="BT52" s="16">
        <f>SUM(BB$5:BB52)</f>
        <v>0</v>
      </c>
      <c r="BU52" s="16">
        <f>SUM(BC$5:BC52)</f>
        <v>0</v>
      </c>
      <c r="BV52" s="16">
        <f>SUM(BD$5:BD52)</f>
        <v>0</v>
      </c>
      <c r="BW52" s="16">
        <f>SUM(BE$5:BE52)</f>
        <v>0</v>
      </c>
      <c r="BX52" s="16">
        <f>SUM(BF$5:BF52)</f>
        <v>0</v>
      </c>
      <c r="BY52" s="16">
        <f>SUM(BG$5:BG52)</f>
        <v>0</v>
      </c>
      <c r="BZ52" s="16">
        <f>SUM(BH$5:BH52)</f>
        <v>0</v>
      </c>
      <c r="CC52" s="16">
        <v>48</v>
      </c>
      <c r="CD52" s="16">
        <f t="shared" si="21"/>
        <v>0</v>
      </c>
      <c r="CE52" s="16">
        <f t="shared" si="22"/>
        <v>0</v>
      </c>
      <c r="CF52" s="16">
        <f t="shared" si="23"/>
        <v>0</v>
      </c>
      <c r="CG52" s="16">
        <f t="shared" si="24"/>
        <v>0</v>
      </c>
      <c r="CH52" s="16">
        <f t="shared" si="25"/>
        <v>0</v>
      </c>
      <c r="CI52" s="16">
        <f t="shared" si="26"/>
        <v>0</v>
      </c>
      <c r="CJ52" s="16">
        <f t="shared" si="27"/>
        <v>0</v>
      </c>
      <c r="CK52" s="16">
        <f t="shared" si="28"/>
        <v>0</v>
      </c>
      <c r="CL52" s="16">
        <f t="shared" si="29"/>
        <v>0</v>
      </c>
      <c r="CM52" s="16">
        <f t="shared" si="30"/>
        <v>0</v>
      </c>
      <c r="CN52" s="16">
        <f t="shared" si="31"/>
        <v>0</v>
      </c>
      <c r="CO52" s="16">
        <f t="shared" si="32"/>
        <v>0</v>
      </c>
      <c r="CP52" s="16">
        <f t="shared" si="33"/>
        <v>0</v>
      </c>
      <c r="CQ52" s="16">
        <f t="shared" si="34"/>
        <v>0</v>
      </c>
      <c r="CR52" s="16">
        <f t="shared" si="35"/>
        <v>0</v>
      </c>
      <c r="CV52" s="16">
        <v>48</v>
      </c>
      <c r="CW52" s="35">
        <f t="shared" si="18"/>
        <v>0.13200000000000001</v>
      </c>
      <c r="CX52" s="16">
        <f>其他调用!V51/$E$4*求节点(E$28:E$34,$P$28:$P$34,$CV52)*$CW52</f>
        <v>0</v>
      </c>
      <c r="CY52" s="16">
        <f>其他调用!W51/$E$4*求节点(F$28:F$34,$P$28:$P$34,$CV52)*$CW52</f>
        <v>0</v>
      </c>
      <c r="CZ52" s="16">
        <f>其他调用!X51/$E$4*求节点(G$28:G$34,$P$28:$P$34,$CV52)*$CW52</f>
        <v>0</v>
      </c>
      <c r="DA52" s="16">
        <f>其他调用!Y51/$E$4*求节点(H$28:H$34,$P$28:$P$34,$CV52)*$CW52</f>
        <v>0</v>
      </c>
      <c r="DB52" s="16">
        <f>其他调用!Z51/$E$4*求节点(I$28:I$34,$P$28:$P$34,$CV52)*$CW52</f>
        <v>0</v>
      </c>
      <c r="DC52" s="16">
        <f>SUM(CX$5:CX52)</f>
        <v>0</v>
      </c>
      <c r="DD52" s="16">
        <f>SUM(CY$5:CY52)</f>
        <v>0</v>
      </c>
      <c r="DE52" s="16">
        <f>SUM(CZ$5:CZ52)</f>
        <v>0</v>
      </c>
      <c r="DF52" s="16">
        <f>SUM(DA$5:DA52)</f>
        <v>0</v>
      </c>
      <c r="DG52" s="16">
        <f>SUM(DB$5:DB52)</f>
        <v>0</v>
      </c>
    </row>
    <row r="53" spans="2:111">
      <c r="D53" s="48" t="s">
        <v>189</v>
      </c>
      <c r="E53" s="25">
        <f>'[1]功能-行军令'!AD21</f>
        <v>0.1</v>
      </c>
      <c r="F53" s="25">
        <f>'[1]功能-行军令'!AE21</f>
        <v>0.1</v>
      </c>
      <c r="G53" s="25">
        <f>'[1]功能-行军令'!AF21</f>
        <v>1</v>
      </c>
      <c r="X53" s="16">
        <v>49</v>
      </c>
      <c r="Y53" s="45">
        <f t="shared" si="16"/>
        <v>253.38983050847457</v>
      </c>
      <c r="Z53" s="24">
        <f t="shared" si="17"/>
        <v>6.8000000000000005E-2</v>
      </c>
      <c r="AA53" s="16">
        <f>$Y53*$Z53*其他调用!V52</f>
        <v>1584.7611017090264</v>
      </c>
      <c r="AB53" s="16">
        <f>$Y53*$Z53*其他调用!W52</f>
        <v>2009.9146666027862</v>
      </c>
      <c r="AC53" s="16">
        <f>$Y53*$Z53*其他调用!X52</f>
        <v>2179.39030513647</v>
      </c>
      <c r="AD53" s="16">
        <f>$Y53*$Z53*其他调用!Y52</f>
        <v>1772.6405976179703</v>
      </c>
      <c r="AE53" s="16">
        <f>$Y53*$Z53*其他调用!Z52</f>
        <v>1041.5287239641516</v>
      </c>
      <c r="AH53" s="16">
        <v>49</v>
      </c>
      <c r="AI53" s="16">
        <f>SUM(AA$5:AA53)</f>
        <v>18192.692898193931</v>
      </c>
      <c r="AJ53" s="16">
        <f>SUM(AB$5:AB53)</f>
        <v>23110.872658817523</v>
      </c>
      <c r="AK53" s="16">
        <f>SUM(AC$5:AC53)</f>
        <v>25829.191112808745</v>
      </c>
      <c r="AL53" s="16">
        <f>SUM(AD$5:AD53)</f>
        <v>21514.297304877844</v>
      </c>
      <c r="AM53" s="16">
        <f>SUM(AE$5:AE53)</f>
        <v>12041.657120779593</v>
      </c>
      <c r="AR53" s="16">
        <v>49</v>
      </c>
      <c r="AS53" s="24">
        <f t="shared" si="20"/>
        <v>6.8000000000000005E-2</v>
      </c>
      <c r="AT53" s="16">
        <f>求节点(E$28:E$34,$M$28:$M$34,$AR53)*$AS53*其他调用!V52/$E$4</f>
        <v>0</v>
      </c>
      <c r="AU53" s="16">
        <f>求节点(F$28:F$34,$M$28:$M$34,$AR53)*$AS53*其他调用!W52/$E$4</f>
        <v>0</v>
      </c>
      <c r="AV53" s="16">
        <f>求节点(G$28:G$34,$M$28:$M$34,$AR53)*$AS53*其他调用!X52/$E$4</f>
        <v>0</v>
      </c>
      <c r="AW53" s="16">
        <f>求节点(H$28:H$34,$M$28:$M$34,$AR53)*$AS53*其他调用!Y52/$E$4</f>
        <v>0</v>
      </c>
      <c r="AX53" s="16">
        <f>求节点(I$28:I$34,$M$28:$M$34,$AR53)*$AS53*其他调用!Z52/$E$4</f>
        <v>0</v>
      </c>
      <c r="AY53" s="16">
        <f>求节点(E$28:E$34,$N$28:$N$34,$AR53)*$AS53*其他调用!V52/$E$4</f>
        <v>0</v>
      </c>
      <c r="AZ53" s="16">
        <f>求节点(F$28:F$34,$N$28:$N$34,$AR53)*$AS53*其他调用!W52/$E$4</f>
        <v>0</v>
      </c>
      <c r="BA53" s="16">
        <f>求节点(G$28:G$34,$N$28:$N$34,$AR53)*$AS53*其他调用!X52/$E$4</f>
        <v>0</v>
      </c>
      <c r="BB53" s="16">
        <f>求节点(H$28:H$34,$N$28:$N$34,$AR53)*$AS53*其他调用!Y52/$E$4</f>
        <v>0</v>
      </c>
      <c r="BC53" s="16">
        <f>求节点(I$28:I$34,$N$28:$N$34,$AR53)*$AS53*其他调用!Z52/$E$4</f>
        <v>0</v>
      </c>
      <c r="BD53" s="16">
        <f>求节点(E$28:E$34,$O$28:$O$34,$AR53)*$AS53*其他调用!V52/$E$4</f>
        <v>0</v>
      </c>
      <c r="BE53" s="16">
        <f>求节点(F$28:F$34,$O$28:$O$34,$AR53)*$AS53*其他调用!W52/$E$4</f>
        <v>0</v>
      </c>
      <c r="BF53" s="16">
        <f>求节点(G$28:G$34,$O$28:$O$34,$AR53)*$AS53*其他调用!X52/$E$4</f>
        <v>0</v>
      </c>
      <c r="BG53" s="16">
        <f>求节点(H$28:H$34,$O$28:$O$34,$AR53)*$AS53*其他调用!Y52/$E$4</f>
        <v>0</v>
      </c>
      <c r="BH53" s="16">
        <f>求节点(I$28:I$34,$O$28:$O$34,$AR53)*$AS53*其他调用!Z52/$E$4</f>
        <v>0</v>
      </c>
      <c r="BK53" s="16">
        <v>49</v>
      </c>
      <c r="BL53" s="16">
        <f>SUM(AT$5:AT53)</f>
        <v>0</v>
      </c>
      <c r="BM53" s="16">
        <f>SUM(AU$5:AU53)</f>
        <v>0</v>
      </c>
      <c r="BN53" s="16">
        <f>SUM(AV$5:AV53)</f>
        <v>0</v>
      </c>
      <c r="BO53" s="16">
        <f>SUM(AW$5:AW53)</f>
        <v>0</v>
      </c>
      <c r="BP53" s="16">
        <f>SUM(AX$5:AX53)</f>
        <v>0</v>
      </c>
      <c r="BQ53" s="16">
        <f>SUM(AY$5:AY53)</f>
        <v>0</v>
      </c>
      <c r="BR53" s="16">
        <f>SUM(AZ$5:AZ53)</f>
        <v>0</v>
      </c>
      <c r="BS53" s="16">
        <f>SUM(BA$5:BA53)</f>
        <v>0</v>
      </c>
      <c r="BT53" s="16">
        <f>SUM(BB$5:BB53)</f>
        <v>0</v>
      </c>
      <c r="BU53" s="16">
        <f>SUM(BC$5:BC53)</f>
        <v>0</v>
      </c>
      <c r="BV53" s="16">
        <f>SUM(BD$5:BD53)</f>
        <v>0</v>
      </c>
      <c r="BW53" s="16">
        <f>SUM(BE$5:BE53)</f>
        <v>0</v>
      </c>
      <c r="BX53" s="16">
        <f>SUM(BF$5:BF53)</f>
        <v>0</v>
      </c>
      <c r="BY53" s="16">
        <f>SUM(BG$5:BG53)</f>
        <v>0</v>
      </c>
      <c r="BZ53" s="16">
        <f>SUM(BH$5:BH53)</f>
        <v>0</v>
      </c>
      <c r="CC53" s="16">
        <v>49</v>
      </c>
      <c r="CD53" s="16">
        <f t="shared" si="21"/>
        <v>0</v>
      </c>
      <c r="CE53" s="16">
        <f t="shared" si="22"/>
        <v>0</v>
      </c>
      <c r="CF53" s="16">
        <f t="shared" si="23"/>
        <v>0</v>
      </c>
      <c r="CG53" s="16">
        <f t="shared" si="24"/>
        <v>0</v>
      </c>
      <c r="CH53" s="16">
        <f t="shared" si="25"/>
        <v>0</v>
      </c>
      <c r="CI53" s="16">
        <f t="shared" si="26"/>
        <v>0</v>
      </c>
      <c r="CJ53" s="16">
        <f t="shared" si="27"/>
        <v>0</v>
      </c>
      <c r="CK53" s="16">
        <f t="shared" si="28"/>
        <v>0</v>
      </c>
      <c r="CL53" s="16">
        <f t="shared" si="29"/>
        <v>0</v>
      </c>
      <c r="CM53" s="16">
        <f t="shared" si="30"/>
        <v>0</v>
      </c>
      <c r="CN53" s="16">
        <f t="shared" si="31"/>
        <v>0</v>
      </c>
      <c r="CO53" s="16">
        <f t="shared" si="32"/>
        <v>0</v>
      </c>
      <c r="CP53" s="16">
        <f t="shared" si="33"/>
        <v>0</v>
      </c>
      <c r="CQ53" s="16">
        <f t="shared" si="34"/>
        <v>0</v>
      </c>
      <c r="CR53" s="16">
        <f t="shared" si="35"/>
        <v>0</v>
      </c>
      <c r="CV53" s="16">
        <v>49</v>
      </c>
      <c r="CW53" s="35">
        <f t="shared" si="18"/>
        <v>0.13200000000000001</v>
      </c>
      <c r="CX53" s="16">
        <f>其他调用!V52/$E$4*求节点(E$28:E$34,$P$28:$P$34,$CV53)*$CW53</f>
        <v>0</v>
      </c>
      <c r="CY53" s="16">
        <f>其他调用!W52/$E$4*求节点(F$28:F$34,$P$28:$P$34,$CV53)*$CW53</f>
        <v>0</v>
      </c>
      <c r="CZ53" s="16">
        <f>其他调用!X52/$E$4*求节点(G$28:G$34,$P$28:$P$34,$CV53)*$CW53</f>
        <v>0</v>
      </c>
      <c r="DA53" s="16">
        <f>其他调用!Y52/$E$4*求节点(H$28:H$34,$P$28:$P$34,$CV53)*$CW53</f>
        <v>0</v>
      </c>
      <c r="DB53" s="16">
        <f>其他调用!Z52/$E$4*求节点(I$28:I$34,$P$28:$P$34,$CV53)*$CW53</f>
        <v>0</v>
      </c>
      <c r="DC53" s="16">
        <f>SUM(CX$5:CX53)</f>
        <v>0</v>
      </c>
      <c r="DD53" s="16">
        <f>SUM(CY$5:CY53)</f>
        <v>0</v>
      </c>
      <c r="DE53" s="16">
        <f>SUM(CZ$5:CZ53)</f>
        <v>0</v>
      </c>
      <c r="DF53" s="16">
        <f>SUM(DA$5:DA53)</f>
        <v>0</v>
      </c>
      <c r="DG53" s="16">
        <f>SUM(DB$5:DB53)</f>
        <v>0</v>
      </c>
    </row>
    <row r="54" spans="2:111">
      <c r="D54" s="55" t="s">
        <v>190</v>
      </c>
      <c r="E54" s="26">
        <f>'[1]功能-行军令'!AD22</f>
        <v>0</v>
      </c>
      <c r="F54" s="26">
        <f>'[1]功能-行军令'!AE22</f>
        <v>0</v>
      </c>
      <c r="G54" s="26" t="e">
        <f>'[1]功能-行军令'!AF22</f>
        <v>#DIV/0!</v>
      </c>
      <c r="X54" s="16">
        <v>50</v>
      </c>
      <c r="Y54" s="45">
        <f t="shared" si="16"/>
        <v>257.62711864406782</v>
      </c>
      <c r="Z54" s="24">
        <f t="shared" si="17"/>
        <v>6.8000000000000005E-2</v>
      </c>
      <c r="AA54" s="16">
        <f>$Y54*$Z54*其他调用!V53</f>
        <v>1726.9079851322413</v>
      </c>
      <c r="AB54" s="16">
        <f>$Y54*$Z54*其他调用!W53</f>
        <v>2193.5748349318815</v>
      </c>
      <c r="AC54" s="16">
        <f>$Y54*$Z54*其他调用!X53</f>
        <v>2368.8709241347333</v>
      </c>
      <c r="AD54" s="16">
        <f>$Y54*$Z54*其他调用!Y53</f>
        <v>2017.9406703576569</v>
      </c>
      <c r="AE54" s="16">
        <f>$Y54*$Z54*其他调用!Z53</f>
        <v>1156.5253399105065</v>
      </c>
      <c r="AH54" s="16">
        <v>50</v>
      </c>
      <c r="AI54" s="16">
        <f>SUM(AA$5:AA54)</f>
        <v>19919.600883326173</v>
      </c>
      <c r="AJ54" s="16">
        <f>SUM(AB$5:AB54)</f>
        <v>25304.447493749405</v>
      </c>
      <c r="AK54" s="16">
        <f>SUM(AC$5:AC54)</f>
        <v>28198.062036943476</v>
      </c>
      <c r="AL54" s="16">
        <f>SUM(AD$5:AD54)</f>
        <v>23532.237975235501</v>
      </c>
      <c r="AM54" s="16">
        <f>SUM(AE$5:AE54)</f>
        <v>13198.182460690099</v>
      </c>
      <c r="AR54" s="16">
        <v>50</v>
      </c>
      <c r="AS54" s="24">
        <f t="shared" si="20"/>
        <v>6.8000000000000005E-2</v>
      </c>
      <c r="AT54" s="16">
        <f>求节点(E$28:E$34,$M$28:$M$34,$AR54)*$AS54*其他调用!V53/$E$4</f>
        <v>0</v>
      </c>
      <c r="AU54" s="16">
        <f>求节点(F$28:F$34,$M$28:$M$34,$AR54)*$AS54*其他调用!W53/$E$4</f>
        <v>0</v>
      </c>
      <c r="AV54" s="16">
        <f>求节点(G$28:G$34,$M$28:$M$34,$AR54)*$AS54*其他调用!X53/$E$4</f>
        <v>0</v>
      </c>
      <c r="AW54" s="16">
        <f>求节点(H$28:H$34,$M$28:$M$34,$AR54)*$AS54*其他调用!Y53/$E$4</f>
        <v>0</v>
      </c>
      <c r="AX54" s="16">
        <f>求节点(I$28:I$34,$M$28:$M$34,$AR54)*$AS54*其他调用!Z53/$E$4</f>
        <v>0</v>
      </c>
      <c r="AY54" s="16">
        <f>求节点(E$28:E$34,$N$28:$N$34,$AR54)*$AS54*其他调用!V53/$E$4</f>
        <v>0</v>
      </c>
      <c r="AZ54" s="16">
        <f>求节点(F$28:F$34,$N$28:$N$34,$AR54)*$AS54*其他调用!W53/$E$4</f>
        <v>0</v>
      </c>
      <c r="BA54" s="16">
        <f>求节点(G$28:G$34,$N$28:$N$34,$AR54)*$AS54*其他调用!X53/$E$4</f>
        <v>0</v>
      </c>
      <c r="BB54" s="16">
        <f>求节点(H$28:H$34,$N$28:$N$34,$AR54)*$AS54*其他调用!Y53/$E$4</f>
        <v>0</v>
      </c>
      <c r="BC54" s="16">
        <f>求节点(I$28:I$34,$N$28:$N$34,$AR54)*$AS54*其他调用!Z53/$E$4</f>
        <v>0</v>
      </c>
      <c r="BD54" s="16">
        <f>求节点(E$28:E$34,$O$28:$O$34,$AR54)*$AS54*其他调用!V53/$E$4</f>
        <v>0</v>
      </c>
      <c r="BE54" s="16">
        <f>求节点(F$28:F$34,$O$28:$O$34,$AR54)*$AS54*其他调用!W53/$E$4</f>
        <v>0</v>
      </c>
      <c r="BF54" s="16">
        <f>求节点(G$28:G$34,$O$28:$O$34,$AR54)*$AS54*其他调用!X53/$E$4</f>
        <v>0</v>
      </c>
      <c r="BG54" s="16">
        <f>求节点(H$28:H$34,$O$28:$O$34,$AR54)*$AS54*其他调用!Y53/$E$4</f>
        <v>0</v>
      </c>
      <c r="BH54" s="16">
        <f>求节点(I$28:I$34,$O$28:$O$34,$AR54)*$AS54*其他调用!Z53/$E$4</f>
        <v>0</v>
      </c>
      <c r="BK54" s="16">
        <v>50</v>
      </c>
      <c r="BL54" s="16">
        <f>SUM(AT$5:AT54)</f>
        <v>0</v>
      </c>
      <c r="BM54" s="16">
        <f>SUM(AU$5:AU54)</f>
        <v>0</v>
      </c>
      <c r="BN54" s="16">
        <f>SUM(AV$5:AV54)</f>
        <v>0</v>
      </c>
      <c r="BO54" s="16">
        <f>SUM(AW$5:AW54)</f>
        <v>0</v>
      </c>
      <c r="BP54" s="16">
        <f>SUM(AX$5:AX54)</f>
        <v>0</v>
      </c>
      <c r="BQ54" s="16">
        <f>SUM(AY$5:AY54)</f>
        <v>0</v>
      </c>
      <c r="BR54" s="16">
        <f>SUM(AZ$5:AZ54)</f>
        <v>0</v>
      </c>
      <c r="BS54" s="16">
        <f>SUM(BA$5:BA54)</f>
        <v>0</v>
      </c>
      <c r="BT54" s="16">
        <f>SUM(BB$5:BB54)</f>
        <v>0</v>
      </c>
      <c r="BU54" s="16">
        <f>SUM(BC$5:BC54)</f>
        <v>0</v>
      </c>
      <c r="BV54" s="16">
        <f>SUM(BD$5:BD54)</f>
        <v>0</v>
      </c>
      <c r="BW54" s="16">
        <f>SUM(BE$5:BE54)</f>
        <v>0</v>
      </c>
      <c r="BX54" s="16">
        <f>SUM(BF$5:BF54)</f>
        <v>0</v>
      </c>
      <c r="BY54" s="16">
        <f>SUM(BG$5:BG54)</f>
        <v>0</v>
      </c>
      <c r="BZ54" s="16">
        <f>SUM(BH$5:BH54)</f>
        <v>0</v>
      </c>
      <c r="CC54" s="16">
        <v>50</v>
      </c>
      <c r="CD54" s="16">
        <f t="shared" si="21"/>
        <v>0</v>
      </c>
      <c r="CE54" s="16">
        <f t="shared" si="22"/>
        <v>0</v>
      </c>
      <c r="CF54" s="16">
        <f t="shared" si="23"/>
        <v>0</v>
      </c>
      <c r="CG54" s="16">
        <f t="shared" si="24"/>
        <v>0</v>
      </c>
      <c r="CH54" s="16">
        <f t="shared" si="25"/>
        <v>0</v>
      </c>
      <c r="CI54" s="16">
        <f t="shared" si="26"/>
        <v>0</v>
      </c>
      <c r="CJ54" s="16">
        <f t="shared" si="27"/>
        <v>0</v>
      </c>
      <c r="CK54" s="16">
        <f t="shared" si="28"/>
        <v>0</v>
      </c>
      <c r="CL54" s="16">
        <f t="shared" si="29"/>
        <v>0</v>
      </c>
      <c r="CM54" s="16">
        <f t="shared" si="30"/>
        <v>0</v>
      </c>
      <c r="CN54" s="16">
        <f t="shared" si="31"/>
        <v>0</v>
      </c>
      <c r="CO54" s="16">
        <f t="shared" si="32"/>
        <v>0</v>
      </c>
      <c r="CP54" s="16">
        <f t="shared" si="33"/>
        <v>0</v>
      </c>
      <c r="CQ54" s="16">
        <f t="shared" si="34"/>
        <v>0</v>
      </c>
      <c r="CR54" s="16">
        <f t="shared" si="35"/>
        <v>0</v>
      </c>
      <c r="CV54" s="16">
        <v>50</v>
      </c>
      <c r="CW54" s="35">
        <f t="shared" si="18"/>
        <v>0.13200000000000001</v>
      </c>
      <c r="CX54" s="16">
        <f>其他调用!V53/$E$4*求节点(E$28:E$34,$P$28:$P$34,$CV54)*$CW54</f>
        <v>0</v>
      </c>
      <c r="CY54" s="16">
        <f>其他调用!W53/$E$4*求节点(F$28:F$34,$P$28:$P$34,$CV54)*$CW54</f>
        <v>0</v>
      </c>
      <c r="CZ54" s="16">
        <f>其他调用!X53/$E$4*求节点(G$28:G$34,$P$28:$P$34,$CV54)*$CW54</f>
        <v>0</v>
      </c>
      <c r="DA54" s="16">
        <f>其他调用!Y53/$E$4*求节点(H$28:H$34,$P$28:$P$34,$CV54)*$CW54</f>
        <v>0</v>
      </c>
      <c r="DB54" s="16">
        <f>其他调用!Z53/$E$4*求节点(I$28:I$34,$P$28:$P$34,$CV54)*$CW54</f>
        <v>0</v>
      </c>
      <c r="DC54" s="16">
        <f>SUM(CX$5:CX54)</f>
        <v>0</v>
      </c>
      <c r="DD54" s="16">
        <f>SUM(CY$5:CY54)</f>
        <v>0</v>
      </c>
      <c r="DE54" s="16">
        <f>SUM(CZ$5:CZ54)</f>
        <v>0</v>
      </c>
      <c r="DF54" s="16">
        <f>SUM(DA$5:DA54)</f>
        <v>0</v>
      </c>
      <c r="DG54" s="16">
        <f>SUM(DB$5:DB54)</f>
        <v>0</v>
      </c>
    </row>
    <row r="55" spans="2:111">
      <c r="D55" s="48" t="s">
        <v>191</v>
      </c>
      <c r="E55" s="25">
        <f>'[1]功能-行军令'!AD23</f>
        <v>0.2</v>
      </c>
      <c r="F55" s="25">
        <f>'[1]功能-行军令'!AE23</f>
        <v>0.2</v>
      </c>
      <c r="G55" s="25">
        <f>'[1]功能-行军令'!AF23</f>
        <v>1</v>
      </c>
      <c r="X55" s="16">
        <v>51</v>
      </c>
      <c r="Y55" s="45">
        <f t="shared" si="16"/>
        <v>261.86440677966107</v>
      </c>
      <c r="Z55" s="24">
        <f t="shared" si="17"/>
        <v>6.8000000000000005E-2</v>
      </c>
      <c r="AA55" s="16">
        <f>$Y55*$Z55*其他调用!V54</f>
        <v>1881.2958308170523</v>
      </c>
      <c r="AB55" s="16">
        <f>$Y55*$Z55*其他调用!W54</f>
        <v>2258.5913731238666</v>
      </c>
      <c r="AC55" s="16">
        <f>$Y55*$Z55*其他调用!X54</f>
        <v>2557.9401206240318</v>
      </c>
      <c r="AD55" s="16">
        <f>$Y55*$Z55*其他调用!Y54</f>
        <v>2202.2821192184615</v>
      </c>
      <c r="AE55" s="16">
        <f>$Y55*$Z55*其他调用!Z54</f>
        <v>1205.8264852313596</v>
      </c>
      <c r="AH55" s="16">
        <v>51</v>
      </c>
      <c r="AI55" s="16">
        <f>SUM(AA$5:AA55)</f>
        <v>21800.896714143226</v>
      </c>
      <c r="AJ55" s="16">
        <f>SUM(AB$5:AB55)</f>
        <v>27563.03886687327</v>
      </c>
      <c r="AK55" s="16">
        <f>SUM(AC$5:AC55)</f>
        <v>30756.002157567509</v>
      </c>
      <c r="AL55" s="16">
        <f>SUM(AD$5:AD55)</f>
        <v>25734.520094453961</v>
      </c>
      <c r="AM55" s="16">
        <f>SUM(AE$5:AE55)</f>
        <v>14404.008945921458</v>
      </c>
      <c r="AR55" s="16">
        <v>51</v>
      </c>
      <c r="AS55" s="24">
        <f t="shared" si="20"/>
        <v>6.8000000000000005E-2</v>
      </c>
      <c r="AT55" s="16">
        <f>求节点(E$28:E$34,$M$28:$M$34,$AR55)*$AS55*其他调用!V54/$E$4</f>
        <v>0</v>
      </c>
      <c r="AU55" s="16">
        <f>求节点(F$28:F$34,$M$28:$M$34,$AR55)*$AS55*其他调用!W54/$E$4</f>
        <v>0</v>
      </c>
      <c r="AV55" s="16">
        <f>求节点(G$28:G$34,$M$28:$M$34,$AR55)*$AS55*其他调用!X54/$E$4</f>
        <v>0</v>
      </c>
      <c r="AW55" s="16">
        <f>求节点(H$28:H$34,$M$28:$M$34,$AR55)*$AS55*其他调用!Y54/$E$4</f>
        <v>0</v>
      </c>
      <c r="AX55" s="16">
        <f>求节点(I$28:I$34,$M$28:$M$34,$AR55)*$AS55*其他调用!Z54/$E$4</f>
        <v>0</v>
      </c>
      <c r="AY55" s="16">
        <f>求节点(E$28:E$34,$N$28:$N$34,$AR55)*$AS55*其他调用!V54/$E$4</f>
        <v>0</v>
      </c>
      <c r="AZ55" s="16">
        <f>求节点(F$28:F$34,$N$28:$N$34,$AR55)*$AS55*其他调用!W54/$E$4</f>
        <v>0</v>
      </c>
      <c r="BA55" s="16">
        <f>求节点(G$28:G$34,$N$28:$N$34,$AR55)*$AS55*其他调用!X54/$E$4</f>
        <v>0</v>
      </c>
      <c r="BB55" s="16">
        <f>求节点(H$28:H$34,$N$28:$N$34,$AR55)*$AS55*其他调用!Y54/$E$4</f>
        <v>0</v>
      </c>
      <c r="BC55" s="16">
        <f>求节点(I$28:I$34,$N$28:$N$34,$AR55)*$AS55*其他调用!Z54/$E$4</f>
        <v>0</v>
      </c>
      <c r="BD55" s="16">
        <f>求节点(E$28:E$34,$O$28:$O$34,$AR55)*$AS55*其他调用!V54/$E$4</f>
        <v>0</v>
      </c>
      <c r="BE55" s="16">
        <f>求节点(F$28:F$34,$O$28:$O$34,$AR55)*$AS55*其他调用!W54/$E$4</f>
        <v>0</v>
      </c>
      <c r="BF55" s="16">
        <f>求节点(G$28:G$34,$O$28:$O$34,$AR55)*$AS55*其他调用!X54/$E$4</f>
        <v>0</v>
      </c>
      <c r="BG55" s="16">
        <f>求节点(H$28:H$34,$O$28:$O$34,$AR55)*$AS55*其他调用!Y54/$E$4</f>
        <v>0</v>
      </c>
      <c r="BH55" s="16">
        <f>求节点(I$28:I$34,$O$28:$O$34,$AR55)*$AS55*其他调用!Z54/$E$4</f>
        <v>0</v>
      </c>
      <c r="BK55" s="16">
        <v>51</v>
      </c>
      <c r="BL55" s="16">
        <f>SUM(AT$5:AT55)</f>
        <v>0</v>
      </c>
      <c r="BM55" s="16">
        <f>SUM(AU$5:AU55)</f>
        <v>0</v>
      </c>
      <c r="BN55" s="16">
        <f>SUM(AV$5:AV55)</f>
        <v>0</v>
      </c>
      <c r="BO55" s="16">
        <f>SUM(AW$5:AW55)</f>
        <v>0</v>
      </c>
      <c r="BP55" s="16">
        <f>SUM(AX$5:AX55)</f>
        <v>0</v>
      </c>
      <c r="BQ55" s="16">
        <f>SUM(AY$5:AY55)</f>
        <v>0</v>
      </c>
      <c r="BR55" s="16">
        <f>SUM(AZ$5:AZ55)</f>
        <v>0</v>
      </c>
      <c r="BS55" s="16">
        <f>SUM(BA$5:BA55)</f>
        <v>0</v>
      </c>
      <c r="BT55" s="16">
        <f>SUM(BB$5:BB55)</f>
        <v>0</v>
      </c>
      <c r="BU55" s="16">
        <f>SUM(BC$5:BC55)</f>
        <v>0</v>
      </c>
      <c r="BV55" s="16">
        <f>SUM(BD$5:BD55)</f>
        <v>0</v>
      </c>
      <c r="BW55" s="16">
        <f>SUM(BE$5:BE55)</f>
        <v>0</v>
      </c>
      <c r="BX55" s="16">
        <f>SUM(BF$5:BF55)</f>
        <v>0</v>
      </c>
      <c r="BY55" s="16">
        <f>SUM(BG$5:BG55)</f>
        <v>0</v>
      </c>
      <c r="BZ55" s="16">
        <f>SUM(BH$5:BH55)</f>
        <v>0</v>
      </c>
      <c r="CC55" s="16">
        <v>51</v>
      </c>
      <c r="CD55" s="16">
        <f t="shared" si="21"/>
        <v>0</v>
      </c>
      <c r="CE55" s="16">
        <f t="shared" si="22"/>
        <v>0</v>
      </c>
      <c r="CF55" s="16">
        <f t="shared" si="23"/>
        <v>0</v>
      </c>
      <c r="CG55" s="16">
        <f t="shared" si="24"/>
        <v>0</v>
      </c>
      <c r="CH55" s="16">
        <f t="shared" si="25"/>
        <v>0</v>
      </c>
      <c r="CI55" s="16">
        <f t="shared" si="26"/>
        <v>0</v>
      </c>
      <c r="CJ55" s="16">
        <f t="shared" si="27"/>
        <v>0</v>
      </c>
      <c r="CK55" s="16">
        <f t="shared" si="28"/>
        <v>0</v>
      </c>
      <c r="CL55" s="16">
        <f t="shared" si="29"/>
        <v>0</v>
      </c>
      <c r="CM55" s="16">
        <f t="shared" si="30"/>
        <v>0</v>
      </c>
      <c r="CN55" s="16">
        <f t="shared" si="31"/>
        <v>0</v>
      </c>
      <c r="CO55" s="16">
        <f t="shared" si="32"/>
        <v>0</v>
      </c>
      <c r="CP55" s="16">
        <f t="shared" si="33"/>
        <v>0</v>
      </c>
      <c r="CQ55" s="16">
        <f t="shared" si="34"/>
        <v>0</v>
      </c>
      <c r="CR55" s="16">
        <f t="shared" si="35"/>
        <v>0</v>
      </c>
      <c r="CV55" s="16">
        <v>51</v>
      </c>
      <c r="CW55" s="35">
        <f t="shared" si="18"/>
        <v>0.13200000000000001</v>
      </c>
      <c r="CX55" s="16">
        <f>其他调用!V54/$E$4*求节点(E$28:E$34,$P$28:$P$34,$CV55)*$CW55</f>
        <v>0</v>
      </c>
      <c r="CY55" s="16">
        <f>其他调用!W54/$E$4*求节点(F$28:F$34,$P$28:$P$34,$CV55)*$CW55</f>
        <v>0</v>
      </c>
      <c r="CZ55" s="16">
        <f>其他调用!X54/$E$4*求节点(G$28:G$34,$P$28:$P$34,$CV55)*$CW55</f>
        <v>0</v>
      </c>
      <c r="DA55" s="16">
        <f>其他调用!Y54/$E$4*求节点(H$28:H$34,$P$28:$P$34,$CV55)*$CW55</f>
        <v>0</v>
      </c>
      <c r="DB55" s="16">
        <f>其他调用!Z54/$E$4*求节点(I$28:I$34,$P$28:$P$34,$CV55)*$CW55</f>
        <v>0</v>
      </c>
      <c r="DC55" s="16">
        <f>SUM(CX$5:CX55)</f>
        <v>0</v>
      </c>
      <c r="DD55" s="16">
        <f>SUM(CY$5:CY55)</f>
        <v>0</v>
      </c>
      <c r="DE55" s="16">
        <f>SUM(CZ$5:CZ55)</f>
        <v>0</v>
      </c>
      <c r="DF55" s="16">
        <f>SUM(DA$5:DA55)</f>
        <v>0</v>
      </c>
      <c r="DG55" s="16">
        <f>SUM(DB$5:DB55)</f>
        <v>0</v>
      </c>
    </row>
    <row r="56" spans="2:111">
      <c r="D56" s="16" t="s">
        <v>192</v>
      </c>
      <c r="E56" s="25">
        <f>'[1]功能-行军令'!AD24</f>
        <v>1</v>
      </c>
      <c r="F56" s="25">
        <f>'[1]功能-行军令'!AE24</f>
        <v>0</v>
      </c>
      <c r="G56" s="25">
        <f>'[1]功能-行军令'!AF24</f>
        <v>0</v>
      </c>
      <c r="X56" s="16">
        <v>52</v>
      </c>
      <c r="Y56" s="45">
        <f t="shared" si="16"/>
        <v>266.10169491525426</v>
      </c>
      <c r="Z56" s="24">
        <f t="shared" si="17"/>
        <v>6.8000000000000005E-2</v>
      </c>
      <c r="AA56" s="16">
        <f>$Y56*$Z56*其他调用!V55</f>
        <v>2048.9495315471586</v>
      </c>
      <c r="AB56" s="16">
        <f>$Y56*$Z56*其他调用!W55</f>
        <v>2610.1349743820438</v>
      </c>
      <c r="AC56" s="16">
        <f>$Y56*$Z56*其他调用!X55</f>
        <v>3001.2985285586942</v>
      </c>
      <c r="AD56" s="16">
        <f>$Y56*$Z56*其他调用!Y55</f>
        <v>2503.2850990807578</v>
      </c>
      <c r="AE56" s="16">
        <f>$Y56*$Z56*其他调用!Z55</f>
        <v>1349.9672000973078</v>
      </c>
      <c r="AH56" s="16">
        <v>52</v>
      </c>
      <c r="AI56" s="16">
        <f>SUM(AA$5:AA56)</f>
        <v>23849.846245690384</v>
      </c>
      <c r="AJ56" s="16">
        <f>SUM(AB$5:AB56)</f>
        <v>30173.173841255313</v>
      </c>
      <c r="AK56" s="16">
        <f>SUM(AC$5:AC56)</f>
        <v>33757.300686126204</v>
      </c>
      <c r="AL56" s="16">
        <f>SUM(AD$5:AD56)</f>
        <v>28237.805193534718</v>
      </c>
      <c r="AM56" s="16">
        <f>SUM(AE$5:AE56)</f>
        <v>15753.976146018766</v>
      </c>
      <c r="AR56" s="16">
        <v>52</v>
      </c>
      <c r="AS56" s="24">
        <f t="shared" si="20"/>
        <v>6.8000000000000005E-2</v>
      </c>
      <c r="AT56" s="16">
        <f>求节点(E$28:E$34,$M$28:$M$34,$AR56)*$AS56*其他调用!V55/$E$4</f>
        <v>0</v>
      </c>
      <c r="AU56" s="16">
        <f>求节点(F$28:F$34,$M$28:$M$34,$AR56)*$AS56*其他调用!W55/$E$4</f>
        <v>0</v>
      </c>
      <c r="AV56" s="16">
        <f>求节点(G$28:G$34,$M$28:$M$34,$AR56)*$AS56*其他调用!X55/$E$4</f>
        <v>0</v>
      </c>
      <c r="AW56" s="16">
        <f>求节点(H$28:H$34,$M$28:$M$34,$AR56)*$AS56*其他调用!Y55/$E$4</f>
        <v>0</v>
      </c>
      <c r="AX56" s="16">
        <f>求节点(I$28:I$34,$M$28:$M$34,$AR56)*$AS56*其他调用!Z55/$E$4</f>
        <v>0</v>
      </c>
      <c r="AY56" s="16">
        <f>求节点(E$28:E$34,$N$28:$N$34,$AR56)*$AS56*其他调用!V55/$E$4</f>
        <v>0</v>
      </c>
      <c r="AZ56" s="16">
        <f>求节点(F$28:F$34,$N$28:$N$34,$AR56)*$AS56*其他调用!W55/$E$4</f>
        <v>0</v>
      </c>
      <c r="BA56" s="16">
        <f>求节点(G$28:G$34,$N$28:$N$34,$AR56)*$AS56*其他调用!X55/$E$4</f>
        <v>0</v>
      </c>
      <c r="BB56" s="16">
        <f>求节点(H$28:H$34,$N$28:$N$34,$AR56)*$AS56*其他调用!Y55/$E$4</f>
        <v>0</v>
      </c>
      <c r="BC56" s="16">
        <f>求节点(I$28:I$34,$N$28:$N$34,$AR56)*$AS56*其他调用!Z55/$E$4</f>
        <v>0</v>
      </c>
      <c r="BD56" s="16">
        <f>求节点(E$28:E$34,$O$28:$O$34,$AR56)*$AS56*其他调用!V55/$E$4</f>
        <v>0</v>
      </c>
      <c r="BE56" s="16">
        <f>求节点(F$28:F$34,$O$28:$O$34,$AR56)*$AS56*其他调用!W55/$E$4</f>
        <v>0</v>
      </c>
      <c r="BF56" s="16">
        <f>求节点(G$28:G$34,$O$28:$O$34,$AR56)*$AS56*其他调用!X55/$E$4</f>
        <v>0</v>
      </c>
      <c r="BG56" s="16">
        <f>求节点(H$28:H$34,$O$28:$O$34,$AR56)*$AS56*其他调用!Y55/$E$4</f>
        <v>0</v>
      </c>
      <c r="BH56" s="16">
        <f>求节点(I$28:I$34,$O$28:$O$34,$AR56)*$AS56*其他调用!Z55/$E$4</f>
        <v>0</v>
      </c>
      <c r="BK56" s="16">
        <v>52</v>
      </c>
      <c r="BL56" s="16">
        <f>SUM(AT$5:AT56)</f>
        <v>0</v>
      </c>
      <c r="BM56" s="16">
        <f>SUM(AU$5:AU56)</f>
        <v>0</v>
      </c>
      <c r="BN56" s="16">
        <f>SUM(AV$5:AV56)</f>
        <v>0</v>
      </c>
      <c r="BO56" s="16">
        <f>SUM(AW$5:AW56)</f>
        <v>0</v>
      </c>
      <c r="BP56" s="16">
        <f>SUM(AX$5:AX56)</f>
        <v>0</v>
      </c>
      <c r="BQ56" s="16">
        <f>SUM(AY$5:AY56)</f>
        <v>0</v>
      </c>
      <c r="BR56" s="16">
        <f>SUM(AZ$5:AZ56)</f>
        <v>0</v>
      </c>
      <c r="BS56" s="16">
        <f>SUM(BA$5:BA56)</f>
        <v>0</v>
      </c>
      <c r="BT56" s="16">
        <f>SUM(BB$5:BB56)</f>
        <v>0</v>
      </c>
      <c r="BU56" s="16">
        <f>SUM(BC$5:BC56)</f>
        <v>0</v>
      </c>
      <c r="BV56" s="16">
        <f>SUM(BD$5:BD56)</f>
        <v>0</v>
      </c>
      <c r="BW56" s="16">
        <f>SUM(BE$5:BE56)</f>
        <v>0</v>
      </c>
      <c r="BX56" s="16">
        <f>SUM(BF$5:BF56)</f>
        <v>0</v>
      </c>
      <c r="BY56" s="16">
        <f>SUM(BG$5:BG56)</f>
        <v>0</v>
      </c>
      <c r="BZ56" s="16">
        <f>SUM(BH$5:BH56)</f>
        <v>0</v>
      </c>
      <c r="CC56" s="16">
        <v>52</v>
      </c>
      <c r="CD56" s="16">
        <f t="shared" si="21"/>
        <v>0</v>
      </c>
      <c r="CE56" s="16">
        <f t="shared" si="22"/>
        <v>0</v>
      </c>
      <c r="CF56" s="16">
        <f t="shared" si="23"/>
        <v>0</v>
      </c>
      <c r="CG56" s="16">
        <f t="shared" si="24"/>
        <v>0</v>
      </c>
      <c r="CH56" s="16">
        <f t="shared" si="25"/>
        <v>0</v>
      </c>
      <c r="CI56" s="16">
        <f t="shared" si="26"/>
        <v>0</v>
      </c>
      <c r="CJ56" s="16">
        <f t="shared" si="27"/>
        <v>0</v>
      </c>
      <c r="CK56" s="16">
        <f t="shared" si="28"/>
        <v>0</v>
      </c>
      <c r="CL56" s="16">
        <f t="shared" si="29"/>
        <v>0</v>
      </c>
      <c r="CM56" s="16">
        <f t="shared" si="30"/>
        <v>0</v>
      </c>
      <c r="CN56" s="16">
        <f t="shared" si="31"/>
        <v>0</v>
      </c>
      <c r="CO56" s="16">
        <f t="shared" si="32"/>
        <v>0</v>
      </c>
      <c r="CP56" s="16">
        <f t="shared" si="33"/>
        <v>0</v>
      </c>
      <c r="CQ56" s="16">
        <f t="shared" si="34"/>
        <v>0</v>
      </c>
      <c r="CR56" s="16">
        <f t="shared" si="35"/>
        <v>0</v>
      </c>
      <c r="CV56" s="16">
        <v>52</v>
      </c>
      <c r="CW56" s="35">
        <f t="shared" si="18"/>
        <v>0.13200000000000001</v>
      </c>
      <c r="CX56" s="16">
        <f>其他调用!V55/$E$4*求节点(E$28:E$34,$P$28:$P$34,$CV56)*$CW56</f>
        <v>0</v>
      </c>
      <c r="CY56" s="16">
        <f>其他调用!W55/$E$4*求节点(F$28:F$34,$P$28:$P$34,$CV56)*$CW56</f>
        <v>0</v>
      </c>
      <c r="CZ56" s="16">
        <f>其他调用!X55/$E$4*求节点(G$28:G$34,$P$28:$P$34,$CV56)*$CW56</f>
        <v>0</v>
      </c>
      <c r="DA56" s="16">
        <f>其他调用!Y55/$E$4*求节点(H$28:H$34,$P$28:$P$34,$CV56)*$CW56</f>
        <v>0</v>
      </c>
      <c r="DB56" s="16">
        <f>其他调用!Z55/$E$4*求节点(I$28:I$34,$P$28:$P$34,$CV56)*$CW56</f>
        <v>0.73858733755792194</v>
      </c>
      <c r="DC56" s="16">
        <f>SUM(CX$5:CX56)</f>
        <v>0</v>
      </c>
      <c r="DD56" s="16">
        <f>SUM(CY$5:CY56)</f>
        <v>0</v>
      </c>
      <c r="DE56" s="16">
        <f>SUM(CZ$5:CZ56)</f>
        <v>0</v>
      </c>
      <c r="DF56" s="16">
        <f>SUM(DA$5:DA56)</f>
        <v>0</v>
      </c>
      <c r="DG56" s="16">
        <f>SUM(DB$5:DB56)</f>
        <v>0.73858733755792194</v>
      </c>
    </row>
    <row r="57" spans="2:111">
      <c r="X57" s="16">
        <v>53</v>
      </c>
      <c r="Y57" s="45">
        <f t="shared" si="16"/>
        <v>270.33898305084745</v>
      </c>
      <c r="Z57" s="24">
        <f t="shared" si="17"/>
        <v>6.8000000000000005E-2</v>
      </c>
      <c r="AA57" s="16">
        <f>$Y57*$Z57*其他调用!V56</f>
        <v>2230.9780418544433</v>
      </c>
      <c r="AB57" s="16">
        <f>$Y57*$Z57*其他调用!W56</f>
        <v>2890.6460531850994</v>
      </c>
      <c r="AC57" s="16">
        <f>$Y57*$Z57*其他调用!X56</f>
        <v>3301.7868208604987</v>
      </c>
      <c r="AD57" s="16">
        <f>$Y57*$Z57*其他调用!Y56</f>
        <v>2630.0512218777462</v>
      </c>
      <c r="AE57" s="16">
        <f>$Y57*$Z57*其他调用!Z56</f>
        <v>1454.8445926419074</v>
      </c>
      <c r="AH57" s="16">
        <v>53</v>
      </c>
      <c r="AI57" s="16">
        <f>SUM(AA$5:AA57)</f>
        <v>26080.824287544827</v>
      </c>
      <c r="AJ57" s="16">
        <f>SUM(AB$5:AB57)</f>
        <v>33063.819894440414</v>
      </c>
      <c r="AK57" s="16">
        <f>SUM(AC$5:AC57)</f>
        <v>37059.087506986703</v>
      </c>
      <c r="AL57" s="16">
        <f>SUM(AD$5:AD57)</f>
        <v>30867.856415412465</v>
      </c>
      <c r="AM57" s="16">
        <f>SUM(AE$5:AE57)</f>
        <v>17208.820738660674</v>
      </c>
      <c r="AR57" s="16">
        <v>53</v>
      </c>
      <c r="AS57" s="24">
        <f t="shared" si="20"/>
        <v>6.8000000000000005E-2</v>
      </c>
      <c r="AT57" s="16">
        <f>求节点(E$28:E$34,$M$28:$M$34,$AR57)*$AS57*其他调用!V56/$E$4</f>
        <v>0</v>
      </c>
      <c r="AU57" s="16">
        <f>求节点(F$28:F$34,$M$28:$M$34,$AR57)*$AS57*其他调用!W56/$E$4</f>
        <v>0</v>
      </c>
      <c r="AV57" s="16">
        <f>求节点(G$28:G$34,$M$28:$M$34,$AR57)*$AS57*其他调用!X56/$E$4</f>
        <v>0</v>
      </c>
      <c r="AW57" s="16">
        <f>求节点(H$28:H$34,$M$28:$M$34,$AR57)*$AS57*其他调用!Y56/$E$4</f>
        <v>0</v>
      </c>
      <c r="AX57" s="16">
        <f>求节点(I$28:I$34,$M$28:$M$34,$AR57)*$AS57*其他调用!Z56/$E$4</f>
        <v>0</v>
      </c>
      <c r="AY57" s="16">
        <f>求节点(E$28:E$34,$N$28:$N$34,$AR57)*$AS57*其他调用!V56/$E$4</f>
        <v>0</v>
      </c>
      <c r="AZ57" s="16">
        <f>求节点(F$28:F$34,$N$28:$N$34,$AR57)*$AS57*其他调用!W56/$E$4</f>
        <v>0</v>
      </c>
      <c r="BA57" s="16">
        <f>求节点(G$28:G$34,$N$28:$N$34,$AR57)*$AS57*其他调用!X56/$E$4</f>
        <v>0</v>
      </c>
      <c r="BB57" s="16">
        <f>求节点(H$28:H$34,$N$28:$N$34,$AR57)*$AS57*其他调用!Y56/$E$4</f>
        <v>0</v>
      </c>
      <c r="BC57" s="16">
        <f>求节点(I$28:I$34,$N$28:$N$34,$AR57)*$AS57*其他调用!Z56/$E$4</f>
        <v>0</v>
      </c>
      <c r="BD57" s="16">
        <f>求节点(E$28:E$34,$O$28:$O$34,$AR57)*$AS57*其他调用!V56/$E$4</f>
        <v>0</v>
      </c>
      <c r="BE57" s="16">
        <f>求节点(F$28:F$34,$O$28:$O$34,$AR57)*$AS57*其他调用!W56/$E$4</f>
        <v>0</v>
      </c>
      <c r="BF57" s="16">
        <f>求节点(G$28:G$34,$O$28:$O$34,$AR57)*$AS57*其他调用!X56/$E$4</f>
        <v>0</v>
      </c>
      <c r="BG57" s="16">
        <f>求节点(H$28:H$34,$O$28:$O$34,$AR57)*$AS57*其他调用!Y56/$E$4</f>
        <v>0</v>
      </c>
      <c r="BH57" s="16">
        <f>求节点(I$28:I$34,$O$28:$O$34,$AR57)*$AS57*其他调用!Z56/$E$4</f>
        <v>0</v>
      </c>
      <c r="BK57" s="16">
        <v>53</v>
      </c>
      <c r="BL57" s="16">
        <f>SUM(AT$5:AT57)</f>
        <v>0</v>
      </c>
      <c r="BM57" s="16">
        <f>SUM(AU$5:AU57)</f>
        <v>0</v>
      </c>
      <c r="BN57" s="16">
        <f>SUM(AV$5:AV57)</f>
        <v>0</v>
      </c>
      <c r="BO57" s="16">
        <f>SUM(AW$5:AW57)</f>
        <v>0</v>
      </c>
      <c r="BP57" s="16">
        <f>SUM(AX$5:AX57)</f>
        <v>0</v>
      </c>
      <c r="BQ57" s="16">
        <f>SUM(AY$5:AY57)</f>
        <v>0</v>
      </c>
      <c r="BR57" s="16">
        <f>SUM(AZ$5:AZ57)</f>
        <v>0</v>
      </c>
      <c r="BS57" s="16">
        <f>SUM(BA$5:BA57)</f>
        <v>0</v>
      </c>
      <c r="BT57" s="16">
        <f>SUM(BB$5:BB57)</f>
        <v>0</v>
      </c>
      <c r="BU57" s="16">
        <f>SUM(BC$5:BC57)</f>
        <v>0</v>
      </c>
      <c r="BV57" s="16">
        <f>SUM(BD$5:BD57)</f>
        <v>0</v>
      </c>
      <c r="BW57" s="16">
        <f>SUM(BE$5:BE57)</f>
        <v>0</v>
      </c>
      <c r="BX57" s="16">
        <f>SUM(BF$5:BF57)</f>
        <v>0</v>
      </c>
      <c r="BY57" s="16">
        <f>SUM(BG$5:BG57)</f>
        <v>0</v>
      </c>
      <c r="BZ57" s="16">
        <f>SUM(BH$5:BH57)</f>
        <v>0</v>
      </c>
      <c r="CC57" s="16">
        <v>53</v>
      </c>
      <c r="CD57" s="16">
        <f t="shared" si="21"/>
        <v>0</v>
      </c>
      <c r="CE57" s="16">
        <f t="shared" si="22"/>
        <v>0</v>
      </c>
      <c r="CF57" s="16">
        <f t="shared" si="23"/>
        <v>0</v>
      </c>
      <c r="CG57" s="16">
        <f t="shared" si="24"/>
        <v>0</v>
      </c>
      <c r="CH57" s="16">
        <f t="shared" si="25"/>
        <v>0</v>
      </c>
      <c r="CI57" s="16">
        <f t="shared" si="26"/>
        <v>0</v>
      </c>
      <c r="CJ57" s="16">
        <f t="shared" si="27"/>
        <v>0</v>
      </c>
      <c r="CK57" s="16">
        <f t="shared" si="28"/>
        <v>0</v>
      </c>
      <c r="CL57" s="16">
        <f t="shared" si="29"/>
        <v>0</v>
      </c>
      <c r="CM57" s="16">
        <f t="shared" si="30"/>
        <v>0</v>
      </c>
      <c r="CN57" s="16">
        <f t="shared" si="31"/>
        <v>0</v>
      </c>
      <c r="CO57" s="16">
        <f t="shared" si="32"/>
        <v>0</v>
      </c>
      <c r="CP57" s="16">
        <f t="shared" si="33"/>
        <v>0</v>
      </c>
      <c r="CQ57" s="16">
        <f t="shared" si="34"/>
        <v>0</v>
      </c>
      <c r="CR57" s="16">
        <f t="shared" si="35"/>
        <v>0</v>
      </c>
      <c r="CV57" s="16">
        <v>53</v>
      </c>
      <c r="CW57" s="35">
        <f t="shared" si="18"/>
        <v>0.13200000000000001</v>
      </c>
      <c r="CX57" s="16">
        <f>其他调用!V56/$E$4*求节点(E$28:E$34,$P$28:$P$34,$CV57)*$CW57</f>
        <v>0</v>
      </c>
      <c r="CY57" s="16">
        <f>其他调用!W56/$E$4*求节点(F$28:F$34,$P$28:$P$34,$CV57)*$CW57</f>
        <v>0</v>
      </c>
      <c r="CZ57" s="16">
        <f>其他调用!X56/$E$4*求节点(G$28:G$34,$P$28:$P$34,$CV57)*$CW57</f>
        <v>0</v>
      </c>
      <c r="DA57" s="16">
        <f>其他调用!Y56/$E$4*求节点(H$28:H$34,$P$28:$P$34,$CV57)*$CW57</f>
        <v>1.4163866113763521</v>
      </c>
      <c r="DB57" s="16">
        <f>其他调用!Z56/$E$4*求节点(I$28:I$34,$P$28:$P$34,$CV57)*$CW57</f>
        <v>0.78349135770066203</v>
      </c>
      <c r="DC57" s="16">
        <f>SUM(CX$5:CX57)</f>
        <v>0</v>
      </c>
      <c r="DD57" s="16">
        <f>SUM(CY$5:CY57)</f>
        <v>0</v>
      </c>
      <c r="DE57" s="16">
        <f>SUM(CZ$5:CZ57)</f>
        <v>0</v>
      </c>
      <c r="DF57" s="16">
        <f>SUM(DA$5:DA57)</f>
        <v>1.4163866113763521</v>
      </c>
      <c r="DG57" s="16">
        <f>SUM(DB$5:DB57)</f>
        <v>1.5220786952585841</v>
      </c>
    </row>
    <row r="58" spans="2:111">
      <c r="X58" s="16">
        <v>54</v>
      </c>
      <c r="Y58" s="45">
        <f t="shared" si="16"/>
        <v>274.57627118644069</v>
      </c>
      <c r="Z58" s="24">
        <f t="shared" si="17"/>
        <v>6.8000000000000005E-2</v>
      </c>
      <c r="AA58" s="16">
        <f>$Y58*$Z58*其他调用!V57</f>
        <v>2428.5811651614381</v>
      </c>
      <c r="AB58" s="16">
        <f>$Y58*$Z58*其他调用!W57</f>
        <v>3151.7554631516709</v>
      </c>
      <c r="AC58" s="16">
        <f>$Y58*$Z58*其他调用!X57</f>
        <v>3352.9163707623966</v>
      </c>
      <c r="AD58" s="16">
        <f>$Y58*$Z58*其他调用!Y57</f>
        <v>2774.6783767154484</v>
      </c>
      <c r="AE58" s="16">
        <f>$Y58*$Z58*其他调用!Z57</f>
        <v>1486.8952898996499</v>
      </c>
      <c r="AH58" s="16">
        <v>54</v>
      </c>
      <c r="AI58" s="16">
        <f>SUM(AA$5:AA58)</f>
        <v>28509.405452706265</v>
      </c>
      <c r="AJ58" s="16">
        <f>SUM(AB$5:AB58)</f>
        <v>36215.575357592083</v>
      </c>
      <c r="AK58" s="16">
        <f>SUM(AC$5:AC58)</f>
        <v>40412.003877749099</v>
      </c>
      <c r="AL58" s="16">
        <f>SUM(AD$5:AD58)</f>
        <v>33642.534792127917</v>
      </c>
      <c r="AM58" s="16">
        <f>SUM(AE$5:AE58)</f>
        <v>18695.716028560324</v>
      </c>
      <c r="AR58" s="16">
        <v>54</v>
      </c>
      <c r="AS58" s="24">
        <f t="shared" si="20"/>
        <v>6.8000000000000005E-2</v>
      </c>
      <c r="AT58" s="16">
        <f>求节点(E$28:E$34,$M$28:$M$34,$AR58)*$AS58*其他调用!V57/$E$4</f>
        <v>0</v>
      </c>
      <c r="AU58" s="16">
        <f>求节点(F$28:F$34,$M$28:$M$34,$AR58)*$AS58*其他调用!W57/$E$4</f>
        <v>0</v>
      </c>
      <c r="AV58" s="16">
        <f>求节点(G$28:G$34,$M$28:$M$34,$AR58)*$AS58*其他调用!X57/$E$4</f>
        <v>0</v>
      </c>
      <c r="AW58" s="16">
        <f>求节点(H$28:H$34,$M$28:$M$34,$AR58)*$AS58*其他调用!Y57/$E$4</f>
        <v>0</v>
      </c>
      <c r="AX58" s="16">
        <f>求节点(I$28:I$34,$M$28:$M$34,$AR58)*$AS58*其他调用!Z57/$E$4</f>
        <v>0</v>
      </c>
      <c r="AY58" s="16">
        <f>求节点(E$28:E$34,$N$28:$N$34,$AR58)*$AS58*其他调用!V57/$E$4</f>
        <v>0</v>
      </c>
      <c r="AZ58" s="16">
        <f>求节点(F$28:F$34,$N$28:$N$34,$AR58)*$AS58*其他调用!W57/$E$4</f>
        <v>0</v>
      </c>
      <c r="BA58" s="16">
        <f>求节点(G$28:G$34,$N$28:$N$34,$AR58)*$AS58*其他调用!X57/$E$4</f>
        <v>0</v>
      </c>
      <c r="BB58" s="16">
        <f>求节点(H$28:H$34,$N$28:$N$34,$AR58)*$AS58*其他调用!Y57/$E$4</f>
        <v>0</v>
      </c>
      <c r="BC58" s="16">
        <f>求节点(I$28:I$34,$N$28:$N$34,$AR58)*$AS58*其他调用!Z57/$E$4</f>
        <v>0</v>
      </c>
      <c r="BD58" s="16">
        <f>求节点(E$28:E$34,$O$28:$O$34,$AR58)*$AS58*其他调用!V57/$E$4</f>
        <v>0</v>
      </c>
      <c r="BE58" s="16">
        <f>求节点(F$28:F$34,$O$28:$O$34,$AR58)*$AS58*其他调用!W57/$E$4</f>
        <v>0</v>
      </c>
      <c r="BF58" s="16">
        <f>求节点(G$28:G$34,$O$28:$O$34,$AR58)*$AS58*其他调用!X57/$E$4</f>
        <v>0</v>
      </c>
      <c r="BG58" s="16">
        <f>求节点(H$28:H$34,$O$28:$O$34,$AR58)*$AS58*其他调用!Y57/$E$4</f>
        <v>0</v>
      </c>
      <c r="BH58" s="16">
        <f>求节点(I$28:I$34,$O$28:$O$34,$AR58)*$AS58*其他调用!Z57/$E$4</f>
        <v>0</v>
      </c>
      <c r="BK58" s="16">
        <v>54</v>
      </c>
      <c r="BL58" s="16">
        <f>SUM(AT$5:AT58)</f>
        <v>0</v>
      </c>
      <c r="BM58" s="16">
        <f>SUM(AU$5:AU58)</f>
        <v>0</v>
      </c>
      <c r="BN58" s="16">
        <f>SUM(AV$5:AV58)</f>
        <v>0</v>
      </c>
      <c r="BO58" s="16">
        <f>SUM(AW$5:AW58)</f>
        <v>0</v>
      </c>
      <c r="BP58" s="16">
        <f>SUM(AX$5:AX58)</f>
        <v>0</v>
      </c>
      <c r="BQ58" s="16">
        <f>SUM(AY$5:AY58)</f>
        <v>0</v>
      </c>
      <c r="BR58" s="16">
        <f>SUM(AZ$5:AZ58)</f>
        <v>0</v>
      </c>
      <c r="BS58" s="16">
        <f>SUM(BA$5:BA58)</f>
        <v>0</v>
      </c>
      <c r="BT58" s="16">
        <f>SUM(BB$5:BB58)</f>
        <v>0</v>
      </c>
      <c r="BU58" s="16">
        <f>SUM(BC$5:BC58)</f>
        <v>0</v>
      </c>
      <c r="BV58" s="16">
        <f>SUM(BD$5:BD58)</f>
        <v>0</v>
      </c>
      <c r="BW58" s="16">
        <f>SUM(BE$5:BE58)</f>
        <v>0</v>
      </c>
      <c r="BX58" s="16">
        <f>SUM(BF$5:BF58)</f>
        <v>0</v>
      </c>
      <c r="BY58" s="16">
        <f>SUM(BG$5:BG58)</f>
        <v>0</v>
      </c>
      <c r="BZ58" s="16">
        <f>SUM(BH$5:BH58)</f>
        <v>0</v>
      </c>
      <c r="CC58" s="16">
        <v>54</v>
      </c>
      <c r="CD58" s="16">
        <f t="shared" si="21"/>
        <v>0</v>
      </c>
      <c r="CE58" s="16">
        <f t="shared" si="22"/>
        <v>0</v>
      </c>
      <c r="CF58" s="16">
        <f t="shared" si="23"/>
        <v>0</v>
      </c>
      <c r="CG58" s="16">
        <f t="shared" si="24"/>
        <v>0</v>
      </c>
      <c r="CH58" s="16">
        <f t="shared" si="25"/>
        <v>0</v>
      </c>
      <c r="CI58" s="16">
        <f t="shared" si="26"/>
        <v>0</v>
      </c>
      <c r="CJ58" s="16">
        <f t="shared" si="27"/>
        <v>0</v>
      </c>
      <c r="CK58" s="16">
        <f t="shared" si="28"/>
        <v>0</v>
      </c>
      <c r="CL58" s="16">
        <f t="shared" si="29"/>
        <v>0</v>
      </c>
      <c r="CM58" s="16">
        <f t="shared" si="30"/>
        <v>0</v>
      </c>
      <c r="CN58" s="16">
        <f t="shared" si="31"/>
        <v>0</v>
      </c>
      <c r="CO58" s="16">
        <f t="shared" si="32"/>
        <v>0</v>
      </c>
      <c r="CP58" s="16">
        <f t="shared" si="33"/>
        <v>0</v>
      </c>
      <c r="CQ58" s="16">
        <f t="shared" si="34"/>
        <v>0</v>
      </c>
      <c r="CR58" s="16">
        <f t="shared" si="35"/>
        <v>0</v>
      </c>
      <c r="CV58" s="16">
        <v>54</v>
      </c>
      <c r="CW58" s="35">
        <f t="shared" si="18"/>
        <v>0.13200000000000001</v>
      </c>
      <c r="CX58" s="16">
        <f>其他调用!V57/$E$4*求节点(E$28:E$34,$P$28:$P$34,$CV58)*$CW58</f>
        <v>0</v>
      </c>
      <c r="CY58" s="16">
        <f>其他调用!W57/$E$4*求节点(F$28:F$34,$P$28:$P$34,$CV58)*$CW58</f>
        <v>0</v>
      </c>
      <c r="CZ58" s="16">
        <f>其他调用!X57/$E$4*求节点(G$28:G$34,$P$28:$P$34,$CV58)*$CW58</f>
        <v>0</v>
      </c>
      <c r="DA58" s="16">
        <f>其他调用!Y57/$E$4*求节点(H$28:H$34,$P$28:$P$34,$CV58)*$CW58</f>
        <v>1.4712142700068023</v>
      </c>
      <c r="DB58" s="16">
        <f>其他调用!Z57/$E$4*求节点(I$28:I$34,$P$28:$P$34,$CV58)*$CW58</f>
        <v>0.7883946430922163</v>
      </c>
      <c r="DC58" s="16">
        <f>SUM(CX$5:CX58)</f>
        <v>0</v>
      </c>
      <c r="DD58" s="16">
        <f>SUM(CY$5:CY58)</f>
        <v>0</v>
      </c>
      <c r="DE58" s="16">
        <f>SUM(CZ$5:CZ58)</f>
        <v>0</v>
      </c>
      <c r="DF58" s="16">
        <f>SUM(DA$5:DA58)</f>
        <v>2.8876008813831544</v>
      </c>
      <c r="DG58" s="16">
        <f>SUM(DB$5:DB58)</f>
        <v>2.3104733383508003</v>
      </c>
    </row>
    <row r="59" spans="2:111">
      <c r="X59" s="16">
        <v>55</v>
      </c>
      <c r="Y59" s="45">
        <f t="shared" si="16"/>
        <v>278.81355932203394</v>
      </c>
      <c r="Z59" s="24">
        <f t="shared" si="17"/>
        <v>6.8000000000000005E-2</v>
      </c>
      <c r="AA59" s="16">
        <f>$Y59*$Z59*其他调用!V58</f>
        <v>2643.0568821582674</v>
      </c>
      <c r="AB59" s="16">
        <f>$Y59*$Z59*其他调用!W58</f>
        <v>3283.831543721441</v>
      </c>
      <c r="AC59" s="16">
        <f>$Y59*$Z59*其他调用!X58</f>
        <v>3603.3531895461629</v>
      </c>
      <c r="AD59" s="16">
        <f>$Y59*$Z59*其他调用!Y58</f>
        <v>2968.632591122619</v>
      </c>
      <c r="AE59" s="16">
        <f>$Y59*$Z59*其他调用!Z58</f>
        <v>1626.4045304159486</v>
      </c>
      <c r="AH59" s="16">
        <v>55</v>
      </c>
      <c r="AI59" s="16">
        <f>SUM(AA$5:AA59)</f>
        <v>31152.462334864533</v>
      </c>
      <c r="AJ59" s="16">
        <f>SUM(AB$5:AB59)</f>
        <v>39499.406901313523</v>
      </c>
      <c r="AK59" s="16">
        <f>SUM(AC$5:AC59)</f>
        <v>44015.357067295263</v>
      </c>
      <c r="AL59" s="16">
        <f>SUM(AD$5:AD59)</f>
        <v>36611.167383250533</v>
      </c>
      <c r="AM59" s="16">
        <f>SUM(AE$5:AE59)</f>
        <v>20322.120558976272</v>
      </c>
      <c r="AR59" s="16">
        <v>55</v>
      </c>
      <c r="AS59" s="24">
        <f t="shared" si="20"/>
        <v>6.8000000000000005E-2</v>
      </c>
      <c r="AT59" s="16">
        <f>求节点(E$28:E$34,$M$28:$M$34,$AR59)*$AS59*其他调用!V58/$E$4</f>
        <v>0</v>
      </c>
      <c r="AU59" s="16">
        <f>求节点(F$28:F$34,$M$28:$M$34,$AR59)*$AS59*其他调用!W58/$E$4</f>
        <v>0</v>
      </c>
      <c r="AV59" s="16">
        <f>求节点(G$28:G$34,$M$28:$M$34,$AR59)*$AS59*其他调用!X58/$E$4</f>
        <v>0</v>
      </c>
      <c r="AW59" s="16">
        <f>求节点(H$28:H$34,$M$28:$M$34,$AR59)*$AS59*其他调用!Y58/$E$4</f>
        <v>0</v>
      </c>
      <c r="AX59" s="16">
        <f>求节点(I$28:I$34,$M$28:$M$34,$AR59)*$AS59*其他调用!Z58/$E$4</f>
        <v>0</v>
      </c>
      <c r="AY59" s="16">
        <f>求节点(E$28:E$34,$N$28:$N$34,$AR59)*$AS59*其他调用!V58/$E$4</f>
        <v>0</v>
      </c>
      <c r="AZ59" s="16">
        <f>求节点(F$28:F$34,$N$28:$N$34,$AR59)*$AS59*其他调用!W58/$E$4</f>
        <v>0</v>
      </c>
      <c r="BA59" s="16">
        <f>求节点(G$28:G$34,$N$28:$N$34,$AR59)*$AS59*其他调用!X58/$E$4</f>
        <v>0</v>
      </c>
      <c r="BB59" s="16">
        <f>求节点(H$28:H$34,$N$28:$N$34,$AR59)*$AS59*其他调用!Y58/$E$4</f>
        <v>0</v>
      </c>
      <c r="BC59" s="16">
        <f>求节点(I$28:I$34,$N$28:$N$34,$AR59)*$AS59*其他调用!Z58/$E$4</f>
        <v>0</v>
      </c>
      <c r="BD59" s="16">
        <f>求节点(E$28:E$34,$O$28:$O$34,$AR59)*$AS59*其他调用!V58/$E$4</f>
        <v>0</v>
      </c>
      <c r="BE59" s="16">
        <f>求节点(F$28:F$34,$O$28:$O$34,$AR59)*$AS59*其他调用!W58/$E$4</f>
        <v>0</v>
      </c>
      <c r="BF59" s="16">
        <f>求节点(G$28:G$34,$O$28:$O$34,$AR59)*$AS59*其他调用!X58/$E$4</f>
        <v>0</v>
      </c>
      <c r="BG59" s="16">
        <f>求节点(H$28:H$34,$O$28:$O$34,$AR59)*$AS59*其他调用!Y58/$E$4</f>
        <v>0</v>
      </c>
      <c r="BH59" s="16">
        <f>求节点(I$28:I$34,$O$28:$O$34,$AR59)*$AS59*其他调用!Z58/$E$4</f>
        <v>0</v>
      </c>
      <c r="BK59" s="16">
        <v>55</v>
      </c>
      <c r="BL59" s="16">
        <f>SUM(AT$5:AT59)</f>
        <v>0</v>
      </c>
      <c r="BM59" s="16">
        <f>SUM(AU$5:AU59)</f>
        <v>0</v>
      </c>
      <c r="BN59" s="16">
        <f>SUM(AV$5:AV59)</f>
        <v>0</v>
      </c>
      <c r="BO59" s="16">
        <f>SUM(AW$5:AW59)</f>
        <v>0</v>
      </c>
      <c r="BP59" s="16">
        <f>SUM(AX$5:AX59)</f>
        <v>0</v>
      </c>
      <c r="BQ59" s="16">
        <f>SUM(AY$5:AY59)</f>
        <v>0</v>
      </c>
      <c r="BR59" s="16">
        <f>SUM(AZ$5:AZ59)</f>
        <v>0</v>
      </c>
      <c r="BS59" s="16">
        <f>SUM(BA$5:BA59)</f>
        <v>0</v>
      </c>
      <c r="BT59" s="16">
        <f>SUM(BB$5:BB59)</f>
        <v>0</v>
      </c>
      <c r="BU59" s="16">
        <f>SUM(BC$5:BC59)</f>
        <v>0</v>
      </c>
      <c r="BV59" s="16">
        <f>SUM(BD$5:BD59)</f>
        <v>0</v>
      </c>
      <c r="BW59" s="16">
        <f>SUM(BE$5:BE59)</f>
        <v>0</v>
      </c>
      <c r="BX59" s="16">
        <f>SUM(BF$5:BF59)</f>
        <v>0</v>
      </c>
      <c r="BY59" s="16">
        <f>SUM(BG$5:BG59)</f>
        <v>0</v>
      </c>
      <c r="BZ59" s="16">
        <f>SUM(BH$5:BH59)</f>
        <v>0</v>
      </c>
      <c r="CC59" s="16">
        <v>55</v>
      </c>
      <c r="CD59" s="16">
        <f t="shared" si="21"/>
        <v>0</v>
      </c>
      <c r="CE59" s="16">
        <f t="shared" si="22"/>
        <v>0</v>
      </c>
      <c r="CF59" s="16">
        <f t="shared" si="23"/>
        <v>0</v>
      </c>
      <c r="CG59" s="16">
        <f t="shared" si="24"/>
        <v>0</v>
      </c>
      <c r="CH59" s="16">
        <f t="shared" si="25"/>
        <v>0</v>
      </c>
      <c r="CI59" s="16">
        <f t="shared" si="26"/>
        <v>0</v>
      </c>
      <c r="CJ59" s="16">
        <f t="shared" si="27"/>
        <v>0</v>
      </c>
      <c r="CK59" s="16">
        <f t="shared" si="28"/>
        <v>0</v>
      </c>
      <c r="CL59" s="16">
        <f t="shared" si="29"/>
        <v>0</v>
      </c>
      <c r="CM59" s="16">
        <f t="shared" si="30"/>
        <v>0</v>
      </c>
      <c r="CN59" s="16">
        <f t="shared" si="31"/>
        <v>0</v>
      </c>
      <c r="CO59" s="16">
        <f t="shared" si="32"/>
        <v>0</v>
      </c>
      <c r="CP59" s="16">
        <f t="shared" si="33"/>
        <v>0</v>
      </c>
      <c r="CQ59" s="16">
        <f t="shared" si="34"/>
        <v>0</v>
      </c>
      <c r="CR59" s="16">
        <f t="shared" si="35"/>
        <v>0</v>
      </c>
      <c r="CV59" s="16">
        <v>55</v>
      </c>
      <c r="CW59" s="35">
        <f t="shared" si="18"/>
        <v>0.13200000000000001</v>
      </c>
      <c r="CX59" s="16">
        <f>其他调用!V58/$E$4*求节点(E$28:E$34,$P$28:$P$34,$CV59)*$CW59</f>
        <v>0</v>
      </c>
      <c r="CY59" s="16">
        <f>其他调用!W58/$E$4*求节点(F$28:F$34,$P$28:$P$34,$CV59)*$CW59</f>
        <v>0</v>
      </c>
      <c r="CZ59" s="16">
        <f>其他调用!X58/$E$4*求节点(G$28:G$34,$P$28:$P$34,$CV59)*$CW59</f>
        <v>0</v>
      </c>
      <c r="DA59" s="16">
        <f>其他调用!Y58/$E$4*求节点(H$28:H$34,$P$28:$P$34,$CV59)*$CW59</f>
        <v>1.5501325732833195</v>
      </c>
      <c r="DB59" s="16">
        <f>其他调用!Z58/$E$4*求节点(I$28:I$34,$P$28:$P$34,$CV59)*$CW59</f>
        <v>0.84926058127655579</v>
      </c>
      <c r="DC59" s="16">
        <f>SUM(CX$5:CX59)</f>
        <v>0</v>
      </c>
      <c r="DD59" s="16">
        <f>SUM(CY$5:CY59)</f>
        <v>0</v>
      </c>
      <c r="DE59" s="16">
        <f>SUM(CZ$5:CZ59)</f>
        <v>0</v>
      </c>
      <c r="DF59" s="16">
        <f>SUM(DA$5:DA59)</f>
        <v>4.437733454666474</v>
      </c>
      <c r="DG59" s="16">
        <f>SUM(DB$5:DB59)</f>
        <v>3.1597339196273562</v>
      </c>
    </row>
    <row r="60" spans="2:111">
      <c r="X60" s="16">
        <v>56</v>
      </c>
      <c r="Y60" s="45">
        <f t="shared" si="16"/>
        <v>283.05084745762713</v>
      </c>
      <c r="Z60" s="24">
        <f t="shared" si="17"/>
        <v>6.8000000000000005E-2</v>
      </c>
      <c r="AA60" s="16">
        <f>$Y60*$Z60*其他调用!V59</f>
        <v>2875.8092631445429</v>
      </c>
      <c r="AB60" s="16">
        <f>$Y60*$Z60*其他调用!W59</f>
        <v>3536.8166896841326</v>
      </c>
      <c r="AC60" s="16">
        <f>$Y60*$Z60*其他调用!X59</f>
        <v>3934.5835391044052</v>
      </c>
      <c r="AD60" s="16">
        <f>$Y60*$Z60*其他调用!Y59</f>
        <v>3227.6262751070094</v>
      </c>
      <c r="AE60" s="16">
        <f>$Y60*$Z60*其他调用!Z59</f>
        <v>1770.4899789155829</v>
      </c>
      <c r="AH60" s="16">
        <v>56</v>
      </c>
      <c r="AI60" s="16">
        <f>SUM(AA$5:AA60)</f>
        <v>34028.271598009072</v>
      </c>
      <c r="AJ60" s="16">
        <f>SUM(AB$5:AB60)</f>
        <v>43036.223590997659</v>
      </c>
      <c r="AK60" s="16">
        <f>SUM(AC$5:AC60)</f>
        <v>47949.940606399665</v>
      </c>
      <c r="AL60" s="16">
        <f>SUM(AD$5:AD60)</f>
        <v>39838.793658357543</v>
      </c>
      <c r="AM60" s="16">
        <f>SUM(AE$5:AE60)</f>
        <v>22092.610537891855</v>
      </c>
      <c r="AR60" s="16">
        <v>56</v>
      </c>
      <c r="AS60" s="24">
        <f t="shared" si="20"/>
        <v>6.8000000000000005E-2</v>
      </c>
      <c r="AT60" s="16">
        <f>求节点(E$28:E$34,$M$28:$M$34,$AR60)*$AS60*其他调用!V59/$E$4</f>
        <v>0</v>
      </c>
      <c r="AU60" s="16">
        <f>求节点(F$28:F$34,$M$28:$M$34,$AR60)*$AS60*其他调用!W59/$E$4</f>
        <v>0</v>
      </c>
      <c r="AV60" s="16">
        <f>求节点(G$28:G$34,$M$28:$M$34,$AR60)*$AS60*其他调用!X59/$E$4</f>
        <v>0</v>
      </c>
      <c r="AW60" s="16">
        <f>求节点(H$28:H$34,$M$28:$M$34,$AR60)*$AS60*其他调用!Y59/$E$4</f>
        <v>0</v>
      </c>
      <c r="AX60" s="16">
        <f>求节点(I$28:I$34,$M$28:$M$34,$AR60)*$AS60*其他调用!Z59/$E$4</f>
        <v>0</v>
      </c>
      <c r="AY60" s="16">
        <f>求节点(E$28:E$34,$N$28:$N$34,$AR60)*$AS60*其他调用!V59/$E$4</f>
        <v>0</v>
      </c>
      <c r="AZ60" s="16">
        <f>求节点(F$28:F$34,$N$28:$N$34,$AR60)*$AS60*其他调用!W59/$E$4</f>
        <v>0</v>
      </c>
      <c r="BA60" s="16">
        <f>求节点(G$28:G$34,$N$28:$N$34,$AR60)*$AS60*其他调用!X59/$E$4</f>
        <v>0</v>
      </c>
      <c r="BB60" s="16">
        <f>求节点(H$28:H$34,$N$28:$N$34,$AR60)*$AS60*其他调用!Y59/$E$4</f>
        <v>0</v>
      </c>
      <c r="BC60" s="16">
        <f>求节点(I$28:I$34,$N$28:$N$34,$AR60)*$AS60*其他调用!Z59/$E$4</f>
        <v>0</v>
      </c>
      <c r="BD60" s="16">
        <f>求节点(E$28:E$34,$O$28:$O$34,$AR60)*$AS60*其他调用!V59/$E$4</f>
        <v>0</v>
      </c>
      <c r="BE60" s="16">
        <f>求节点(F$28:F$34,$O$28:$O$34,$AR60)*$AS60*其他调用!W59/$E$4</f>
        <v>0</v>
      </c>
      <c r="BF60" s="16">
        <f>求节点(G$28:G$34,$O$28:$O$34,$AR60)*$AS60*其他调用!X59/$E$4</f>
        <v>0</v>
      </c>
      <c r="BG60" s="16">
        <f>求节点(H$28:H$34,$O$28:$O$34,$AR60)*$AS60*其他调用!Y59/$E$4</f>
        <v>0</v>
      </c>
      <c r="BH60" s="16">
        <f>求节点(I$28:I$34,$O$28:$O$34,$AR60)*$AS60*其他调用!Z59/$E$4</f>
        <v>0</v>
      </c>
      <c r="BK60" s="16">
        <v>56</v>
      </c>
      <c r="BL60" s="16">
        <f>SUM(AT$5:AT60)</f>
        <v>0</v>
      </c>
      <c r="BM60" s="16">
        <f>SUM(AU$5:AU60)</f>
        <v>0</v>
      </c>
      <c r="BN60" s="16">
        <f>SUM(AV$5:AV60)</f>
        <v>0</v>
      </c>
      <c r="BO60" s="16">
        <f>SUM(AW$5:AW60)</f>
        <v>0</v>
      </c>
      <c r="BP60" s="16">
        <f>SUM(AX$5:AX60)</f>
        <v>0</v>
      </c>
      <c r="BQ60" s="16">
        <f>SUM(AY$5:AY60)</f>
        <v>0</v>
      </c>
      <c r="BR60" s="16">
        <f>SUM(AZ$5:AZ60)</f>
        <v>0</v>
      </c>
      <c r="BS60" s="16">
        <f>SUM(BA$5:BA60)</f>
        <v>0</v>
      </c>
      <c r="BT60" s="16">
        <f>SUM(BB$5:BB60)</f>
        <v>0</v>
      </c>
      <c r="BU60" s="16">
        <f>SUM(BC$5:BC60)</f>
        <v>0</v>
      </c>
      <c r="BV60" s="16">
        <f>SUM(BD$5:BD60)</f>
        <v>0</v>
      </c>
      <c r="BW60" s="16">
        <f>SUM(BE$5:BE60)</f>
        <v>0</v>
      </c>
      <c r="BX60" s="16">
        <f>SUM(BF$5:BF60)</f>
        <v>0</v>
      </c>
      <c r="BY60" s="16">
        <f>SUM(BG$5:BG60)</f>
        <v>0</v>
      </c>
      <c r="BZ60" s="16">
        <f>SUM(BH$5:BH60)</f>
        <v>0</v>
      </c>
      <c r="CC60" s="16">
        <v>56</v>
      </c>
      <c r="CD60" s="16">
        <f t="shared" si="21"/>
        <v>0</v>
      </c>
      <c r="CE60" s="16">
        <f t="shared" si="22"/>
        <v>0</v>
      </c>
      <c r="CF60" s="16">
        <f t="shared" si="23"/>
        <v>0</v>
      </c>
      <c r="CG60" s="16">
        <f t="shared" si="24"/>
        <v>0</v>
      </c>
      <c r="CH60" s="16">
        <f t="shared" si="25"/>
        <v>0</v>
      </c>
      <c r="CI60" s="16">
        <f t="shared" si="26"/>
        <v>0</v>
      </c>
      <c r="CJ60" s="16">
        <f t="shared" si="27"/>
        <v>0</v>
      </c>
      <c r="CK60" s="16">
        <f t="shared" si="28"/>
        <v>0</v>
      </c>
      <c r="CL60" s="16">
        <f t="shared" si="29"/>
        <v>0</v>
      </c>
      <c r="CM60" s="16">
        <f t="shared" si="30"/>
        <v>0</v>
      </c>
      <c r="CN60" s="16">
        <f t="shared" si="31"/>
        <v>0</v>
      </c>
      <c r="CO60" s="16">
        <f t="shared" si="32"/>
        <v>0</v>
      </c>
      <c r="CP60" s="16">
        <f t="shared" si="33"/>
        <v>0</v>
      </c>
      <c r="CQ60" s="16">
        <f t="shared" si="34"/>
        <v>0</v>
      </c>
      <c r="CR60" s="16">
        <f t="shared" si="35"/>
        <v>0</v>
      </c>
      <c r="CV60" s="16">
        <v>56</v>
      </c>
      <c r="CW60" s="35">
        <f t="shared" si="18"/>
        <v>0.13200000000000001</v>
      </c>
      <c r="CX60" s="16">
        <f>其他调用!V59/$E$4*求节点(E$28:E$34,$P$28:$P$34,$CV60)*$CW60</f>
        <v>0</v>
      </c>
      <c r="CY60" s="16">
        <f>其他调用!W59/$E$4*求节点(F$28:F$34,$P$28:$P$34,$CV60)*$CW60</f>
        <v>0</v>
      </c>
      <c r="CZ60" s="16">
        <f>其他调用!X59/$E$4*求节点(G$28:G$34,$P$28:$P$34,$CV60)*$CW60</f>
        <v>2.0237673874523452</v>
      </c>
      <c r="DA60" s="16">
        <f>其他调用!Y59/$E$4*求节点(H$28:H$34,$P$28:$P$34,$CV60)*$CW60</f>
        <v>1.6601413413966222</v>
      </c>
      <c r="DB60" s="16">
        <f>其他调用!Z59/$E$4*求节点(I$28:I$34,$P$28:$P$34,$CV60)*$CW60</f>
        <v>0.91065797524180347</v>
      </c>
      <c r="DC60" s="16">
        <f>SUM(CX$5:CX60)</f>
        <v>0</v>
      </c>
      <c r="DD60" s="16">
        <f>SUM(CY$5:CY60)</f>
        <v>0</v>
      </c>
      <c r="DE60" s="16">
        <f>SUM(CZ$5:CZ60)</f>
        <v>2.0237673874523452</v>
      </c>
      <c r="DF60" s="16">
        <f>SUM(DA$5:DA60)</f>
        <v>6.0978747960630963</v>
      </c>
      <c r="DG60" s="16">
        <f>SUM(DB$5:DB60)</f>
        <v>4.07039189486916</v>
      </c>
    </row>
    <row r="61" spans="2:111">
      <c r="X61" s="16">
        <v>57</v>
      </c>
      <c r="Y61" s="45">
        <f t="shared" si="16"/>
        <v>287.28813559322032</v>
      </c>
      <c r="Z61" s="24">
        <f t="shared" si="17"/>
        <v>6.8000000000000005E-2</v>
      </c>
      <c r="AA61" s="16">
        <f>$Y61*$Z61*其他调用!V60</f>
        <v>3128.3570104100145</v>
      </c>
      <c r="AB61" s="16">
        <f>$Y61*$Z61*其他调用!W60</f>
        <v>3972.5066984089731</v>
      </c>
      <c r="AC61" s="16">
        <f>$Y61*$Z61*其他调用!X60</f>
        <v>4315.3228770334144</v>
      </c>
      <c r="AD61" s="16">
        <f>$Y61*$Z61*其他调用!Y60</f>
        <v>3529.6927824438371</v>
      </c>
      <c r="AE61" s="16">
        <f>$Y61*$Z61*其他调用!Z60</f>
        <v>1968.6860535545695</v>
      </c>
      <c r="AH61" s="16">
        <v>57</v>
      </c>
      <c r="AI61" s="16">
        <f>SUM(AA$5:AA61)</f>
        <v>37156.628608419087</v>
      </c>
      <c r="AJ61" s="16">
        <f>SUM(AB$5:AB61)</f>
        <v>47008.730289406631</v>
      </c>
      <c r="AK61" s="16">
        <f>SUM(AC$5:AC61)</f>
        <v>52265.263483433082</v>
      </c>
      <c r="AL61" s="16">
        <f>SUM(AD$5:AD61)</f>
        <v>43368.486440801382</v>
      </c>
      <c r="AM61" s="16">
        <f>SUM(AE$5:AE61)</f>
        <v>24061.296591446426</v>
      </c>
      <c r="AR61" s="16">
        <v>57</v>
      </c>
      <c r="AS61" s="24">
        <f t="shared" si="20"/>
        <v>6.8000000000000005E-2</v>
      </c>
      <c r="AT61" s="16">
        <f>求节点(E$28:E$34,$M$28:$M$34,$AR61)*$AS61*其他调用!V60/$E$4</f>
        <v>0</v>
      </c>
      <c r="AU61" s="16">
        <f>求节点(F$28:F$34,$M$28:$M$34,$AR61)*$AS61*其他调用!W60/$E$4</f>
        <v>0</v>
      </c>
      <c r="AV61" s="16">
        <f>求节点(G$28:G$34,$M$28:$M$34,$AR61)*$AS61*其他调用!X60/$E$4</f>
        <v>0</v>
      </c>
      <c r="AW61" s="16">
        <f>求节点(H$28:H$34,$M$28:$M$34,$AR61)*$AS61*其他调用!Y60/$E$4</f>
        <v>0</v>
      </c>
      <c r="AX61" s="16">
        <f>求节点(I$28:I$34,$M$28:$M$34,$AR61)*$AS61*其他调用!Z60/$E$4</f>
        <v>0</v>
      </c>
      <c r="AY61" s="16">
        <f>求节点(E$28:E$34,$N$28:$N$34,$AR61)*$AS61*其他调用!V60/$E$4</f>
        <v>0</v>
      </c>
      <c r="AZ61" s="16">
        <f>求节点(F$28:F$34,$N$28:$N$34,$AR61)*$AS61*其他调用!W60/$E$4</f>
        <v>0</v>
      </c>
      <c r="BA61" s="16">
        <f>求节点(G$28:G$34,$N$28:$N$34,$AR61)*$AS61*其他调用!X60/$E$4</f>
        <v>0</v>
      </c>
      <c r="BB61" s="16">
        <f>求节点(H$28:H$34,$N$28:$N$34,$AR61)*$AS61*其他调用!Y60/$E$4</f>
        <v>0</v>
      </c>
      <c r="BC61" s="16">
        <f>求节点(I$28:I$34,$N$28:$N$34,$AR61)*$AS61*其他调用!Z60/$E$4</f>
        <v>0</v>
      </c>
      <c r="BD61" s="16">
        <f>求节点(E$28:E$34,$O$28:$O$34,$AR61)*$AS61*其他调用!V60/$E$4</f>
        <v>0</v>
      </c>
      <c r="BE61" s="16">
        <f>求节点(F$28:F$34,$O$28:$O$34,$AR61)*$AS61*其他调用!W60/$E$4</f>
        <v>0</v>
      </c>
      <c r="BF61" s="16">
        <f>求节点(G$28:G$34,$O$28:$O$34,$AR61)*$AS61*其他调用!X60/$E$4</f>
        <v>0</v>
      </c>
      <c r="BG61" s="16">
        <f>求节点(H$28:H$34,$O$28:$O$34,$AR61)*$AS61*其他调用!Y60/$E$4</f>
        <v>0</v>
      </c>
      <c r="BH61" s="16">
        <f>求节点(I$28:I$34,$O$28:$O$34,$AR61)*$AS61*其他调用!Z60/$E$4</f>
        <v>0</v>
      </c>
      <c r="BK61" s="16">
        <v>57</v>
      </c>
      <c r="BL61" s="16">
        <f>SUM(AT$5:AT61)</f>
        <v>0</v>
      </c>
      <c r="BM61" s="16">
        <f>SUM(AU$5:AU61)</f>
        <v>0</v>
      </c>
      <c r="BN61" s="16">
        <f>SUM(AV$5:AV61)</f>
        <v>0</v>
      </c>
      <c r="BO61" s="16">
        <f>SUM(AW$5:AW61)</f>
        <v>0</v>
      </c>
      <c r="BP61" s="16">
        <f>SUM(AX$5:AX61)</f>
        <v>0</v>
      </c>
      <c r="BQ61" s="16">
        <f>SUM(AY$5:AY61)</f>
        <v>0</v>
      </c>
      <c r="BR61" s="16">
        <f>SUM(AZ$5:AZ61)</f>
        <v>0</v>
      </c>
      <c r="BS61" s="16">
        <f>SUM(BA$5:BA61)</f>
        <v>0</v>
      </c>
      <c r="BT61" s="16">
        <f>SUM(BB$5:BB61)</f>
        <v>0</v>
      </c>
      <c r="BU61" s="16">
        <f>SUM(BC$5:BC61)</f>
        <v>0</v>
      </c>
      <c r="BV61" s="16">
        <f>SUM(BD$5:BD61)</f>
        <v>0</v>
      </c>
      <c r="BW61" s="16">
        <f>SUM(BE$5:BE61)</f>
        <v>0</v>
      </c>
      <c r="BX61" s="16">
        <f>SUM(BF$5:BF61)</f>
        <v>0</v>
      </c>
      <c r="BY61" s="16">
        <f>SUM(BG$5:BG61)</f>
        <v>0</v>
      </c>
      <c r="BZ61" s="16">
        <f>SUM(BH$5:BH61)</f>
        <v>0</v>
      </c>
      <c r="CC61" s="16">
        <v>57</v>
      </c>
      <c r="CD61" s="16">
        <f t="shared" si="21"/>
        <v>0</v>
      </c>
      <c r="CE61" s="16">
        <f t="shared" si="22"/>
        <v>0</v>
      </c>
      <c r="CF61" s="16">
        <f t="shared" si="23"/>
        <v>0</v>
      </c>
      <c r="CG61" s="16">
        <f t="shared" si="24"/>
        <v>0</v>
      </c>
      <c r="CH61" s="16">
        <f t="shared" si="25"/>
        <v>0</v>
      </c>
      <c r="CI61" s="16">
        <f t="shared" si="26"/>
        <v>0</v>
      </c>
      <c r="CJ61" s="16">
        <f t="shared" si="27"/>
        <v>0</v>
      </c>
      <c r="CK61" s="16">
        <f t="shared" si="28"/>
        <v>0</v>
      </c>
      <c r="CL61" s="16">
        <f t="shared" si="29"/>
        <v>0</v>
      </c>
      <c r="CM61" s="16">
        <f t="shared" si="30"/>
        <v>0</v>
      </c>
      <c r="CN61" s="16">
        <f t="shared" si="31"/>
        <v>0</v>
      </c>
      <c r="CO61" s="16">
        <f t="shared" si="32"/>
        <v>0</v>
      </c>
      <c r="CP61" s="16">
        <f t="shared" si="33"/>
        <v>0</v>
      </c>
      <c r="CQ61" s="16">
        <f t="shared" si="34"/>
        <v>0</v>
      </c>
      <c r="CR61" s="16">
        <f t="shared" si="35"/>
        <v>0</v>
      </c>
      <c r="CV61" s="16">
        <v>57</v>
      </c>
      <c r="CW61" s="35">
        <f t="shared" si="18"/>
        <v>0.13200000000000001</v>
      </c>
      <c r="CX61" s="16">
        <f>其他调用!V60/$E$4*求节点(E$28:E$34,$P$28:$P$34,$CV61)*$CW61</f>
        <v>0</v>
      </c>
      <c r="CY61" s="16">
        <f>其他调用!W60/$E$4*求节点(F$28:F$34,$P$28:$P$34,$CV61)*$CW61</f>
        <v>0</v>
      </c>
      <c r="CZ61" s="16">
        <f>其他调用!X60/$E$4*求节点(G$28:G$34,$P$28:$P$34,$CV61)*$CW61</f>
        <v>2.1868645605372352</v>
      </c>
      <c r="DA61" s="16">
        <f>其他调用!Y60/$E$4*求节点(H$28:H$34,$P$28:$P$34,$CV61)*$CW61</f>
        <v>1.7887329118735429</v>
      </c>
      <c r="DB61" s="16">
        <f>其他调用!Z60/$E$4*求节点(I$28:I$34,$P$28:$P$34,$CV61)*$CW61</f>
        <v>0.99766573302205808</v>
      </c>
      <c r="DC61" s="16">
        <f>SUM(CX$5:CX61)</f>
        <v>0</v>
      </c>
      <c r="DD61" s="16">
        <f>SUM(CY$5:CY61)</f>
        <v>0</v>
      </c>
      <c r="DE61" s="16">
        <f>SUM(CZ$5:CZ61)</f>
        <v>4.2106319479895804</v>
      </c>
      <c r="DF61" s="16">
        <f>SUM(DA$5:DA61)</f>
        <v>7.8866077079366388</v>
      </c>
      <c r="DG61" s="16">
        <f>SUM(DB$5:DB61)</f>
        <v>5.0680576278912177</v>
      </c>
    </row>
    <row r="62" spans="2:111">
      <c r="E62" s="21">
        <f>SUM(E64:E68)</f>
        <v>0</v>
      </c>
      <c r="F62" s="21">
        <f>SUM(F64:F68)</f>
        <v>1</v>
      </c>
      <c r="G62" s="21">
        <f>SUM(G64:G68)</f>
        <v>1</v>
      </c>
      <c r="H62" s="21">
        <f>SUM(H64:H68)</f>
        <v>0</v>
      </c>
      <c r="I62" s="16"/>
      <c r="J62" s="16"/>
      <c r="X62" s="16">
        <v>58</v>
      </c>
      <c r="Y62" s="45">
        <f t="shared" si="16"/>
        <v>291.52542372881356</v>
      </c>
      <c r="Z62" s="24">
        <f t="shared" si="17"/>
        <v>6.8000000000000005E-2</v>
      </c>
      <c r="AA62" s="16">
        <f>$Y62*$Z62*其他调用!V61</f>
        <v>3402.3426803341963</v>
      </c>
      <c r="AB62" s="16">
        <f>$Y62*$Z62*其他调用!W61</f>
        <v>4183.3570861193575</v>
      </c>
      <c r="AC62" s="16">
        <f>$Y62*$Z62*其他调用!X61</f>
        <v>4685.7183794942994</v>
      </c>
      <c r="AD62" s="16">
        <f>$Y62*$Z62*其他调用!Y61</f>
        <v>3894.9891864662945</v>
      </c>
      <c r="AE62" s="16">
        <f>$Y62*$Z62*其他调用!Z61</f>
        <v>2124.4988123859548</v>
      </c>
      <c r="AH62" s="16">
        <v>58</v>
      </c>
      <c r="AI62" s="16">
        <f>SUM(AA$5:AA62)</f>
        <v>40558.971288753281</v>
      </c>
      <c r="AJ62" s="16">
        <f>SUM(AB$5:AB62)</f>
        <v>51192.087375525989</v>
      </c>
      <c r="AK62" s="16">
        <f>SUM(AC$5:AC62)</f>
        <v>56950.98186292738</v>
      </c>
      <c r="AL62" s="16">
        <f>SUM(AD$5:AD62)</f>
        <v>47263.475627267675</v>
      </c>
      <c r="AM62" s="16">
        <f>SUM(AE$5:AE62)</f>
        <v>26185.795403832381</v>
      </c>
      <c r="AR62" s="16">
        <v>58</v>
      </c>
      <c r="AS62" s="24">
        <f t="shared" si="20"/>
        <v>6.8000000000000005E-2</v>
      </c>
      <c r="AT62" s="16">
        <f>求节点(E$28:E$34,$M$28:$M$34,$AR62)*$AS62*其他调用!V61/$E$4</f>
        <v>0</v>
      </c>
      <c r="AU62" s="16">
        <f>求节点(F$28:F$34,$M$28:$M$34,$AR62)*$AS62*其他调用!W61/$E$4</f>
        <v>0</v>
      </c>
      <c r="AV62" s="16">
        <f>求节点(G$28:G$34,$M$28:$M$34,$AR62)*$AS62*其他调用!X61/$E$4</f>
        <v>0</v>
      </c>
      <c r="AW62" s="16">
        <f>求节点(H$28:H$34,$M$28:$M$34,$AR62)*$AS62*其他调用!Y61/$E$4</f>
        <v>0</v>
      </c>
      <c r="AX62" s="16">
        <f>求节点(I$28:I$34,$M$28:$M$34,$AR62)*$AS62*其他调用!Z61/$E$4</f>
        <v>0</v>
      </c>
      <c r="AY62" s="16">
        <f>求节点(E$28:E$34,$N$28:$N$34,$AR62)*$AS62*其他调用!V61/$E$4</f>
        <v>0</v>
      </c>
      <c r="AZ62" s="16">
        <f>求节点(F$28:F$34,$N$28:$N$34,$AR62)*$AS62*其他调用!W61/$E$4</f>
        <v>0</v>
      </c>
      <c r="BA62" s="16">
        <f>求节点(G$28:G$34,$N$28:$N$34,$AR62)*$AS62*其他调用!X61/$E$4</f>
        <v>0</v>
      </c>
      <c r="BB62" s="16">
        <f>求节点(H$28:H$34,$N$28:$N$34,$AR62)*$AS62*其他调用!Y61/$E$4</f>
        <v>0</v>
      </c>
      <c r="BC62" s="16">
        <f>求节点(I$28:I$34,$N$28:$N$34,$AR62)*$AS62*其他调用!Z61/$E$4</f>
        <v>0</v>
      </c>
      <c r="BD62" s="16">
        <f>求节点(E$28:E$34,$O$28:$O$34,$AR62)*$AS62*其他调用!V61/$E$4</f>
        <v>0</v>
      </c>
      <c r="BE62" s="16">
        <f>求节点(F$28:F$34,$O$28:$O$34,$AR62)*$AS62*其他调用!W61/$E$4</f>
        <v>0</v>
      </c>
      <c r="BF62" s="16">
        <f>求节点(G$28:G$34,$O$28:$O$34,$AR62)*$AS62*其他调用!X61/$E$4</f>
        <v>0</v>
      </c>
      <c r="BG62" s="16">
        <f>求节点(H$28:H$34,$O$28:$O$34,$AR62)*$AS62*其他调用!Y61/$E$4</f>
        <v>0</v>
      </c>
      <c r="BH62" s="16">
        <f>求节点(I$28:I$34,$O$28:$O$34,$AR62)*$AS62*其他调用!Z61/$E$4</f>
        <v>0</v>
      </c>
      <c r="BK62" s="16">
        <v>58</v>
      </c>
      <c r="BL62" s="16">
        <f>SUM(AT$5:AT62)</f>
        <v>0</v>
      </c>
      <c r="BM62" s="16">
        <f>SUM(AU$5:AU62)</f>
        <v>0</v>
      </c>
      <c r="BN62" s="16">
        <f>SUM(AV$5:AV62)</f>
        <v>0</v>
      </c>
      <c r="BO62" s="16">
        <f>SUM(AW$5:AW62)</f>
        <v>0</v>
      </c>
      <c r="BP62" s="16">
        <f>SUM(AX$5:AX62)</f>
        <v>0</v>
      </c>
      <c r="BQ62" s="16">
        <f>SUM(AY$5:AY62)</f>
        <v>0</v>
      </c>
      <c r="BR62" s="16">
        <f>SUM(AZ$5:AZ62)</f>
        <v>0</v>
      </c>
      <c r="BS62" s="16">
        <f>SUM(BA$5:BA62)</f>
        <v>0</v>
      </c>
      <c r="BT62" s="16">
        <f>SUM(BB$5:BB62)</f>
        <v>0</v>
      </c>
      <c r="BU62" s="16">
        <f>SUM(BC$5:BC62)</f>
        <v>0</v>
      </c>
      <c r="BV62" s="16">
        <f>SUM(BD$5:BD62)</f>
        <v>0</v>
      </c>
      <c r="BW62" s="16">
        <f>SUM(BE$5:BE62)</f>
        <v>0</v>
      </c>
      <c r="BX62" s="16">
        <f>SUM(BF$5:BF62)</f>
        <v>0</v>
      </c>
      <c r="BY62" s="16">
        <f>SUM(BG$5:BG62)</f>
        <v>0</v>
      </c>
      <c r="BZ62" s="16">
        <f>SUM(BH$5:BH62)</f>
        <v>0</v>
      </c>
      <c r="CC62" s="16">
        <v>58</v>
      </c>
      <c r="CD62" s="16">
        <f t="shared" si="21"/>
        <v>0</v>
      </c>
      <c r="CE62" s="16">
        <f t="shared" si="22"/>
        <v>0</v>
      </c>
      <c r="CF62" s="16">
        <f t="shared" si="23"/>
        <v>0</v>
      </c>
      <c r="CG62" s="16">
        <f t="shared" si="24"/>
        <v>0</v>
      </c>
      <c r="CH62" s="16">
        <f t="shared" si="25"/>
        <v>0</v>
      </c>
      <c r="CI62" s="16">
        <f t="shared" si="26"/>
        <v>0</v>
      </c>
      <c r="CJ62" s="16">
        <f t="shared" si="27"/>
        <v>0</v>
      </c>
      <c r="CK62" s="16">
        <f t="shared" si="28"/>
        <v>0</v>
      </c>
      <c r="CL62" s="16">
        <f t="shared" si="29"/>
        <v>0</v>
      </c>
      <c r="CM62" s="16">
        <f t="shared" si="30"/>
        <v>0</v>
      </c>
      <c r="CN62" s="16">
        <f t="shared" si="31"/>
        <v>0</v>
      </c>
      <c r="CO62" s="16">
        <f t="shared" si="32"/>
        <v>0</v>
      </c>
      <c r="CP62" s="16">
        <f t="shared" si="33"/>
        <v>0</v>
      </c>
      <c r="CQ62" s="16">
        <f t="shared" si="34"/>
        <v>0</v>
      </c>
      <c r="CR62" s="16">
        <f t="shared" si="35"/>
        <v>0</v>
      </c>
      <c r="CV62" s="16">
        <v>58</v>
      </c>
      <c r="CW62" s="35">
        <f t="shared" si="18"/>
        <v>0.13200000000000001</v>
      </c>
      <c r="CX62" s="16">
        <f>其他调用!V61/$E$4*求节点(E$28:E$34,$P$28:$P$34,$CV62)*$CW62</f>
        <v>0</v>
      </c>
      <c r="CY62" s="16">
        <f>其他调用!W61/$E$4*求节点(F$28:F$34,$P$28:$P$34,$CV62)*$CW62</f>
        <v>0</v>
      </c>
      <c r="CZ62" s="16">
        <f>其他调用!X61/$E$4*求节点(G$28:G$34,$P$28:$P$34,$CV62)*$CW62</f>
        <v>2.3400548097320626</v>
      </c>
      <c r="DA62" s="16">
        <f>其他调用!Y61/$E$4*求节点(H$28:H$34,$P$28:$P$34,$CV62)*$CW62</f>
        <v>1.9451634608541062</v>
      </c>
      <c r="DB62" s="16">
        <f>其他调用!Z61/$E$4*求节点(I$28:I$34,$P$28:$P$34,$CV62)*$CW62</f>
        <v>1.0609779038257834</v>
      </c>
      <c r="DC62" s="16">
        <f>SUM(CX$5:CX62)</f>
        <v>0</v>
      </c>
      <c r="DD62" s="16">
        <f>SUM(CY$5:CY62)</f>
        <v>0</v>
      </c>
      <c r="DE62" s="16">
        <f>SUM(CZ$5:CZ62)</f>
        <v>6.5506867577216426</v>
      </c>
      <c r="DF62" s="16">
        <f>SUM(DA$5:DA62)</f>
        <v>9.8317711687907448</v>
      </c>
      <c r="DG62" s="16">
        <f>SUM(DB$5:DB62)</f>
        <v>6.1290355317170011</v>
      </c>
    </row>
    <row r="63" spans="2:111">
      <c r="B63" s="48" t="s">
        <v>209</v>
      </c>
      <c r="C63" s="21" t="s">
        <v>508</v>
      </c>
      <c r="D63" s="48" t="s">
        <v>509</v>
      </c>
      <c r="E63" s="21" t="s">
        <v>1</v>
      </c>
      <c r="F63" s="21" t="s">
        <v>2</v>
      </c>
      <c r="G63" s="21" t="s">
        <v>0</v>
      </c>
      <c r="H63" s="21" t="s">
        <v>167</v>
      </c>
      <c r="J63" s="21" t="s">
        <v>317</v>
      </c>
      <c r="X63" s="16">
        <v>59</v>
      </c>
      <c r="Y63" s="45">
        <f t="shared" si="16"/>
        <v>295.76271186440681</v>
      </c>
      <c r="Z63" s="24">
        <f t="shared" si="17"/>
        <v>6.8000000000000005E-2</v>
      </c>
      <c r="AA63" s="16">
        <f>$Y63*$Z63*其他调用!V62</f>
        <v>3699.5426387722882</v>
      </c>
      <c r="AB63" s="16">
        <f>$Y63*$Z63*其他调用!W62</f>
        <v>4689.7773082496933</v>
      </c>
      <c r="AC63" s="16">
        <f>$Y63*$Z63*其他调用!X62</f>
        <v>5151.3026168977885</v>
      </c>
      <c r="AD63" s="16">
        <f>$Y63*$Z63*其他调用!Y62</f>
        <v>4216.3138796803969</v>
      </c>
      <c r="AE63" s="16">
        <f>$Y63*$Z63*其他调用!Z62</f>
        <v>2376.3077031819967</v>
      </c>
      <c r="AH63" s="16">
        <v>59</v>
      </c>
      <c r="AI63" s="16">
        <f>SUM(AA$5:AA63)</f>
        <v>44258.513927525571</v>
      </c>
      <c r="AJ63" s="16">
        <f>SUM(AB$5:AB63)</f>
        <v>55881.864683775682</v>
      </c>
      <c r="AK63" s="16">
        <f>SUM(AC$5:AC63)</f>
        <v>62102.284479825168</v>
      </c>
      <c r="AL63" s="16">
        <f>SUM(AD$5:AD63)</f>
        <v>51479.789506948073</v>
      </c>
      <c r="AM63" s="16">
        <f>SUM(AE$5:AE63)</f>
        <v>28562.103107014376</v>
      </c>
      <c r="AR63" s="16">
        <v>59</v>
      </c>
      <c r="AS63" s="24">
        <f t="shared" si="20"/>
        <v>6.8000000000000005E-2</v>
      </c>
      <c r="AT63" s="16">
        <f>求节点(E$28:E$34,$M$28:$M$34,$AR63)*$AS63*其他调用!V62/$E$4</f>
        <v>0</v>
      </c>
      <c r="AU63" s="16">
        <f>求节点(F$28:F$34,$M$28:$M$34,$AR63)*$AS63*其他调用!W62/$E$4</f>
        <v>0</v>
      </c>
      <c r="AV63" s="16">
        <f>求节点(G$28:G$34,$M$28:$M$34,$AR63)*$AS63*其他调用!X62/$E$4</f>
        <v>0</v>
      </c>
      <c r="AW63" s="16">
        <f>求节点(H$28:H$34,$M$28:$M$34,$AR63)*$AS63*其他调用!Y62/$E$4</f>
        <v>0</v>
      </c>
      <c r="AX63" s="16">
        <f>求节点(I$28:I$34,$M$28:$M$34,$AR63)*$AS63*其他调用!Z62/$E$4</f>
        <v>0</v>
      </c>
      <c r="AY63" s="16">
        <f>求节点(E$28:E$34,$N$28:$N$34,$AR63)*$AS63*其他调用!V62/$E$4</f>
        <v>0</v>
      </c>
      <c r="AZ63" s="16">
        <f>求节点(F$28:F$34,$N$28:$N$34,$AR63)*$AS63*其他调用!W62/$E$4</f>
        <v>0</v>
      </c>
      <c r="BA63" s="16">
        <f>求节点(G$28:G$34,$N$28:$N$34,$AR63)*$AS63*其他调用!X62/$E$4</f>
        <v>0</v>
      </c>
      <c r="BB63" s="16">
        <f>求节点(H$28:H$34,$N$28:$N$34,$AR63)*$AS63*其他调用!Y62/$E$4</f>
        <v>0</v>
      </c>
      <c r="BC63" s="16">
        <f>求节点(I$28:I$34,$N$28:$N$34,$AR63)*$AS63*其他调用!Z62/$E$4</f>
        <v>0</v>
      </c>
      <c r="BD63" s="16">
        <f>求节点(E$28:E$34,$O$28:$O$34,$AR63)*$AS63*其他调用!V62/$E$4</f>
        <v>0</v>
      </c>
      <c r="BE63" s="16">
        <f>求节点(F$28:F$34,$O$28:$O$34,$AR63)*$AS63*其他调用!W62/$E$4</f>
        <v>0</v>
      </c>
      <c r="BF63" s="16">
        <f>求节点(G$28:G$34,$O$28:$O$34,$AR63)*$AS63*其他调用!X62/$E$4</f>
        <v>0</v>
      </c>
      <c r="BG63" s="16">
        <f>求节点(H$28:H$34,$O$28:$O$34,$AR63)*$AS63*其他调用!Y62/$E$4</f>
        <v>0</v>
      </c>
      <c r="BH63" s="16">
        <f>求节点(I$28:I$34,$O$28:$O$34,$AR63)*$AS63*其他调用!Z62/$E$4</f>
        <v>0</v>
      </c>
      <c r="BK63" s="16">
        <v>59</v>
      </c>
      <c r="BL63" s="16">
        <f>SUM(AT$5:AT63)</f>
        <v>0</v>
      </c>
      <c r="BM63" s="16">
        <f>SUM(AU$5:AU63)</f>
        <v>0</v>
      </c>
      <c r="BN63" s="16">
        <f>SUM(AV$5:AV63)</f>
        <v>0</v>
      </c>
      <c r="BO63" s="16">
        <f>SUM(AW$5:AW63)</f>
        <v>0</v>
      </c>
      <c r="BP63" s="16">
        <f>SUM(AX$5:AX63)</f>
        <v>0</v>
      </c>
      <c r="BQ63" s="16">
        <f>SUM(AY$5:AY63)</f>
        <v>0</v>
      </c>
      <c r="BR63" s="16">
        <f>SUM(AZ$5:AZ63)</f>
        <v>0</v>
      </c>
      <c r="BS63" s="16">
        <f>SUM(BA$5:BA63)</f>
        <v>0</v>
      </c>
      <c r="BT63" s="16">
        <f>SUM(BB$5:BB63)</f>
        <v>0</v>
      </c>
      <c r="BU63" s="16">
        <f>SUM(BC$5:BC63)</f>
        <v>0</v>
      </c>
      <c r="BV63" s="16">
        <f>SUM(BD$5:BD63)</f>
        <v>0</v>
      </c>
      <c r="BW63" s="16">
        <f>SUM(BE$5:BE63)</f>
        <v>0</v>
      </c>
      <c r="BX63" s="16">
        <f>SUM(BF$5:BF63)</f>
        <v>0</v>
      </c>
      <c r="BY63" s="16">
        <f>SUM(BG$5:BG63)</f>
        <v>0</v>
      </c>
      <c r="BZ63" s="16">
        <f>SUM(BH$5:BH63)</f>
        <v>0</v>
      </c>
      <c r="CC63" s="16">
        <v>59</v>
      </c>
      <c r="CD63" s="16">
        <f t="shared" si="21"/>
        <v>0</v>
      </c>
      <c r="CE63" s="16">
        <f t="shared" si="22"/>
        <v>0</v>
      </c>
      <c r="CF63" s="16">
        <f t="shared" si="23"/>
        <v>0</v>
      </c>
      <c r="CG63" s="16">
        <f t="shared" si="24"/>
        <v>0</v>
      </c>
      <c r="CH63" s="16">
        <f t="shared" si="25"/>
        <v>0</v>
      </c>
      <c r="CI63" s="16">
        <f t="shared" si="26"/>
        <v>0</v>
      </c>
      <c r="CJ63" s="16">
        <f t="shared" si="27"/>
        <v>0</v>
      </c>
      <c r="CK63" s="16">
        <f t="shared" si="28"/>
        <v>0</v>
      </c>
      <c r="CL63" s="16">
        <f t="shared" si="29"/>
        <v>0</v>
      </c>
      <c r="CM63" s="16">
        <f t="shared" si="30"/>
        <v>0</v>
      </c>
      <c r="CN63" s="16">
        <f t="shared" si="31"/>
        <v>0</v>
      </c>
      <c r="CO63" s="16">
        <f t="shared" si="32"/>
        <v>0</v>
      </c>
      <c r="CP63" s="16">
        <f t="shared" si="33"/>
        <v>0</v>
      </c>
      <c r="CQ63" s="16">
        <f t="shared" si="34"/>
        <v>0</v>
      </c>
      <c r="CR63" s="16">
        <f t="shared" si="35"/>
        <v>0</v>
      </c>
      <c r="CV63" s="16">
        <v>59</v>
      </c>
      <c r="CW63" s="35">
        <f t="shared" si="18"/>
        <v>0.13200000000000001</v>
      </c>
      <c r="CX63" s="16">
        <f>其他调用!V62/$E$4*求节点(E$28:E$34,$P$28:$P$34,$CV63)*$CW63</f>
        <v>0</v>
      </c>
      <c r="CY63" s="16">
        <f>其他调用!W62/$E$4*求节点(F$28:F$34,$P$28:$P$34,$CV63)*$CW63</f>
        <v>2.3085276637018755</v>
      </c>
      <c r="CZ63" s="16">
        <f>其他调用!X62/$E$4*求节点(G$28:G$34,$P$28:$P$34,$CV63)*$CW63</f>
        <v>2.5357119994353599</v>
      </c>
      <c r="DA63" s="16">
        <f>其他调用!Y62/$E$4*求节点(H$28:H$34,$P$28:$P$34,$CV63)*$CW63</f>
        <v>2.0754668271711778</v>
      </c>
      <c r="DB63" s="16">
        <f>其他调用!Z62/$E$4*求节点(I$28:I$34,$P$28:$P$34,$CV63)*$CW63</f>
        <v>1.169729756808195</v>
      </c>
      <c r="DC63" s="16">
        <f>SUM(CX$5:CX63)</f>
        <v>0</v>
      </c>
      <c r="DD63" s="16">
        <f>SUM(CY$5:CY63)</f>
        <v>2.3085276637018755</v>
      </c>
      <c r="DE63" s="16">
        <f>SUM(CZ$5:CZ63)</f>
        <v>9.0863987571570028</v>
      </c>
      <c r="DF63" s="16">
        <f>SUM(DA$5:DA63)</f>
        <v>11.907237995961923</v>
      </c>
      <c r="DG63" s="16">
        <f>SUM(DB$5:DB63)</f>
        <v>7.2987652885251961</v>
      </c>
    </row>
    <row r="64" spans="2:111">
      <c r="B64" s="21" t="s">
        <v>1</v>
      </c>
      <c r="C64" s="89">
        <f>投放验证!E16</f>
        <v>1</v>
      </c>
      <c r="D64" s="90">
        <f>匈奴铁骑掉落!C8</f>
        <v>1</v>
      </c>
      <c r="F64" s="21">
        <f>1-F65</f>
        <v>0.75</v>
      </c>
      <c r="G64" s="89">
        <f>INDEX(匈奴铁骑掉落!$C$7:$F$7,MATCH(B64,匈奴铁骑掉落!$C$6:$F$6,0))</f>
        <v>0.30000000000000004</v>
      </c>
      <c r="J64" s="21">
        <f>投放验证!E10</f>
        <v>100</v>
      </c>
      <c r="X64" s="16">
        <v>60</v>
      </c>
      <c r="Y64" s="45">
        <f t="shared" si="16"/>
        <v>300</v>
      </c>
      <c r="Z64" s="24">
        <f t="shared" si="17"/>
        <v>6.8000000000000005E-2</v>
      </c>
      <c r="AA64" s="16">
        <f>$Y64*$Z64*其他调用!V63</f>
        <v>4021.8778074790075</v>
      </c>
      <c r="AB64" s="16">
        <f>$Y64*$Z64*其他调用!W63</f>
        <v>4987.6403131849747</v>
      </c>
      <c r="AC64" s="16">
        <f>$Y64*$Z64*其他调用!X63</f>
        <v>5549.3012234251155</v>
      </c>
      <c r="AD64" s="16">
        <f>$Y64*$Z64*其他调用!Y63</f>
        <v>4628.3840436303726</v>
      </c>
      <c r="AE64" s="16">
        <f>$Y64*$Z64*其他调用!Z63</f>
        <v>2674.1832074723875</v>
      </c>
      <c r="AH64" s="16">
        <v>60</v>
      </c>
      <c r="AI64" s="16">
        <f>SUM(AA$5:AA64)</f>
        <v>48280.391735004581</v>
      </c>
      <c r="AJ64" s="16">
        <f>SUM(AB$5:AB64)</f>
        <v>60869.504996960655</v>
      </c>
      <c r="AK64" s="16">
        <f>SUM(AC$5:AC64)</f>
        <v>67651.585703250283</v>
      </c>
      <c r="AL64" s="16">
        <f>SUM(AD$5:AD64)</f>
        <v>56108.173550578445</v>
      </c>
      <c r="AM64" s="16">
        <f>SUM(AE$5:AE64)</f>
        <v>31236.286314486762</v>
      </c>
      <c r="AR64" s="16">
        <v>60</v>
      </c>
      <c r="AS64" s="24">
        <f t="shared" si="20"/>
        <v>6.8000000000000005E-2</v>
      </c>
      <c r="AT64" s="16">
        <f>求节点(E$28:E$34,$M$28:$M$34,$AR64)*$AS64*其他调用!V63/$E$4</f>
        <v>0</v>
      </c>
      <c r="AU64" s="16">
        <f>求节点(F$28:F$34,$M$28:$M$34,$AR64)*$AS64*其他调用!W63/$E$4</f>
        <v>0</v>
      </c>
      <c r="AV64" s="16">
        <f>求节点(G$28:G$34,$M$28:$M$34,$AR64)*$AS64*其他调用!X63/$E$4</f>
        <v>0</v>
      </c>
      <c r="AW64" s="16">
        <f>求节点(H$28:H$34,$M$28:$M$34,$AR64)*$AS64*其他调用!Y63/$E$4</f>
        <v>0</v>
      </c>
      <c r="AX64" s="16">
        <f>求节点(I$28:I$34,$M$28:$M$34,$AR64)*$AS64*其他调用!Z63/$E$4</f>
        <v>0</v>
      </c>
      <c r="AY64" s="16">
        <f>求节点(E$28:E$34,$N$28:$N$34,$AR64)*$AS64*其他调用!V63/$E$4</f>
        <v>0</v>
      </c>
      <c r="AZ64" s="16">
        <f>求节点(F$28:F$34,$N$28:$N$34,$AR64)*$AS64*其他调用!W63/$E$4</f>
        <v>0</v>
      </c>
      <c r="BA64" s="16">
        <f>求节点(G$28:G$34,$N$28:$N$34,$AR64)*$AS64*其他调用!X63/$E$4</f>
        <v>0</v>
      </c>
      <c r="BB64" s="16">
        <f>求节点(H$28:H$34,$N$28:$N$34,$AR64)*$AS64*其他调用!Y63/$E$4</f>
        <v>0</v>
      </c>
      <c r="BC64" s="16">
        <f>求节点(I$28:I$34,$N$28:$N$34,$AR64)*$AS64*其他调用!Z63/$E$4</f>
        <v>0</v>
      </c>
      <c r="BD64" s="16">
        <f>求节点(E$28:E$34,$O$28:$O$34,$AR64)*$AS64*其他调用!V63/$E$4</f>
        <v>0</v>
      </c>
      <c r="BE64" s="16">
        <f>求节点(F$28:F$34,$O$28:$O$34,$AR64)*$AS64*其他调用!W63/$E$4</f>
        <v>0</v>
      </c>
      <c r="BF64" s="16">
        <f>求节点(G$28:G$34,$O$28:$O$34,$AR64)*$AS64*其他调用!X63/$E$4</f>
        <v>0</v>
      </c>
      <c r="BG64" s="16">
        <f>求节点(H$28:H$34,$O$28:$O$34,$AR64)*$AS64*其他调用!Y63/$E$4</f>
        <v>0</v>
      </c>
      <c r="BH64" s="16">
        <f>求节点(I$28:I$34,$O$28:$O$34,$AR64)*$AS64*其他调用!Z63/$E$4</f>
        <v>0</v>
      </c>
      <c r="BK64" s="16">
        <v>60</v>
      </c>
      <c r="BL64" s="16">
        <f>SUM(AT$5:AT64)</f>
        <v>0</v>
      </c>
      <c r="BM64" s="16">
        <f>SUM(AU$5:AU64)</f>
        <v>0</v>
      </c>
      <c r="BN64" s="16">
        <f>SUM(AV$5:AV64)</f>
        <v>0</v>
      </c>
      <c r="BO64" s="16">
        <f>SUM(AW$5:AW64)</f>
        <v>0</v>
      </c>
      <c r="BP64" s="16">
        <f>SUM(AX$5:AX64)</f>
        <v>0</v>
      </c>
      <c r="BQ64" s="16">
        <f>SUM(AY$5:AY64)</f>
        <v>0</v>
      </c>
      <c r="BR64" s="16">
        <f>SUM(AZ$5:AZ64)</f>
        <v>0</v>
      </c>
      <c r="BS64" s="16">
        <f>SUM(BA$5:BA64)</f>
        <v>0</v>
      </c>
      <c r="BT64" s="16">
        <f>SUM(BB$5:BB64)</f>
        <v>0</v>
      </c>
      <c r="BU64" s="16">
        <f>SUM(BC$5:BC64)</f>
        <v>0</v>
      </c>
      <c r="BV64" s="16">
        <f>SUM(BD$5:BD64)</f>
        <v>0</v>
      </c>
      <c r="BW64" s="16">
        <f>SUM(BE$5:BE64)</f>
        <v>0</v>
      </c>
      <c r="BX64" s="16">
        <f>SUM(BF$5:BF64)</f>
        <v>0</v>
      </c>
      <c r="BY64" s="16">
        <f>SUM(BG$5:BG64)</f>
        <v>0</v>
      </c>
      <c r="BZ64" s="16">
        <f>SUM(BH$5:BH64)</f>
        <v>0</v>
      </c>
      <c r="CC64" s="16">
        <v>60</v>
      </c>
      <c r="CD64" s="16">
        <f t="shared" si="21"/>
        <v>0</v>
      </c>
      <c r="CE64" s="16">
        <f t="shared" si="22"/>
        <v>0</v>
      </c>
      <c r="CF64" s="16">
        <f t="shared" si="23"/>
        <v>0</v>
      </c>
      <c r="CG64" s="16">
        <f t="shared" si="24"/>
        <v>0</v>
      </c>
      <c r="CH64" s="16">
        <f t="shared" si="25"/>
        <v>0</v>
      </c>
      <c r="CI64" s="16">
        <f t="shared" si="26"/>
        <v>0</v>
      </c>
      <c r="CJ64" s="16">
        <f t="shared" si="27"/>
        <v>0</v>
      </c>
      <c r="CK64" s="16">
        <f t="shared" si="28"/>
        <v>0</v>
      </c>
      <c r="CL64" s="16">
        <f t="shared" si="29"/>
        <v>0</v>
      </c>
      <c r="CM64" s="16">
        <f t="shared" si="30"/>
        <v>0</v>
      </c>
      <c r="CN64" s="16">
        <f t="shared" si="31"/>
        <v>0</v>
      </c>
      <c r="CO64" s="16">
        <f t="shared" si="32"/>
        <v>0</v>
      </c>
      <c r="CP64" s="16">
        <f t="shared" si="33"/>
        <v>0</v>
      </c>
      <c r="CQ64" s="16">
        <f t="shared" si="34"/>
        <v>0</v>
      </c>
      <c r="CR64" s="16">
        <f t="shared" si="35"/>
        <v>0</v>
      </c>
      <c r="CV64" s="16">
        <v>60</v>
      </c>
      <c r="CW64" s="35">
        <f t="shared" si="18"/>
        <v>0.13200000000000001</v>
      </c>
      <c r="CX64" s="16">
        <f>其他调用!V63/$E$4*求节点(E$28:E$34,$P$28:$P$34,$CV64)*$CW64</f>
        <v>1.9517936418648121</v>
      </c>
      <c r="CY64" s="16">
        <f>其他调用!W63/$E$4*求节点(F$28:F$34,$P$28:$P$34,$CV64)*$CW64</f>
        <v>2.4204725049280023</v>
      </c>
      <c r="CZ64" s="16">
        <f>其他调用!X63/$E$4*求节点(G$28:G$34,$P$28:$P$34,$CV64)*$CW64</f>
        <v>2.693043240779835</v>
      </c>
      <c r="DA64" s="16">
        <f>其他调用!Y63/$E$4*求节点(H$28:H$34,$P$28:$P$34,$CV64)*$CW64</f>
        <v>2.2461275505853275</v>
      </c>
      <c r="DB64" s="16">
        <f>其他调用!Z63/$E$4*求节点(I$28:I$34,$P$28:$P$34,$CV64)*$CW64</f>
        <v>1.2977653800968938</v>
      </c>
      <c r="DC64" s="16">
        <f>SUM(CX$5:CX64)</f>
        <v>1.9517936418648121</v>
      </c>
      <c r="DD64" s="16">
        <f>SUM(CY$5:CY64)</f>
        <v>4.7290001686298773</v>
      </c>
      <c r="DE64" s="16">
        <f>SUM(CZ$5:CZ64)</f>
        <v>11.779441997936837</v>
      </c>
      <c r="DF64" s="16">
        <f>SUM(DA$5:DA64)</f>
        <v>14.153365546547251</v>
      </c>
      <c r="DG64" s="16">
        <f>SUM(DB$5:DB64)</f>
        <v>8.5965306686220906</v>
      </c>
    </row>
    <row r="65" spans="2:111">
      <c r="B65" s="21" t="s">
        <v>2</v>
      </c>
      <c r="C65" s="89">
        <f>投放验证!F16</f>
        <v>0.5</v>
      </c>
      <c r="D65" s="90">
        <f>匈奴铁骑掉落!D8</f>
        <v>0.2</v>
      </c>
      <c r="F65" s="21">
        <f>投放验证!F15</f>
        <v>0.25</v>
      </c>
      <c r="G65" s="89">
        <f>INDEX(匈奴铁骑掉落!$C$7:$F$7,MATCH(B65,匈奴铁骑掉落!$C$6:$F$6,0))</f>
        <v>0.4</v>
      </c>
      <c r="J65" s="21">
        <f>投放验证!F10</f>
        <v>500</v>
      </c>
      <c r="X65" s="16">
        <v>61</v>
      </c>
      <c r="Y65" s="45">
        <f t="shared" si="16"/>
        <v>309.375</v>
      </c>
      <c r="Z65" s="24">
        <f t="shared" si="17"/>
        <v>6.8000000000000005E-2</v>
      </c>
      <c r="AA65" s="16">
        <f>$Y65*$Z65*其他调用!V64</f>
        <v>4445.2463381077669</v>
      </c>
      <c r="AB65" s="16">
        <f>$Y65*$Z65*其他调用!W64</f>
        <v>5648.3486581277475</v>
      </c>
      <c r="AC65" s="16">
        <f>$Y65*$Z65*其他调用!X64</f>
        <v>6241.8796178649836</v>
      </c>
      <c r="AD65" s="16">
        <f>$Y65*$Z65*其他调用!Y64</f>
        <v>5242.3620288356942</v>
      </c>
      <c r="AE65" s="16">
        <f>$Y65*$Z65*其他调用!Z64</f>
        <v>2872.8598123212755</v>
      </c>
      <c r="AH65" s="16">
        <v>61</v>
      </c>
      <c r="AI65" s="16">
        <f>SUM(AA$5:AA65)</f>
        <v>52725.63807311235</v>
      </c>
      <c r="AJ65" s="16">
        <f>SUM(AB$5:AB65)</f>
        <v>66517.853655088402</v>
      </c>
      <c r="AK65" s="16">
        <f>SUM(AC$5:AC65)</f>
        <v>73893.465321115262</v>
      </c>
      <c r="AL65" s="16">
        <f>SUM(AD$5:AD65)</f>
        <v>61350.535579414136</v>
      </c>
      <c r="AM65" s="16">
        <f>SUM(AE$5:AE65)</f>
        <v>34109.146126808038</v>
      </c>
      <c r="AR65" s="16">
        <v>61</v>
      </c>
      <c r="AS65" s="24">
        <f t="shared" si="20"/>
        <v>6.8000000000000005E-2</v>
      </c>
      <c r="AT65" s="16">
        <f>求节点(E$28:E$34,$M$28:$M$34,$AR65)*$AS65*其他调用!V64/$E$4</f>
        <v>0</v>
      </c>
      <c r="AU65" s="16">
        <f>求节点(F$28:F$34,$M$28:$M$34,$AR65)*$AS65*其他调用!W64/$E$4</f>
        <v>0</v>
      </c>
      <c r="AV65" s="16">
        <f>求节点(G$28:G$34,$M$28:$M$34,$AR65)*$AS65*其他调用!X64/$E$4</f>
        <v>0</v>
      </c>
      <c r="AW65" s="16">
        <f>求节点(H$28:H$34,$M$28:$M$34,$AR65)*$AS65*其他调用!Y64/$E$4</f>
        <v>0</v>
      </c>
      <c r="AX65" s="16">
        <f>求节点(I$28:I$34,$M$28:$M$34,$AR65)*$AS65*其他调用!Z64/$E$4</f>
        <v>0</v>
      </c>
      <c r="AY65" s="16">
        <f>求节点(E$28:E$34,$N$28:$N$34,$AR65)*$AS65*其他调用!V64/$E$4</f>
        <v>0</v>
      </c>
      <c r="AZ65" s="16">
        <f>求节点(F$28:F$34,$N$28:$N$34,$AR65)*$AS65*其他调用!W64/$E$4</f>
        <v>0</v>
      </c>
      <c r="BA65" s="16">
        <f>求节点(G$28:G$34,$N$28:$N$34,$AR65)*$AS65*其他调用!X64/$E$4</f>
        <v>0</v>
      </c>
      <c r="BB65" s="16">
        <f>求节点(H$28:H$34,$N$28:$N$34,$AR65)*$AS65*其他调用!Y64/$E$4</f>
        <v>0</v>
      </c>
      <c r="BC65" s="16">
        <f>求节点(I$28:I$34,$N$28:$N$34,$AR65)*$AS65*其他调用!Z64/$E$4</f>
        <v>0</v>
      </c>
      <c r="BD65" s="16">
        <f>求节点(E$28:E$34,$O$28:$O$34,$AR65)*$AS65*其他调用!V64/$E$4</f>
        <v>0</v>
      </c>
      <c r="BE65" s="16">
        <f>求节点(F$28:F$34,$O$28:$O$34,$AR65)*$AS65*其他调用!W64/$E$4</f>
        <v>0</v>
      </c>
      <c r="BF65" s="16">
        <f>求节点(G$28:G$34,$O$28:$O$34,$AR65)*$AS65*其他调用!X64/$E$4</f>
        <v>0</v>
      </c>
      <c r="BG65" s="16">
        <f>求节点(H$28:H$34,$O$28:$O$34,$AR65)*$AS65*其他调用!Y64/$E$4</f>
        <v>0</v>
      </c>
      <c r="BH65" s="16">
        <f>求节点(I$28:I$34,$O$28:$O$34,$AR65)*$AS65*其他调用!Z64/$E$4</f>
        <v>0</v>
      </c>
      <c r="BK65" s="16">
        <v>61</v>
      </c>
      <c r="BL65" s="16">
        <f>SUM(AT$5:AT65)</f>
        <v>0</v>
      </c>
      <c r="BM65" s="16">
        <f>SUM(AU$5:AU65)</f>
        <v>0</v>
      </c>
      <c r="BN65" s="16">
        <f>SUM(AV$5:AV65)</f>
        <v>0</v>
      </c>
      <c r="BO65" s="16">
        <f>SUM(AW$5:AW65)</f>
        <v>0</v>
      </c>
      <c r="BP65" s="16">
        <f>SUM(AX$5:AX65)</f>
        <v>0</v>
      </c>
      <c r="BQ65" s="16">
        <f>SUM(AY$5:AY65)</f>
        <v>0</v>
      </c>
      <c r="BR65" s="16">
        <f>SUM(AZ$5:AZ65)</f>
        <v>0</v>
      </c>
      <c r="BS65" s="16">
        <f>SUM(BA$5:BA65)</f>
        <v>0</v>
      </c>
      <c r="BT65" s="16">
        <f>SUM(BB$5:BB65)</f>
        <v>0</v>
      </c>
      <c r="BU65" s="16">
        <f>SUM(BC$5:BC65)</f>
        <v>0</v>
      </c>
      <c r="BV65" s="16">
        <f>SUM(BD$5:BD65)</f>
        <v>0</v>
      </c>
      <c r="BW65" s="16">
        <f>SUM(BE$5:BE65)</f>
        <v>0</v>
      </c>
      <c r="BX65" s="16">
        <f>SUM(BF$5:BF65)</f>
        <v>0</v>
      </c>
      <c r="BY65" s="16">
        <f>SUM(BG$5:BG65)</f>
        <v>0</v>
      </c>
      <c r="BZ65" s="16">
        <f>SUM(BH$5:BH65)</f>
        <v>0</v>
      </c>
      <c r="CC65" s="16">
        <v>61</v>
      </c>
      <c r="CD65" s="16">
        <f t="shared" si="21"/>
        <v>0</v>
      </c>
      <c r="CE65" s="16">
        <f t="shared" si="22"/>
        <v>0</v>
      </c>
      <c r="CF65" s="16">
        <f t="shared" si="23"/>
        <v>0</v>
      </c>
      <c r="CG65" s="16">
        <f t="shared" si="24"/>
        <v>0</v>
      </c>
      <c r="CH65" s="16">
        <f t="shared" si="25"/>
        <v>0</v>
      </c>
      <c r="CI65" s="16">
        <f t="shared" si="26"/>
        <v>0</v>
      </c>
      <c r="CJ65" s="16">
        <f t="shared" si="27"/>
        <v>0</v>
      </c>
      <c r="CK65" s="16">
        <f t="shared" si="28"/>
        <v>0</v>
      </c>
      <c r="CL65" s="16">
        <f t="shared" si="29"/>
        <v>0</v>
      </c>
      <c r="CM65" s="16">
        <f t="shared" si="30"/>
        <v>0</v>
      </c>
      <c r="CN65" s="16">
        <f t="shared" si="31"/>
        <v>0</v>
      </c>
      <c r="CO65" s="16">
        <f t="shared" si="32"/>
        <v>0</v>
      </c>
      <c r="CP65" s="16">
        <f t="shared" si="33"/>
        <v>0</v>
      </c>
      <c r="CQ65" s="16">
        <f t="shared" si="34"/>
        <v>0</v>
      </c>
      <c r="CR65" s="16">
        <f t="shared" si="35"/>
        <v>0</v>
      </c>
      <c r="CV65" s="16">
        <v>61</v>
      </c>
      <c r="CW65" s="35">
        <f t="shared" si="18"/>
        <v>0.13200000000000001</v>
      </c>
      <c r="CX65" s="16">
        <f>其他调用!V64/$E$4*求节点(E$28:E$34,$P$28:$P$34,$CV65)*$CW65</f>
        <v>2.0918806296977728</v>
      </c>
      <c r="CY65" s="16">
        <f>其他调用!W64/$E$4*求节点(F$28:F$34,$P$28:$P$34,$CV65)*$CW65</f>
        <v>2.6580464273542344</v>
      </c>
      <c r="CZ65" s="16">
        <f>其他调用!X64/$E$4*求节点(G$28:G$34,$P$28:$P$34,$CV65)*$CW65</f>
        <v>2.9373551142894039</v>
      </c>
      <c r="DA65" s="16">
        <f>其他调用!Y64/$E$4*求节点(H$28:H$34,$P$28:$P$34,$CV65)*$CW65</f>
        <v>2.4669938959226796</v>
      </c>
      <c r="DB65" s="16">
        <f>其他调用!Z64/$E$4*求节点(I$28:I$34,$P$28:$P$34,$CV65)*$CW65</f>
        <v>1.3519340293276589</v>
      </c>
      <c r="DC65" s="16">
        <f>SUM(CX$5:CX65)</f>
        <v>4.0436742715625851</v>
      </c>
      <c r="DD65" s="16">
        <f>SUM(CY$5:CY65)</f>
        <v>7.3870465959841116</v>
      </c>
      <c r="DE65" s="16">
        <f>SUM(CZ$5:CZ65)</f>
        <v>14.716797112226242</v>
      </c>
      <c r="DF65" s="16">
        <f>SUM(DA$5:DA65)</f>
        <v>16.62035944246993</v>
      </c>
      <c r="DG65" s="16">
        <f>SUM(DB$5:DB65)</f>
        <v>9.9484646979497491</v>
      </c>
    </row>
    <row r="66" spans="2:111">
      <c r="B66" s="21" t="s">
        <v>0</v>
      </c>
      <c r="C66" s="89">
        <f>投放验证!G16</f>
        <v>0.1</v>
      </c>
      <c r="D66" s="90">
        <f>匈奴铁骑掉落!E8</f>
        <v>6.6666666666666666E-2</v>
      </c>
      <c r="G66" s="89">
        <f>INDEX(匈奴铁骑掉落!$C$7:$F$7,MATCH(B66,匈奴铁骑掉落!$C$6:$F$6,0))</f>
        <v>0.3</v>
      </c>
      <c r="J66" s="21">
        <f>投放验证!G10</f>
        <v>2500</v>
      </c>
      <c r="X66" s="16">
        <v>62</v>
      </c>
      <c r="Y66" s="45">
        <f t="shared" si="16"/>
        <v>318.75</v>
      </c>
      <c r="Z66" s="24">
        <f t="shared" si="17"/>
        <v>6.8000000000000005E-2</v>
      </c>
      <c r="AA66" s="16">
        <f>$Y66*$Z66*其他调用!V65</f>
        <v>4908.6696977908932</v>
      </c>
      <c r="AB66" s="16">
        <f>$Y66*$Z66*其他调用!W65</f>
        <v>6166.3813109031626</v>
      </c>
      <c r="AC66" s="16">
        <f>$Y66*$Z66*其他调用!X65</f>
        <v>6964.121466134201</v>
      </c>
      <c r="AD66" s="16">
        <f>$Y66*$Z66*其他调用!Y65</f>
        <v>5841.9150073748324</v>
      </c>
      <c r="AE66" s="16">
        <f>$Y66*$Z66*其他调用!Z65</f>
        <v>3397.8979312825863</v>
      </c>
      <c r="AH66" s="16">
        <v>62</v>
      </c>
      <c r="AI66" s="16">
        <f>SUM(AA$5:AA66)</f>
        <v>57634.307770903244</v>
      </c>
      <c r="AJ66" s="16">
        <f>SUM(AB$5:AB66)</f>
        <v>72684.234965991564</v>
      </c>
      <c r="AK66" s="16">
        <f>SUM(AC$5:AC66)</f>
        <v>80857.586787249456</v>
      </c>
      <c r="AL66" s="16">
        <f>SUM(AD$5:AD66)</f>
        <v>67192.450586788967</v>
      </c>
      <c r="AM66" s="16">
        <f>SUM(AE$5:AE66)</f>
        <v>37507.044058090622</v>
      </c>
      <c r="AR66" s="16">
        <v>62</v>
      </c>
      <c r="AS66" s="24">
        <f t="shared" si="20"/>
        <v>6.8000000000000005E-2</v>
      </c>
      <c r="AT66" s="16">
        <f>求节点(E$28:E$34,$M$28:$M$34,$AR66)*$AS66*其他调用!V65/$E$4</f>
        <v>0</v>
      </c>
      <c r="AU66" s="16">
        <f>求节点(F$28:F$34,$M$28:$M$34,$AR66)*$AS66*其他调用!W65/$E$4</f>
        <v>0</v>
      </c>
      <c r="AV66" s="16">
        <f>求节点(G$28:G$34,$M$28:$M$34,$AR66)*$AS66*其他调用!X65/$E$4</f>
        <v>0</v>
      </c>
      <c r="AW66" s="16">
        <f>求节点(H$28:H$34,$M$28:$M$34,$AR66)*$AS66*其他调用!Y65/$E$4</f>
        <v>0</v>
      </c>
      <c r="AX66" s="16">
        <f>求节点(I$28:I$34,$M$28:$M$34,$AR66)*$AS66*其他调用!Z65/$E$4</f>
        <v>0</v>
      </c>
      <c r="AY66" s="16">
        <f>求节点(E$28:E$34,$N$28:$N$34,$AR66)*$AS66*其他调用!V65/$E$4</f>
        <v>0</v>
      </c>
      <c r="AZ66" s="16">
        <f>求节点(F$28:F$34,$N$28:$N$34,$AR66)*$AS66*其他调用!W65/$E$4</f>
        <v>0</v>
      </c>
      <c r="BA66" s="16">
        <f>求节点(G$28:G$34,$N$28:$N$34,$AR66)*$AS66*其他调用!X65/$E$4</f>
        <v>0</v>
      </c>
      <c r="BB66" s="16">
        <f>求节点(H$28:H$34,$N$28:$N$34,$AR66)*$AS66*其他调用!Y65/$E$4</f>
        <v>0</v>
      </c>
      <c r="BC66" s="16">
        <f>求节点(I$28:I$34,$N$28:$N$34,$AR66)*$AS66*其他调用!Z65/$E$4</f>
        <v>0</v>
      </c>
      <c r="BD66" s="16">
        <f>求节点(E$28:E$34,$O$28:$O$34,$AR66)*$AS66*其他调用!V65/$E$4</f>
        <v>0</v>
      </c>
      <c r="BE66" s="16">
        <f>求节点(F$28:F$34,$O$28:$O$34,$AR66)*$AS66*其他调用!W65/$E$4</f>
        <v>0</v>
      </c>
      <c r="BF66" s="16">
        <f>求节点(G$28:G$34,$O$28:$O$34,$AR66)*$AS66*其他调用!X65/$E$4</f>
        <v>0</v>
      </c>
      <c r="BG66" s="16">
        <f>求节点(H$28:H$34,$O$28:$O$34,$AR66)*$AS66*其他调用!Y65/$E$4</f>
        <v>0</v>
      </c>
      <c r="BH66" s="16">
        <f>求节点(I$28:I$34,$O$28:$O$34,$AR66)*$AS66*其他调用!Z65/$E$4</f>
        <v>0</v>
      </c>
      <c r="BK66" s="16">
        <v>62</v>
      </c>
      <c r="BL66" s="16">
        <f>SUM(AT$5:AT66)</f>
        <v>0</v>
      </c>
      <c r="BM66" s="16">
        <f>SUM(AU$5:AU66)</f>
        <v>0</v>
      </c>
      <c r="BN66" s="16">
        <f>SUM(AV$5:AV66)</f>
        <v>0</v>
      </c>
      <c r="BO66" s="16">
        <f>SUM(AW$5:AW66)</f>
        <v>0</v>
      </c>
      <c r="BP66" s="16">
        <f>SUM(AX$5:AX66)</f>
        <v>0</v>
      </c>
      <c r="BQ66" s="16">
        <f>SUM(AY$5:AY66)</f>
        <v>0</v>
      </c>
      <c r="BR66" s="16">
        <f>SUM(AZ$5:AZ66)</f>
        <v>0</v>
      </c>
      <c r="BS66" s="16">
        <f>SUM(BA$5:BA66)</f>
        <v>0</v>
      </c>
      <c r="BT66" s="16">
        <f>SUM(BB$5:BB66)</f>
        <v>0</v>
      </c>
      <c r="BU66" s="16">
        <f>SUM(BC$5:BC66)</f>
        <v>0</v>
      </c>
      <c r="BV66" s="16">
        <f>SUM(BD$5:BD66)</f>
        <v>0</v>
      </c>
      <c r="BW66" s="16">
        <f>SUM(BE$5:BE66)</f>
        <v>0</v>
      </c>
      <c r="BX66" s="16">
        <f>SUM(BF$5:BF66)</f>
        <v>0</v>
      </c>
      <c r="BY66" s="16">
        <f>SUM(BG$5:BG66)</f>
        <v>0</v>
      </c>
      <c r="BZ66" s="16">
        <f>SUM(BH$5:BH66)</f>
        <v>0</v>
      </c>
      <c r="CC66" s="16">
        <v>62</v>
      </c>
      <c r="CD66" s="16">
        <f t="shared" si="21"/>
        <v>0</v>
      </c>
      <c r="CE66" s="16">
        <f t="shared" si="22"/>
        <v>0</v>
      </c>
      <c r="CF66" s="16">
        <f t="shared" si="23"/>
        <v>0</v>
      </c>
      <c r="CG66" s="16">
        <f t="shared" si="24"/>
        <v>0</v>
      </c>
      <c r="CH66" s="16">
        <f t="shared" si="25"/>
        <v>0</v>
      </c>
      <c r="CI66" s="16">
        <f t="shared" si="26"/>
        <v>0</v>
      </c>
      <c r="CJ66" s="16">
        <f t="shared" si="27"/>
        <v>0</v>
      </c>
      <c r="CK66" s="16">
        <f t="shared" si="28"/>
        <v>0</v>
      </c>
      <c r="CL66" s="16">
        <f t="shared" si="29"/>
        <v>0</v>
      </c>
      <c r="CM66" s="16">
        <f t="shared" si="30"/>
        <v>0</v>
      </c>
      <c r="CN66" s="16">
        <f t="shared" si="31"/>
        <v>0</v>
      </c>
      <c r="CO66" s="16">
        <f t="shared" si="32"/>
        <v>0</v>
      </c>
      <c r="CP66" s="16">
        <f t="shared" si="33"/>
        <v>0</v>
      </c>
      <c r="CQ66" s="16">
        <f t="shared" si="34"/>
        <v>0</v>
      </c>
      <c r="CR66" s="16">
        <f t="shared" si="35"/>
        <v>0</v>
      </c>
      <c r="CV66" s="16">
        <v>62</v>
      </c>
      <c r="CW66" s="35">
        <f t="shared" si="18"/>
        <v>0.13200000000000001</v>
      </c>
      <c r="CX66" s="16">
        <f>其他调用!V65/$E$4*求节点(E$28:E$34,$P$28:$P$34,$CV66)*$CW66</f>
        <v>2.2420221457037992</v>
      </c>
      <c r="CY66" s="16">
        <f>其他调用!W65/$E$4*求节点(F$28:F$34,$P$28:$P$34,$CV66)*$CW66</f>
        <v>2.8164786610353545</v>
      </c>
      <c r="CZ66" s="16">
        <f>其他调用!X65/$E$4*求节点(G$28:G$34,$P$28:$P$34,$CV66)*$CW66</f>
        <v>3.1808444066772128</v>
      </c>
      <c r="DA66" s="16">
        <f>其他调用!Y65/$E$4*求节点(H$28:H$34,$P$28:$P$34,$CV66)*$CW66</f>
        <v>2.6682795189393698</v>
      </c>
      <c r="DB66" s="16">
        <f>其他调用!Z65/$E$4*求节点(I$28:I$34,$P$28:$P$34,$CV66)*$CW66</f>
        <v>1.5519810620391052</v>
      </c>
      <c r="DC66" s="16">
        <f>SUM(CX$5:CX66)</f>
        <v>6.2856964172663847</v>
      </c>
      <c r="DD66" s="16">
        <f>SUM(CY$5:CY66)</f>
        <v>10.203525257019466</v>
      </c>
      <c r="DE66" s="16">
        <f>SUM(CZ$5:CZ66)</f>
        <v>17.897641518903455</v>
      </c>
      <c r="DF66" s="16">
        <f>SUM(DA$5:DA66)</f>
        <v>19.288638961409298</v>
      </c>
      <c r="DG66" s="16">
        <f>SUM(DB$5:DB66)</f>
        <v>11.500445759988855</v>
      </c>
    </row>
    <row r="67" spans="2:111">
      <c r="B67" s="21" t="s">
        <v>167</v>
      </c>
      <c r="C67" s="89">
        <f>投放验证!H16</f>
        <v>0.05</v>
      </c>
      <c r="D67" s="90">
        <f>匈奴铁骑掉落!F8</f>
        <v>3.3333333333333333E-2</v>
      </c>
      <c r="G67" s="89">
        <f>INDEX(匈奴铁骑掉落!$C$7:$F$7,MATCH(B67,匈奴铁骑掉落!$C$6:$F$6,0))</f>
        <v>0</v>
      </c>
      <c r="J67" s="21">
        <f>投放验证!H10</f>
        <v>10000</v>
      </c>
      <c r="X67" s="16">
        <v>63</v>
      </c>
      <c r="Y67" s="45">
        <f t="shared" si="16"/>
        <v>328.125</v>
      </c>
      <c r="Z67" s="24">
        <f t="shared" si="17"/>
        <v>6.8000000000000005E-2</v>
      </c>
      <c r="AA67" s="16">
        <f>$Y67*$Z67*其他调用!V66</f>
        <v>5415.7166807556232</v>
      </c>
      <c r="AB67" s="16">
        <f>$Y67*$Z67*其他调用!W66</f>
        <v>6917.242552194889</v>
      </c>
      <c r="AC67" s="16">
        <f>$Y67*$Z67*其他调用!X66</f>
        <v>7657.3276821698901</v>
      </c>
      <c r="AD67" s="16">
        <f>$Y67*$Z67*其他调用!Y66</f>
        <v>6507.6017438205863</v>
      </c>
      <c r="AE67" s="16">
        <f>$Y67*$Z67*其他调用!Z66</f>
        <v>3621.8400269075937</v>
      </c>
      <c r="AH67" s="16">
        <v>63</v>
      </c>
      <c r="AI67" s="16">
        <f>SUM(AA$5:AA67)</f>
        <v>63050.024451658865</v>
      </c>
      <c r="AJ67" s="16">
        <f>SUM(AB$5:AB67)</f>
        <v>79601.477518186453</v>
      </c>
      <c r="AK67" s="16">
        <f>SUM(AC$5:AC67)</f>
        <v>88514.914469419353</v>
      </c>
      <c r="AL67" s="16">
        <f>SUM(AD$5:AD67)</f>
        <v>73700.052330609557</v>
      </c>
      <c r="AM67" s="16">
        <f>SUM(AE$5:AE67)</f>
        <v>41128.884084998215</v>
      </c>
      <c r="AR67" s="16">
        <v>63</v>
      </c>
      <c r="AS67" s="24">
        <f t="shared" si="20"/>
        <v>6.8000000000000005E-2</v>
      </c>
      <c r="AT67" s="16">
        <f>求节点(E$28:E$34,$M$28:$M$34,$AR67)*$AS67*其他调用!V66/$E$4</f>
        <v>0</v>
      </c>
      <c r="AU67" s="16">
        <f>求节点(F$28:F$34,$M$28:$M$34,$AR67)*$AS67*其他调用!W66/$E$4</f>
        <v>0</v>
      </c>
      <c r="AV67" s="16">
        <f>求节点(G$28:G$34,$M$28:$M$34,$AR67)*$AS67*其他调用!X66/$E$4</f>
        <v>0</v>
      </c>
      <c r="AW67" s="16">
        <f>求节点(H$28:H$34,$M$28:$M$34,$AR67)*$AS67*其他调用!Y66/$E$4</f>
        <v>0</v>
      </c>
      <c r="AX67" s="16">
        <f>求节点(I$28:I$34,$M$28:$M$34,$AR67)*$AS67*其他调用!Z66/$E$4</f>
        <v>0</v>
      </c>
      <c r="AY67" s="16">
        <f>求节点(E$28:E$34,$N$28:$N$34,$AR67)*$AS67*其他调用!V66/$E$4</f>
        <v>0</v>
      </c>
      <c r="AZ67" s="16">
        <f>求节点(F$28:F$34,$N$28:$N$34,$AR67)*$AS67*其他调用!W66/$E$4</f>
        <v>0</v>
      </c>
      <c r="BA67" s="16">
        <f>求节点(G$28:G$34,$N$28:$N$34,$AR67)*$AS67*其他调用!X66/$E$4</f>
        <v>0</v>
      </c>
      <c r="BB67" s="16">
        <f>求节点(H$28:H$34,$N$28:$N$34,$AR67)*$AS67*其他调用!Y66/$E$4</f>
        <v>0</v>
      </c>
      <c r="BC67" s="16">
        <f>求节点(I$28:I$34,$N$28:$N$34,$AR67)*$AS67*其他调用!Z66/$E$4</f>
        <v>0</v>
      </c>
      <c r="BD67" s="16">
        <f>求节点(E$28:E$34,$O$28:$O$34,$AR67)*$AS67*其他调用!V66/$E$4</f>
        <v>0</v>
      </c>
      <c r="BE67" s="16">
        <f>求节点(F$28:F$34,$O$28:$O$34,$AR67)*$AS67*其他调用!W66/$E$4</f>
        <v>0</v>
      </c>
      <c r="BF67" s="16">
        <f>求节点(G$28:G$34,$O$28:$O$34,$AR67)*$AS67*其他调用!X66/$E$4</f>
        <v>0</v>
      </c>
      <c r="BG67" s="16">
        <f>求节点(H$28:H$34,$O$28:$O$34,$AR67)*$AS67*其他调用!Y66/$E$4</f>
        <v>0</v>
      </c>
      <c r="BH67" s="16">
        <f>求节点(I$28:I$34,$O$28:$O$34,$AR67)*$AS67*其他调用!Z66/$E$4</f>
        <v>0</v>
      </c>
      <c r="BK67" s="16">
        <v>63</v>
      </c>
      <c r="BL67" s="16">
        <f>SUM(AT$5:AT67)</f>
        <v>0</v>
      </c>
      <c r="BM67" s="16">
        <f>SUM(AU$5:AU67)</f>
        <v>0</v>
      </c>
      <c r="BN67" s="16">
        <f>SUM(AV$5:AV67)</f>
        <v>0</v>
      </c>
      <c r="BO67" s="16">
        <f>SUM(AW$5:AW67)</f>
        <v>0</v>
      </c>
      <c r="BP67" s="16">
        <f>SUM(AX$5:AX67)</f>
        <v>0</v>
      </c>
      <c r="BQ67" s="16">
        <f>SUM(AY$5:AY67)</f>
        <v>0</v>
      </c>
      <c r="BR67" s="16">
        <f>SUM(AZ$5:AZ67)</f>
        <v>0</v>
      </c>
      <c r="BS67" s="16">
        <f>SUM(BA$5:BA67)</f>
        <v>0</v>
      </c>
      <c r="BT67" s="16">
        <f>SUM(BB$5:BB67)</f>
        <v>0</v>
      </c>
      <c r="BU67" s="16">
        <f>SUM(BC$5:BC67)</f>
        <v>0</v>
      </c>
      <c r="BV67" s="16">
        <f>SUM(BD$5:BD67)</f>
        <v>0</v>
      </c>
      <c r="BW67" s="16">
        <f>SUM(BE$5:BE67)</f>
        <v>0</v>
      </c>
      <c r="BX67" s="16">
        <f>SUM(BF$5:BF67)</f>
        <v>0</v>
      </c>
      <c r="BY67" s="16">
        <f>SUM(BG$5:BG67)</f>
        <v>0</v>
      </c>
      <c r="BZ67" s="16">
        <f>SUM(BH$5:BH67)</f>
        <v>0</v>
      </c>
      <c r="CC67" s="16">
        <v>63</v>
      </c>
      <c r="CD67" s="16">
        <f t="shared" si="21"/>
        <v>0</v>
      </c>
      <c r="CE67" s="16">
        <f t="shared" si="22"/>
        <v>0</v>
      </c>
      <c r="CF67" s="16">
        <f t="shared" si="23"/>
        <v>0</v>
      </c>
      <c r="CG67" s="16">
        <f t="shared" si="24"/>
        <v>0</v>
      </c>
      <c r="CH67" s="16">
        <f t="shared" si="25"/>
        <v>0</v>
      </c>
      <c r="CI67" s="16">
        <f t="shared" si="26"/>
        <v>0</v>
      </c>
      <c r="CJ67" s="16">
        <f t="shared" si="27"/>
        <v>0</v>
      </c>
      <c r="CK67" s="16">
        <f t="shared" si="28"/>
        <v>0</v>
      </c>
      <c r="CL67" s="16">
        <f t="shared" si="29"/>
        <v>0</v>
      </c>
      <c r="CM67" s="16">
        <f t="shared" si="30"/>
        <v>0</v>
      </c>
      <c r="CN67" s="16">
        <f t="shared" si="31"/>
        <v>0</v>
      </c>
      <c r="CO67" s="16">
        <f t="shared" si="32"/>
        <v>0</v>
      </c>
      <c r="CP67" s="16">
        <f t="shared" si="33"/>
        <v>0</v>
      </c>
      <c r="CQ67" s="16">
        <f t="shared" si="34"/>
        <v>0</v>
      </c>
      <c r="CR67" s="16">
        <f t="shared" si="35"/>
        <v>0</v>
      </c>
      <c r="CV67" s="16">
        <v>63</v>
      </c>
      <c r="CW67" s="35">
        <f t="shared" si="18"/>
        <v>0.13200000000000001</v>
      </c>
      <c r="CX67" s="16">
        <f>其他调用!V66/$E$4*求节点(E$28:E$34,$P$28:$P$34,$CV67)*$CW67</f>
        <v>2.4029398381840075</v>
      </c>
      <c r="CY67" s="16">
        <f>其他调用!W66/$E$4*求节点(F$28:F$34,$P$28:$P$34,$CV67)*$CW67</f>
        <v>3.0691630819822699</v>
      </c>
      <c r="CZ67" s="16">
        <f>其他调用!X66/$E$4*求节点(G$28:G$34,$P$28:$P$34,$CV67)*$CW67</f>
        <v>3.3975369883913462</v>
      </c>
      <c r="DA67" s="16">
        <f>其他调用!Y66/$E$4*求节点(H$28:H$34,$P$28:$P$34,$CV67)*$CW67</f>
        <v>2.8874064880145123</v>
      </c>
      <c r="DB67" s="16">
        <f>其他调用!Z66/$E$4*求节点(I$28:I$34,$P$28:$P$34,$CV67)*$CW67</f>
        <v>1.607001289249756</v>
      </c>
      <c r="DC67" s="16">
        <f>SUM(CX$5:CX67)</f>
        <v>8.6886362554503922</v>
      </c>
      <c r="DD67" s="16">
        <f>SUM(CY$5:CY67)</f>
        <v>13.272688339001736</v>
      </c>
      <c r="DE67" s="16">
        <f>SUM(CZ$5:CZ67)</f>
        <v>21.2951785072948</v>
      </c>
      <c r="DF67" s="16">
        <f>SUM(DA$5:DA67)</f>
        <v>22.17604544942381</v>
      </c>
      <c r="DG67" s="16">
        <f>SUM(DB$5:DB67)</f>
        <v>13.107447049238612</v>
      </c>
    </row>
    <row r="68" spans="2:111">
      <c r="X68" s="16">
        <v>64</v>
      </c>
      <c r="Y68" s="45">
        <f t="shared" si="16"/>
        <v>337.5</v>
      </c>
      <c r="Z68" s="24">
        <f t="shared" si="17"/>
        <v>6.8000000000000005E-2</v>
      </c>
      <c r="AA68" s="16">
        <f>$Y68*$Z68*其他调用!V67</f>
        <v>5970.2620310218381</v>
      </c>
      <c r="AB68" s="16">
        <f>$Y68*$Z68*其他调用!W67</f>
        <v>7580.3759740751393</v>
      </c>
      <c r="AC68" s="16">
        <f>$Y68*$Z68*其他调用!X67</f>
        <v>8532.131255307655</v>
      </c>
      <c r="AD68" s="16">
        <f>$Y68*$Z68*其他调用!Y67</f>
        <v>7187.4891352922577</v>
      </c>
      <c r="AE68" s="16">
        <f>$Y68*$Z68*其他调用!Z67</f>
        <v>3881.1134476054117</v>
      </c>
      <c r="AH68" s="16">
        <v>64</v>
      </c>
      <c r="AI68" s="16">
        <f>SUM(AA$5:AA68)</f>
        <v>69020.286482680705</v>
      </c>
      <c r="AJ68" s="16">
        <f>SUM(AB$5:AB68)</f>
        <v>87181.853492261595</v>
      </c>
      <c r="AK68" s="16">
        <f>SUM(AC$5:AC68)</f>
        <v>97047.04572472701</v>
      </c>
      <c r="AL68" s="16">
        <f>SUM(AD$5:AD68)</f>
        <v>80887.541465901813</v>
      </c>
      <c r="AM68" s="16">
        <f>SUM(AE$5:AE68)</f>
        <v>45009.997532603629</v>
      </c>
      <c r="AR68" s="16">
        <v>64</v>
      </c>
      <c r="AS68" s="24">
        <f t="shared" si="20"/>
        <v>6.8000000000000005E-2</v>
      </c>
      <c r="AT68" s="16">
        <f>求节点(E$28:E$34,$M$28:$M$34,$AR68)*$AS68*其他调用!V67/$E$4</f>
        <v>0</v>
      </c>
      <c r="AU68" s="16">
        <f>求节点(F$28:F$34,$M$28:$M$34,$AR68)*$AS68*其他调用!W67/$E$4</f>
        <v>0</v>
      </c>
      <c r="AV68" s="16">
        <f>求节点(G$28:G$34,$M$28:$M$34,$AR68)*$AS68*其他调用!X67/$E$4</f>
        <v>0</v>
      </c>
      <c r="AW68" s="16">
        <f>求节点(H$28:H$34,$M$28:$M$34,$AR68)*$AS68*其他调用!Y67/$E$4</f>
        <v>0</v>
      </c>
      <c r="AX68" s="16">
        <f>求节点(I$28:I$34,$M$28:$M$34,$AR68)*$AS68*其他调用!Z67/$E$4</f>
        <v>0</v>
      </c>
      <c r="AY68" s="16">
        <f>求节点(E$28:E$34,$N$28:$N$34,$AR68)*$AS68*其他调用!V67/$E$4</f>
        <v>0</v>
      </c>
      <c r="AZ68" s="16">
        <f>求节点(F$28:F$34,$N$28:$N$34,$AR68)*$AS68*其他调用!W67/$E$4</f>
        <v>0</v>
      </c>
      <c r="BA68" s="16">
        <f>求节点(G$28:G$34,$N$28:$N$34,$AR68)*$AS68*其他调用!X67/$E$4</f>
        <v>0</v>
      </c>
      <c r="BB68" s="16">
        <f>求节点(H$28:H$34,$N$28:$N$34,$AR68)*$AS68*其他调用!Y67/$E$4</f>
        <v>0</v>
      </c>
      <c r="BC68" s="16">
        <f>求节点(I$28:I$34,$N$28:$N$34,$AR68)*$AS68*其他调用!Z67/$E$4</f>
        <v>0</v>
      </c>
      <c r="BD68" s="16">
        <f>求节点(E$28:E$34,$O$28:$O$34,$AR68)*$AS68*其他调用!V67/$E$4</f>
        <v>0</v>
      </c>
      <c r="BE68" s="16">
        <f>求节点(F$28:F$34,$O$28:$O$34,$AR68)*$AS68*其他调用!W67/$E$4</f>
        <v>0</v>
      </c>
      <c r="BF68" s="16">
        <f>求节点(G$28:G$34,$O$28:$O$34,$AR68)*$AS68*其他调用!X67/$E$4</f>
        <v>0</v>
      </c>
      <c r="BG68" s="16">
        <f>求节点(H$28:H$34,$O$28:$O$34,$AR68)*$AS68*其他调用!Y67/$E$4</f>
        <v>0</v>
      </c>
      <c r="BH68" s="16">
        <f>求节点(I$28:I$34,$O$28:$O$34,$AR68)*$AS68*其他调用!Z67/$E$4</f>
        <v>0</v>
      </c>
      <c r="BK68" s="16">
        <v>64</v>
      </c>
      <c r="BL68" s="16">
        <f>SUM(AT$5:AT68)</f>
        <v>0</v>
      </c>
      <c r="BM68" s="16">
        <f>SUM(AU$5:AU68)</f>
        <v>0</v>
      </c>
      <c r="BN68" s="16">
        <f>SUM(AV$5:AV68)</f>
        <v>0</v>
      </c>
      <c r="BO68" s="16">
        <f>SUM(AW$5:AW68)</f>
        <v>0</v>
      </c>
      <c r="BP68" s="16">
        <f>SUM(AX$5:AX68)</f>
        <v>0</v>
      </c>
      <c r="BQ68" s="16">
        <f>SUM(AY$5:AY68)</f>
        <v>0</v>
      </c>
      <c r="BR68" s="16">
        <f>SUM(AZ$5:AZ68)</f>
        <v>0</v>
      </c>
      <c r="BS68" s="16">
        <f>SUM(BA$5:BA68)</f>
        <v>0</v>
      </c>
      <c r="BT68" s="16">
        <f>SUM(BB$5:BB68)</f>
        <v>0</v>
      </c>
      <c r="BU68" s="16">
        <f>SUM(BC$5:BC68)</f>
        <v>0</v>
      </c>
      <c r="BV68" s="16">
        <f>SUM(BD$5:BD68)</f>
        <v>0</v>
      </c>
      <c r="BW68" s="16">
        <f>SUM(BE$5:BE68)</f>
        <v>0</v>
      </c>
      <c r="BX68" s="16">
        <f>SUM(BF$5:BF68)</f>
        <v>0</v>
      </c>
      <c r="BY68" s="16">
        <f>SUM(BG$5:BG68)</f>
        <v>0</v>
      </c>
      <c r="BZ68" s="16">
        <f>SUM(BH$5:BH68)</f>
        <v>0</v>
      </c>
      <c r="CC68" s="16">
        <v>64</v>
      </c>
      <c r="CD68" s="16">
        <f t="shared" si="21"/>
        <v>0</v>
      </c>
      <c r="CE68" s="16">
        <f t="shared" si="22"/>
        <v>0</v>
      </c>
      <c r="CF68" s="16">
        <f t="shared" si="23"/>
        <v>0</v>
      </c>
      <c r="CG68" s="16">
        <f t="shared" si="24"/>
        <v>0</v>
      </c>
      <c r="CH68" s="16">
        <f t="shared" si="25"/>
        <v>0</v>
      </c>
      <c r="CI68" s="16">
        <f t="shared" si="26"/>
        <v>0</v>
      </c>
      <c r="CJ68" s="16">
        <f t="shared" si="27"/>
        <v>0</v>
      </c>
      <c r="CK68" s="16">
        <f t="shared" si="28"/>
        <v>0</v>
      </c>
      <c r="CL68" s="16">
        <f t="shared" si="29"/>
        <v>0</v>
      </c>
      <c r="CM68" s="16">
        <f t="shared" si="30"/>
        <v>0</v>
      </c>
      <c r="CN68" s="16">
        <f t="shared" si="31"/>
        <v>0</v>
      </c>
      <c r="CO68" s="16">
        <f t="shared" si="32"/>
        <v>0</v>
      </c>
      <c r="CP68" s="16">
        <f t="shared" si="33"/>
        <v>0</v>
      </c>
      <c r="CQ68" s="16">
        <f t="shared" si="34"/>
        <v>0</v>
      </c>
      <c r="CR68" s="16">
        <f t="shared" si="35"/>
        <v>0</v>
      </c>
      <c r="CV68" s="16">
        <v>64</v>
      </c>
      <c r="CW68" s="35">
        <f t="shared" si="18"/>
        <v>0.13200000000000001</v>
      </c>
      <c r="CX68" s="16">
        <f>其他调用!V67/$E$4*求节点(E$28:E$34,$P$28:$P$34,$CV68)*$CW68</f>
        <v>2.5754071506368712</v>
      </c>
      <c r="CY68" s="16">
        <f>其他调用!W67/$E$4*求节点(F$28:F$34,$P$28:$P$34,$CV68)*$CW68</f>
        <v>3.269966106463785</v>
      </c>
      <c r="CZ68" s="16">
        <f>其他调用!X67/$E$4*求节点(G$28:G$34,$P$28:$P$34,$CV68)*$CW68</f>
        <v>3.6805272081719296</v>
      </c>
      <c r="DA68" s="16">
        <f>其他调用!Y67/$E$4*求节点(H$28:H$34,$P$28:$P$34,$CV68)*$CW68</f>
        <v>3.100485509341758</v>
      </c>
      <c r="DB68" s="16">
        <f>其他调用!Z67/$E$4*求节点(I$28:I$34,$P$28:$P$34,$CV68)*$CW68</f>
        <v>1.6742058009278245</v>
      </c>
      <c r="DC68" s="16">
        <f>SUM(CX$5:CX68)</f>
        <v>11.264043406087264</v>
      </c>
      <c r="DD68" s="16">
        <f>SUM(CY$5:CY68)</f>
        <v>16.542654445465519</v>
      </c>
      <c r="DE68" s="16">
        <f>SUM(CZ$5:CZ68)</f>
        <v>24.975705715466731</v>
      </c>
      <c r="DF68" s="16">
        <f>SUM(DA$5:DA68)</f>
        <v>25.276530958765569</v>
      </c>
      <c r="DG68" s="16">
        <f>SUM(DB$5:DB68)</f>
        <v>14.781652850166436</v>
      </c>
    </row>
    <row r="69" spans="2:111">
      <c r="B69" s="49" t="s">
        <v>213</v>
      </c>
      <c r="D69" s="49"/>
      <c r="F69" s="21">
        <f>SUMPRODUCT($C$64:$C$68,F$64:F$68,$J$64:$J$68)</f>
        <v>137.5</v>
      </c>
      <c r="G69" s="21">
        <f>匈奴铁骑掉落!$C$9</f>
        <v>120.00000000000001</v>
      </c>
      <c r="X69" s="16">
        <v>65</v>
      </c>
      <c r="Y69" s="45">
        <f t="shared" si="16"/>
        <v>346.875</v>
      </c>
      <c r="Z69" s="24">
        <f t="shared" si="17"/>
        <v>6.8000000000000005E-2</v>
      </c>
      <c r="AA69" s="16">
        <f>$Y69*$Z69*其他调用!V68</f>
        <v>6576.511976160521</v>
      </c>
      <c r="AB69" s="16">
        <f>$Y69*$Z69*其他调用!W68</f>
        <v>8296.4494443542026</v>
      </c>
      <c r="AC69" s="16">
        <f>$Y69*$Z69*其他调用!X68</f>
        <v>9524.3348563181498</v>
      </c>
      <c r="AD69" s="16">
        <f>$Y69*$Z69*其他调用!Y68</f>
        <v>7801.7634712502577</v>
      </c>
      <c r="AE69" s="16">
        <f>$Y69*$Z69*其他调用!Z68</f>
        <v>4012.7730763253153</v>
      </c>
      <c r="AH69" s="16">
        <v>65</v>
      </c>
      <c r="AI69" s="16">
        <f>SUM(AA$5:AA69)</f>
        <v>75596.798458841222</v>
      </c>
      <c r="AJ69" s="16">
        <f>SUM(AB$5:AB69)</f>
        <v>95478.302936615801</v>
      </c>
      <c r="AK69" s="16">
        <f>SUM(AC$5:AC69)</f>
        <v>106571.38058104516</v>
      </c>
      <c r="AL69" s="16">
        <f>SUM(AD$5:AD69)</f>
        <v>88689.304937152076</v>
      </c>
      <c r="AM69" s="16">
        <f>SUM(AE$5:AE69)</f>
        <v>49022.770608928942</v>
      </c>
      <c r="AR69" s="16">
        <v>65</v>
      </c>
      <c r="AS69" s="24">
        <f t="shared" ref="AS69:AS100" si="36">$E$50</f>
        <v>6.8000000000000005E-2</v>
      </c>
      <c r="AT69" s="16">
        <f>求节点(E$28:E$34,$M$28:$M$34,$AR69)*$AS69*其他调用!V68/$E$4</f>
        <v>0</v>
      </c>
      <c r="AU69" s="16">
        <f>求节点(F$28:F$34,$M$28:$M$34,$AR69)*$AS69*其他调用!W68/$E$4</f>
        <v>0</v>
      </c>
      <c r="AV69" s="16">
        <f>求节点(G$28:G$34,$M$28:$M$34,$AR69)*$AS69*其他调用!X68/$E$4</f>
        <v>0</v>
      </c>
      <c r="AW69" s="16">
        <f>求节点(H$28:H$34,$M$28:$M$34,$AR69)*$AS69*其他调用!Y68/$E$4</f>
        <v>0</v>
      </c>
      <c r="AX69" s="16">
        <f>求节点(I$28:I$34,$M$28:$M$34,$AR69)*$AS69*其他调用!Z68/$E$4</f>
        <v>0</v>
      </c>
      <c r="AY69" s="16">
        <f>求节点(E$28:E$34,$N$28:$N$34,$AR69)*$AS69*其他调用!V68/$E$4</f>
        <v>0</v>
      </c>
      <c r="AZ69" s="16">
        <f>求节点(F$28:F$34,$N$28:$N$34,$AR69)*$AS69*其他调用!W68/$E$4</f>
        <v>0</v>
      </c>
      <c r="BA69" s="16">
        <f>求节点(G$28:G$34,$N$28:$N$34,$AR69)*$AS69*其他调用!X68/$E$4</f>
        <v>0</v>
      </c>
      <c r="BB69" s="16">
        <f>求节点(H$28:H$34,$N$28:$N$34,$AR69)*$AS69*其他调用!Y68/$E$4</f>
        <v>0</v>
      </c>
      <c r="BC69" s="16">
        <f>求节点(I$28:I$34,$N$28:$N$34,$AR69)*$AS69*其他调用!Z68/$E$4</f>
        <v>0</v>
      </c>
      <c r="BD69" s="16">
        <f>求节点(E$28:E$34,$O$28:$O$34,$AR69)*$AS69*其他调用!V68/$E$4</f>
        <v>0</v>
      </c>
      <c r="BE69" s="16">
        <f>求节点(F$28:F$34,$O$28:$O$34,$AR69)*$AS69*其他调用!W68/$E$4</f>
        <v>0</v>
      </c>
      <c r="BF69" s="16">
        <f>求节点(G$28:G$34,$O$28:$O$34,$AR69)*$AS69*其他调用!X68/$E$4</f>
        <v>0</v>
      </c>
      <c r="BG69" s="16">
        <f>求节点(H$28:H$34,$O$28:$O$34,$AR69)*$AS69*其他调用!Y68/$E$4</f>
        <v>0</v>
      </c>
      <c r="BH69" s="16">
        <f>求节点(I$28:I$34,$O$28:$O$34,$AR69)*$AS69*其他调用!Z68/$E$4</f>
        <v>0</v>
      </c>
      <c r="BK69" s="16">
        <v>65</v>
      </c>
      <c r="BL69" s="16">
        <f>SUM(AT$5:AT69)</f>
        <v>0</v>
      </c>
      <c r="BM69" s="16">
        <f>SUM(AU$5:AU69)</f>
        <v>0</v>
      </c>
      <c r="BN69" s="16">
        <f>SUM(AV$5:AV69)</f>
        <v>0</v>
      </c>
      <c r="BO69" s="16">
        <f>SUM(AW$5:AW69)</f>
        <v>0</v>
      </c>
      <c r="BP69" s="16">
        <f>SUM(AX$5:AX69)</f>
        <v>0</v>
      </c>
      <c r="BQ69" s="16">
        <f>SUM(AY$5:AY69)</f>
        <v>0</v>
      </c>
      <c r="BR69" s="16">
        <f>SUM(AZ$5:AZ69)</f>
        <v>0</v>
      </c>
      <c r="BS69" s="16">
        <f>SUM(BA$5:BA69)</f>
        <v>0</v>
      </c>
      <c r="BT69" s="16">
        <f>SUM(BB$5:BB69)</f>
        <v>0</v>
      </c>
      <c r="BU69" s="16">
        <f>SUM(BC$5:BC69)</f>
        <v>0</v>
      </c>
      <c r="BV69" s="16">
        <f>SUM(BD$5:BD69)</f>
        <v>0</v>
      </c>
      <c r="BW69" s="16">
        <f>SUM(BE$5:BE69)</f>
        <v>0</v>
      </c>
      <c r="BX69" s="16">
        <f>SUM(BF$5:BF69)</f>
        <v>0</v>
      </c>
      <c r="BY69" s="16">
        <f>SUM(BG$5:BG69)</f>
        <v>0</v>
      </c>
      <c r="BZ69" s="16">
        <f>SUM(BH$5:BH69)</f>
        <v>0</v>
      </c>
      <c r="CC69" s="16">
        <v>65</v>
      </c>
      <c r="CD69" s="16">
        <f t="shared" ref="CD69:CD100" si="37">(BL69*$E$64+BQ69*$F$64+BV69*$G$64)/$F$6</f>
        <v>0</v>
      </c>
      <c r="CE69" s="16">
        <f t="shared" ref="CE69:CE100" si="38">(BM69*$E$64+BR69*$F$64+BW69*$G$64)/$F$6</f>
        <v>0</v>
      </c>
      <c r="CF69" s="16">
        <f t="shared" ref="CF69:CF100" si="39">(BN69*$E$64+BS69*$F$64+BX69*$G$64)/$F$6</f>
        <v>0</v>
      </c>
      <c r="CG69" s="16">
        <f t="shared" ref="CG69:CG100" si="40">(BO69*$E$64+BT69*$F$64+BY69*$G$64)/$F$6</f>
        <v>0</v>
      </c>
      <c r="CH69" s="16">
        <f t="shared" ref="CH69:CH100" si="41">(BP69*$E$64+BU69*$F$64+BZ69*$G$64)/$F$6</f>
        <v>0</v>
      </c>
      <c r="CI69" s="16">
        <f t="shared" ref="CI69:CI100" si="42">(BL69*$E$65+BQ69*$F$65+BV69*$G$65)/$F$7</f>
        <v>0</v>
      </c>
      <c r="CJ69" s="16">
        <f t="shared" ref="CJ69:CJ100" si="43">(BM69*$E$65+BR69*$F$65+BW69*$G$65)/$F$7</f>
        <v>0</v>
      </c>
      <c r="CK69" s="16">
        <f t="shared" ref="CK69:CK100" si="44">(BN69*$E$65+BS69*$F$65+BX69*$G$65)/$F$7</f>
        <v>0</v>
      </c>
      <c r="CL69" s="16">
        <f t="shared" ref="CL69:CL100" si="45">(BO69*$E$65+BT69*$F$65+BY69*$G$65)/$F$7</f>
        <v>0</v>
      </c>
      <c r="CM69" s="16">
        <f t="shared" ref="CM69:CM100" si="46">(BP69*$E$65+BU69*$F$65+BZ69*$G$65)/$F$7</f>
        <v>0</v>
      </c>
      <c r="CN69" s="16">
        <f t="shared" ref="CN69:CN100" si="47">(BL69*$E$66+BQ69*$F$66+BV69*$G$66)/$F$8</f>
        <v>0</v>
      </c>
      <c r="CO69" s="16">
        <f t="shared" ref="CO69:CO100" si="48">(BM69*$E$66+BR69*$F$66+BW69*$G$66)/$F$8</f>
        <v>0</v>
      </c>
      <c r="CP69" s="16">
        <f t="shared" ref="CP69:CP100" si="49">(BN69*$E$66+BS69*$F$66+BX69*$G$66)/$F$8</f>
        <v>0</v>
      </c>
      <c r="CQ69" s="16">
        <f t="shared" ref="CQ69:CQ100" si="50">(BO69*$E$66+BT69*$F$66+BY69*$G$66)/$F$8</f>
        <v>0</v>
      </c>
      <c r="CR69" s="16">
        <f t="shared" ref="CR69:CR100" si="51">(BP69*$E$66+BU69*$F$66+BZ69*$G$66)/$F$8</f>
        <v>0</v>
      </c>
      <c r="CV69" s="16">
        <v>65</v>
      </c>
      <c r="CW69" s="35">
        <f t="shared" si="18"/>
        <v>0.13200000000000001</v>
      </c>
      <c r="CX69" s="16">
        <f>其他调用!V68/$E$4*求节点(E$28:E$34,$P$28:$P$34,$CV69)*$CW69</f>
        <v>2.7602530392788194</v>
      </c>
      <c r="CY69" s="16">
        <f>其他调用!W68/$E$4*求节点(F$28:F$34,$P$28:$P$34,$CV69)*$CW69</f>
        <v>3.4821345839578846</v>
      </c>
      <c r="CZ69" s="16">
        <f>其他调用!X68/$E$4*求节点(G$28:G$34,$P$28:$P$34,$CV69)*$CW69</f>
        <v>3.997495074829875</v>
      </c>
      <c r="DA69" s="16">
        <f>其他调用!Y68/$E$4*求节点(H$28:H$34,$P$28:$P$34,$CV69)*$CW69</f>
        <v>3.2745080388077388</v>
      </c>
      <c r="DB69" s="16">
        <f>其他调用!Z68/$E$4*求节点(I$28:I$34,$P$28:$P$34,$CV69)*$CW69</f>
        <v>1.6842163627184152</v>
      </c>
      <c r="DC69" s="16">
        <f>SUM(CX$5:CX69)</f>
        <v>14.024296445366083</v>
      </c>
      <c r="DD69" s="16">
        <f>SUM(CY$5:CY69)</f>
        <v>20.024789029423403</v>
      </c>
      <c r="DE69" s="16">
        <f>SUM(CZ$5:CZ69)</f>
        <v>28.973200790296605</v>
      </c>
      <c r="DF69" s="16">
        <f>SUM(DA$5:DA69)</f>
        <v>28.551038997573308</v>
      </c>
      <c r="DG69" s="16">
        <f>SUM(DB$5:DB69)</f>
        <v>16.465869212884851</v>
      </c>
    </row>
    <row r="70" spans="2:111">
      <c r="X70" s="16">
        <v>66</v>
      </c>
      <c r="Y70" s="45">
        <f t="shared" ref="Y70:Y133" si="52">IF($X70&lt;=$E$28,($J$29-$Y$5)/($E$28)*($X70-1)+$Y$5,求节点($E$28:$E$34,$J$28:$J$34,$X70))</f>
        <v>356.25</v>
      </c>
      <c r="Z70" s="24">
        <f t="shared" ref="Z70:Z133" si="53">$E$50</f>
        <v>6.8000000000000005E-2</v>
      </c>
      <c r="AA70" s="16">
        <f>$Y70*$Z70*其他调用!V69</f>
        <v>7239.0318502658247</v>
      </c>
      <c r="AB70" s="16">
        <f>$Y70*$Z70*其他调用!W69</f>
        <v>9255.8300963425409</v>
      </c>
      <c r="AC70" s="16">
        <f>$Y70*$Z70*其他调用!X69</f>
        <v>10334.775797384938</v>
      </c>
      <c r="AD70" s="16">
        <f>$Y70*$Z70*其他调用!Y69</f>
        <v>8067.2577246700239</v>
      </c>
      <c r="AE70" s="16">
        <f>$Y70*$Z70*其他调用!Z69</f>
        <v>4635.2678228482955</v>
      </c>
      <c r="AH70" s="16">
        <v>66</v>
      </c>
      <c r="AI70" s="16">
        <f>SUM(AA$5:AA70)</f>
        <v>82835.830309107041</v>
      </c>
      <c r="AJ70" s="16">
        <f>SUM(AB$5:AB70)</f>
        <v>104734.13303295834</v>
      </c>
      <c r="AK70" s="16">
        <f>SUM(AC$5:AC70)</f>
        <v>116906.1563784301</v>
      </c>
      <c r="AL70" s="16">
        <f>SUM(AD$5:AD70)</f>
        <v>96756.562661822099</v>
      </c>
      <c r="AM70" s="16">
        <f>SUM(AE$5:AE70)</f>
        <v>53658.03843177724</v>
      </c>
      <c r="AR70" s="16">
        <v>66</v>
      </c>
      <c r="AS70" s="24">
        <f t="shared" si="36"/>
        <v>6.8000000000000005E-2</v>
      </c>
      <c r="AT70" s="16">
        <f>求节点(E$28:E$34,$M$28:$M$34,$AR70)*$AS70*其他调用!V69/$E$4</f>
        <v>0</v>
      </c>
      <c r="AU70" s="16">
        <f>求节点(F$28:F$34,$M$28:$M$34,$AR70)*$AS70*其他调用!W69/$E$4</f>
        <v>0</v>
      </c>
      <c r="AV70" s="16">
        <f>求节点(G$28:G$34,$M$28:$M$34,$AR70)*$AS70*其他调用!X69/$E$4</f>
        <v>0</v>
      </c>
      <c r="AW70" s="16">
        <f>求节点(H$28:H$34,$M$28:$M$34,$AR70)*$AS70*其他调用!Y69/$E$4</f>
        <v>0</v>
      </c>
      <c r="AX70" s="16">
        <f>求节点(I$28:I$34,$M$28:$M$34,$AR70)*$AS70*其他调用!Z69/$E$4</f>
        <v>0</v>
      </c>
      <c r="AY70" s="16">
        <f>求节点(E$28:E$34,$N$28:$N$34,$AR70)*$AS70*其他调用!V69/$E$4</f>
        <v>0</v>
      </c>
      <c r="AZ70" s="16">
        <f>求节点(F$28:F$34,$N$28:$N$34,$AR70)*$AS70*其他调用!W69/$E$4</f>
        <v>0</v>
      </c>
      <c r="BA70" s="16">
        <f>求节点(G$28:G$34,$N$28:$N$34,$AR70)*$AS70*其他调用!X69/$E$4</f>
        <v>0</v>
      </c>
      <c r="BB70" s="16">
        <f>求节点(H$28:H$34,$N$28:$N$34,$AR70)*$AS70*其他调用!Y69/$E$4</f>
        <v>0</v>
      </c>
      <c r="BC70" s="16">
        <f>求节点(I$28:I$34,$N$28:$N$34,$AR70)*$AS70*其他调用!Z69/$E$4</f>
        <v>0</v>
      </c>
      <c r="BD70" s="16">
        <f>求节点(E$28:E$34,$O$28:$O$34,$AR70)*$AS70*其他调用!V69/$E$4</f>
        <v>0</v>
      </c>
      <c r="BE70" s="16">
        <f>求节点(F$28:F$34,$O$28:$O$34,$AR70)*$AS70*其他调用!W69/$E$4</f>
        <v>0</v>
      </c>
      <c r="BF70" s="16">
        <f>求节点(G$28:G$34,$O$28:$O$34,$AR70)*$AS70*其他调用!X69/$E$4</f>
        <v>0</v>
      </c>
      <c r="BG70" s="16">
        <f>求节点(H$28:H$34,$O$28:$O$34,$AR70)*$AS70*其他调用!Y69/$E$4</f>
        <v>0</v>
      </c>
      <c r="BH70" s="16">
        <f>求节点(I$28:I$34,$O$28:$O$34,$AR70)*$AS70*其他调用!Z69/$E$4</f>
        <v>0</v>
      </c>
      <c r="BK70" s="16">
        <v>66</v>
      </c>
      <c r="BL70" s="16">
        <f>SUM(AT$5:AT70)</f>
        <v>0</v>
      </c>
      <c r="BM70" s="16">
        <f>SUM(AU$5:AU70)</f>
        <v>0</v>
      </c>
      <c r="BN70" s="16">
        <f>SUM(AV$5:AV70)</f>
        <v>0</v>
      </c>
      <c r="BO70" s="16">
        <f>SUM(AW$5:AW70)</f>
        <v>0</v>
      </c>
      <c r="BP70" s="16">
        <f>SUM(AX$5:AX70)</f>
        <v>0</v>
      </c>
      <c r="BQ70" s="16">
        <f>SUM(AY$5:AY70)</f>
        <v>0</v>
      </c>
      <c r="BR70" s="16">
        <f>SUM(AZ$5:AZ70)</f>
        <v>0</v>
      </c>
      <c r="BS70" s="16">
        <f>SUM(BA$5:BA70)</f>
        <v>0</v>
      </c>
      <c r="BT70" s="16">
        <f>SUM(BB$5:BB70)</f>
        <v>0</v>
      </c>
      <c r="BU70" s="16">
        <f>SUM(BC$5:BC70)</f>
        <v>0</v>
      </c>
      <c r="BV70" s="16">
        <f>SUM(BD$5:BD70)</f>
        <v>0</v>
      </c>
      <c r="BW70" s="16">
        <f>SUM(BE$5:BE70)</f>
        <v>0</v>
      </c>
      <c r="BX70" s="16">
        <f>SUM(BF$5:BF70)</f>
        <v>0</v>
      </c>
      <c r="BY70" s="16">
        <f>SUM(BG$5:BG70)</f>
        <v>0</v>
      </c>
      <c r="BZ70" s="16">
        <f>SUM(BH$5:BH70)</f>
        <v>0</v>
      </c>
      <c r="CC70" s="16">
        <v>66</v>
      </c>
      <c r="CD70" s="16">
        <f t="shared" si="37"/>
        <v>0</v>
      </c>
      <c r="CE70" s="16">
        <f t="shared" si="38"/>
        <v>0</v>
      </c>
      <c r="CF70" s="16">
        <f t="shared" si="39"/>
        <v>0</v>
      </c>
      <c r="CG70" s="16">
        <f t="shared" si="40"/>
        <v>0</v>
      </c>
      <c r="CH70" s="16">
        <f t="shared" si="41"/>
        <v>0</v>
      </c>
      <c r="CI70" s="16">
        <f t="shared" si="42"/>
        <v>0</v>
      </c>
      <c r="CJ70" s="16">
        <f t="shared" si="43"/>
        <v>0</v>
      </c>
      <c r="CK70" s="16">
        <f t="shared" si="44"/>
        <v>0</v>
      </c>
      <c r="CL70" s="16">
        <f t="shared" si="45"/>
        <v>0</v>
      </c>
      <c r="CM70" s="16">
        <f t="shared" si="46"/>
        <v>0</v>
      </c>
      <c r="CN70" s="16">
        <f t="shared" si="47"/>
        <v>0</v>
      </c>
      <c r="CO70" s="16">
        <f t="shared" si="48"/>
        <v>0</v>
      </c>
      <c r="CP70" s="16">
        <f t="shared" si="49"/>
        <v>0</v>
      </c>
      <c r="CQ70" s="16">
        <f t="shared" si="50"/>
        <v>0</v>
      </c>
      <c r="CR70" s="16">
        <f t="shared" si="51"/>
        <v>0</v>
      </c>
      <c r="CV70" s="16">
        <v>66</v>
      </c>
      <c r="CW70" s="35">
        <f t="shared" ref="CW70:CW133" si="54">$E$49</f>
        <v>0.13200000000000001</v>
      </c>
      <c r="CX70" s="16">
        <f>其他调用!V69/$E$4*求节点(E$28:E$34,$P$28:$P$34,$CV70)*$CW70</f>
        <v>2.9583659573841756</v>
      </c>
      <c r="CY70" s="16">
        <f>其他调用!W69/$E$4*求节点(F$28:F$34,$P$28:$P$34,$CV70)*$CW70</f>
        <v>3.7825683365858063</v>
      </c>
      <c r="CZ70" s="16">
        <f>其他调用!X69/$E$4*求节点(G$28:G$34,$P$28:$P$34,$CV70)*$CW70</f>
        <v>4.2234997066712436</v>
      </c>
      <c r="DA70" s="16">
        <f>其他调用!Y69/$E$4*求节点(H$28:H$34,$P$28:$P$34,$CV70)*$CW70</f>
        <v>3.2968359741685545</v>
      </c>
      <c r="DB70" s="16">
        <f>其他调用!Z69/$E$4*求节点(I$28:I$34,$P$28:$P$34,$CV70)*$CW70</f>
        <v>1.8942890173869196</v>
      </c>
      <c r="DC70" s="16">
        <f>SUM(CX$5:CX70)</f>
        <v>16.982662402750258</v>
      </c>
      <c r="DD70" s="16">
        <f>SUM(CY$5:CY70)</f>
        <v>23.80735736600921</v>
      </c>
      <c r="DE70" s="16">
        <f>SUM(CZ$5:CZ70)</f>
        <v>33.19670049696785</v>
      </c>
      <c r="DF70" s="16">
        <f>SUM(DA$5:DA70)</f>
        <v>31.847874971741863</v>
      </c>
      <c r="DG70" s="16">
        <f>SUM(DB$5:DB70)</f>
        <v>18.360158230271772</v>
      </c>
    </row>
    <row r="71" spans="2:111">
      <c r="X71" s="16">
        <v>67</v>
      </c>
      <c r="Y71" s="45">
        <f t="shared" si="52"/>
        <v>365.625</v>
      </c>
      <c r="Z71" s="24">
        <f t="shared" si="53"/>
        <v>6.8000000000000005E-2</v>
      </c>
      <c r="AA71" s="16">
        <f>$Y71*$Z71*其他调用!V70</f>
        <v>7962.7759745059548</v>
      </c>
      <c r="AB71" s="16">
        <f>$Y71*$Z71*其他调用!W70</f>
        <v>10189.411991721172</v>
      </c>
      <c r="AC71" s="16">
        <f>$Y71*$Z71*其他调用!X70</f>
        <v>10865.053280280563</v>
      </c>
      <c r="AD71" s="16">
        <f>$Y71*$Z71*其他调用!Y70</f>
        <v>8867.7504585768474</v>
      </c>
      <c r="AE71" s="16">
        <f>$Y71*$Z71*其他调用!Z70</f>
        <v>4987.8146672294515</v>
      </c>
      <c r="AH71" s="16">
        <v>67</v>
      </c>
      <c r="AI71" s="16">
        <f>SUM(AA$5:AA71)</f>
        <v>90798.606283613</v>
      </c>
      <c r="AJ71" s="16">
        <f>SUM(AB$5:AB71)</f>
        <v>114923.54502467951</v>
      </c>
      <c r="AK71" s="16">
        <f>SUM(AC$5:AC71)</f>
        <v>127771.20965871066</v>
      </c>
      <c r="AL71" s="16">
        <f>SUM(AD$5:AD71)</f>
        <v>105624.31312039895</v>
      </c>
      <c r="AM71" s="16">
        <f>SUM(AE$5:AE71)</f>
        <v>58645.853099006694</v>
      </c>
      <c r="AR71" s="16">
        <v>67</v>
      </c>
      <c r="AS71" s="24">
        <f t="shared" si="36"/>
        <v>6.8000000000000005E-2</v>
      </c>
      <c r="AT71" s="16">
        <f>求节点(E$28:E$34,$M$28:$M$34,$AR71)*$AS71*其他调用!V70/$E$4</f>
        <v>0</v>
      </c>
      <c r="AU71" s="16">
        <f>求节点(F$28:F$34,$M$28:$M$34,$AR71)*$AS71*其他调用!W70/$E$4</f>
        <v>0</v>
      </c>
      <c r="AV71" s="16">
        <f>求节点(G$28:G$34,$M$28:$M$34,$AR71)*$AS71*其他调用!X70/$E$4</f>
        <v>0</v>
      </c>
      <c r="AW71" s="16">
        <f>求节点(H$28:H$34,$M$28:$M$34,$AR71)*$AS71*其他调用!Y70/$E$4</f>
        <v>0</v>
      </c>
      <c r="AX71" s="16">
        <f>求节点(I$28:I$34,$M$28:$M$34,$AR71)*$AS71*其他调用!Z70/$E$4</f>
        <v>0</v>
      </c>
      <c r="AY71" s="16">
        <f>求节点(E$28:E$34,$N$28:$N$34,$AR71)*$AS71*其他调用!V70/$E$4</f>
        <v>0</v>
      </c>
      <c r="AZ71" s="16">
        <f>求节点(F$28:F$34,$N$28:$N$34,$AR71)*$AS71*其他调用!W70/$E$4</f>
        <v>0</v>
      </c>
      <c r="BA71" s="16">
        <f>求节点(G$28:G$34,$N$28:$N$34,$AR71)*$AS71*其他调用!X70/$E$4</f>
        <v>0</v>
      </c>
      <c r="BB71" s="16">
        <f>求节点(H$28:H$34,$N$28:$N$34,$AR71)*$AS71*其他调用!Y70/$E$4</f>
        <v>0</v>
      </c>
      <c r="BC71" s="16">
        <f>求节点(I$28:I$34,$N$28:$N$34,$AR71)*$AS71*其他调用!Z70/$E$4</f>
        <v>0</v>
      </c>
      <c r="BD71" s="16">
        <f>求节点(E$28:E$34,$O$28:$O$34,$AR71)*$AS71*其他调用!V70/$E$4</f>
        <v>0</v>
      </c>
      <c r="BE71" s="16">
        <f>求节点(F$28:F$34,$O$28:$O$34,$AR71)*$AS71*其他调用!W70/$E$4</f>
        <v>0</v>
      </c>
      <c r="BF71" s="16">
        <f>求节点(G$28:G$34,$O$28:$O$34,$AR71)*$AS71*其他调用!X70/$E$4</f>
        <v>0</v>
      </c>
      <c r="BG71" s="16">
        <f>求节点(H$28:H$34,$O$28:$O$34,$AR71)*$AS71*其他调用!Y70/$E$4</f>
        <v>0</v>
      </c>
      <c r="BH71" s="16">
        <f>求节点(I$28:I$34,$O$28:$O$34,$AR71)*$AS71*其他调用!Z70/$E$4</f>
        <v>0</v>
      </c>
      <c r="BK71" s="16">
        <v>67</v>
      </c>
      <c r="BL71" s="16">
        <f>SUM(AT$5:AT71)</f>
        <v>0</v>
      </c>
      <c r="BM71" s="16">
        <f>SUM(AU$5:AU71)</f>
        <v>0</v>
      </c>
      <c r="BN71" s="16">
        <f>SUM(AV$5:AV71)</f>
        <v>0</v>
      </c>
      <c r="BO71" s="16">
        <f>SUM(AW$5:AW71)</f>
        <v>0</v>
      </c>
      <c r="BP71" s="16">
        <f>SUM(AX$5:AX71)</f>
        <v>0</v>
      </c>
      <c r="BQ71" s="16">
        <f>SUM(AY$5:AY71)</f>
        <v>0</v>
      </c>
      <c r="BR71" s="16">
        <f>SUM(AZ$5:AZ71)</f>
        <v>0</v>
      </c>
      <c r="BS71" s="16">
        <f>SUM(BA$5:BA71)</f>
        <v>0</v>
      </c>
      <c r="BT71" s="16">
        <f>SUM(BB$5:BB71)</f>
        <v>0</v>
      </c>
      <c r="BU71" s="16">
        <f>SUM(BC$5:BC71)</f>
        <v>0</v>
      </c>
      <c r="BV71" s="16">
        <f>SUM(BD$5:BD71)</f>
        <v>0</v>
      </c>
      <c r="BW71" s="16">
        <f>SUM(BE$5:BE71)</f>
        <v>0</v>
      </c>
      <c r="BX71" s="16">
        <f>SUM(BF$5:BF71)</f>
        <v>0</v>
      </c>
      <c r="BY71" s="16">
        <f>SUM(BG$5:BG71)</f>
        <v>0</v>
      </c>
      <c r="BZ71" s="16">
        <f>SUM(BH$5:BH71)</f>
        <v>0</v>
      </c>
      <c r="CC71" s="16">
        <v>67</v>
      </c>
      <c r="CD71" s="16">
        <f t="shared" si="37"/>
        <v>0</v>
      </c>
      <c r="CE71" s="16">
        <f t="shared" si="38"/>
        <v>0</v>
      </c>
      <c r="CF71" s="16">
        <f t="shared" si="39"/>
        <v>0</v>
      </c>
      <c r="CG71" s="16">
        <f t="shared" si="40"/>
        <v>0</v>
      </c>
      <c r="CH71" s="16">
        <f t="shared" si="41"/>
        <v>0</v>
      </c>
      <c r="CI71" s="16">
        <f t="shared" si="42"/>
        <v>0</v>
      </c>
      <c r="CJ71" s="16">
        <f t="shared" si="43"/>
        <v>0</v>
      </c>
      <c r="CK71" s="16">
        <f t="shared" si="44"/>
        <v>0</v>
      </c>
      <c r="CL71" s="16">
        <f t="shared" si="45"/>
        <v>0</v>
      </c>
      <c r="CM71" s="16">
        <f t="shared" si="46"/>
        <v>0</v>
      </c>
      <c r="CN71" s="16">
        <f t="shared" si="47"/>
        <v>0</v>
      </c>
      <c r="CO71" s="16">
        <f t="shared" si="48"/>
        <v>0</v>
      </c>
      <c r="CP71" s="16">
        <f t="shared" si="49"/>
        <v>0</v>
      </c>
      <c r="CQ71" s="16">
        <f t="shared" si="50"/>
        <v>0</v>
      </c>
      <c r="CR71" s="16">
        <f t="shared" si="51"/>
        <v>0</v>
      </c>
      <c r="CV71" s="16">
        <v>67</v>
      </c>
      <c r="CW71" s="35">
        <f t="shared" si="54"/>
        <v>0.13200000000000001</v>
      </c>
      <c r="CX71" s="16">
        <f>其他调用!V70/$E$4*求节点(E$28:E$34,$P$28:$P$34,$CV71)*$CW71</f>
        <v>3.170698125595131</v>
      </c>
      <c r="CY71" s="16">
        <f>其他调用!W70/$E$4*求节点(F$28:F$34,$P$28:$P$34,$CV71)*$CW71</f>
        <v>4.0573224220428195</v>
      </c>
      <c r="CZ71" s="16">
        <f>其他调用!X70/$E$4*求节点(G$28:G$34,$P$28:$P$34,$CV71)*$CW71</f>
        <v>4.3263560573062882</v>
      </c>
      <c r="DA71" s="16">
        <f>其他调用!Y70/$E$4*求节点(H$28:H$34,$P$28:$P$34,$CV71)*$CW71</f>
        <v>3.5310499563563922</v>
      </c>
      <c r="DB71" s="16">
        <f>其他调用!Z70/$E$4*求节点(I$28:I$34,$P$28:$P$34,$CV71)*$CW71</f>
        <v>1.9860981480370667</v>
      </c>
      <c r="DC71" s="16">
        <f>SUM(CX$5:CX71)</f>
        <v>20.153360528345388</v>
      </c>
      <c r="DD71" s="16">
        <f>SUM(CY$5:CY71)</f>
        <v>27.86467978805203</v>
      </c>
      <c r="DE71" s="16">
        <f>SUM(CZ$5:CZ71)</f>
        <v>37.523056554274135</v>
      </c>
      <c r="DF71" s="16">
        <f>SUM(DA$5:DA71)</f>
        <v>35.378924928098257</v>
      </c>
      <c r="DG71" s="16">
        <f>SUM(DB$5:DB71)</f>
        <v>20.346256378308837</v>
      </c>
    </row>
    <row r="72" spans="2:111">
      <c r="X72" s="16">
        <v>68</v>
      </c>
      <c r="Y72" s="45">
        <f t="shared" si="52"/>
        <v>375</v>
      </c>
      <c r="Z72" s="24">
        <f t="shared" si="53"/>
        <v>6.8000000000000005E-2</v>
      </c>
      <c r="AA72" s="16">
        <f>$Y72*$Z72*其他调用!V71</f>
        <v>8753.1199770226631</v>
      </c>
      <c r="AB72" s="16">
        <f>$Y72*$Z72*其他调用!W71</f>
        <v>10870.163764393197</v>
      </c>
      <c r="AC72" s="16">
        <f>$Y72*$Z72*其他调用!X71</f>
        <v>11505.484068265983</v>
      </c>
      <c r="AD72" s="16">
        <f>$Y72*$Z72*其他调用!Y71</f>
        <v>9946.31464711841</v>
      </c>
      <c r="AE72" s="16">
        <f>$Y72*$Z72*其他调用!Z71</f>
        <v>5411.0187306759626</v>
      </c>
      <c r="AH72" s="16">
        <v>68</v>
      </c>
      <c r="AI72" s="16">
        <f>SUM(AA$5:AA72)</f>
        <v>99551.726260635667</v>
      </c>
      <c r="AJ72" s="16">
        <f>SUM(AB$5:AB72)</f>
        <v>125793.7087890727</v>
      </c>
      <c r="AK72" s="16">
        <f>SUM(AC$5:AC72)</f>
        <v>139276.69372697663</v>
      </c>
      <c r="AL72" s="16">
        <f>SUM(AD$5:AD72)</f>
        <v>115570.62776751736</v>
      </c>
      <c r="AM72" s="16">
        <f>SUM(AE$5:AE72)</f>
        <v>64056.871829682656</v>
      </c>
      <c r="AR72" s="16">
        <v>68</v>
      </c>
      <c r="AS72" s="24">
        <f t="shared" si="36"/>
        <v>6.8000000000000005E-2</v>
      </c>
      <c r="AT72" s="16">
        <f>求节点(E$28:E$34,$M$28:$M$34,$AR72)*$AS72*其他调用!V71/$E$4</f>
        <v>0</v>
      </c>
      <c r="AU72" s="16">
        <f>求节点(F$28:F$34,$M$28:$M$34,$AR72)*$AS72*其他调用!W71/$E$4</f>
        <v>0</v>
      </c>
      <c r="AV72" s="16">
        <f>求节点(G$28:G$34,$M$28:$M$34,$AR72)*$AS72*其他调用!X71/$E$4</f>
        <v>0</v>
      </c>
      <c r="AW72" s="16">
        <f>求节点(H$28:H$34,$M$28:$M$34,$AR72)*$AS72*其他调用!Y71/$E$4</f>
        <v>0</v>
      </c>
      <c r="AX72" s="16">
        <f>求节点(I$28:I$34,$M$28:$M$34,$AR72)*$AS72*其他调用!Z71/$E$4</f>
        <v>0</v>
      </c>
      <c r="AY72" s="16">
        <f>求节点(E$28:E$34,$N$28:$N$34,$AR72)*$AS72*其他调用!V71/$E$4</f>
        <v>0</v>
      </c>
      <c r="AZ72" s="16">
        <f>求节点(F$28:F$34,$N$28:$N$34,$AR72)*$AS72*其他调用!W71/$E$4</f>
        <v>0</v>
      </c>
      <c r="BA72" s="16">
        <f>求节点(G$28:G$34,$N$28:$N$34,$AR72)*$AS72*其他调用!X71/$E$4</f>
        <v>0</v>
      </c>
      <c r="BB72" s="16">
        <f>求节点(H$28:H$34,$N$28:$N$34,$AR72)*$AS72*其他调用!Y71/$E$4</f>
        <v>0</v>
      </c>
      <c r="BC72" s="16">
        <f>求节点(I$28:I$34,$N$28:$N$34,$AR72)*$AS72*其他调用!Z71/$E$4</f>
        <v>0</v>
      </c>
      <c r="BD72" s="16">
        <f>求节点(E$28:E$34,$O$28:$O$34,$AR72)*$AS72*其他调用!V71/$E$4</f>
        <v>0</v>
      </c>
      <c r="BE72" s="16">
        <f>求节点(F$28:F$34,$O$28:$O$34,$AR72)*$AS72*其他调用!W71/$E$4</f>
        <v>0</v>
      </c>
      <c r="BF72" s="16">
        <f>求节点(G$28:G$34,$O$28:$O$34,$AR72)*$AS72*其他调用!X71/$E$4</f>
        <v>0</v>
      </c>
      <c r="BG72" s="16">
        <f>求节点(H$28:H$34,$O$28:$O$34,$AR72)*$AS72*其他调用!Y71/$E$4</f>
        <v>0</v>
      </c>
      <c r="BH72" s="16">
        <f>求节点(I$28:I$34,$O$28:$O$34,$AR72)*$AS72*其他调用!Z71/$E$4</f>
        <v>0</v>
      </c>
      <c r="BK72" s="16">
        <v>68</v>
      </c>
      <c r="BL72" s="16">
        <f>SUM(AT$5:AT72)</f>
        <v>0</v>
      </c>
      <c r="BM72" s="16">
        <f>SUM(AU$5:AU72)</f>
        <v>0</v>
      </c>
      <c r="BN72" s="16">
        <f>SUM(AV$5:AV72)</f>
        <v>0</v>
      </c>
      <c r="BO72" s="16">
        <f>SUM(AW$5:AW72)</f>
        <v>0</v>
      </c>
      <c r="BP72" s="16">
        <f>SUM(AX$5:AX72)</f>
        <v>0</v>
      </c>
      <c r="BQ72" s="16">
        <f>SUM(AY$5:AY72)</f>
        <v>0</v>
      </c>
      <c r="BR72" s="16">
        <f>SUM(AZ$5:AZ72)</f>
        <v>0</v>
      </c>
      <c r="BS72" s="16">
        <f>SUM(BA$5:BA72)</f>
        <v>0</v>
      </c>
      <c r="BT72" s="16">
        <f>SUM(BB$5:BB72)</f>
        <v>0</v>
      </c>
      <c r="BU72" s="16">
        <f>SUM(BC$5:BC72)</f>
        <v>0</v>
      </c>
      <c r="BV72" s="16">
        <f>SUM(BD$5:BD72)</f>
        <v>0</v>
      </c>
      <c r="BW72" s="16">
        <f>SUM(BE$5:BE72)</f>
        <v>0</v>
      </c>
      <c r="BX72" s="16">
        <f>SUM(BF$5:BF72)</f>
        <v>0</v>
      </c>
      <c r="BY72" s="16">
        <f>SUM(BG$5:BG72)</f>
        <v>0</v>
      </c>
      <c r="BZ72" s="16">
        <f>SUM(BH$5:BH72)</f>
        <v>0</v>
      </c>
      <c r="CC72" s="16">
        <v>68</v>
      </c>
      <c r="CD72" s="16">
        <f t="shared" si="37"/>
        <v>0</v>
      </c>
      <c r="CE72" s="16">
        <f t="shared" si="38"/>
        <v>0</v>
      </c>
      <c r="CF72" s="16">
        <f t="shared" si="39"/>
        <v>0</v>
      </c>
      <c r="CG72" s="16">
        <f t="shared" si="40"/>
        <v>0</v>
      </c>
      <c r="CH72" s="16">
        <f t="shared" si="41"/>
        <v>0</v>
      </c>
      <c r="CI72" s="16">
        <f t="shared" si="42"/>
        <v>0</v>
      </c>
      <c r="CJ72" s="16">
        <f t="shared" si="43"/>
        <v>0</v>
      </c>
      <c r="CK72" s="16">
        <f t="shared" si="44"/>
        <v>0</v>
      </c>
      <c r="CL72" s="16">
        <f t="shared" si="45"/>
        <v>0</v>
      </c>
      <c r="CM72" s="16">
        <f t="shared" si="46"/>
        <v>0</v>
      </c>
      <c r="CN72" s="16">
        <f t="shared" si="47"/>
        <v>0</v>
      </c>
      <c r="CO72" s="16">
        <f t="shared" si="48"/>
        <v>0</v>
      </c>
      <c r="CP72" s="16">
        <f t="shared" si="49"/>
        <v>0</v>
      </c>
      <c r="CQ72" s="16">
        <f t="shared" si="50"/>
        <v>0</v>
      </c>
      <c r="CR72" s="16">
        <f t="shared" si="51"/>
        <v>0</v>
      </c>
      <c r="CV72" s="16">
        <v>68</v>
      </c>
      <c r="CW72" s="35">
        <f t="shared" si="54"/>
        <v>0.13200000000000001</v>
      </c>
      <c r="CX72" s="16">
        <f>其他调用!V71/$E$4*求节点(E$28:E$34,$P$28:$P$34,$CV72)*$CW72</f>
        <v>3.3982701087264453</v>
      </c>
      <c r="CY72" s="16">
        <f>其他调用!W71/$E$4*求节点(F$28:F$34,$P$28:$P$34,$CV72)*$CW72</f>
        <v>4.220181226176182</v>
      </c>
      <c r="CZ72" s="16">
        <f>其他调用!X71/$E$4*求节点(G$28:G$34,$P$28:$P$34,$CV72)*$CW72</f>
        <v>4.4668349912091454</v>
      </c>
      <c r="DA72" s="16">
        <f>其他调用!Y71/$E$4*求节点(H$28:H$34,$P$28:$P$34,$CV72)*$CW72</f>
        <v>3.8615103924106764</v>
      </c>
      <c r="DB72" s="16">
        <f>其他调用!Z71/$E$4*求节点(I$28:I$34,$P$28:$P$34,$CV72)*$CW72</f>
        <v>2.1007484483800791</v>
      </c>
      <c r="DC72" s="16">
        <f>SUM(CX$5:CX72)</f>
        <v>23.551630637071835</v>
      </c>
      <c r="DD72" s="16">
        <f>SUM(CY$5:CY72)</f>
        <v>32.08486101422821</v>
      </c>
      <c r="DE72" s="16">
        <f>SUM(CZ$5:CZ72)</f>
        <v>41.989891545483282</v>
      </c>
      <c r="DF72" s="16">
        <f>SUM(DA$5:DA72)</f>
        <v>39.240435320508936</v>
      </c>
      <c r="DG72" s="16">
        <f>SUM(DB$5:DB72)</f>
        <v>22.447004826688918</v>
      </c>
    </row>
    <row r="73" spans="2:111">
      <c r="X73" s="16">
        <v>69</v>
      </c>
      <c r="Y73" s="45">
        <f t="shared" si="52"/>
        <v>384.375</v>
      </c>
      <c r="Z73" s="24">
        <f t="shared" si="53"/>
        <v>6.8000000000000005E-2</v>
      </c>
      <c r="AA73" s="16">
        <f>$Y73*$Z73*其他调用!V72</f>
        <v>9615.8957484133825</v>
      </c>
      <c r="AB73" s="16">
        <f>$Y73*$Z73*其他调用!W72</f>
        <v>11697.93500278387</v>
      </c>
      <c r="AC73" s="16">
        <f>$Y73*$Z73*其他调用!X72</f>
        <v>13423.184250171444</v>
      </c>
      <c r="AD73" s="16">
        <f>$Y73*$Z73*其他调用!Y72</f>
        <v>11098.445779857717</v>
      </c>
      <c r="AE73" s="16">
        <f>$Y73*$Z73*其他调用!Z72</f>
        <v>5924.8189142588726</v>
      </c>
      <c r="AH73" s="16">
        <v>69</v>
      </c>
      <c r="AI73" s="16">
        <f>SUM(AA$5:AA73)</f>
        <v>109167.62200904905</v>
      </c>
      <c r="AJ73" s="16">
        <f>SUM(AB$5:AB73)</f>
        <v>137491.64379185656</v>
      </c>
      <c r="AK73" s="16">
        <f>SUM(AC$5:AC73)</f>
        <v>152699.87797714808</v>
      </c>
      <c r="AL73" s="16">
        <f>SUM(AD$5:AD73)</f>
        <v>126669.07354737508</v>
      </c>
      <c r="AM73" s="16">
        <f>SUM(AE$5:AE73)</f>
        <v>69981.690743941523</v>
      </c>
      <c r="AR73" s="16">
        <v>69</v>
      </c>
      <c r="AS73" s="24">
        <f t="shared" si="36"/>
        <v>6.8000000000000005E-2</v>
      </c>
      <c r="AT73" s="16">
        <f>求节点(E$28:E$34,$M$28:$M$34,$AR73)*$AS73*其他调用!V72/$E$4</f>
        <v>0</v>
      </c>
      <c r="AU73" s="16">
        <f>求节点(F$28:F$34,$M$28:$M$34,$AR73)*$AS73*其他调用!W72/$E$4</f>
        <v>0</v>
      </c>
      <c r="AV73" s="16">
        <f>求节点(G$28:G$34,$M$28:$M$34,$AR73)*$AS73*其他调用!X72/$E$4</f>
        <v>0</v>
      </c>
      <c r="AW73" s="16">
        <f>求节点(H$28:H$34,$M$28:$M$34,$AR73)*$AS73*其他调用!Y72/$E$4</f>
        <v>0</v>
      </c>
      <c r="AX73" s="16">
        <f>求节点(I$28:I$34,$M$28:$M$34,$AR73)*$AS73*其他调用!Z72/$E$4</f>
        <v>0</v>
      </c>
      <c r="AY73" s="16">
        <f>求节点(E$28:E$34,$N$28:$N$34,$AR73)*$AS73*其他调用!V72/$E$4</f>
        <v>0</v>
      </c>
      <c r="AZ73" s="16">
        <f>求节点(F$28:F$34,$N$28:$N$34,$AR73)*$AS73*其他调用!W72/$E$4</f>
        <v>0</v>
      </c>
      <c r="BA73" s="16">
        <f>求节点(G$28:G$34,$N$28:$N$34,$AR73)*$AS73*其他调用!X72/$E$4</f>
        <v>0</v>
      </c>
      <c r="BB73" s="16">
        <f>求节点(H$28:H$34,$N$28:$N$34,$AR73)*$AS73*其他调用!Y72/$E$4</f>
        <v>0</v>
      </c>
      <c r="BC73" s="16">
        <f>求节点(I$28:I$34,$N$28:$N$34,$AR73)*$AS73*其他调用!Z72/$E$4</f>
        <v>0</v>
      </c>
      <c r="BD73" s="16">
        <f>求节点(E$28:E$34,$O$28:$O$34,$AR73)*$AS73*其他调用!V72/$E$4</f>
        <v>0</v>
      </c>
      <c r="BE73" s="16">
        <f>求节点(F$28:F$34,$O$28:$O$34,$AR73)*$AS73*其他调用!W72/$E$4</f>
        <v>0</v>
      </c>
      <c r="BF73" s="16">
        <f>求节点(G$28:G$34,$O$28:$O$34,$AR73)*$AS73*其他调用!X72/$E$4</f>
        <v>0</v>
      </c>
      <c r="BG73" s="16">
        <f>求节点(H$28:H$34,$O$28:$O$34,$AR73)*$AS73*其他调用!Y72/$E$4</f>
        <v>0</v>
      </c>
      <c r="BH73" s="16">
        <f>求节点(I$28:I$34,$O$28:$O$34,$AR73)*$AS73*其他调用!Z72/$E$4</f>
        <v>0</v>
      </c>
      <c r="BK73" s="16">
        <v>69</v>
      </c>
      <c r="BL73" s="16">
        <f>SUM(AT$5:AT73)</f>
        <v>0</v>
      </c>
      <c r="BM73" s="16">
        <f>SUM(AU$5:AU73)</f>
        <v>0</v>
      </c>
      <c r="BN73" s="16">
        <f>SUM(AV$5:AV73)</f>
        <v>0</v>
      </c>
      <c r="BO73" s="16">
        <f>SUM(AW$5:AW73)</f>
        <v>0</v>
      </c>
      <c r="BP73" s="16">
        <f>SUM(AX$5:AX73)</f>
        <v>0</v>
      </c>
      <c r="BQ73" s="16">
        <f>SUM(AY$5:AY73)</f>
        <v>0</v>
      </c>
      <c r="BR73" s="16">
        <f>SUM(AZ$5:AZ73)</f>
        <v>0</v>
      </c>
      <c r="BS73" s="16">
        <f>SUM(BA$5:BA73)</f>
        <v>0</v>
      </c>
      <c r="BT73" s="16">
        <f>SUM(BB$5:BB73)</f>
        <v>0</v>
      </c>
      <c r="BU73" s="16">
        <f>SUM(BC$5:BC73)</f>
        <v>0</v>
      </c>
      <c r="BV73" s="16">
        <f>SUM(BD$5:BD73)</f>
        <v>0</v>
      </c>
      <c r="BW73" s="16">
        <f>SUM(BE$5:BE73)</f>
        <v>0</v>
      </c>
      <c r="BX73" s="16">
        <f>SUM(BF$5:BF73)</f>
        <v>0</v>
      </c>
      <c r="BY73" s="16">
        <f>SUM(BG$5:BG73)</f>
        <v>0</v>
      </c>
      <c r="BZ73" s="16">
        <f>SUM(BH$5:BH73)</f>
        <v>0</v>
      </c>
      <c r="CC73" s="16">
        <v>69</v>
      </c>
      <c r="CD73" s="16">
        <f t="shared" si="37"/>
        <v>0</v>
      </c>
      <c r="CE73" s="16">
        <f t="shared" si="38"/>
        <v>0</v>
      </c>
      <c r="CF73" s="16">
        <f t="shared" si="39"/>
        <v>0</v>
      </c>
      <c r="CG73" s="16">
        <f t="shared" si="40"/>
        <v>0</v>
      </c>
      <c r="CH73" s="16">
        <f t="shared" si="41"/>
        <v>0</v>
      </c>
      <c r="CI73" s="16">
        <f t="shared" si="42"/>
        <v>0</v>
      </c>
      <c r="CJ73" s="16">
        <f t="shared" si="43"/>
        <v>0</v>
      </c>
      <c r="CK73" s="16">
        <f t="shared" si="44"/>
        <v>0</v>
      </c>
      <c r="CL73" s="16">
        <f t="shared" si="45"/>
        <v>0</v>
      </c>
      <c r="CM73" s="16">
        <f t="shared" si="46"/>
        <v>0</v>
      </c>
      <c r="CN73" s="16">
        <f t="shared" si="47"/>
        <v>0</v>
      </c>
      <c r="CO73" s="16">
        <f t="shared" si="48"/>
        <v>0</v>
      </c>
      <c r="CP73" s="16">
        <f t="shared" si="49"/>
        <v>0</v>
      </c>
      <c r="CQ73" s="16">
        <f t="shared" si="50"/>
        <v>0</v>
      </c>
      <c r="CR73" s="16">
        <f t="shared" si="51"/>
        <v>0</v>
      </c>
      <c r="CV73" s="16">
        <v>69</v>
      </c>
      <c r="CW73" s="35">
        <f t="shared" si="54"/>
        <v>0.13200000000000001</v>
      </c>
      <c r="CX73" s="16">
        <f>其他调用!V72/$E$4*求节点(E$28:E$34,$P$28:$P$34,$CV73)*$CW73</f>
        <v>3.6421757210633183</v>
      </c>
      <c r="CY73" s="16">
        <f>其他调用!W72/$E$4*求节点(F$28:F$34,$P$28:$P$34,$CV73)*$CW73</f>
        <v>4.4307816940243061</v>
      </c>
      <c r="CZ73" s="16">
        <f>其他调用!X72/$E$4*求节点(G$28:G$34,$P$28:$P$34,$CV73)*$CW73</f>
        <v>5.0842476930348068</v>
      </c>
      <c r="DA73" s="16">
        <f>其他调用!Y72/$E$4*求节点(H$28:H$34,$P$28:$P$34,$CV73)*$CW73</f>
        <v>4.203715474723726</v>
      </c>
      <c r="DB73" s="16">
        <f>其他调用!Z72/$E$4*求节点(I$28:I$34,$P$28:$P$34,$CV73)*$CW73</f>
        <v>2.2441207939230159</v>
      </c>
      <c r="DC73" s="16">
        <f>SUM(CX$5:CX73)</f>
        <v>27.193806358135152</v>
      </c>
      <c r="DD73" s="16">
        <f>SUM(CY$5:CY73)</f>
        <v>36.515642708252514</v>
      </c>
      <c r="DE73" s="16">
        <f>SUM(CZ$5:CZ73)</f>
        <v>47.074139238518086</v>
      </c>
      <c r="DF73" s="16">
        <f>SUM(DA$5:DA73)</f>
        <v>43.444150795232659</v>
      </c>
      <c r="DG73" s="16">
        <f>SUM(DB$5:DB73)</f>
        <v>24.691125620611935</v>
      </c>
    </row>
    <row r="74" spans="2:111">
      <c r="X74" s="16">
        <v>70</v>
      </c>
      <c r="Y74" s="45">
        <f t="shared" si="52"/>
        <v>393.75</v>
      </c>
      <c r="Z74" s="24">
        <f t="shared" si="53"/>
        <v>6.8000000000000005E-2</v>
      </c>
      <c r="AA74" s="16">
        <f>$Y74*$Z74*其他调用!V73</f>
        <v>10557.429244632491</v>
      </c>
      <c r="AB74" s="16">
        <f>$Y74*$Z74*其他调用!W73</f>
        <v>13378.788119202409</v>
      </c>
      <c r="AC74" s="16">
        <f>$Y74*$Z74*其他调用!X73</f>
        <v>15135.563885927959</v>
      </c>
      <c r="AD74" s="16">
        <f>$Y74*$Z74*其他调用!Y73</f>
        <v>12107.942118100857</v>
      </c>
      <c r="AE74" s="16">
        <f>$Y74*$Z74*其他调用!Z73</f>
        <v>6728.6602673456537</v>
      </c>
      <c r="AH74" s="16">
        <v>70</v>
      </c>
      <c r="AI74" s="16">
        <f>SUM(AA$5:AA74)</f>
        <v>119725.05125368154</v>
      </c>
      <c r="AJ74" s="16">
        <f>SUM(AB$5:AB74)</f>
        <v>150870.43191105899</v>
      </c>
      <c r="AK74" s="16">
        <f>SUM(AC$5:AC74)</f>
        <v>167835.44186307603</v>
      </c>
      <c r="AL74" s="16">
        <f>SUM(AD$5:AD74)</f>
        <v>138777.01566547595</v>
      </c>
      <c r="AM74" s="16">
        <f>SUM(AE$5:AE74)</f>
        <v>76710.351011287174</v>
      </c>
      <c r="AR74" s="16">
        <v>70</v>
      </c>
      <c r="AS74" s="24">
        <f t="shared" si="36"/>
        <v>6.8000000000000005E-2</v>
      </c>
      <c r="AT74" s="16">
        <f>求节点(E$28:E$34,$M$28:$M$34,$AR74)*$AS74*其他调用!V73/$E$4</f>
        <v>0</v>
      </c>
      <c r="AU74" s="16">
        <f>求节点(F$28:F$34,$M$28:$M$34,$AR74)*$AS74*其他调用!W73/$E$4</f>
        <v>0</v>
      </c>
      <c r="AV74" s="16">
        <f>求节点(G$28:G$34,$M$28:$M$34,$AR74)*$AS74*其他调用!X73/$E$4</f>
        <v>0</v>
      </c>
      <c r="AW74" s="16">
        <f>求节点(H$28:H$34,$M$28:$M$34,$AR74)*$AS74*其他调用!Y73/$E$4</f>
        <v>0</v>
      </c>
      <c r="AX74" s="16">
        <f>求节点(I$28:I$34,$M$28:$M$34,$AR74)*$AS74*其他调用!Z73/$E$4</f>
        <v>0</v>
      </c>
      <c r="AY74" s="16">
        <f>求节点(E$28:E$34,$N$28:$N$34,$AR74)*$AS74*其他调用!V73/$E$4</f>
        <v>0</v>
      </c>
      <c r="AZ74" s="16">
        <f>求节点(F$28:F$34,$N$28:$N$34,$AR74)*$AS74*其他调用!W73/$E$4</f>
        <v>0</v>
      </c>
      <c r="BA74" s="16">
        <f>求节点(G$28:G$34,$N$28:$N$34,$AR74)*$AS74*其他调用!X73/$E$4</f>
        <v>0</v>
      </c>
      <c r="BB74" s="16">
        <f>求节点(H$28:H$34,$N$28:$N$34,$AR74)*$AS74*其他调用!Y73/$E$4</f>
        <v>0</v>
      </c>
      <c r="BC74" s="16">
        <f>求节点(I$28:I$34,$N$28:$N$34,$AR74)*$AS74*其他调用!Z73/$E$4</f>
        <v>0</v>
      </c>
      <c r="BD74" s="16">
        <f>求节点(E$28:E$34,$O$28:$O$34,$AR74)*$AS74*其他调用!V73/$E$4</f>
        <v>0</v>
      </c>
      <c r="BE74" s="16">
        <f>求节点(F$28:F$34,$O$28:$O$34,$AR74)*$AS74*其他调用!W73/$E$4</f>
        <v>0</v>
      </c>
      <c r="BF74" s="16">
        <f>求节点(G$28:G$34,$O$28:$O$34,$AR74)*$AS74*其他调用!X73/$E$4</f>
        <v>0</v>
      </c>
      <c r="BG74" s="16">
        <f>求节点(H$28:H$34,$O$28:$O$34,$AR74)*$AS74*其他调用!Y73/$E$4</f>
        <v>0</v>
      </c>
      <c r="BH74" s="16">
        <f>求节点(I$28:I$34,$O$28:$O$34,$AR74)*$AS74*其他调用!Z73/$E$4</f>
        <v>0</v>
      </c>
      <c r="BK74" s="16">
        <v>70</v>
      </c>
      <c r="BL74" s="16">
        <f>SUM(AT$5:AT74)</f>
        <v>0</v>
      </c>
      <c r="BM74" s="16">
        <f>SUM(AU$5:AU74)</f>
        <v>0</v>
      </c>
      <c r="BN74" s="16">
        <f>SUM(AV$5:AV74)</f>
        <v>0</v>
      </c>
      <c r="BO74" s="16">
        <f>SUM(AW$5:AW74)</f>
        <v>0</v>
      </c>
      <c r="BP74" s="16">
        <f>SUM(AX$5:AX74)</f>
        <v>0</v>
      </c>
      <c r="BQ74" s="16">
        <f>SUM(AY$5:AY74)</f>
        <v>0</v>
      </c>
      <c r="BR74" s="16">
        <f>SUM(AZ$5:AZ74)</f>
        <v>0</v>
      </c>
      <c r="BS74" s="16">
        <f>SUM(BA$5:BA74)</f>
        <v>0</v>
      </c>
      <c r="BT74" s="16">
        <f>SUM(BB$5:BB74)</f>
        <v>0</v>
      </c>
      <c r="BU74" s="16">
        <f>SUM(BC$5:BC74)</f>
        <v>0</v>
      </c>
      <c r="BV74" s="16">
        <f>SUM(BD$5:BD74)</f>
        <v>0</v>
      </c>
      <c r="BW74" s="16">
        <f>SUM(BE$5:BE74)</f>
        <v>0</v>
      </c>
      <c r="BX74" s="16">
        <f>SUM(BF$5:BF74)</f>
        <v>0</v>
      </c>
      <c r="BY74" s="16">
        <f>SUM(BG$5:BG74)</f>
        <v>0</v>
      </c>
      <c r="BZ74" s="16">
        <f>SUM(BH$5:BH74)</f>
        <v>0</v>
      </c>
      <c r="CC74" s="16">
        <v>70</v>
      </c>
      <c r="CD74" s="16">
        <f t="shared" si="37"/>
        <v>0</v>
      </c>
      <c r="CE74" s="16">
        <f t="shared" si="38"/>
        <v>0</v>
      </c>
      <c r="CF74" s="16">
        <f t="shared" si="39"/>
        <v>0</v>
      </c>
      <c r="CG74" s="16">
        <f t="shared" si="40"/>
        <v>0</v>
      </c>
      <c r="CH74" s="16">
        <f t="shared" si="41"/>
        <v>0</v>
      </c>
      <c r="CI74" s="16">
        <f t="shared" si="42"/>
        <v>0</v>
      </c>
      <c r="CJ74" s="16">
        <f t="shared" si="43"/>
        <v>0</v>
      </c>
      <c r="CK74" s="16">
        <f t="shared" si="44"/>
        <v>0</v>
      </c>
      <c r="CL74" s="16">
        <f t="shared" si="45"/>
        <v>0</v>
      </c>
      <c r="CM74" s="16">
        <f t="shared" si="46"/>
        <v>0</v>
      </c>
      <c r="CN74" s="16">
        <f t="shared" si="47"/>
        <v>0</v>
      </c>
      <c r="CO74" s="16">
        <f t="shared" si="48"/>
        <v>0</v>
      </c>
      <c r="CP74" s="16">
        <f t="shared" si="49"/>
        <v>0</v>
      </c>
      <c r="CQ74" s="16">
        <f t="shared" si="50"/>
        <v>0</v>
      </c>
      <c r="CR74" s="16">
        <f t="shared" si="51"/>
        <v>0</v>
      </c>
      <c r="CV74" s="16">
        <v>70</v>
      </c>
      <c r="CW74" s="35">
        <f t="shared" si="54"/>
        <v>0.13200000000000001</v>
      </c>
      <c r="CX74" s="16">
        <f>其他调用!V73/$E$4*求节点(E$28:E$34,$P$28:$P$34,$CV74)*$CW74</f>
        <v>3.9035872837296601</v>
      </c>
      <c r="CY74" s="16">
        <f>其他调用!W73/$E$4*求节点(F$28:F$34,$P$28:$P$34,$CV74)*$CW74</f>
        <v>4.946778800377361</v>
      </c>
      <c r="CZ74" s="16">
        <f>其他调用!X73/$E$4*求节点(G$28:G$34,$P$28:$P$34,$CV74)*$CW74</f>
        <v>5.5963429494187409</v>
      </c>
      <c r="DA74" s="16">
        <f>其他调用!Y73/$E$4*求节点(H$28:H$34,$P$28:$P$34,$CV74)*$CW74</f>
        <v>4.476886161314602</v>
      </c>
      <c r="DB74" s="16">
        <f>其他调用!Z73/$E$4*求节点(I$28:I$34,$P$28:$P$34,$CV74)*$CW74</f>
        <v>2.4879079980101571</v>
      </c>
      <c r="DC74" s="16">
        <f>SUM(CX$5:CX74)</f>
        <v>31.097393641864812</v>
      </c>
      <c r="DD74" s="16">
        <f>SUM(CY$5:CY74)</f>
        <v>41.462421508629873</v>
      </c>
      <c r="DE74" s="16">
        <f>SUM(CZ$5:CZ74)</f>
        <v>52.670482187936827</v>
      </c>
      <c r="DF74" s="16">
        <f>SUM(DA$5:DA74)</f>
        <v>47.921036956547262</v>
      </c>
      <c r="DG74" s="16">
        <f>SUM(DB$5:DB74)</f>
        <v>27.179033618622093</v>
      </c>
    </row>
    <row r="75" spans="2:111">
      <c r="X75" s="16">
        <v>71</v>
      </c>
      <c r="Y75" s="45">
        <f t="shared" si="52"/>
        <v>403.125</v>
      </c>
      <c r="Z75" s="24">
        <f t="shared" si="53"/>
        <v>6.8000000000000005E-2</v>
      </c>
      <c r="AA75" s="16">
        <f>$Y75*$Z75*其他调用!V74</f>
        <v>11584.581365977843</v>
      </c>
      <c r="AB75" s="16">
        <f>$Y75*$Z75*其他调用!W74</f>
        <v>14810.600128322414</v>
      </c>
      <c r="AC75" s="16">
        <f>$Y75*$Z75*其他调用!X74</f>
        <v>16157.924306736693</v>
      </c>
      <c r="AD75" s="16">
        <f>$Y75*$Z75*其他调用!Y74</f>
        <v>13234.423299037559</v>
      </c>
      <c r="AE75" s="16">
        <f>$Y75*$Z75*其他调用!Z74</f>
        <v>7416.5280853560707</v>
      </c>
      <c r="AH75" s="16">
        <v>71</v>
      </c>
      <c r="AI75" s="16">
        <f>SUM(AA$5:AA75)</f>
        <v>131309.63261965939</v>
      </c>
      <c r="AJ75" s="16">
        <f>SUM(AB$5:AB75)</f>
        <v>165681.03203938139</v>
      </c>
      <c r="AK75" s="16">
        <f>SUM(AC$5:AC75)</f>
        <v>183993.36616981274</v>
      </c>
      <c r="AL75" s="16">
        <f>SUM(AD$5:AD75)</f>
        <v>152011.43896451351</v>
      </c>
      <c r="AM75" s="16">
        <f>SUM(AE$5:AE75)</f>
        <v>84126.879096643243</v>
      </c>
      <c r="AR75" s="16">
        <v>71</v>
      </c>
      <c r="AS75" s="24">
        <f t="shared" si="36"/>
        <v>6.8000000000000005E-2</v>
      </c>
      <c r="AT75" s="16">
        <f>求节点(E$28:E$34,$M$28:$M$34,$AR75)*$AS75*其他调用!V74/$E$4</f>
        <v>0</v>
      </c>
      <c r="AU75" s="16">
        <f>求节点(F$28:F$34,$M$28:$M$34,$AR75)*$AS75*其他调用!W74/$E$4</f>
        <v>0</v>
      </c>
      <c r="AV75" s="16">
        <f>求节点(G$28:G$34,$M$28:$M$34,$AR75)*$AS75*其他调用!X74/$E$4</f>
        <v>0</v>
      </c>
      <c r="AW75" s="16">
        <f>求节点(H$28:H$34,$M$28:$M$34,$AR75)*$AS75*其他调用!Y74/$E$4</f>
        <v>0</v>
      </c>
      <c r="AX75" s="16">
        <f>求节点(I$28:I$34,$M$28:$M$34,$AR75)*$AS75*其他调用!Z74/$E$4</f>
        <v>0</v>
      </c>
      <c r="AY75" s="16">
        <f>求节点(E$28:E$34,$N$28:$N$34,$AR75)*$AS75*其他调用!V74/$E$4</f>
        <v>0</v>
      </c>
      <c r="AZ75" s="16">
        <f>求节点(F$28:F$34,$N$28:$N$34,$AR75)*$AS75*其他调用!W74/$E$4</f>
        <v>0</v>
      </c>
      <c r="BA75" s="16">
        <f>求节点(G$28:G$34,$N$28:$N$34,$AR75)*$AS75*其他调用!X74/$E$4</f>
        <v>0</v>
      </c>
      <c r="BB75" s="16">
        <f>求节点(H$28:H$34,$N$28:$N$34,$AR75)*$AS75*其他调用!Y74/$E$4</f>
        <v>0</v>
      </c>
      <c r="BC75" s="16">
        <f>求节点(I$28:I$34,$N$28:$N$34,$AR75)*$AS75*其他调用!Z74/$E$4</f>
        <v>0</v>
      </c>
      <c r="BD75" s="16">
        <f>求节点(E$28:E$34,$O$28:$O$34,$AR75)*$AS75*其他调用!V74/$E$4</f>
        <v>0</v>
      </c>
      <c r="BE75" s="16">
        <f>求节点(F$28:F$34,$O$28:$O$34,$AR75)*$AS75*其他调用!W74/$E$4</f>
        <v>0</v>
      </c>
      <c r="BF75" s="16">
        <f>求节点(G$28:G$34,$O$28:$O$34,$AR75)*$AS75*其他调用!X74/$E$4</f>
        <v>0</v>
      </c>
      <c r="BG75" s="16">
        <f>求节点(H$28:H$34,$O$28:$O$34,$AR75)*$AS75*其他调用!Y74/$E$4</f>
        <v>0</v>
      </c>
      <c r="BH75" s="16">
        <f>求节点(I$28:I$34,$O$28:$O$34,$AR75)*$AS75*其他调用!Z74/$E$4</f>
        <v>0</v>
      </c>
      <c r="BK75" s="16">
        <v>71</v>
      </c>
      <c r="BL75" s="16">
        <f>SUM(AT$5:AT75)</f>
        <v>0</v>
      </c>
      <c r="BM75" s="16">
        <f>SUM(AU$5:AU75)</f>
        <v>0</v>
      </c>
      <c r="BN75" s="16">
        <f>SUM(AV$5:AV75)</f>
        <v>0</v>
      </c>
      <c r="BO75" s="16">
        <f>SUM(AW$5:AW75)</f>
        <v>0</v>
      </c>
      <c r="BP75" s="16">
        <f>SUM(AX$5:AX75)</f>
        <v>0</v>
      </c>
      <c r="BQ75" s="16">
        <f>SUM(AY$5:AY75)</f>
        <v>0</v>
      </c>
      <c r="BR75" s="16">
        <f>SUM(AZ$5:AZ75)</f>
        <v>0</v>
      </c>
      <c r="BS75" s="16">
        <f>SUM(BA$5:BA75)</f>
        <v>0</v>
      </c>
      <c r="BT75" s="16">
        <f>SUM(BB$5:BB75)</f>
        <v>0</v>
      </c>
      <c r="BU75" s="16">
        <f>SUM(BC$5:BC75)</f>
        <v>0</v>
      </c>
      <c r="BV75" s="16">
        <f>SUM(BD$5:BD75)</f>
        <v>0</v>
      </c>
      <c r="BW75" s="16">
        <f>SUM(BE$5:BE75)</f>
        <v>0</v>
      </c>
      <c r="BX75" s="16">
        <f>SUM(BF$5:BF75)</f>
        <v>0</v>
      </c>
      <c r="BY75" s="16">
        <f>SUM(BG$5:BG75)</f>
        <v>0</v>
      </c>
      <c r="BZ75" s="16">
        <f>SUM(BH$5:BH75)</f>
        <v>0</v>
      </c>
      <c r="CC75" s="16">
        <v>71</v>
      </c>
      <c r="CD75" s="16">
        <f t="shared" si="37"/>
        <v>0</v>
      </c>
      <c r="CE75" s="16">
        <f t="shared" si="38"/>
        <v>0</v>
      </c>
      <c r="CF75" s="16">
        <f t="shared" si="39"/>
        <v>0</v>
      </c>
      <c r="CG75" s="16">
        <f t="shared" si="40"/>
        <v>0</v>
      </c>
      <c r="CH75" s="16">
        <f t="shared" si="41"/>
        <v>0</v>
      </c>
      <c r="CI75" s="16">
        <f t="shared" si="42"/>
        <v>0</v>
      </c>
      <c r="CJ75" s="16">
        <f t="shared" si="43"/>
        <v>0</v>
      </c>
      <c r="CK75" s="16">
        <f t="shared" si="44"/>
        <v>0</v>
      </c>
      <c r="CL75" s="16">
        <f t="shared" si="45"/>
        <v>0</v>
      </c>
      <c r="CM75" s="16">
        <f t="shared" si="46"/>
        <v>0</v>
      </c>
      <c r="CN75" s="16">
        <f t="shared" si="47"/>
        <v>0</v>
      </c>
      <c r="CO75" s="16">
        <f t="shared" si="48"/>
        <v>0</v>
      </c>
      <c r="CP75" s="16">
        <f t="shared" si="49"/>
        <v>0</v>
      </c>
      <c r="CQ75" s="16">
        <f t="shared" si="50"/>
        <v>0</v>
      </c>
      <c r="CR75" s="16">
        <f t="shared" si="51"/>
        <v>0</v>
      </c>
      <c r="CV75" s="16">
        <v>71</v>
      </c>
      <c r="CW75" s="35">
        <f t="shared" si="54"/>
        <v>0.13200000000000001</v>
      </c>
      <c r="CX75" s="16">
        <f>其他调用!V74/$E$4*求节点(E$28:E$34,$P$28:$P$34,$CV75)*$CW75</f>
        <v>4.1837612593955544</v>
      </c>
      <c r="CY75" s="16">
        <f>其他调用!W74/$E$4*求节点(F$28:F$34,$P$28:$P$34,$CV75)*$CW75</f>
        <v>5.3488350668633622</v>
      </c>
      <c r="CZ75" s="16">
        <f>其他调用!X74/$E$4*求节点(G$28:G$34,$P$28:$P$34,$CV75)*$CW75</f>
        <v>5.8354199958666033</v>
      </c>
      <c r="DA75" s="16">
        <f>其他调用!Y74/$E$4*求节点(H$28:H$34,$P$28:$P$34,$CV75)*$CW75</f>
        <v>4.7796002064923604</v>
      </c>
      <c r="DB75" s="16">
        <f>其他调用!Z74/$E$4*求节点(I$28:I$34,$P$28:$P$34,$CV75)*$CW75</f>
        <v>2.6784725233023292</v>
      </c>
      <c r="DC75" s="16">
        <f>SUM(CX$5:CX75)</f>
        <v>35.281154901260365</v>
      </c>
      <c r="DD75" s="16">
        <f>SUM(CY$5:CY75)</f>
        <v>46.811256575493232</v>
      </c>
      <c r="DE75" s="16">
        <f>SUM(CZ$5:CZ75)</f>
        <v>58.505902183803428</v>
      </c>
      <c r="DF75" s="16">
        <f>SUM(DA$5:DA75)</f>
        <v>52.700637163039623</v>
      </c>
      <c r="DG75" s="16">
        <f>SUM(DB$5:DB75)</f>
        <v>29.857506141924421</v>
      </c>
    </row>
    <row r="76" spans="2:111">
      <c r="X76" s="16">
        <v>72</v>
      </c>
      <c r="Y76" s="45">
        <f t="shared" si="52"/>
        <v>412.5</v>
      </c>
      <c r="Z76" s="24">
        <f t="shared" si="53"/>
        <v>6.8000000000000005E-2</v>
      </c>
      <c r="AA76" s="16">
        <f>$Y76*$Z76*其他调用!V75</f>
        <v>12704.79215898817</v>
      </c>
      <c r="AB76" s="16">
        <f>$Y76*$Z76*其他调用!W75</f>
        <v>16065.560119850152</v>
      </c>
      <c r="AC76" s="16">
        <f>$Y76*$Z76*其他调用!X75</f>
        <v>17190.914648189286</v>
      </c>
      <c r="AD76" s="16">
        <f>$Y76*$Z76*其他调用!Y75</f>
        <v>14370.404470628808</v>
      </c>
      <c r="AE76" s="16">
        <f>$Y76*$Z76*其他调用!Z75</f>
        <v>8004.2554681506754</v>
      </c>
      <c r="AH76" s="16">
        <v>72</v>
      </c>
      <c r="AI76" s="16">
        <f>SUM(AA$5:AA76)</f>
        <v>144014.42477864755</v>
      </c>
      <c r="AJ76" s="16">
        <f>SUM(AB$5:AB76)</f>
        <v>181746.59215923154</v>
      </c>
      <c r="AK76" s="16">
        <f>SUM(AC$5:AC76)</f>
        <v>201184.28081800204</v>
      </c>
      <c r="AL76" s="16">
        <f>SUM(AD$5:AD76)</f>
        <v>166381.84343514231</v>
      </c>
      <c r="AM76" s="16">
        <f>SUM(AE$5:AE76)</f>
        <v>92131.134564793916</v>
      </c>
      <c r="AR76" s="16">
        <v>72</v>
      </c>
      <c r="AS76" s="24">
        <f t="shared" si="36"/>
        <v>6.8000000000000005E-2</v>
      </c>
      <c r="AT76" s="16">
        <f>求节点(E$28:E$34,$M$28:$M$34,$AR76)*$AS76*其他调用!V75/$E$4</f>
        <v>0</v>
      </c>
      <c r="AU76" s="16">
        <f>求节点(F$28:F$34,$M$28:$M$34,$AR76)*$AS76*其他调用!W75/$E$4</f>
        <v>0</v>
      </c>
      <c r="AV76" s="16">
        <f>求节点(G$28:G$34,$M$28:$M$34,$AR76)*$AS76*其他调用!X75/$E$4</f>
        <v>0</v>
      </c>
      <c r="AW76" s="16">
        <f>求节点(H$28:H$34,$M$28:$M$34,$AR76)*$AS76*其他调用!Y75/$E$4</f>
        <v>0</v>
      </c>
      <c r="AX76" s="16">
        <f>求节点(I$28:I$34,$M$28:$M$34,$AR76)*$AS76*其他调用!Z75/$E$4</f>
        <v>0</v>
      </c>
      <c r="AY76" s="16">
        <f>求节点(E$28:E$34,$N$28:$N$34,$AR76)*$AS76*其他调用!V75/$E$4</f>
        <v>0</v>
      </c>
      <c r="AZ76" s="16">
        <f>求节点(F$28:F$34,$N$28:$N$34,$AR76)*$AS76*其他调用!W75/$E$4</f>
        <v>0</v>
      </c>
      <c r="BA76" s="16">
        <f>求节点(G$28:G$34,$N$28:$N$34,$AR76)*$AS76*其他调用!X75/$E$4</f>
        <v>0</v>
      </c>
      <c r="BB76" s="16">
        <f>求节点(H$28:H$34,$N$28:$N$34,$AR76)*$AS76*其他调用!Y75/$E$4</f>
        <v>0</v>
      </c>
      <c r="BC76" s="16">
        <f>求节点(I$28:I$34,$N$28:$N$34,$AR76)*$AS76*其他调用!Z75/$E$4</f>
        <v>0</v>
      </c>
      <c r="BD76" s="16">
        <f>求节点(E$28:E$34,$O$28:$O$34,$AR76)*$AS76*其他调用!V75/$E$4</f>
        <v>0</v>
      </c>
      <c r="BE76" s="16">
        <f>求节点(F$28:F$34,$O$28:$O$34,$AR76)*$AS76*其他调用!W75/$E$4</f>
        <v>0</v>
      </c>
      <c r="BF76" s="16">
        <f>求节点(G$28:G$34,$O$28:$O$34,$AR76)*$AS76*其他调用!X75/$E$4</f>
        <v>0</v>
      </c>
      <c r="BG76" s="16">
        <f>求节点(H$28:H$34,$O$28:$O$34,$AR76)*$AS76*其他调用!Y75/$E$4</f>
        <v>0</v>
      </c>
      <c r="BH76" s="16">
        <f>求节点(I$28:I$34,$O$28:$O$34,$AR76)*$AS76*其他调用!Z75/$E$4</f>
        <v>0</v>
      </c>
      <c r="BK76" s="16">
        <v>72</v>
      </c>
      <c r="BL76" s="16">
        <f>SUM(AT$5:AT76)</f>
        <v>0</v>
      </c>
      <c r="BM76" s="16">
        <f>SUM(AU$5:AU76)</f>
        <v>0</v>
      </c>
      <c r="BN76" s="16">
        <f>SUM(AV$5:AV76)</f>
        <v>0</v>
      </c>
      <c r="BO76" s="16">
        <f>SUM(AW$5:AW76)</f>
        <v>0</v>
      </c>
      <c r="BP76" s="16">
        <f>SUM(AX$5:AX76)</f>
        <v>0</v>
      </c>
      <c r="BQ76" s="16">
        <f>SUM(AY$5:AY76)</f>
        <v>0</v>
      </c>
      <c r="BR76" s="16">
        <f>SUM(AZ$5:AZ76)</f>
        <v>0</v>
      </c>
      <c r="BS76" s="16">
        <f>SUM(BA$5:BA76)</f>
        <v>0</v>
      </c>
      <c r="BT76" s="16">
        <f>SUM(BB$5:BB76)</f>
        <v>0</v>
      </c>
      <c r="BU76" s="16">
        <f>SUM(BC$5:BC76)</f>
        <v>0</v>
      </c>
      <c r="BV76" s="16">
        <f>SUM(BD$5:BD76)</f>
        <v>0</v>
      </c>
      <c r="BW76" s="16">
        <f>SUM(BE$5:BE76)</f>
        <v>0</v>
      </c>
      <c r="BX76" s="16">
        <f>SUM(BF$5:BF76)</f>
        <v>0</v>
      </c>
      <c r="BY76" s="16">
        <f>SUM(BG$5:BG76)</f>
        <v>0</v>
      </c>
      <c r="BZ76" s="16">
        <f>SUM(BH$5:BH76)</f>
        <v>0</v>
      </c>
      <c r="CC76" s="16">
        <v>72</v>
      </c>
      <c r="CD76" s="16">
        <f t="shared" si="37"/>
        <v>0</v>
      </c>
      <c r="CE76" s="16">
        <f t="shared" si="38"/>
        <v>0</v>
      </c>
      <c r="CF76" s="16">
        <f t="shared" si="39"/>
        <v>0</v>
      </c>
      <c r="CG76" s="16">
        <f t="shared" si="40"/>
        <v>0</v>
      </c>
      <c r="CH76" s="16">
        <f t="shared" si="41"/>
        <v>0</v>
      </c>
      <c r="CI76" s="16">
        <f t="shared" si="42"/>
        <v>0</v>
      </c>
      <c r="CJ76" s="16">
        <f t="shared" si="43"/>
        <v>0</v>
      </c>
      <c r="CK76" s="16">
        <f t="shared" si="44"/>
        <v>0</v>
      </c>
      <c r="CL76" s="16">
        <f t="shared" si="45"/>
        <v>0</v>
      </c>
      <c r="CM76" s="16">
        <f t="shared" si="46"/>
        <v>0</v>
      </c>
      <c r="CN76" s="16">
        <f t="shared" si="47"/>
        <v>0</v>
      </c>
      <c r="CO76" s="16">
        <f t="shared" si="48"/>
        <v>0</v>
      </c>
      <c r="CP76" s="16">
        <f t="shared" si="49"/>
        <v>0</v>
      </c>
      <c r="CQ76" s="16">
        <f t="shared" si="50"/>
        <v>0</v>
      </c>
      <c r="CR76" s="16">
        <f t="shared" si="51"/>
        <v>0</v>
      </c>
      <c r="CV76" s="16">
        <v>72</v>
      </c>
      <c r="CW76" s="35">
        <f t="shared" si="54"/>
        <v>0.13200000000000001</v>
      </c>
      <c r="CX76" s="16">
        <f>其他调用!V75/$E$4*求节点(E$28:E$34,$P$28:$P$34,$CV76)*$CW76</f>
        <v>4.4840442914075886</v>
      </c>
      <c r="CY76" s="16">
        <f>其他调用!W75/$E$4*求节点(F$28:F$34,$P$28:$P$34,$CV76)*$CW76</f>
        <v>5.6701976893588775</v>
      </c>
      <c r="CZ76" s="16">
        <f>其他调用!X75/$E$4*求节点(G$28:G$34,$P$28:$P$34,$CV76)*$CW76</f>
        <v>6.0673816405373948</v>
      </c>
      <c r="DA76" s="16">
        <f>其他调用!Y75/$E$4*求节点(H$28:H$34,$P$28:$P$34,$CV76)*$CW76</f>
        <v>5.0719074602219321</v>
      </c>
      <c r="DB76" s="16">
        <f>其他调用!Z75/$E$4*求节点(I$28:I$34,$P$28:$P$34,$CV76)*$CW76</f>
        <v>2.8250313417002384</v>
      </c>
      <c r="DC76" s="16">
        <f>SUM(CX$5:CX76)</f>
        <v>39.76519919266795</v>
      </c>
      <c r="DD76" s="16">
        <f>SUM(CY$5:CY76)</f>
        <v>52.481454264852111</v>
      </c>
      <c r="DE76" s="16">
        <f>SUM(CZ$5:CZ76)</f>
        <v>64.57328382434082</v>
      </c>
      <c r="DF76" s="16">
        <f>SUM(DA$5:DA76)</f>
        <v>57.772544623261552</v>
      </c>
      <c r="DG76" s="16">
        <f>SUM(DB$5:DB76)</f>
        <v>32.682537483624657</v>
      </c>
    </row>
    <row r="77" spans="2:111">
      <c r="X77" s="16">
        <v>73</v>
      </c>
      <c r="Y77" s="45">
        <f t="shared" si="52"/>
        <v>421.875</v>
      </c>
      <c r="Z77" s="24">
        <f t="shared" si="53"/>
        <v>6.8000000000000005E-2</v>
      </c>
      <c r="AA77" s="16">
        <f>$Y77*$Z77*其他调用!V76</f>
        <v>13926.128607657372</v>
      </c>
      <c r="AB77" s="16">
        <f>$Y77*$Z77*其他调用!W76</f>
        <v>16979.980991025619</v>
      </c>
      <c r="AC77" s="16">
        <f>$Y77*$Z77*其他调用!X76</f>
        <v>18959.869619850444</v>
      </c>
      <c r="AD77" s="16">
        <f>$Y77*$Z77*其他调用!Y76</f>
        <v>15862.409544200786</v>
      </c>
      <c r="AE77" s="16">
        <f>$Y77*$Z77*其他调用!Z76</f>
        <v>8807.4307292556914</v>
      </c>
      <c r="AH77" s="16">
        <v>73</v>
      </c>
      <c r="AI77" s="16">
        <f>SUM(AA$5:AA77)</f>
        <v>157940.55338630491</v>
      </c>
      <c r="AJ77" s="16">
        <f>SUM(AB$5:AB77)</f>
        <v>198726.57315025717</v>
      </c>
      <c r="AK77" s="16">
        <f>SUM(AC$5:AC77)</f>
        <v>220144.15043785248</v>
      </c>
      <c r="AL77" s="16">
        <f>SUM(AD$5:AD77)</f>
        <v>182244.25297934309</v>
      </c>
      <c r="AM77" s="16">
        <f>SUM(AE$5:AE77)</f>
        <v>100938.56529404961</v>
      </c>
      <c r="AR77" s="16">
        <v>73</v>
      </c>
      <c r="AS77" s="24">
        <f t="shared" si="36"/>
        <v>6.8000000000000005E-2</v>
      </c>
      <c r="AT77" s="16">
        <f>求节点(E$28:E$34,$M$28:$M$34,$AR77)*$AS77*其他调用!V76/$E$4</f>
        <v>0</v>
      </c>
      <c r="AU77" s="16">
        <f>求节点(F$28:F$34,$M$28:$M$34,$AR77)*$AS77*其他调用!W76/$E$4</f>
        <v>0</v>
      </c>
      <c r="AV77" s="16">
        <f>求节点(G$28:G$34,$M$28:$M$34,$AR77)*$AS77*其他调用!X76/$E$4</f>
        <v>0</v>
      </c>
      <c r="AW77" s="16">
        <f>求节点(H$28:H$34,$M$28:$M$34,$AR77)*$AS77*其他调用!Y76/$E$4</f>
        <v>0</v>
      </c>
      <c r="AX77" s="16">
        <f>求节点(I$28:I$34,$M$28:$M$34,$AR77)*$AS77*其他调用!Z76/$E$4</f>
        <v>0</v>
      </c>
      <c r="AY77" s="16">
        <f>求节点(E$28:E$34,$N$28:$N$34,$AR77)*$AS77*其他调用!V76/$E$4</f>
        <v>0</v>
      </c>
      <c r="AZ77" s="16">
        <f>求节点(F$28:F$34,$N$28:$N$34,$AR77)*$AS77*其他调用!W76/$E$4</f>
        <v>0</v>
      </c>
      <c r="BA77" s="16">
        <f>求节点(G$28:G$34,$N$28:$N$34,$AR77)*$AS77*其他调用!X76/$E$4</f>
        <v>0</v>
      </c>
      <c r="BB77" s="16">
        <f>求节点(H$28:H$34,$N$28:$N$34,$AR77)*$AS77*其他调用!Y76/$E$4</f>
        <v>0</v>
      </c>
      <c r="BC77" s="16">
        <f>求节点(I$28:I$34,$N$28:$N$34,$AR77)*$AS77*其他调用!Z76/$E$4</f>
        <v>0</v>
      </c>
      <c r="BD77" s="16">
        <f>求节点(E$28:E$34,$O$28:$O$34,$AR77)*$AS77*其他调用!V76/$E$4</f>
        <v>0</v>
      </c>
      <c r="BE77" s="16">
        <f>求节点(F$28:F$34,$O$28:$O$34,$AR77)*$AS77*其他调用!W76/$E$4</f>
        <v>0</v>
      </c>
      <c r="BF77" s="16">
        <f>求节点(G$28:G$34,$O$28:$O$34,$AR77)*$AS77*其他调用!X76/$E$4</f>
        <v>0</v>
      </c>
      <c r="BG77" s="16">
        <f>求节点(H$28:H$34,$O$28:$O$34,$AR77)*$AS77*其他调用!Y76/$E$4</f>
        <v>0</v>
      </c>
      <c r="BH77" s="16">
        <f>求节点(I$28:I$34,$O$28:$O$34,$AR77)*$AS77*其他调用!Z76/$E$4</f>
        <v>0</v>
      </c>
      <c r="BK77" s="16">
        <v>73</v>
      </c>
      <c r="BL77" s="16">
        <f>SUM(AT$5:AT77)</f>
        <v>0</v>
      </c>
      <c r="BM77" s="16">
        <f>SUM(AU$5:AU77)</f>
        <v>0</v>
      </c>
      <c r="BN77" s="16">
        <f>SUM(AV$5:AV77)</f>
        <v>0</v>
      </c>
      <c r="BO77" s="16">
        <f>SUM(AW$5:AW77)</f>
        <v>0</v>
      </c>
      <c r="BP77" s="16">
        <f>SUM(AX$5:AX77)</f>
        <v>0</v>
      </c>
      <c r="BQ77" s="16">
        <f>SUM(AY$5:AY77)</f>
        <v>0</v>
      </c>
      <c r="BR77" s="16">
        <f>SUM(AZ$5:AZ77)</f>
        <v>0</v>
      </c>
      <c r="BS77" s="16">
        <f>SUM(BA$5:BA77)</f>
        <v>0</v>
      </c>
      <c r="BT77" s="16">
        <f>SUM(BB$5:BB77)</f>
        <v>0</v>
      </c>
      <c r="BU77" s="16">
        <f>SUM(BC$5:BC77)</f>
        <v>0</v>
      </c>
      <c r="BV77" s="16">
        <f>SUM(BD$5:BD77)</f>
        <v>0</v>
      </c>
      <c r="BW77" s="16">
        <f>SUM(BE$5:BE77)</f>
        <v>0</v>
      </c>
      <c r="BX77" s="16">
        <f>SUM(BF$5:BF77)</f>
        <v>0</v>
      </c>
      <c r="BY77" s="16">
        <f>SUM(BG$5:BG77)</f>
        <v>0</v>
      </c>
      <c r="BZ77" s="16">
        <f>SUM(BH$5:BH77)</f>
        <v>0</v>
      </c>
      <c r="CC77" s="16">
        <v>73</v>
      </c>
      <c r="CD77" s="16">
        <f t="shared" si="37"/>
        <v>0</v>
      </c>
      <c r="CE77" s="16">
        <f t="shared" si="38"/>
        <v>0</v>
      </c>
      <c r="CF77" s="16">
        <f t="shared" si="39"/>
        <v>0</v>
      </c>
      <c r="CG77" s="16">
        <f t="shared" si="40"/>
        <v>0</v>
      </c>
      <c r="CH77" s="16">
        <f t="shared" si="41"/>
        <v>0</v>
      </c>
      <c r="CI77" s="16">
        <f t="shared" si="42"/>
        <v>0</v>
      </c>
      <c r="CJ77" s="16">
        <f t="shared" si="43"/>
        <v>0</v>
      </c>
      <c r="CK77" s="16">
        <f t="shared" si="44"/>
        <v>0</v>
      </c>
      <c r="CL77" s="16">
        <f t="shared" si="45"/>
        <v>0</v>
      </c>
      <c r="CM77" s="16">
        <f t="shared" si="46"/>
        <v>0</v>
      </c>
      <c r="CN77" s="16">
        <f t="shared" si="47"/>
        <v>0</v>
      </c>
      <c r="CO77" s="16">
        <f t="shared" si="48"/>
        <v>0</v>
      </c>
      <c r="CP77" s="16">
        <f t="shared" si="49"/>
        <v>0</v>
      </c>
      <c r="CQ77" s="16">
        <f t="shared" si="50"/>
        <v>0</v>
      </c>
      <c r="CR77" s="16">
        <f t="shared" si="51"/>
        <v>0</v>
      </c>
      <c r="CV77" s="16">
        <v>73</v>
      </c>
      <c r="CW77" s="35">
        <f t="shared" si="54"/>
        <v>0.13200000000000001</v>
      </c>
      <c r="CX77" s="16">
        <f>其他调用!V76/$E$4*求节点(E$28:E$34,$P$28:$P$34,$CV77)*$CW77</f>
        <v>4.8058796763680336</v>
      </c>
      <c r="CY77" s="16">
        <f>其他调用!W76/$E$4*求节点(F$28:F$34,$P$28:$P$34,$CV77)*$CW77</f>
        <v>5.8597581459225649</v>
      </c>
      <c r="CZ77" s="16">
        <f>其他调用!X76/$E$4*求节点(G$28:G$34,$P$28:$P$34,$CV77)*$CW77</f>
        <v>6.5430138295954468</v>
      </c>
      <c r="DA77" s="16">
        <f>其他调用!Y76/$E$4*求节点(H$28:H$34,$P$28:$P$34,$CV77)*$CW77</f>
        <v>5.4740864309398791</v>
      </c>
      <c r="DB77" s="16">
        <f>其他调用!Z76/$E$4*求节点(I$28:I$34,$P$28:$P$34,$CV77)*$CW77</f>
        <v>3.0394270751941206</v>
      </c>
      <c r="DC77" s="16">
        <f>SUM(CX$5:CX77)</f>
        <v>44.571078869035986</v>
      </c>
      <c r="DD77" s="16">
        <f>SUM(CY$5:CY77)</f>
        <v>58.341212410774673</v>
      </c>
      <c r="DE77" s="16">
        <f>SUM(CZ$5:CZ77)</f>
        <v>71.116297653936272</v>
      </c>
      <c r="DF77" s="16">
        <f>SUM(DA$5:DA77)</f>
        <v>63.24663105420143</v>
      </c>
      <c r="DG77" s="16">
        <f>SUM(DB$5:DB77)</f>
        <v>35.721964558818776</v>
      </c>
    </row>
    <row r="78" spans="2:111">
      <c r="X78" s="16">
        <v>74</v>
      </c>
      <c r="Y78" s="45">
        <f t="shared" si="52"/>
        <v>431.25</v>
      </c>
      <c r="Z78" s="24">
        <f t="shared" si="53"/>
        <v>6.8000000000000005E-2</v>
      </c>
      <c r="AA78" s="16">
        <f>$Y78*$Z78*其他调用!V77</f>
        <v>15257.336301500252</v>
      </c>
      <c r="AB78" s="16">
        <f>$Y78*$Z78*其他调用!W77</f>
        <v>19152.16483479178</v>
      </c>
      <c r="AC78" s="16">
        <f>$Y78*$Z78*其他调用!X77</f>
        <v>21673.665128162738</v>
      </c>
      <c r="AD78" s="16">
        <f>$Y78*$Z78*其他调用!Y77</f>
        <v>17865.208347957894</v>
      </c>
      <c r="AE78" s="16">
        <f>$Y78*$Z78*其他调用!Z77</f>
        <v>9943.3020133518094</v>
      </c>
      <c r="AH78" s="16">
        <v>74</v>
      </c>
      <c r="AI78" s="16">
        <f>SUM(AA$5:AA78)</f>
        <v>173197.88968780515</v>
      </c>
      <c r="AJ78" s="16">
        <f>SUM(AB$5:AB78)</f>
        <v>217878.73798504897</v>
      </c>
      <c r="AK78" s="16">
        <f>SUM(AC$5:AC78)</f>
        <v>241817.81556601523</v>
      </c>
      <c r="AL78" s="16">
        <f>SUM(AD$5:AD78)</f>
        <v>200109.46132730099</v>
      </c>
      <c r="AM78" s="16">
        <f>SUM(AE$5:AE78)</f>
        <v>110881.86730740142</v>
      </c>
      <c r="AR78" s="16">
        <v>74</v>
      </c>
      <c r="AS78" s="24">
        <f t="shared" si="36"/>
        <v>6.8000000000000005E-2</v>
      </c>
      <c r="AT78" s="16">
        <f>求节点(E$28:E$34,$M$28:$M$34,$AR78)*$AS78*其他调用!V77/$E$4</f>
        <v>0</v>
      </c>
      <c r="AU78" s="16">
        <f>求节点(F$28:F$34,$M$28:$M$34,$AR78)*$AS78*其他调用!W77/$E$4</f>
        <v>0</v>
      </c>
      <c r="AV78" s="16">
        <f>求节点(G$28:G$34,$M$28:$M$34,$AR78)*$AS78*其他调用!X77/$E$4</f>
        <v>0</v>
      </c>
      <c r="AW78" s="16">
        <f>求节点(H$28:H$34,$M$28:$M$34,$AR78)*$AS78*其他调用!Y77/$E$4</f>
        <v>0</v>
      </c>
      <c r="AX78" s="16">
        <f>求节点(I$28:I$34,$M$28:$M$34,$AR78)*$AS78*其他调用!Z77/$E$4</f>
        <v>0</v>
      </c>
      <c r="AY78" s="16">
        <f>求节点(E$28:E$34,$N$28:$N$34,$AR78)*$AS78*其他调用!V77/$E$4</f>
        <v>0</v>
      </c>
      <c r="AZ78" s="16">
        <f>求节点(F$28:F$34,$N$28:$N$34,$AR78)*$AS78*其他调用!W77/$E$4</f>
        <v>0</v>
      </c>
      <c r="BA78" s="16">
        <f>求节点(G$28:G$34,$N$28:$N$34,$AR78)*$AS78*其他调用!X77/$E$4</f>
        <v>0</v>
      </c>
      <c r="BB78" s="16">
        <f>求节点(H$28:H$34,$N$28:$N$34,$AR78)*$AS78*其他调用!Y77/$E$4</f>
        <v>0</v>
      </c>
      <c r="BC78" s="16">
        <f>求节点(I$28:I$34,$N$28:$N$34,$AR78)*$AS78*其他调用!Z77/$E$4</f>
        <v>0</v>
      </c>
      <c r="BD78" s="16">
        <f>求节点(E$28:E$34,$O$28:$O$34,$AR78)*$AS78*其他调用!V77/$E$4</f>
        <v>0</v>
      </c>
      <c r="BE78" s="16">
        <f>求节点(F$28:F$34,$O$28:$O$34,$AR78)*$AS78*其他调用!W77/$E$4</f>
        <v>0</v>
      </c>
      <c r="BF78" s="16">
        <f>求节点(G$28:G$34,$O$28:$O$34,$AR78)*$AS78*其他调用!X77/$E$4</f>
        <v>0</v>
      </c>
      <c r="BG78" s="16">
        <f>求节点(H$28:H$34,$O$28:$O$34,$AR78)*$AS78*其他调用!Y77/$E$4</f>
        <v>0</v>
      </c>
      <c r="BH78" s="16">
        <f>求节点(I$28:I$34,$O$28:$O$34,$AR78)*$AS78*其他调用!Z77/$E$4</f>
        <v>0</v>
      </c>
      <c r="BK78" s="16">
        <v>74</v>
      </c>
      <c r="BL78" s="16">
        <f>SUM(AT$5:AT78)</f>
        <v>0</v>
      </c>
      <c r="BM78" s="16">
        <f>SUM(AU$5:AU78)</f>
        <v>0</v>
      </c>
      <c r="BN78" s="16">
        <f>SUM(AV$5:AV78)</f>
        <v>0</v>
      </c>
      <c r="BO78" s="16">
        <f>SUM(AW$5:AW78)</f>
        <v>0</v>
      </c>
      <c r="BP78" s="16">
        <f>SUM(AX$5:AX78)</f>
        <v>0</v>
      </c>
      <c r="BQ78" s="16">
        <f>SUM(AY$5:AY78)</f>
        <v>0</v>
      </c>
      <c r="BR78" s="16">
        <f>SUM(AZ$5:AZ78)</f>
        <v>0</v>
      </c>
      <c r="BS78" s="16">
        <f>SUM(BA$5:BA78)</f>
        <v>0</v>
      </c>
      <c r="BT78" s="16">
        <f>SUM(BB$5:BB78)</f>
        <v>0</v>
      </c>
      <c r="BU78" s="16">
        <f>SUM(BC$5:BC78)</f>
        <v>0</v>
      </c>
      <c r="BV78" s="16">
        <f>SUM(BD$5:BD78)</f>
        <v>0</v>
      </c>
      <c r="BW78" s="16">
        <f>SUM(BE$5:BE78)</f>
        <v>0</v>
      </c>
      <c r="BX78" s="16">
        <f>SUM(BF$5:BF78)</f>
        <v>0</v>
      </c>
      <c r="BY78" s="16">
        <f>SUM(BG$5:BG78)</f>
        <v>0</v>
      </c>
      <c r="BZ78" s="16">
        <f>SUM(BH$5:BH78)</f>
        <v>0</v>
      </c>
      <c r="CC78" s="16">
        <v>74</v>
      </c>
      <c r="CD78" s="16">
        <f t="shared" si="37"/>
        <v>0</v>
      </c>
      <c r="CE78" s="16">
        <f t="shared" si="38"/>
        <v>0</v>
      </c>
      <c r="CF78" s="16">
        <f t="shared" si="39"/>
        <v>0</v>
      </c>
      <c r="CG78" s="16">
        <f t="shared" si="40"/>
        <v>0</v>
      </c>
      <c r="CH78" s="16">
        <f t="shared" si="41"/>
        <v>0</v>
      </c>
      <c r="CI78" s="16">
        <f t="shared" si="42"/>
        <v>0</v>
      </c>
      <c r="CJ78" s="16">
        <f t="shared" si="43"/>
        <v>0</v>
      </c>
      <c r="CK78" s="16">
        <f t="shared" si="44"/>
        <v>0</v>
      </c>
      <c r="CL78" s="16">
        <f t="shared" si="45"/>
        <v>0</v>
      </c>
      <c r="CM78" s="16">
        <f t="shared" si="46"/>
        <v>0</v>
      </c>
      <c r="CN78" s="16">
        <f t="shared" si="47"/>
        <v>0</v>
      </c>
      <c r="CO78" s="16">
        <f t="shared" si="48"/>
        <v>0</v>
      </c>
      <c r="CP78" s="16">
        <f t="shared" si="49"/>
        <v>0</v>
      </c>
      <c r="CQ78" s="16">
        <f t="shared" si="50"/>
        <v>0</v>
      </c>
      <c r="CR78" s="16">
        <f t="shared" si="51"/>
        <v>0</v>
      </c>
      <c r="CV78" s="16">
        <v>74</v>
      </c>
      <c r="CW78" s="35">
        <f t="shared" si="54"/>
        <v>0.13200000000000001</v>
      </c>
      <c r="CX78" s="16">
        <f>其他调用!V77/$E$4*求节点(E$28:E$34,$P$28:$P$34,$CV78)*$CW78</f>
        <v>5.1508143012737424</v>
      </c>
      <c r="CY78" s="16">
        <f>其他调用!W77/$E$4*求节点(F$28:F$34,$P$28:$P$34,$CV78)*$CW78</f>
        <v>6.4656924761956907</v>
      </c>
      <c r="CZ78" s="16">
        <f>其他调用!X77/$E$4*求节点(G$28:G$34,$P$28:$P$34,$CV78)*$CW78</f>
        <v>7.3169406570779572</v>
      </c>
      <c r="DA78" s="16">
        <f>其他调用!Y77/$E$4*求节点(H$28:H$34,$P$28:$P$34,$CV78)*$CW78</f>
        <v>6.0312212325586749</v>
      </c>
      <c r="DB78" s="16">
        <f>其他调用!Z77/$E$4*求节点(I$28:I$34,$P$28:$P$34,$CV78)*$CW78</f>
        <v>3.3568180710036795</v>
      </c>
      <c r="DC78" s="16">
        <f>SUM(CX$5:CX78)</f>
        <v>49.721893170309727</v>
      </c>
      <c r="DD78" s="16">
        <f>SUM(CY$5:CY78)</f>
        <v>64.806904886970358</v>
      </c>
      <c r="DE78" s="16">
        <f>SUM(CZ$5:CZ78)</f>
        <v>78.433238311014236</v>
      </c>
      <c r="DF78" s="16">
        <f>SUM(DA$5:DA78)</f>
        <v>69.277852286760108</v>
      </c>
      <c r="DG78" s="16">
        <f>SUM(DB$5:DB78)</f>
        <v>39.078782629822456</v>
      </c>
    </row>
    <row r="79" spans="2:111">
      <c r="X79" s="16">
        <v>75</v>
      </c>
      <c r="Y79" s="45">
        <f t="shared" si="52"/>
        <v>440.625</v>
      </c>
      <c r="Z79" s="24">
        <f t="shared" si="53"/>
        <v>6.8000000000000005E-2</v>
      </c>
      <c r="AA79" s="16">
        <f>$Y79*$Z79*其他调用!V78</f>
        <v>16707.895290786131</v>
      </c>
      <c r="AB79" s="16">
        <f>$Y79*$Z79*其他调用!W78</f>
        <v>21257.229765780383</v>
      </c>
      <c r="AC79" s="16">
        <f>$Y79*$Z79*其他调用!X78</f>
        <v>23662.67393760549</v>
      </c>
      <c r="AD79" s="16">
        <f>$Y79*$Z79*其他调用!Y78</f>
        <v>19578.75832191571</v>
      </c>
      <c r="AE79" s="16">
        <f>$Y79*$Z79*其他调用!Z78</f>
        <v>11066.599553438253</v>
      </c>
      <c r="AH79" s="16">
        <v>75</v>
      </c>
      <c r="AI79" s="16">
        <f>SUM(AA$5:AA79)</f>
        <v>189905.78497859128</v>
      </c>
      <c r="AJ79" s="16">
        <f>SUM(AB$5:AB79)</f>
        <v>239135.96775082935</v>
      </c>
      <c r="AK79" s="16">
        <f>SUM(AC$5:AC79)</f>
        <v>265480.48950362072</v>
      </c>
      <c r="AL79" s="16">
        <f>SUM(AD$5:AD79)</f>
        <v>219688.21964921668</v>
      </c>
      <c r="AM79" s="16">
        <f>SUM(AE$5:AE79)</f>
        <v>121948.46686083968</v>
      </c>
      <c r="AR79" s="16">
        <v>75</v>
      </c>
      <c r="AS79" s="24">
        <f t="shared" si="36"/>
        <v>6.8000000000000005E-2</v>
      </c>
      <c r="AT79" s="16">
        <f>求节点(E$28:E$34,$M$28:$M$34,$AR79)*$AS79*其他调用!V78/$E$4</f>
        <v>0</v>
      </c>
      <c r="AU79" s="16">
        <f>求节点(F$28:F$34,$M$28:$M$34,$AR79)*$AS79*其他调用!W78/$E$4</f>
        <v>0</v>
      </c>
      <c r="AV79" s="16">
        <f>求节点(G$28:G$34,$M$28:$M$34,$AR79)*$AS79*其他调用!X78/$E$4</f>
        <v>0</v>
      </c>
      <c r="AW79" s="16">
        <f>求节点(H$28:H$34,$M$28:$M$34,$AR79)*$AS79*其他调用!Y78/$E$4</f>
        <v>0</v>
      </c>
      <c r="AX79" s="16">
        <f>求节点(I$28:I$34,$M$28:$M$34,$AR79)*$AS79*其他调用!Z78/$E$4</f>
        <v>0</v>
      </c>
      <c r="AY79" s="16">
        <f>求节点(E$28:E$34,$N$28:$N$34,$AR79)*$AS79*其他调用!V78/$E$4</f>
        <v>0</v>
      </c>
      <c r="AZ79" s="16">
        <f>求节点(F$28:F$34,$N$28:$N$34,$AR79)*$AS79*其他调用!W78/$E$4</f>
        <v>0</v>
      </c>
      <c r="BA79" s="16">
        <f>求节点(G$28:G$34,$N$28:$N$34,$AR79)*$AS79*其他调用!X78/$E$4</f>
        <v>0</v>
      </c>
      <c r="BB79" s="16">
        <f>求节点(H$28:H$34,$N$28:$N$34,$AR79)*$AS79*其他调用!Y78/$E$4</f>
        <v>0</v>
      </c>
      <c r="BC79" s="16">
        <f>求节点(I$28:I$34,$N$28:$N$34,$AR79)*$AS79*其他调用!Z78/$E$4</f>
        <v>0</v>
      </c>
      <c r="BD79" s="16">
        <f>求节点(E$28:E$34,$O$28:$O$34,$AR79)*$AS79*其他调用!V78/$E$4</f>
        <v>0</v>
      </c>
      <c r="BE79" s="16">
        <f>求节点(F$28:F$34,$O$28:$O$34,$AR79)*$AS79*其他调用!W78/$E$4</f>
        <v>0</v>
      </c>
      <c r="BF79" s="16">
        <f>求节点(G$28:G$34,$O$28:$O$34,$AR79)*$AS79*其他调用!X78/$E$4</f>
        <v>0</v>
      </c>
      <c r="BG79" s="16">
        <f>求节点(H$28:H$34,$O$28:$O$34,$AR79)*$AS79*其他调用!Y78/$E$4</f>
        <v>0</v>
      </c>
      <c r="BH79" s="16">
        <f>求节点(I$28:I$34,$O$28:$O$34,$AR79)*$AS79*其他调用!Z78/$E$4</f>
        <v>0</v>
      </c>
      <c r="BK79" s="16">
        <v>75</v>
      </c>
      <c r="BL79" s="16">
        <f>SUM(AT$5:AT79)</f>
        <v>0</v>
      </c>
      <c r="BM79" s="16">
        <f>SUM(AU$5:AU79)</f>
        <v>0</v>
      </c>
      <c r="BN79" s="16">
        <f>SUM(AV$5:AV79)</f>
        <v>0</v>
      </c>
      <c r="BO79" s="16">
        <f>SUM(AW$5:AW79)</f>
        <v>0</v>
      </c>
      <c r="BP79" s="16">
        <f>SUM(AX$5:AX79)</f>
        <v>0</v>
      </c>
      <c r="BQ79" s="16">
        <f>SUM(AY$5:AY79)</f>
        <v>0</v>
      </c>
      <c r="BR79" s="16">
        <f>SUM(AZ$5:AZ79)</f>
        <v>0</v>
      </c>
      <c r="BS79" s="16">
        <f>SUM(BA$5:BA79)</f>
        <v>0</v>
      </c>
      <c r="BT79" s="16">
        <f>SUM(BB$5:BB79)</f>
        <v>0</v>
      </c>
      <c r="BU79" s="16">
        <f>SUM(BC$5:BC79)</f>
        <v>0</v>
      </c>
      <c r="BV79" s="16">
        <f>SUM(BD$5:BD79)</f>
        <v>0</v>
      </c>
      <c r="BW79" s="16">
        <f>SUM(BE$5:BE79)</f>
        <v>0</v>
      </c>
      <c r="BX79" s="16">
        <f>SUM(BF$5:BF79)</f>
        <v>0</v>
      </c>
      <c r="BY79" s="16">
        <f>SUM(BG$5:BG79)</f>
        <v>0</v>
      </c>
      <c r="BZ79" s="16">
        <f>SUM(BH$5:BH79)</f>
        <v>0</v>
      </c>
      <c r="CC79" s="16">
        <v>75</v>
      </c>
      <c r="CD79" s="16">
        <f t="shared" si="37"/>
        <v>0</v>
      </c>
      <c r="CE79" s="16">
        <f t="shared" si="38"/>
        <v>0</v>
      </c>
      <c r="CF79" s="16">
        <f t="shared" si="39"/>
        <v>0</v>
      </c>
      <c r="CG79" s="16">
        <f t="shared" si="40"/>
        <v>0</v>
      </c>
      <c r="CH79" s="16">
        <f t="shared" si="41"/>
        <v>0</v>
      </c>
      <c r="CI79" s="16">
        <f t="shared" si="42"/>
        <v>0</v>
      </c>
      <c r="CJ79" s="16">
        <f t="shared" si="43"/>
        <v>0</v>
      </c>
      <c r="CK79" s="16">
        <f t="shared" si="44"/>
        <v>0</v>
      </c>
      <c r="CL79" s="16">
        <f t="shared" si="45"/>
        <v>0</v>
      </c>
      <c r="CM79" s="16">
        <f t="shared" si="46"/>
        <v>0</v>
      </c>
      <c r="CN79" s="16">
        <f t="shared" si="47"/>
        <v>0</v>
      </c>
      <c r="CO79" s="16">
        <f t="shared" si="48"/>
        <v>0</v>
      </c>
      <c r="CP79" s="16">
        <f t="shared" si="49"/>
        <v>0</v>
      </c>
      <c r="CQ79" s="16">
        <f t="shared" si="50"/>
        <v>0</v>
      </c>
      <c r="CR79" s="16">
        <f t="shared" si="51"/>
        <v>0</v>
      </c>
      <c r="CV79" s="16">
        <v>75</v>
      </c>
      <c r="CW79" s="35">
        <f t="shared" si="54"/>
        <v>0.13200000000000001</v>
      </c>
      <c r="CX79" s="16">
        <f>其他调用!V78/$E$4*求节点(E$28:E$34,$P$28:$P$34,$CV79)*$CW79</f>
        <v>5.5205060785576201</v>
      </c>
      <c r="CY79" s="16">
        <f>其他调用!W78/$E$4*求节点(F$28:F$34,$P$28:$P$34,$CV79)*$CW79</f>
        <v>7.0236654044631051</v>
      </c>
      <c r="CZ79" s="16">
        <f>其他调用!X78/$E$4*求节点(G$28:G$34,$P$28:$P$34,$CV79)*$CW79</f>
        <v>7.8184554687457428</v>
      </c>
      <c r="DA79" s="16">
        <f>其他调用!Y78/$E$4*求节点(H$28:H$34,$P$28:$P$34,$CV79)*$CW79</f>
        <v>6.4690765919721489</v>
      </c>
      <c r="DB79" s="16">
        <f>其他调用!Z78/$E$4*求节点(I$28:I$34,$P$28:$P$34,$CV79)*$CW79</f>
        <v>3.6565485383075078</v>
      </c>
      <c r="DC79" s="16">
        <f>SUM(CX$5:CX79)</f>
        <v>55.242399248867343</v>
      </c>
      <c r="DD79" s="16">
        <f>SUM(CY$5:CY79)</f>
        <v>71.83057029143346</v>
      </c>
      <c r="DE79" s="16">
        <f>SUM(CZ$5:CZ79)</f>
        <v>86.251693779759975</v>
      </c>
      <c r="DF79" s="16">
        <f>SUM(DA$5:DA79)</f>
        <v>75.746928878732263</v>
      </c>
      <c r="DG79" s="16">
        <f>SUM(DB$5:DB79)</f>
        <v>42.73533116812996</v>
      </c>
    </row>
    <row r="80" spans="2:111">
      <c r="X80" s="16">
        <v>76</v>
      </c>
      <c r="Y80" s="45">
        <f t="shared" si="52"/>
        <v>450</v>
      </c>
      <c r="Z80" s="24">
        <f t="shared" si="53"/>
        <v>6.8000000000000005E-2</v>
      </c>
      <c r="AA80" s="16">
        <f>$Y80*$Z80*其他调用!V79</f>
        <v>18288.08046382945</v>
      </c>
      <c r="AB80" s="16">
        <f>$Y80*$Z80*其他调用!W79</f>
        <v>23006.749684004964</v>
      </c>
      <c r="AC80" s="16">
        <f>$Y80*$Z80*其他调用!X79</f>
        <v>25438.734955759406</v>
      </c>
      <c r="AD80" s="16">
        <f>$Y80*$Z80*其他调用!Y79</f>
        <v>21507.765227087388</v>
      </c>
      <c r="AE80" s="16">
        <f>$Y80*$Z80*其他调用!Z79</f>
        <v>12320.452705232767</v>
      </c>
      <c r="AH80" s="16">
        <v>76</v>
      </c>
      <c r="AI80" s="16">
        <f>SUM(AA$5:AA80)</f>
        <v>208193.86544242073</v>
      </c>
      <c r="AJ80" s="16">
        <f>SUM(AB$5:AB80)</f>
        <v>262142.71743483431</v>
      </c>
      <c r="AK80" s="16">
        <f>SUM(AC$5:AC80)</f>
        <v>290919.22445938014</v>
      </c>
      <c r="AL80" s="16">
        <f>SUM(AD$5:AD80)</f>
        <v>241195.98487630408</v>
      </c>
      <c r="AM80" s="16">
        <f>SUM(AE$5:AE80)</f>
        <v>134268.91956607244</v>
      </c>
      <c r="AR80" s="16">
        <v>76</v>
      </c>
      <c r="AS80" s="24">
        <f t="shared" si="36"/>
        <v>6.8000000000000005E-2</v>
      </c>
      <c r="AT80" s="16">
        <f>求节点(E$28:E$34,$M$28:$M$34,$AR80)*$AS80*其他调用!V79/$E$4</f>
        <v>0</v>
      </c>
      <c r="AU80" s="16">
        <f>求节点(F$28:F$34,$M$28:$M$34,$AR80)*$AS80*其他调用!W79/$E$4</f>
        <v>0</v>
      </c>
      <c r="AV80" s="16">
        <f>求节点(G$28:G$34,$M$28:$M$34,$AR80)*$AS80*其他调用!X79/$E$4</f>
        <v>0</v>
      </c>
      <c r="AW80" s="16">
        <f>求节点(H$28:H$34,$M$28:$M$34,$AR80)*$AS80*其他调用!Y79/$E$4</f>
        <v>0</v>
      </c>
      <c r="AX80" s="16">
        <f>求节点(I$28:I$34,$M$28:$M$34,$AR80)*$AS80*其他调用!Z79/$E$4</f>
        <v>0</v>
      </c>
      <c r="AY80" s="16">
        <f>求节点(E$28:E$34,$N$28:$N$34,$AR80)*$AS80*其他调用!V79/$E$4</f>
        <v>0</v>
      </c>
      <c r="AZ80" s="16">
        <f>求节点(F$28:F$34,$N$28:$N$34,$AR80)*$AS80*其他调用!W79/$E$4</f>
        <v>0</v>
      </c>
      <c r="BA80" s="16">
        <f>求节点(G$28:G$34,$N$28:$N$34,$AR80)*$AS80*其他调用!X79/$E$4</f>
        <v>0</v>
      </c>
      <c r="BB80" s="16">
        <f>求节点(H$28:H$34,$N$28:$N$34,$AR80)*$AS80*其他调用!Y79/$E$4</f>
        <v>0</v>
      </c>
      <c r="BC80" s="16">
        <f>求节点(I$28:I$34,$N$28:$N$34,$AR80)*$AS80*其他调用!Z79/$E$4</f>
        <v>0</v>
      </c>
      <c r="BD80" s="16">
        <f>求节点(E$28:E$34,$O$28:$O$34,$AR80)*$AS80*其他调用!V79/$E$4</f>
        <v>0</v>
      </c>
      <c r="BE80" s="16">
        <f>求节点(F$28:F$34,$O$28:$O$34,$AR80)*$AS80*其他调用!W79/$E$4</f>
        <v>0</v>
      </c>
      <c r="BF80" s="16">
        <f>求节点(G$28:G$34,$O$28:$O$34,$AR80)*$AS80*其他调用!X79/$E$4</f>
        <v>0</v>
      </c>
      <c r="BG80" s="16">
        <f>求节点(H$28:H$34,$O$28:$O$34,$AR80)*$AS80*其他调用!Y79/$E$4</f>
        <v>0</v>
      </c>
      <c r="BH80" s="16">
        <f>求节点(I$28:I$34,$O$28:$O$34,$AR80)*$AS80*其他调用!Z79/$E$4</f>
        <v>0</v>
      </c>
      <c r="BK80" s="16">
        <v>76</v>
      </c>
      <c r="BL80" s="16">
        <f>SUM(AT$5:AT80)</f>
        <v>0</v>
      </c>
      <c r="BM80" s="16">
        <f>SUM(AU$5:AU80)</f>
        <v>0</v>
      </c>
      <c r="BN80" s="16">
        <f>SUM(AV$5:AV80)</f>
        <v>0</v>
      </c>
      <c r="BO80" s="16">
        <f>SUM(AW$5:AW80)</f>
        <v>0</v>
      </c>
      <c r="BP80" s="16">
        <f>SUM(AX$5:AX80)</f>
        <v>0</v>
      </c>
      <c r="BQ80" s="16">
        <f>SUM(AY$5:AY80)</f>
        <v>0</v>
      </c>
      <c r="BR80" s="16">
        <f>SUM(AZ$5:AZ80)</f>
        <v>0</v>
      </c>
      <c r="BS80" s="16">
        <f>SUM(BA$5:BA80)</f>
        <v>0</v>
      </c>
      <c r="BT80" s="16">
        <f>SUM(BB$5:BB80)</f>
        <v>0</v>
      </c>
      <c r="BU80" s="16">
        <f>SUM(BC$5:BC80)</f>
        <v>0</v>
      </c>
      <c r="BV80" s="16">
        <f>SUM(BD$5:BD80)</f>
        <v>0</v>
      </c>
      <c r="BW80" s="16">
        <f>SUM(BE$5:BE80)</f>
        <v>0</v>
      </c>
      <c r="BX80" s="16">
        <f>SUM(BF$5:BF80)</f>
        <v>0</v>
      </c>
      <c r="BY80" s="16">
        <f>SUM(BG$5:BG80)</f>
        <v>0</v>
      </c>
      <c r="BZ80" s="16">
        <f>SUM(BH$5:BH80)</f>
        <v>0</v>
      </c>
      <c r="CC80" s="16">
        <v>76</v>
      </c>
      <c r="CD80" s="16">
        <f t="shared" si="37"/>
        <v>0</v>
      </c>
      <c r="CE80" s="16">
        <f t="shared" si="38"/>
        <v>0</v>
      </c>
      <c r="CF80" s="16">
        <f t="shared" si="39"/>
        <v>0</v>
      </c>
      <c r="CG80" s="16">
        <f t="shared" si="40"/>
        <v>0</v>
      </c>
      <c r="CH80" s="16">
        <f t="shared" si="41"/>
        <v>0</v>
      </c>
      <c r="CI80" s="16">
        <f t="shared" si="42"/>
        <v>0</v>
      </c>
      <c r="CJ80" s="16">
        <f t="shared" si="43"/>
        <v>0</v>
      </c>
      <c r="CK80" s="16">
        <f t="shared" si="44"/>
        <v>0</v>
      </c>
      <c r="CL80" s="16">
        <f t="shared" si="45"/>
        <v>0</v>
      </c>
      <c r="CM80" s="16">
        <f t="shared" si="46"/>
        <v>0</v>
      </c>
      <c r="CN80" s="16">
        <f t="shared" si="47"/>
        <v>0</v>
      </c>
      <c r="CO80" s="16">
        <f t="shared" si="48"/>
        <v>0</v>
      </c>
      <c r="CP80" s="16">
        <f t="shared" si="49"/>
        <v>0</v>
      </c>
      <c r="CQ80" s="16">
        <f t="shared" si="50"/>
        <v>0</v>
      </c>
      <c r="CR80" s="16">
        <f t="shared" si="51"/>
        <v>0</v>
      </c>
      <c r="CV80" s="16">
        <v>76</v>
      </c>
      <c r="CW80" s="35">
        <f t="shared" si="54"/>
        <v>0.13200000000000001</v>
      </c>
      <c r="CX80" s="16">
        <f>其他调用!V79/$E$4*求节点(E$28:E$34,$P$28:$P$34,$CV80)*$CW80</f>
        <v>5.9167319147683513</v>
      </c>
      <c r="CY80" s="16">
        <f>其他调用!W79/$E$4*求节点(F$28:F$34,$P$28:$P$34,$CV80)*$CW80</f>
        <v>7.4433601918839587</v>
      </c>
      <c r="CZ80" s="16">
        <f>其他调用!X79/$E$4*求节点(G$28:G$34,$P$28:$P$34,$CV80)*$CW80</f>
        <v>8.2301789562751022</v>
      </c>
      <c r="DA80" s="16">
        <f>其他调用!Y79/$E$4*求节点(H$28:H$34,$P$28:$P$34,$CV80)*$CW80</f>
        <v>6.9583946322929782</v>
      </c>
      <c r="DB80" s="16">
        <f>其他调用!Z79/$E$4*求节点(I$28:I$34,$P$28:$P$34,$CV80)*$CW80</f>
        <v>3.9860288163988358</v>
      </c>
      <c r="DC80" s="16">
        <f>SUM(CX$5:CX80)</f>
        <v>61.159131163635692</v>
      </c>
      <c r="DD80" s="16">
        <f>SUM(CY$5:CY80)</f>
        <v>79.273930483317415</v>
      </c>
      <c r="DE80" s="16">
        <f>SUM(CZ$5:CZ80)</f>
        <v>94.481872736035072</v>
      </c>
      <c r="DF80" s="16">
        <f>SUM(DA$5:DA80)</f>
        <v>82.705323511025242</v>
      </c>
      <c r="DG80" s="16">
        <f>SUM(DB$5:DB80)</f>
        <v>46.721359984528796</v>
      </c>
    </row>
    <row r="81" spans="24:111">
      <c r="X81" s="16">
        <v>77</v>
      </c>
      <c r="Y81" s="45">
        <f t="shared" si="52"/>
        <v>459.375</v>
      </c>
      <c r="Z81" s="24">
        <f t="shared" si="53"/>
        <v>6.8000000000000005E-2</v>
      </c>
      <c r="AA81" s="16">
        <f>$Y81*$Z81*其他调用!V80</f>
        <v>20009.026807732967</v>
      </c>
      <c r="AB81" s="16">
        <f>$Y81*$Z81*其他调用!W80</f>
        <v>25428.663354294335</v>
      </c>
      <c r="AC81" s="16">
        <f>$Y81*$Z81*其他调用!X80</f>
        <v>28467.701269427518</v>
      </c>
      <c r="AD81" s="16">
        <f>$Y81*$Z81*其他调用!Y80</f>
        <v>23753.95070514319</v>
      </c>
      <c r="AE81" s="16">
        <f>$Y81*$Z81*其他调用!Z80</f>
        <v>12455.065990688732</v>
      </c>
      <c r="AH81" s="16">
        <v>77</v>
      </c>
      <c r="AI81" s="16">
        <f>SUM(AA$5:AA81)</f>
        <v>228202.8922501537</v>
      </c>
      <c r="AJ81" s="16">
        <f>SUM(AB$5:AB81)</f>
        <v>287571.38078912866</v>
      </c>
      <c r="AK81" s="16">
        <f>SUM(AC$5:AC81)</f>
        <v>319386.92572880769</v>
      </c>
      <c r="AL81" s="16">
        <f>SUM(AD$5:AD81)</f>
        <v>264949.93558144727</v>
      </c>
      <c r="AM81" s="16">
        <f>SUM(AE$5:AE81)</f>
        <v>146723.98555676118</v>
      </c>
      <c r="AR81" s="16">
        <v>77</v>
      </c>
      <c r="AS81" s="24">
        <f t="shared" si="36"/>
        <v>6.8000000000000005E-2</v>
      </c>
      <c r="AT81" s="16">
        <f>求节点(E$28:E$34,$M$28:$M$34,$AR81)*$AS81*其他调用!V80/$E$4</f>
        <v>0</v>
      </c>
      <c r="AU81" s="16">
        <f>求节点(F$28:F$34,$M$28:$M$34,$AR81)*$AS81*其他调用!W80/$E$4</f>
        <v>0</v>
      </c>
      <c r="AV81" s="16">
        <f>求节点(G$28:G$34,$M$28:$M$34,$AR81)*$AS81*其他调用!X80/$E$4</f>
        <v>0</v>
      </c>
      <c r="AW81" s="16">
        <f>求节点(H$28:H$34,$M$28:$M$34,$AR81)*$AS81*其他调用!Y80/$E$4</f>
        <v>0</v>
      </c>
      <c r="AX81" s="16">
        <f>求节点(I$28:I$34,$M$28:$M$34,$AR81)*$AS81*其他调用!Z80/$E$4</f>
        <v>0</v>
      </c>
      <c r="AY81" s="16">
        <f>求节点(E$28:E$34,$N$28:$N$34,$AR81)*$AS81*其他调用!V80/$E$4</f>
        <v>0</v>
      </c>
      <c r="AZ81" s="16">
        <f>求节点(F$28:F$34,$N$28:$N$34,$AR81)*$AS81*其他调用!W80/$E$4</f>
        <v>0</v>
      </c>
      <c r="BA81" s="16">
        <f>求节点(G$28:G$34,$N$28:$N$34,$AR81)*$AS81*其他调用!X80/$E$4</f>
        <v>0</v>
      </c>
      <c r="BB81" s="16">
        <f>求节点(H$28:H$34,$N$28:$N$34,$AR81)*$AS81*其他调用!Y80/$E$4</f>
        <v>0</v>
      </c>
      <c r="BC81" s="16">
        <f>求节点(I$28:I$34,$N$28:$N$34,$AR81)*$AS81*其他调用!Z80/$E$4</f>
        <v>0</v>
      </c>
      <c r="BD81" s="16">
        <f>求节点(E$28:E$34,$O$28:$O$34,$AR81)*$AS81*其他调用!V80/$E$4</f>
        <v>0</v>
      </c>
      <c r="BE81" s="16">
        <f>求节点(F$28:F$34,$O$28:$O$34,$AR81)*$AS81*其他调用!W80/$E$4</f>
        <v>0</v>
      </c>
      <c r="BF81" s="16">
        <f>求节点(G$28:G$34,$O$28:$O$34,$AR81)*$AS81*其他调用!X80/$E$4</f>
        <v>0</v>
      </c>
      <c r="BG81" s="16">
        <f>求节点(H$28:H$34,$O$28:$O$34,$AR81)*$AS81*其他调用!Y80/$E$4</f>
        <v>0</v>
      </c>
      <c r="BH81" s="16">
        <f>求节点(I$28:I$34,$O$28:$O$34,$AR81)*$AS81*其他调用!Z80/$E$4</f>
        <v>0</v>
      </c>
      <c r="BK81" s="16">
        <v>77</v>
      </c>
      <c r="BL81" s="16">
        <f>SUM(AT$5:AT81)</f>
        <v>0</v>
      </c>
      <c r="BM81" s="16">
        <f>SUM(AU$5:AU81)</f>
        <v>0</v>
      </c>
      <c r="BN81" s="16">
        <f>SUM(AV$5:AV81)</f>
        <v>0</v>
      </c>
      <c r="BO81" s="16">
        <f>SUM(AW$5:AW81)</f>
        <v>0</v>
      </c>
      <c r="BP81" s="16">
        <f>SUM(AX$5:AX81)</f>
        <v>0</v>
      </c>
      <c r="BQ81" s="16">
        <f>SUM(AY$5:AY81)</f>
        <v>0</v>
      </c>
      <c r="BR81" s="16">
        <f>SUM(AZ$5:AZ81)</f>
        <v>0</v>
      </c>
      <c r="BS81" s="16">
        <f>SUM(BA$5:BA81)</f>
        <v>0</v>
      </c>
      <c r="BT81" s="16">
        <f>SUM(BB$5:BB81)</f>
        <v>0</v>
      </c>
      <c r="BU81" s="16">
        <f>SUM(BC$5:BC81)</f>
        <v>0</v>
      </c>
      <c r="BV81" s="16">
        <f>SUM(BD$5:BD81)</f>
        <v>0</v>
      </c>
      <c r="BW81" s="16">
        <f>SUM(BE$5:BE81)</f>
        <v>0</v>
      </c>
      <c r="BX81" s="16">
        <f>SUM(BF$5:BF81)</f>
        <v>0</v>
      </c>
      <c r="BY81" s="16">
        <f>SUM(BG$5:BG81)</f>
        <v>0</v>
      </c>
      <c r="BZ81" s="16">
        <f>SUM(BH$5:BH81)</f>
        <v>0</v>
      </c>
      <c r="CC81" s="16">
        <v>77</v>
      </c>
      <c r="CD81" s="16">
        <f t="shared" si="37"/>
        <v>0</v>
      </c>
      <c r="CE81" s="16">
        <f t="shared" si="38"/>
        <v>0</v>
      </c>
      <c r="CF81" s="16">
        <f t="shared" si="39"/>
        <v>0</v>
      </c>
      <c r="CG81" s="16">
        <f t="shared" si="40"/>
        <v>0</v>
      </c>
      <c r="CH81" s="16">
        <f t="shared" si="41"/>
        <v>0</v>
      </c>
      <c r="CI81" s="16">
        <f t="shared" si="42"/>
        <v>0</v>
      </c>
      <c r="CJ81" s="16">
        <f t="shared" si="43"/>
        <v>0</v>
      </c>
      <c r="CK81" s="16">
        <f t="shared" si="44"/>
        <v>0</v>
      </c>
      <c r="CL81" s="16">
        <f t="shared" si="45"/>
        <v>0</v>
      </c>
      <c r="CM81" s="16">
        <f t="shared" si="46"/>
        <v>0</v>
      </c>
      <c r="CN81" s="16">
        <f t="shared" si="47"/>
        <v>0</v>
      </c>
      <c r="CO81" s="16">
        <f t="shared" si="48"/>
        <v>0</v>
      </c>
      <c r="CP81" s="16">
        <f t="shared" si="49"/>
        <v>0</v>
      </c>
      <c r="CQ81" s="16">
        <f t="shared" si="50"/>
        <v>0</v>
      </c>
      <c r="CR81" s="16">
        <f t="shared" si="51"/>
        <v>0</v>
      </c>
      <c r="CV81" s="16">
        <v>77</v>
      </c>
      <c r="CW81" s="35">
        <f t="shared" si="54"/>
        <v>0.13200000000000001</v>
      </c>
      <c r="CX81" s="16">
        <f>其他调用!V80/$E$4*求节点(E$28:E$34,$P$28:$P$34,$CV81)*$CW81</f>
        <v>6.3413962511902806</v>
      </c>
      <c r="CY81" s="16">
        <f>其他调用!W80/$E$4*求节点(F$28:F$34,$P$28:$P$34,$CV81)*$CW81</f>
        <v>8.0590241603045669</v>
      </c>
      <c r="CZ81" s="16">
        <f>其他调用!X80/$E$4*求节点(G$28:G$34,$P$28:$P$34,$CV81)*$CW81</f>
        <v>9.0221766328077599</v>
      </c>
      <c r="DA81" s="16">
        <f>其他调用!Y80/$E$4*求节点(H$28:H$34,$P$28:$P$34,$CV81)*$CW81</f>
        <v>7.5282628885447807</v>
      </c>
      <c r="DB81" s="16">
        <f>其他调用!Z80/$E$4*求节点(I$28:I$34,$P$28:$P$34,$CV81)*$CW81</f>
        <v>3.9473438433875456</v>
      </c>
      <c r="DC81" s="16">
        <f>SUM(CX$5:CX81)</f>
        <v>67.500527414825967</v>
      </c>
      <c r="DD81" s="16">
        <f>SUM(CY$5:CY81)</f>
        <v>87.332954643621974</v>
      </c>
      <c r="DE81" s="16">
        <f>SUM(CZ$5:CZ81)</f>
        <v>103.50404936884283</v>
      </c>
      <c r="DF81" s="16">
        <f>SUM(DA$5:DA81)</f>
        <v>90.233586399570015</v>
      </c>
      <c r="DG81" s="16">
        <f>SUM(DB$5:DB81)</f>
        <v>50.668703827916339</v>
      </c>
    </row>
    <row r="82" spans="24:111">
      <c r="X82" s="16">
        <v>78</v>
      </c>
      <c r="Y82" s="45">
        <f t="shared" si="52"/>
        <v>468.75</v>
      </c>
      <c r="Z82" s="24">
        <f t="shared" si="53"/>
        <v>6.8000000000000005E-2</v>
      </c>
      <c r="AA82" s="16">
        <f>$Y82*$Z82*其他调用!V81</f>
        <v>21882.799942556598</v>
      </c>
      <c r="AB82" s="16">
        <f>$Y82*$Z82*其他调用!W81</f>
        <v>27589.073026707822</v>
      </c>
      <c r="AC82" s="16">
        <f>$Y82*$Z82*其他调用!X81</f>
        <v>31039.690114214693</v>
      </c>
      <c r="AD82" s="16">
        <f>$Y82*$Z82*其他调用!Y81</f>
        <v>25435.091942796869</v>
      </c>
      <c r="AE82" s="16">
        <f>$Y82*$Z82*其他调用!Z81</f>
        <v>13514.134381739403</v>
      </c>
      <c r="AH82" s="16">
        <v>78</v>
      </c>
      <c r="AI82" s="16">
        <f>SUM(AA$5:AA82)</f>
        <v>250085.6921927103</v>
      </c>
      <c r="AJ82" s="16">
        <f>SUM(AB$5:AB82)</f>
        <v>315160.45381583646</v>
      </c>
      <c r="AK82" s="16">
        <f>SUM(AC$5:AC82)</f>
        <v>350426.61584302236</v>
      </c>
      <c r="AL82" s="16">
        <f>SUM(AD$5:AD82)</f>
        <v>290385.02752424416</v>
      </c>
      <c r="AM82" s="16">
        <f>SUM(AE$5:AE82)</f>
        <v>160238.11993850057</v>
      </c>
      <c r="AR82" s="16">
        <v>78</v>
      </c>
      <c r="AS82" s="24">
        <f t="shared" si="36"/>
        <v>6.8000000000000005E-2</v>
      </c>
      <c r="AT82" s="16">
        <f>求节点(E$28:E$34,$M$28:$M$34,$AR82)*$AS82*其他调用!V81/$E$4</f>
        <v>0</v>
      </c>
      <c r="AU82" s="16">
        <f>求节点(F$28:F$34,$M$28:$M$34,$AR82)*$AS82*其他调用!W81/$E$4</f>
        <v>0</v>
      </c>
      <c r="AV82" s="16">
        <f>求节点(G$28:G$34,$M$28:$M$34,$AR82)*$AS82*其他调用!X81/$E$4</f>
        <v>0</v>
      </c>
      <c r="AW82" s="16">
        <f>求节点(H$28:H$34,$M$28:$M$34,$AR82)*$AS82*其他调用!Y81/$E$4</f>
        <v>0</v>
      </c>
      <c r="AX82" s="16">
        <f>求节点(I$28:I$34,$M$28:$M$34,$AR82)*$AS82*其他调用!Z81/$E$4</f>
        <v>0</v>
      </c>
      <c r="AY82" s="16">
        <f>求节点(E$28:E$34,$N$28:$N$34,$AR82)*$AS82*其他调用!V81/$E$4</f>
        <v>0</v>
      </c>
      <c r="AZ82" s="16">
        <f>求节点(F$28:F$34,$N$28:$N$34,$AR82)*$AS82*其他调用!W81/$E$4</f>
        <v>0</v>
      </c>
      <c r="BA82" s="16">
        <f>求节点(G$28:G$34,$N$28:$N$34,$AR82)*$AS82*其他调用!X81/$E$4</f>
        <v>0</v>
      </c>
      <c r="BB82" s="16">
        <f>求节点(H$28:H$34,$N$28:$N$34,$AR82)*$AS82*其他调用!Y81/$E$4</f>
        <v>0</v>
      </c>
      <c r="BC82" s="16">
        <f>求节点(I$28:I$34,$N$28:$N$34,$AR82)*$AS82*其他调用!Z81/$E$4</f>
        <v>0</v>
      </c>
      <c r="BD82" s="16">
        <f>求节点(E$28:E$34,$O$28:$O$34,$AR82)*$AS82*其他调用!V81/$E$4</f>
        <v>0</v>
      </c>
      <c r="BE82" s="16">
        <f>求节点(F$28:F$34,$O$28:$O$34,$AR82)*$AS82*其他调用!W81/$E$4</f>
        <v>0</v>
      </c>
      <c r="BF82" s="16">
        <f>求节点(G$28:G$34,$O$28:$O$34,$AR82)*$AS82*其他调用!X81/$E$4</f>
        <v>0</v>
      </c>
      <c r="BG82" s="16">
        <f>求节点(H$28:H$34,$O$28:$O$34,$AR82)*$AS82*其他调用!Y81/$E$4</f>
        <v>0</v>
      </c>
      <c r="BH82" s="16">
        <f>求节点(I$28:I$34,$O$28:$O$34,$AR82)*$AS82*其他调用!Z81/$E$4</f>
        <v>0</v>
      </c>
      <c r="BK82" s="16">
        <v>78</v>
      </c>
      <c r="BL82" s="16">
        <f>SUM(AT$5:AT82)</f>
        <v>0</v>
      </c>
      <c r="BM82" s="16">
        <f>SUM(AU$5:AU82)</f>
        <v>0</v>
      </c>
      <c r="BN82" s="16">
        <f>SUM(AV$5:AV82)</f>
        <v>0</v>
      </c>
      <c r="BO82" s="16">
        <f>SUM(AW$5:AW82)</f>
        <v>0</v>
      </c>
      <c r="BP82" s="16">
        <f>SUM(AX$5:AX82)</f>
        <v>0</v>
      </c>
      <c r="BQ82" s="16">
        <f>SUM(AY$5:AY82)</f>
        <v>0</v>
      </c>
      <c r="BR82" s="16">
        <f>SUM(AZ$5:AZ82)</f>
        <v>0</v>
      </c>
      <c r="BS82" s="16">
        <f>SUM(BA$5:BA82)</f>
        <v>0</v>
      </c>
      <c r="BT82" s="16">
        <f>SUM(BB$5:BB82)</f>
        <v>0</v>
      </c>
      <c r="BU82" s="16">
        <f>SUM(BC$5:BC82)</f>
        <v>0</v>
      </c>
      <c r="BV82" s="16">
        <f>SUM(BD$5:BD82)</f>
        <v>0</v>
      </c>
      <c r="BW82" s="16">
        <f>SUM(BE$5:BE82)</f>
        <v>0</v>
      </c>
      <c r="BX82" s="16">
        <f>SUM(BF$5:BF82)</f>
        <v>0</v>
      </c>
      <c r="BY82" s="16">
        <f>SUM(BG$5:BG82)</f>
        <v>0</v>
      </c>
      <c r="BZ82" s="16">
        <f>SUM(BH$5:BH82)</f>
        <v>0</v>
      </c>
      <c r="CC82" s="16">
        <v>78</v>
      </c>
      <c r="CD82" s="16">
        <f t="shared" si="37"/>
        <v>0</v>
      </c>
      <c r="CE82" s="16">
        <f t="shared" si="38"/>
        <v>0</v>
      </c>
      <c r="CF82" s="16">
        <f t="shared" si="39"/>
        <v>0</v>
      </c>
      <c r="CG82" s="16">
        <f t="shared" si="40"/>
        <v>0</v>
      </c>
      <c r="CH82" s="16">
        <f t="shared" si="41"/>
        <v>0</v>
      </c>
      <c r="CI82" s="16">
        <f t="shared" si="42"/>
        <v>0</v>
      </c>
      <c r="CJ82" s="16">
        <f t="shared" si="43"/>
        <v>0</v>
      </c>
      <c r="CK82" s="16">
        <f t="shared" si="44"/>
        <v>0</v>
      </c>
      <c r="CL82" s="16">
        <f t="shared" si="45"/>
        <v>0</v>
      </c>
      <c r="CM82" s="16">
        <f t="shared" si="46"/>
        <v>0</v>
      </c>
      <c r="CN82" s="16">
        <f t="shared" si="47"/>
        <v>0</v>
      </c>
      <c r="CO82" s="16">
        <f t="shared" si="48"/>
        <v>0</v>
      </c>
      <c r="CP82" s="16">
        <f t="shared" si="49"/>
        <v>0</v>
      </c>
      <c r="CQ82" s="16">
        <f t="shared" si="50"/>
        <v>0</v>
      </c>
      <c r="CR82" s="16">
        <f t="shared" si="51"/>
        <v>0</v>
      </c>
      <c r="CV82" s="16">
        <v>78</v>
      </c>
      <c r="CW82" s="35">
        <f t="shared" si="54"/>
        <v>0.13200000000000001</v>
      </c>
      <c r="CX82" s="16">
        <f>其他调用!V81/$E$4*求节点(E$28:E$34,$P$28:$P$34,$CV82)*$CW82</f>
        <v>6.7965402174528728</v>
      </c>
      <c r="CY82" s="16">
        <f>其他调用!W81/$E$4*求节点(F$28:F$34,$P$28:$P$34,$CV82)*$CW82</f>
        <v>8.5688415047657234</v>
      </c>
      <c r="CZ82" s="16">
        <f>其他调用!X81/$E$4*求节点(G$28:G$34,$P$28:$P$34,$CV82)*$CW82</f>
        <v>9.6405625766502094</v>
      </c>
      <c r="DA82" s="16">
        <f>其他调用!Y81/$E$4*求节点(H$28:H$34,$P$28:$P$34,$CV82)*$CW82</f>
        <v>7.8998403210569101</v>
      </c>
      <c r="DB82" s="16">
        <f>其他调用!Z81/$E$4*求节点(I$28:I$34,$P$28:$P$34,$CV82)*$CW82</f>
        <v>4.197331149152002</v>
      </c>
      <c r="DC82" s="16">
        <f>SUM(CX$5:CX82)</f>
        <v>74.297067632278839</v>
      </c>
      <c r="DD82" s="16">
        <f>SUM(CY$5:CY82)</f>
        <v>95.901796148387703</v>
      </c>
      <c r="DE82" s="16">
        <f>SUM(CZ$5:CZ82)</f>
        <v>113.14461194549304</v>
      </c>
      <c r="DF82" s="16">
        <f>SUM(DA$5:DA82)</f>
        <v>98.133426720626929</v>
      </c>
      <c r="DG82" s="16">
        <f>SUM(DB$5:DB82)</f>
        <v>54.866034977068338</v>
      </c>
    </row>
    <row r="83" spans="24:111">
      <c r="X83" s="16">
        <v>79</v>
      </c>
      <c r="Y83" s="45">
        <f t="shared" si="52"/>
        <v>478.125</v>
      </c>
      <c r="Z83" s="24">
        <f t="shared" si="53"/>
        <v>6.8000000000000005E-2</v>
      </c>
      <c r="AA83" s="16">
        <f>$Y83*$Z83*其他调用!V82</f>
        <v>23922.472349711341</v>
      </c>
      <c r="AB83" s="16">
        <f>$Y83*$Z83*其他调用!W82</f>
        <v>30575.126344981658</v>
      </c>
      <c r="AC83" s="16">
        <f>$Y83*$Z83*其他调用!X82</f>
        <v>34031.761918352895</v>
      </c>
      <c r="AD83" s="16">
        <f>$Y83*$Z83*其他调用!Y82</f>
        <v>26611.07365378744</v>
      </c>
      <c r="AE83" s="16">
        <f>$Y83*$Z83*其他调用!Z82</f>
        <v>14969.686907277846</v>
      </c>
      <c r="AH83" s="16">
        <v>79</v>
      </c>
      <c r="AI83" s="16">
        <f>SUM(AA$5:AA83)</f>
        <v>274008.16454242164</v>
      </c>
      <c r="AJ83" s="16">
        <f>SUM(AB$5:AB83)</f>
        <v>345735.58016081812</v>
      </c>
      <c r="AK83" s="16">
        <f>SUM(AC$5:AC83)</f>
        <v>384458.37776137528</v>
      </c>
      <c r="AL83" s="16">
        <f>SUM(AD$5:AD83)</f>
        <v>316996.10117803159</v>
      </c>
      <c r="AM83" s="16">
        <f>SUM(AE$5:AE83)</f>
        <v>175207.80684577842</v>
      </c>
      <c r="AR83" s="16">
        <v>79</v>
      </c>
      <c r="AS83" s="24">
        <f t="shared" si="36"/>
        <v>6.8000000000000005E-2</v>
      </c>
      <c r="AT83" s="16">
        <f>求节点(E$28:E$34,$M$28:$M$34,$AR83)*$AS83*其他调用!V82/$E$4</f>
        <v>0</v>
      </c>
      <c r="AU83" s="16">
        <f>求节点(F$28:F$34,$M$28:$M$34,$AR83)*$AS83*其他调用!W82/$E$4</f>
        <v>0</v>
      </c>
      <c r="AV83" s="16">
        <f>求节点(G$28:G$34,$M$28:$M$34,$AR83)*$AS83*其他调用!X82/$E$4</f>
        <v>0</v>
      </c>
      <c r="AW83" s="16">
        <f>求节点(H$28:H$34,$M$28:$M$34,$AR83)*$AS83*其他调用!Y82/$E$4</f>
        <v>0</v>
      </c>
      <c r="AX83" s="16">
        <f>求节点(I$28:I$34,$M$28:$M$34,$AR83)*$AS83*其他调用!Z82/$E$4</f>
        <v>0</v>
      </c>
      <c r="AY83" s="16">
        <f>求节点(E$28:E$34,$N$28:$N$34,$AR83)*$AS83*其他调用!V82/$E$4</f>
        <v>0</v>
      </c>
      <c r="AZ83" s="16">
        <f>求节点(F$28:F$34,$N$28:$N$34,$AR83)*$AS83*其他调用!W82/$E$4</f>
        <v>0</v>
      </c>
      <c r="BA83" s="16">
        <f>求节点(G$28:G$34,$N$28:$N$34,$AR83)*$AS83*其他调用!X82/$E$4</f>
        <v>0</v>
      </c>
      <c r="BB83" s="16">
        <f>求节点(H$28:H$34,$N$28:$N$34,$AR83)*$AS83*其他调用!Y82/$E$4</f>
        <v>0</v>
      </c>
      <c r="BC83" s="16">
        <f>求节点(I$28:I$34,$N$28:$N$34,$AR83)*$AS83*其他调用!Z82/$E$4</f>
        <v>0</v>
      </c>
      <c r="BD83" s="16">
        <f>求节点(E$28:E$34,$O$28:$O$34,$AR83)*$AS83*其他调用!V82/$E$4</f>
        <v>0</v>
      </c>
      <c r="BE83" s="16">
        <f>求节点(F$28:F$34,$O$28:$O$34,$AR83)*$AS83*其他调用!W82/$E$4</f>
        <v>0</v>
      </c>
      <c r="BF83" s="16">
        <f>求节点(G$28:G$34,$O$28:$O$34,$AR83)*$AS83*其他调用!X82/$E$4</f>
        <v>0</v>
      </c>
      <c r="BG83" s="16">
        <f>求节点(H$28:H$34,$O$28:$O$34,$AR83)*$AS83*其他调用!Y82/$E$4</f>
        <v>0</v>
      </c>
      <c r="BH83" s="16">
        <f>求节点(I$28:I$34,$O$28:$O$34,$AR83)*$AS83*其他调用!Z82/$E$4</f>
        <v>0</v>
      </c>
      <c r="BK83" s="16">
        <v>79</v>
      </c>
      <c r="BL83" s="16">
        <f>SUM(AT$5:AT83)</f>
        <v>0</v>
      </c>
      <c r="BM83" s="16">
        <f>SUM(AU$5:AU83)</f>
        <v>0</v>
      </c>
      <c r="BN83" s="16">
        <f>SUM(AV$5:AV83)</f>
        <v>0</v>
      </c>
      <c r="BO83" s="16">
        <f>SUM(AW$5:AW83)</f>
        <v>0</v>
      </c>
      <c r="BP83" s="16">
        <f>SUM(AX$5:AX83)</f>
        <v>0</v>
      </c>
      <c r="BQ83" s="16">
        <f>SUM(AY$5:AY83)</f>
        <v>0</v>
      </c>
      <c r="BR83" s="16">
        <f>SUM(AZ$5:AZ83)</f>
        <v>0</v>
      </c>
      <c r="BS83" s="16">
        <f>SUM(BA$5:BA83)</f>
        <v>0</v>
      </c>
      <c r="BT83" s="16">
        <f>SUM(BB$5:BB83)</f>
        <v>0</v>
      </c>
      <c r="BU83" s="16">
        <f>SUM(BC$5:BC83)</f>
        <v>0</v>
      </c>
      <c r="BV83" s="16">
        <f>SUM(BD$5:BD83)</f>
        <v>0</v>
      </c>
      <c r="BW83" s="16">
        <f>SUM(BE$5:BE83)</f>
        <v>0</v>
      </c>
      <c r="BX83" s="16">
        <f>SUM(BF$5:BF83)</f>
        <v>0</v>
      </c>
      <c r="BY83" s="16">
        <f>SUM(BG$5:BG83)</f>
        <v>0</v>
      </c>
      <c r="BZ83" s="16">
        <f>SUM(BH$5:BH83)</f>
        <v>0</v>
      </c>
      <c r="CC83" s="16">
        <v>79</v>
      </c>
      <c r="CD83" s="16">
        <f t="shared" si="37"/>
        <v>0</v>
      </c>
      <c r="CE83" s="16">
        <f t="shared" si="38"/>
        <v>0</v>
      </c>
      <c r="CF83" s="16">
        <f t="shared" si="39"/>
        <v>0</v>
      </c>
      <c r="CG83" s="16">
        <f t="shared" si="40"/>
        <v>0</v>
      </c>
      <c r="CH83" s="16">
        <f t="shared" si="41"/>
        <v>0</v>
      </c>
      <c r="CI83" s="16">
        <f t="shared" si="42"/>
        <v>0</v>
      </c>
      <c r="CJ83" s="16">
        <f t="shared" si="43"/>
        <v>0</v>
      </c>
      <c r="CK83" s="16">
        <f t="shared" si="44"/>
        <v>0</v>
      </c>
      <c r="CL83" s="16">
        <f t="shared" si="45"/>
        <v>0</v>
      </c>
      <c r="CM83" s="16">
        <f t="shared" si="46"/>
        <v>0</v>
      </c>
      <c r="CN83" s="16">
        <f t="shared" si="47"/>
        <v>0</v>
      </c>
      <c r="CO83" s="16">
        <f t="shared" si="48"/>
        <v>0</v>
      </c>
      <c r="CP83" s="16">
        <f t="shared" si="49"/>
        <v>0</v>
      </c>
      <c r="CQ83" s="16">
        <f t="shared" si="50"/>
        <v>0</v>
      </c>
      <c r="CR83" s="16">
        <f t="shared" si="51"/>
        <v>0</v>
      </c>
      <c r="CV83" s="16">
        <v>79</v>
      </c>
      <c r="CW83" s="35">
        <f t="shared" si="54"/>
        <v>0.13200000000000001</v>
      </c>
      <c r="CX83" s="16">
        <f>其他调用!V82/$E$4*求节点(E$28:E$34,$P$28:$P$34,$CV83)*$CW83</f>
        <v>7.2843514421266367</v>
      </c>
      <c r="CY83" s="16">
        <f>其他调用!W82/$E$4*求节点(F$28:F$34,$P$28:$P$34,$CV83)*$CW83</f>
        <v>9.3100730739044497</v>
      </c>
      <c r="CZ83" s="16">
        <f>其他调用!X82/$E$4*求节点(G$28:G$34,$P$28:$P$34,$CV83)*$CW83</f>
        <v>10.362612625657629</v>
      </c>
      <c r="DA83" s="16">
        <f>其他调用!Y82/$E$4*求节点(H$28:H$34,$P$28:$P$34,$CV83)*$CW83</f>
        <v>8.1030258876584593</v>
      </c>
      <c r="DB83" s="16">
        <f>其他调用!Z82/$E$4*求节点(I$28:I$34,$P$28:$P$34,$CV83)*$CW83</f>
        <v>4.5582437641538078</v>
      </c>
      <c r="DC83" s="16">
        <f>SUM(CX$5:CX83)</f>
        <v>81.581419074405474</v>
      </c>
      <c r="DD83" s="16">
        <f>SUM(CY$5:CY83)</f>
        <v>105.21186922229215</v>
      </c>
      <c r="DE83" s="16">
        <f>SUM(CZ$5:CZ83)</f>
        <v>123.50722457115067</v>
      </c>
      <c r="DF83" s="16">
        <f>SUM(DA$5:DA83)</f>
        <v>106.23645260828539</v>
      </c>
      <c r="DG83" s="16">
        <f>SUM(DB$5:DB83)</f>
        <v>59.424278741222146</v>
      </c>
    </row>
    <row r="84" spans="24:111">
      <c r="X84" s="16">
        <v>80</v>
      </c>
      <c r="Y84" s="45">
        <f t="shared" si="52"/>
        <v>487.5</v>
      </c>
      <c r="Z84" s="24">
        <f t="shared" si="53"/>
        <v>6.8000000000000005E-2</v>
      </c>
      <c r="AA84" s="16">
        <f>$Y84*$Z84*其他调用!V83</f>
        <v>26142.205748613789</v>
      </c>
      <c r="AB84" s="16">
        <f>$Y84*$Z84*其他调用!W83</f>
        <v>33329.465716524719</v>
      </c>
      <c r="AC84" s="16">
        <f>$Y84*$Z84*其他调用!X83</f>
        <v>34995.062588784014</v>
      </c>
      <c r="AD84" s="16">
        <f>$Y84*$Z84*其他调用!Y83</f>
        <v>28905.038892058747</v>
      </c>
      <c r="AE84" s="16">
        <f>$Y84*$Z84*其他调用!Z83</f>
        <v>15893.970811293713</v>
      </c>
      <c r="AH84" s="16">
        <v>80</v>
      </c>
      <c r="AI84" s="16">
        <f>SUM(AA$5:AA84)</f>
        <v>300150.37029103545</v>
      </c>
      <c r="AJ84" s="16">
        <f>SUM(AB$5:AB84)</f>
        <v>379065.04587734281</v>
      </c>
      <c r="AK84" s="16">
        <f>SUM(AC$5:AC84)</f>
        <v>419453.4403501593</v>
      </c>
      <c r="AL84" s="16">
        <f>SUM(AD$5:AD84)</f>
        <v>345901.14007009036</v>
      </c>
      <c r="AM84" s="16">
        <f>SUM(AE$5:AE84)</f>
        <v>191101.77765707215</v>
      </c>
      <c r="AR84" s="16">
        <v>80</v>
      </c>
      <c r="AS84" s="24">
        <f t="shared" si="36"/>
        <v>6.8000000000000005E-2</v>
      </c>
      <c r="AT84" s="16">
        <f>求节点(E$28:E$34,$M$28:$M$34,$AR84)*$AS84*其他调用!V83/$E$4</f>
        <v>0</v>
      </c>
      <c r="AU84" s="16">
        <f>求节点(F$28:F$34,$M$28:$M$34,$AR84)*$AS84*其他调用!W83/$E$4</f>
        <v>0</v>
      </c>
      <c r="AV84" s="16">
        <f>求节点(G$28:G$34,$M$28:$M$34,$AR84)*$AS84*其他调用!X83/$E$4</f>
        <v>0</v>
      </c>
      <c r="AW84" s="16">
        <f>求节点(H$28:H$34,$M$28:$M$34,$AR84)*$AS84*其他调用!Y83/$E$4</f>
        <v>0</v>
      </c>
      <c r="AX84" s="16">
        <f>求节点(I$28:I$34,$M$28:$M$34,$AR84)*$AS84*其他调用!Z83/$E$4</f>
        <v>0</v>
      </c>
      <c r="AY84" s="16">
        <f>求节点(E$28:E$34,$N$28:$N$34,$AR84)*$AS84*其他调用!V83/$E$4</f>
        <v>0</v>
      </c>
      <c r="AZ84" s="16">
        <f>求节点(F$28:F$34,$N$28:$N$34,$AR84)*$AS84*其他调用!W83/$E$4</f>
        <v>0</v>
      </c>
      <c r="BA84" s="16">
        <f>求节点(G$28:G$34,$N$28:$N$34,$AR84)*$AS84*其他调用!X83/$E$4</f>
        <v>0</v>
      </c>
      <c r="BB84" s="16">
        <f>求节点(H$28:H$34,$N$28:$N$34,$AR84)*$AS84*其他调用!Y83/$E$4</f>
        <v>0</v>
      </c>
      <c r="BC84" s="16">
        <f>求节点(I$28:I$34,$N$28:$N$34,$AR84)*$AS84*其他调用!Z83/$E$4</f>
        <v>0</v>
      </c>
      <c r="BD84" s="16">
        <f>求节点(E$28:E$34,$O$28:$O$34,$AR84)*$AS84*其他调用!V83/$E$4</f>
        <v>0</v>
      </c>
      <c r="BE84" s="16">
        <f>求节点(F$28:F$34,$O$28:$O$34,$AR84)*$AS84*其他调用!W83/$E$4</f>
        <v>0</v>
      </c>
      <c r="BF84" s="16">
        <f>求节点(G$28:G$34,$O$28:$O$34,$AR84)*$AS84*其他调用!X83/$E$4</f>
        <v>0</v>
      </c>
      <c r="BG84" s="16">
        <f>求节点(H$28:H$34,$O$28:$O$34,$AR84)*$AS84*其他调用!Y83/$E$4</f>
        <v>0</v>
      </c>
      <c r="BH84" s="16">
        <f>求节点(I$28:I$34,$O$28:$O$34,$AR84)*$AS84*其他调用!Z83/$E$4</f>
        <v>0</v>
      </c>
      <c r="BK84" s="16">
        <v>80</v>
      </c>
      <c r="BL84" s="16">
        <f>SUM(AT$5:AT84)</f>
        <v>0</v>
      </c>
      <c r="BM84" s="16">
        <f>SUM(AU$5:AU84)</f>
        <v>0</v>
      </c>
      <c r="BN84" s="16">
        <f>SUM(AV$5:AV84)</f>
        <v>0</v>
      </c>
      <c r="BO84" s="16">
        <f>SUM(AW$5:AW84)</f>
        <v>0</v>
      </c>
      <c r="BP84" s="16">
        <f>SUM(AX$5:AX84)</f>
        <v>0</v>
      </c>
      <c r="BQ84" s="16">
        <f>SUM(AY$5:AY84)</f>
        <v>0</v>
      </c>
      <c r="BR84" s="16">
        <f>SUM(AZ$5:AZ84)</f>
        <v>0</v>
      </c>
      <c r="BS84" s="16">
        <f>SUM(BA$5:BA84)</f>
        <v>0</v>
      </c>
      <c r="BT84" s="16">
        <f>SUM(BB$5:BB84)</f>
        <v>0</v>
      </c>
      <c r="BU84" s="16">
        <f>SUM(BC$5:BC84)</f>
        <v>0</v>
      </c>
      <c r="BV84" s="16">
        <f>SUM(BD$5:BD84)</f>
        <v>0</v>
      </c>
      <c r="BW84" s="16">
        <f>SUM(BE$5:BE84)</f>
        <v>0</v>
      </c>
      <c r="BX84" s="16">
        <f>SUM(BF$5:BF84)</f>
        <v>0</v>
      </c>
      <c r="BY84" s="16">
        <f>SUM(BG$5:BG84)</f>
        <v>0</v>
      </c>
      <c r="BZ84" s="16">
        <f>SUM(BH$5:BH84)</f>
        <v>0</v>
      </c>
      <c r="CC84" s="16">
        <v>80</v>
      </c>
      <c r="CD84" s="16">
        <f t="shared" si="37"/>
        <v>0</v>
      </c>
      <c r="CE84" s="16">
        <f t="shared" si="38"/>
        <v>0</v>
      </c>
      <c r="CF84" s="16">
        <f t="shared" si="39"/>
        <v>0</v>
      </c>
      <c r="CG84" s="16">
        <f t="shared" si="40"/>
        <v>0</v>
      </c>
      <c r="CH84" s="16">
        <f t="shared" si="41"/>
        <v>0</v>
      </c>
      <c r="CI84" s="16">
        <f t="shared" si="42"/>
        <v>0</v>
      </c>
      <c r="CJ84" s="16">
        <f t="shared" si="43"/>
        <v>0</v>
      </c>
      <c r="CK84" s="16">
        <f t="shared" si="44"/>
        <v>0</v>
      </c>
      <c r="CL84" s="16">
        <f t="shared" si="45"/>
        <v>0</v>
      </c>
      <c r="CM84" s="16">
        <f t="shared" si="46"/>
        <v>0</v>
      </c>
      <c r="CN84" s="16">
        <f t="shared" si="47"/>
        <v>0</v>
      </c>
      <c r="CO84" s="16">
        <f t="shared" si="48"/>
        <v>0</v>
      </c>
      <c r="CP84" s="16">
        <f t="shared" si="49"/>
        <v>0</v>
      </c>
      <c r="CQ84" s="16">
        <f t="shared" si="50"/>
        <v>0</v>
      </c>
      <c r="CR84" s="16">
        <f t="shared" si="51"/>
        <v>0</v>
      </c>
      <c r="CV84" s="16">
        <v>80</v>
      </c>
      <c r="CW84" s="35">
        <f t="shared" si="54"/>
        <v>0.13200000000000001</v>
      </c>
      <c r="CX84" s="16">
        <f>其他调用!V83/$E$4*求节点(E$28:E$34,$P$28:$P$34,$CV84)*$CW84</f>
        <v>7.8071745674593203</v>
      </c>
      <c r="CY84" s="16">
        <f>其他调用!W83/$E$4*求节点(F$28:F$34,$P$28:$P$34,$CV84)*$CW84</f>
        <v>9.9535960963376979</v>
      </c>
      <c r="CZ84" s="16">
        <f>其他调用!X83/$E$4*求节点(G$28:G$34,$P$28:$P$34,$CV84)*$CW84</f>
        <v>10.451014166786175</v>
      </c>
      <c r="DA84" s="16">
        <f>其他调用!Y83/$E$4*求节点(H$28:H$34,$P$28:$P$34,$CV84)*$CW84</f>
        <v>8.6322740582618867</v>
      </c>
      <c r="DB84" s="16">
        <f>其他调用!Z83/$E$4*求节点(I$28:I$34,$P$28:$P$34,$CV84)*$CW84</f>
        <v>4.7466157173999317</v>
      </c>
      <c r="DC84" s="16">
        <f>SUM(CX$5:CX84)</f>
        <v>89.388593641864787</v>
      </c>
      <c r="DD84" s="16">
        <f>SUM(CY$5:CY84)</f>
        <v>115.16546531862986</v>
      </c>
      <c r="DE84" s="16">
        <f>SUM(CZ$5:CZ84)</f>
        <v>133.95823873793685</v>
      </c>
      <c r="DF84" s="16">
        <f>SUM(DA$5:DA84)</f>
        <v>114.86872666654727</v>
      </c>
      <c r="DG84" s="16">
        <f>SUM(DB$5:DB84)</f>
        <v>64.170894458622072</v>
      </c>
    </row>
    <row r="85" spans="24:111">
      <c r="X85" s="16">
        <v>81</v>
      </c>
      <c r="Y85" s="45">
        <f t="shared" si="52"/>
        <v>496.875</v>
      </c>
      <c r="Z85" s="24">
        <f t="shared" si="53"/>
        <v>6.8000000000000005E-2</v>
      </c>
      <c r="AA85" s="16">
        <f>$Y85*$Z85*其他调用!V84</f>
        <v>28557.340111480262</v>
      </c>
      <c r="AB85" s="16">
        <f>$Y85*$Z85*其他调用!W84</f>
        <v>34577.084077083804</v>
      </c>
      <c r="AC85" s="16">
        <f>$Y85*$Z85*其他调用!X84</f>
        <v>37935.185055695321</v>
      </c>
      <c r="AD85" s="16">
        <f>$Y85*$Z85*其他调用!Y84</f>
        <v>31948.392913539592</v>
      </c>
      <c r="AE85" s="16">
        <f>$Y85*$Z85*其他调用!Z84</f>
        <v>17678.682738939304</v>
      </c>
      <c r="AH85" s="16">
        <v>81</v>
      </c>
      <c r="AI85" s="16">
        <f>SUM(AA$5:AA85)</f>
        <v>328707.71040251572</v>
      </c>
      <c r="AJ85" s="16">
        <f>SUM(AB$5:AB85)</f>
        <v>413642.12995442661</v>
      </c>
      <c r="AK85" s="16">
        <f>SUM(AC$5:AC85)</f>
        <v>457388.6254058546</v>
      </c>
      <c r="AL85" s="16">
        <f>SUM(AD$5:AD85)</f>
        <v>377849.53298362996</v>
      </c>
      <c r="AM85" s="16">
        <f>SUM(AE$5:AE85)</f>
        <v>208780.46039601145</v>
      </c>
      <c r="AR85" s="16">
        <v>81</v>
      </c>
      <c r="AS85" s="24">
        <f t="shared" si="36"/>
        <v>6.8000000000000005E-2</v>
      </c>
      <c r="AT85" s="16">
        <f>求节点(E$28:E$34,$M$28:$M$34,$AR85)*$AS85*其他调用!V84/$E$4</f>
        <v>0</v>
      </c>
      <c r="AU85" s="16">
        <f>求节点(F$28:F$34,$M$28:$M$34,$AR85)*$AS85*其他调用!W84/$E$4</f>
        <v>0</v>
      </c>
      <c r="AV85" s="16">
        <f>求节点(G$28:G$34,$M$28:$M$34,$AR85)*$AS85*其他调用!X84/$E$4</f>
        <v>0</v>
      </c>
      <c r="AW85" s="16">
        <f>求节点(H$28:H$34,$M$28:$M$34,$AR85)*$AS85*其他调用!Y84/$E$4</f>
        <v>0</v>
      </c>
      <c r="AX85" s="16">
        <f>求节点(I$28:I$34,$M$28:$M$34,$AR85)*$AS85*其他调用!Z84/$E$4</f>
        <v>0</v>
      </c>
      <c r="AY85" s="16">
        <f>求节点(E$28:E$34,$N$28:$N$34,$AR85)*$AS85*其他调用!V84/$E$4</f>
        <v>0</v>
      </c>
      <c r="AZ85" s="16">
        <f>求节点(F$28:F$34,$N$28:$N$34,$AR85)*$AS85*其他调用!W84/$E$4</f>
        <v>0</v>
      </c>
      <c r="BA85" s="16">
        <f>求节点(G$28:G$34,$N$28:$N$34,$AR85)*$AS85*其他调用!X84/$E$4</f>
        <v>0</v>
      </c>
      <c r="BB85" s="16">
        <f>求节点(H$28:H$34,$N$28:$N$34,$AR85)*$AS85*其他调用!Y84/$E$4</f>
        <v>0</v>
      </c>
      <c r="BC85" s="16">
        <f>求节点(I$28:I$34,$N$28:$N$34,$AR85)*$AS85*其他调用!Z84/$E$4</f>
        <v>0</v>
      </c>
      <c r="BD85" s="16">
        <f>求节点(E$28:E$34,$O$28:$O$34,$AR85)*$AS85*其他调用!V84/$E$4</f>
        <v>0</v>
      </c>
      <c r="BE85" s="16">
        <f>求节点(F$28:F$34,$O$28:$O$34,$AR85)*$AS85*其他调用!W84/$E$4</f>
        <v>0</v>
      </c>
      <c r="BF85" s="16">
        <f>求节点(G$28:G$34,$O$28:$O$34,$AR85)*$AS85*其他调用!X84/$E$4</f>
        <v>0</v>
      </c>
      <c r="BG85" s="16">
        <f>求节点(H$28:H$34,$O$28:$O$34,$AR85)*$AS85*其他调用!Y84/$E$4</f>
        <v>0</v>
      </c>
      <c r="BH85" s="16">
        <f>求节点(I$28:I$34,$O$28:$O$34,$AR85)*$AS85*其他调用!Z84/$E$4</f>
        <v>0</v>
      </c>
      <c r="BK85" s="16">
        <v>81</v>
      </c>
      <c r="BL85" s="16">
        <f>SUM(AT$5:AT85)</f>
        <v>0</v>
      </c>
      <c r="BM85" s="16">
        <f>SUM(AU$5:AU85)</f>
        <v>0</v>
      </c>
      <c r="BN85" s="16">
        <f>SUM(AV$5:AV85)</f>
        <v>0</v>
      </c>
      <c r="BO85" s="16">
        <f>SUM(AW$5:AW85)</f>
        <v>0</v>
      </c>
      <c r="BP85" s="16">
        <f>SUM(AX$5:AX85)</f>
        <v>0</v>
      </c>
      <c r="BQ85" s="16">
        <f>SUM(AY$5:AY85)</f>
        <v>0</v>
      </c>
      <c r="BR85" s="16">
        <f>SUM(AZ$5:AZ85)</f>
        <v>0</v>
      </c>
      <c r="BS85" s="16">
        <f>SUM(BA$5:BA85)</f>
        <v>0</v>
      </c>
      <c r="BT85" s="16">
        <f>SUM(BB$5:BB85)</f>
        <v>0</v>
      </c>
      <c r="BU85" s="16">
        <f>SUM(BC$5:BC85)</f>
        <v>0</v>
      </c>
      <c r="BV85" s="16">
        <f>SUM(BD$5:BD85)</f>
        <v>0</v>
      </c>
      <c r="BW85" s="16">
        <f>SUM(BE$5:BE85)</f>
        <v>0</v>
      </c>
      <c r="BX85" s="16">
        <f>SUM(BF$5:BF85)</f>
        <v>0</v>
      </c>
      <c r="BY85" s="16">
        <f>SUM(BG$5:BG85)</f>
        <v>0</v>
      </c>
      <c r="BZ85" s="16">
        <f>SUM(BH$5:BH85)</f>
        <v>0</v>
      </c>
      <c r="CC85" s="16">
        <v>81</v>
      </c>
      <c r="CD85" s="16">
        <f t="shared" si="37"/>
        <v>0</v>
      </c>
      <c r="CE85" s="16">
        <f t="shared" si="38"/>
        <v>0</v>
      </c>
      <c r="CF85" s="16">
        <f t="shared" si="39"/>
        <v>0</v>
      </c>
      <c r="CG85" s="16">
        <f t="shared" si="40"/>
        <v>0</v>
      </c>
      <c r="CH85" s="16">
        <f t="shared" si="41"/>
        <v>0</v>
      </c>
      <c r="CI85" s="16">
        <f t="shared" si="42"/>
        <v>0</v>
      </c>
      <c r="CJ85" s="16">
        <f t="shared" si="43"/>
        <v>0</v>
      </c>
      <c r="CK85" s="16">
        <f t="shared" si="44"/>
        <v>0</v>
      </c>
      <c r="CL85" s="16">
        <f t="shared" si="45"/>
        <v>0</v>
      </c>
      <c r="CM85" s="16">
        <f t="shared" si="46"/>
        <v>0</v>
      </c>
      <c r="CN85" s="16">
        <f t="shared" si="47"/>
        <v>0</v>
      </c>
      <c r="CO85" s="16">
        <f t="shared" si="48"/>
        <v>0</v>
      </c>
      <c r="CP85" s="16">
        <f t="shared" si="49"/>
        <v>0</v>
      </c>
      <c r="CQ85" s="16">
        <f t="shared" si="50"/>
        <v>0</v>
      </c>
      <c r="CR85" s="16">
        <f t="shared" si="51"/>
        <v>0</v>
      </c>
      <c r="CV85" s="16">
        <v>81</v>
      </c>
      <c r="CW85" s="35">
        <f t="shared" si="54"/>
        <v>0.13200000000000001</v>
      </c>
      <c r="CX85" s="16">
        <f>其他调用!V84/$E$4*求节点(E$28:E$34,$P$28:$P$34,$CV85)*$CW85</f>
        <v>8.3675225187911089</v>
      </c>
      <c r="CY85" s="16">
        <f>其他调用!W84/$E$4*求节点(F$28:F$34,$P$28:$P$34,$CV85)*$CW85</f>
        <v>10.131354268979049</v>
      </c>
      <c r="CZ85" s="16">
        <f>其他调用!X84/$E$4*求节点(G$28:G$34,$P$28:$P$34,$CV85)*$CW85</f>
        <v>11.115303945286975</v>
      </c>
      <c r="DA85" s="16">
        <f>其他调用!Y84/$E$4*求节点(H$28:H$34,$P$28:$P$34,$CV85)*$CW85</f>
        <v>9.3611273353767501</v>
      </c>
      <c r="DB85" s="16">
        <f>其他调用!Z84/$E$4*求节点(I$28:I$34,$P$28:$P$34,$CV85)*$CW85</f>
        <v>5.1799913907657889</v>
      </c>
      <c r="DC85" s="16">
        <f>SUM(CX$5:CX85)</f>
        <v>97.756116160655893</v>
      </c>
      <c r="DD85" s="16">
        <f>SUM(CY$5:CY85)</f>
        <v>125.29681958760891</v>
      </c>
      <c r="DE85" s="16">
        <f>SUM(CZ$5:CZ85)</f>
        <v>145.07354268322382</v>
      </c>
      <c r="DF85" s="16">
        <f>SUM(DA$5:DA85)</f>
        <v>124.22985400192402</v>
      </c>
      <c r="DG85" s="16">
        <f>SUM(DB$5:DB85)</f>
        <v>69.350885849387865</v>
      </c>
    </row>
    <row r="86" spans="24:111">
      <c r="X86" s="16">
        <v>82</v>
      </c>
      <c r="Y86" s="45">
        <f t="shared" si="52"/>
        <v>506.25</v>
      </c>
      <c r="Z86" s="24">
        <f t="shared" si="53"/>
        <v>6.8000000000000005E-2</v>
      </c>
      <c r="AA86" s="16">
        <f>$Y86*$Z86*其他调用!V85</f>
        <v>31184.489844788834</v>
      </c>
      <c r="AB86" s="16">
        <f>$Y86*$Z86*其他调用!W85</f>
        <v>38730.138271966964</v>
      </c>
      <c r="AC86" s="16">
        <f>$Y86*$Z86*其他调用!X85</f>
        <v>42929.006483981517</v>
      </c>
      <c r="AD86" s="16">
        <f>$Y86*$Z86*其他调用!Y85</f>
        <v>35641.734985492738</v>
      </c>
      <c r="AE86" s="16">
        <f>$Y86*$Z86*其他调用!Z85</f>
        <v>19055.165672455812</v>
      </c>
      <c r="AH86" s="16">
        <v>82</v>
      </c>
      <c r="AI86" s="16">
        <f>SUM(AA$5:AA86)</f>
        <v>359892.20024730457</v>
      </c>
      <c r="AJ86" s="16">
        <f>SUM(AB$5:AB86)</f>
        <v>452372.26822639356</v>
      </c>
      <c r="AK86" s="16">
        <f>SUM(AC$5:AC86)</f>
        <v>500317.63188983611</v>
      </c>
      <c r="AL86" s="16">
        <f>SUM(AD$5:AD86)</f>
        <v>413491.26796912268</v>
      </c>
      <c r="AM86" s="16">
        <f>SUM(AE$5:AE86)</f>
        <v>227835.62606846727</v>
      </c>
      <c r="AR86" s="16">
        <v>82</v>
      </c>
      <c r="AS86" s="24">
        <f t="shared" si="36"/>
        <v>6.8000000000000005E-2</v>
      </c>
      <c r="AT86" s="16">
        <f>求节点(E$28:E$34,$M$28:$M$34,$AR86)*$AS86*其他调用!V85/$E$4</f>
        <v>0</v>
      </c>
      <c r="AU86" s="16">
        <f>求节点(F$28:F$34,$M$28:$M$34,$AR86)*$AS86*其他调用!W85/$E$4</f>
        <v>0</v>
      </c>
      <c r="AV86" s="16">
        <f>求节点(G$28:G$34,$M$28:$M$34,$AR86)*$AS86*其他调用!X85/$E$4</f>
        <v>0</v>
      </c>
      <c r="AW86" s="16">
        <f>求节点(H$28:H$34,$M$28:$M$34,$AR86)*$AS86*其他调用!Y85/$E$4</f>
        <v>0</v>
      </c>
      <c r="AX86" s="16">
        <f>求节点(I$28:I$34,$M$28:$M$34,$AR86)*$AS86*其他调用!Z85/$E$4</f>
        <v>0</v>
      </c>
      <c r="AY86" s="16">
        <f>求节点(E$28:E$34,$N$28:$N$34,$AR86)*$AS86*其他调用!V85/$E$4</f>
        <v>0</v>
      </c>
      <c r="AZ86" s="16">
        <f>求节点(F$28:F$34,$N$28:$N$34,$AR86)*$AS86*其他调用!W85/$E$4</f>
        <v>0</v>
      </c>
      <c r="BA86" s="16">
        <f>求节点(G$28:G$34,$N$28:$N$34,$AR86)*$AS86*其他调用!X85/$E$4</f>
        <v>0</v>
      </c>
      <c r="BB86" s="16">
        <f>求节点(H$28:H$34,$N$28:$N$34,$AR86)*$AS86*其他调用!Y85/$E$4</f>
        <v>0</v>
      </c>
      <c r="BC86" s="16">
        <f>求节点(I$28:I$34,$N$28:$N$34,$AR86)*$AS86*其他调用!Z85/$E$4</f>
        <v>0</v>
      </c>
      <c r="BD86" s="16">
        <f>求节点(E$28:E$34,$O$28:$O$34,$AR86)*$AS86*其他调用!V85/$E$4</f>
        <v>0</v>
      </c>
      <c r="BE86" s="16">
        <f>求节点(F$28:F$34,$O$28:$O$34,$AR86)*$AS86*其他调用!W85/$E$4</f>
        <v>0</v>
      </c>
      <c r="BF86" s="16">
        <f>求节点(G$28:G$34,$O$28:$O$34,$AR86)*$AS86*其他调用!X85/$E$4</f>
        <v>0</v>
      </c>
      <c r="BG86" s="16">
        <f>求节点(H$28:H$34,$O$28:$O$34,$AR86)*$AS86*其他调用!Y85/$E$4</f>
        <v>0</v>
      </c>
      <c r="BH86" s="16">
        <f>求节点(I$28:I$34,$O$28:$O$34,$AR86)*$AS86*其他调用!Z85/$E$4</f>
        <v>0</v>
      </c>
      <c r="BK86" s="16">
        <v>82</v>
      </c>
      <c r="BL86" s="16">
        <f>SUM(AT$5:AT86)</f>
        <v>0</v>
      </c>
      <c r="BM86" s="16">
        <f>SUM(AU$5:AU86)</f>
        <v>0</v>
      </c>
      <c r="BN86" s="16">
        <f>SUM(AV$5:AV86)</f>
        <v>0</v>
      </c>
      <c r="BO86" s="16">
        <f>SUM(AW$5:AW86)</f>
        <v>0</v>
      </c>
      <c r="BP86" s="16">
        <f>SUM(AX$5:AX86)</f>
        <v>0</v>
      </c>
      <c r="BQ86" s="16">
        <f>SUM(AY$5:AY86)</f>
        <v>0</v>
      </c>
      <c r="BR86" s="16">
        <f>SUM(AZ$5:AZ86)</f>
        <v>0</v>
      </c>
      <c r="BS86" s="16">
        <f>SUM(BA$5:BA86)</f>
        <v>0</v>
      </c>
      <c r="BT86" s="16">
        <f>SUM(BB$5:BB86)</f>
        <v>0</v>
      </c>
      <c r="BU86" s="16">
        <f>SUM(BC$5:BC86)</f>
        <v>0</v>
      </c>
      <c r="BV86" s="16">
        <f>SUM(BD$5:BD86)</f>
        <v>0</v>
      </c>
      <c r="BW86" s="16">
        <f>SUM(BE$5:BE86)</f>
        <v>0</v>
      </c>
      <c r="BX86" s="16">
        <f>SUM(BF$5:BF86)</f>
        <v>0</v>
      </c>
      <c r="BY86" s="16">
        <f>SUM(BG$5:BG86)</f>
        <v>0</v>
      </c>
      <c r="BZ86" s="16">
        <f>SUM(BH$5:BH86)</f>
        <v>0</v>
      </c>
      <c r="CC86" s="16">
        <v>82</v>
      </c>
      <c r="CD86" s="16">
        <f t="shared" si="37"/>
        <v>0</v>
      </c>
      <c r="CE86" s="16">
        <f t="shared" si="38"/>
        <v>0</v>
      </c>
      <c r="CF86" s="16">
        <f t="shared" si="39"/>
        <v>0</v>
      </c>
      <c r="CG86" s="16">
        <f t="shared" si="40"/>
        <v>0</v>
      </c>
      <c r="CH86" s="16">
        <f t="shared" si="41"/>
        <v>0</v>
      </c>
      <c r="CI86" s="16">
        <f t="shared" si="42"/>
        <v>0</v>
      </c>
      <c r="CJ86" s="16">
        <f t="shared" si="43"/>
        <v>0</v>
      </c>
      <c r="CK86" s="16">
        <f t="shared" si="44"/>
        <v>0</v>
      </c>
      <c r="CL86" s="16">
        <f t="shared" si="45"/>
        <v>0</v>
      </c>
      <c r="CM86" s="16">
        <f t="shared" si="46"/>
        <v>0</v>
      </c>
      <c r="CN86" s="16">
        <f t="shared" si="47"/>
        <v>0</v>
      </c>
      <c r="CO86" s="16">
        <f t="shared" si="48"/>
        <v>0</v>
      </c>
      <c r="CP86" s="16">
        <f t="shared" si="49"/>
        <v>0</v>
      </c>
      <c r="CQ86" s="16">
        <f t="shared" si="50"/>
        <v>0</v>
      </c>
      <c r="CR86" s="16">
        <f t="shared" si="51"/>
        <v>0</v>
      </c>
      <c r="CV86" s="16">
        <v>82</v>
      </c>
      <c r="CW86" s="35">
        <f t="shared" si="54"/>
        <v>0.13200000000000001</v>
      </c>
      <c r="CX86" s="16">
        <f>其他调用!V85/$E$4*求节点(E$28:E$34,$P$28:$P$34,$CV86)*$CW86</f>
        <v>8.9680885828150885</v>
      </c>
      <c r="CY86" s="16">
        <f>其他调用!W85/$E$4*求节点(F$28:F$34,$P$28:$P$34,$CV86)*$CW86</f>
        <v>11.138078980173505</v>
      </c>
      <c r="CZ86" s="16">
        <f>其他调用!X85/$E$4*求节点(G$28:G$34,$P$28:$P$34,$CV86)*$CW86</f>
        <v>12.345596635916253</v>
      </c>
      <c r="DA86" s="16">
        <f>其他调用!Y85/$E$4*求节点(H$28:H$34,$P$28:$P$34,$CV86)*$CW86</f>
        <v>10.249910714782224</v>
      </c>
      <c r="DB86" s="16">
        <f>其他调用!Z85/$E$4*求节点(I$28:I$34,$P$28:$P$34,$CV86)*$CW86</f>
        <v>5.4799169254121294</v>
      </c>
      <c r="DC86" s="16">
        <f>SUM(CX$5:CX86)</f>
        <v>106.72420474347098</v>
      </c>
      <c r="DD86" s="16">
        <f>SUM(CY$5:CY86)</f>
        <v>136.43489856778243</v>
      </c>
      <c r="DE86" s="16">
        <f>SUM(CZ$5:CZ86)</f>
        <v>157.41913931914007</v>
      </c>
      <c r="DF86" s="16">
        <f>SUM(DA$5:DA86)</f>
        <v>134.47976471670626</v>
      </c>
      <c r="DG86" s="16">
        <f>SUM(DB$5:DB86)</f>
        <v>74.830802774799992</v>
      </c>
    </row>
    <row r="87" spans="24:111">
      <c r="X87" s="16">
        <v>83</v>
      </c>
      <c r="Y87" s="45">
        <f t="shared" si="52"/>
        <v>515.625</v>
      </c>
      <c r="Z87" s="24">
        <f t="shared" si="53"/>
        <v>6.8000000000000005E-2</v>
      </c>
      <c r="AA87" s="16">
        <f>$Y87*$Z87*其他调用!V86</f>
        <v>34041.64770760767</v>
      </c>
      <c r="AB87" s="16">
        <f>$Y87*$Z87*其他调用!W86</f>
        <v>43198.30265934582</v>
      </c>
      <c r="AC87" s="16">
        <f>$Y87*$Z87*其他调用!X86</f>
        <v>48425.551174771033</v>
      </c>
      <c r="AD87" s="16">
        <f>$Y87*$Z87*其他调用!Y86</f>
        <v>38884.325768432624</v>
      </c>
      <c r="AE87" s="16">
        <f>$Y87*$Z87*其他调用!Z86</f>
        <v>21534.066194291503</v>
      </c>
      <c r="AH87" s="16">
        <v>83</v>
      </c>
      <c r="AI87" s="16">
        <f>SUM(AA$5:AA87)</f>
        <v>393933.84795491223</v>
      </c>
      <c r="AJ87" s="16">
        <f>SUM(AB$5:AB87)</f>
        <v>495570.57088573941</v>
      </c>
      <c r="AK87" s="16">
        <f>SUM(AC$5:AC87)</f>
        <v>548743.18306460709</v>
      </c>
      <c r="AL87" s="16">
        <f>SUM(AD$5:AD87)</f>
        <v>452375.59373755532</v>
      </c>
      <c r="AM87" s="16">
        <f>SUM(AE$5:AE87)</f>
        <v>249369.69226275879</v>
      </c>
      <c r="AR87" s="16">
        <v>83</v>
      </c>
      <c r="AS87" s="24">
        <f t="shared" si="36"/>
        <v>6.8000000000000005E-2</v>
      </c>
      <c r="AT87" s="16">
        <f>求节点(E$28:E$34,$M$28:$M$34,$AR87)*$AS87*其他调用!V86/$E$4</f>
        <v>0</v>
      </c>
      <c r="AU87" s="16">
        <f>求节点(F$28:F$34,$M$28:$M$34,$AR87)*$AS87*其他调用!W86/$E$4</f>
        <v>0</v>
      </c>
      <c r="AV87" s="16">
        <f>求节点(G$28:G$34,$M$28:$M$34,$AR87)*$AS87*其他调用!X86/$E$4</f>
        <v>0</v>
      </c>
      <c r="AW87" s="16">
        <f>求节点(H$28:H$34,$M$28:$M$34,$AR87)*$AS87*其他调用!Y86/$E$4</f>
        <v>0</v>
      </c>
      <c r="AX87" s="16">
        <f>求节点(I$28:I$34,$M$28:$M$34,$AR87)*$AS87*其他调用!Z86/$E$4</f>
        <v>0</v>
      </c>
      <c r="AY87" s="16">
        <f>求节点(E$28:E$34,$N$28:$N$34,$AR87)*$AS87*其他调用!V86/$E$4</f>
        <v>0</v>
      </c>
      <c r="AZ87" s="16">
        <f>求节点(F$28:F$34,$N$28:$N$34,$AR87)*$AS87*其他调用!W86/$E$4</f>
        <v>0</v>
      </c>
      <c r="BA87" s="16">
        <f>求节点(G$28:G$34,$N$28:$N$34,$AR87)*$AS87*其他调用!X86/$E$4</f>
        <v>0</v>
      </c>
      <c r="BB87" s="16">
        <f>求节点(H$28:H$34,$N$28:$N$34,$AR87)*$AS87*其他调用!Y86/$E$4</f>
        <v>0</v>
      </c>
      <c r="BC87" s="16">
        <f>求节点(I$28:I$34,$N$28:$N$34,$AR87)*$AS87*其他调用!Z86/$E$4</f>
        <v>0</v>
      </c>
      <c r="BD87" s="16">
        <f>求节点(E$28:E$34,$O$28:$O$34,$AR87)*$AS87*其他调用!V86/$E$4</f>
        <v>0</v>
      </c>
      <c r="BE87" s="16">
        <f>求节点(F$28:F$34,$O$28:$O$34,$AR87)*$AS87*其他调用!W86/$E$4</f>
        <v>0</v>
      </c>
      <c r="BF87" s="16">
        <f>求节点(G$28:G$34,$O$28:$O$34,$AR87)*$AS87*其他调用!X86/$E$4</f>
        <v>0</v>
      </c>
      <c r="BG87" s="16">
        <f>求节点(H$28:H$34,$O$28:$O$34,$AR87)*$AS87*其他调用!Y86/$E$4</f>
        <v>0</v>
      </c>
      <c r="BH87" s="16">
        <f>求节点(I$28:I$34,$O$28:$O$34,$AR87)*$AS87*其他调用!Z86/$E$4</f>
        <v>0</v>
      </c>
      <c r="BK87" s="16">
        <v>83</v>
      </c>
      <c r="BL87" s="16">
        <f>SUM(AT$5:AT87)</f>
        <v>0</v>
      </c>
      <c r="BM87" s="16">
        <f>SUM(AU$5:AU87)</f>
        <v>0</v>
      </c>
      <c r="BN87" s="16">
        <f>SUM(AV$5:AV87)</f>
        <v>0</v>
      </c>
      <c r="BO87" s="16">
        <f>SUM(AW$5:AW87)</f>
        <v>0</v>
      </c>
      <c r="BP87" s="16">
        <f>SUM(AX$5:AX87)</f>
        <v>0</v>
      </c>
      <c r="BQ87" s="16">
        <f>SUM(AY$5:AY87)</f>
        <v>0</v>
      </c>
      <c r="BR87" s="16">
        <f>SUM(AZ$5:AZ87)</f>
        <v>0</v>
      </c>
      <c r="BS87" s="16">
        <f>SUM(BA$5:BA87)</f>
        <v>0</v>
      </c>
      <c r="BT87" s="16">
        <f>SUM(BB$5:BB87)</f>
        <v>0</v>
      </c>
      <c r="BU87" s="16">
        <f>SUM(BC$5:BC87)</f>
        <v>0</v>
      </c>
      <c r="BV87" s="16">
        <f>SUM(BD$5:BD87)</f>
        <v>0</v>
      </c>
      <c r="BW87" s="16">
        <f>SUM(BE$5:BE87)</f>
        <v>0</v>
      </c>
      <c r="BX87" s="16">
        <f>SUM(BF$5:BF87)</f>
        <v>0</v>
      </c>
      <c r="BY87" s="16">
        <f>SUM(BG$5:BG87)</f>
        <v>0</v>
      </c>
      <c r="BZ87" s="16">
        <f>SUM(BH$5:BH87)</f>
        <v>0</v>
      </c>
      <c r="CC87" s="16">
        <v>83</v>
      </c>
      <c r="CD87" s="16">
        <f t="shared" si="37"/>
        <v>0</v>
      </c>
      <c r="CE87" s="16">
        <f t="shared" si="38"/>
        <v>0</v>
      </c>
      <c r="CF87" s="16">
        <f t="shared" si="39"/>
        <v>0</v>
      </c>
      <c r="CG87" s="16">
        <f t="shared" si="40"/>
        <v>0</v>
      </c>
      <c r="CH87" s="16">
        <f t="shared" si="41"/>
        <v>0</v>
      </c>
      <c r="CI87" s="16">
        <f t="shared" si="42"/>
        <v>0</v>
      </c>
      <c r="CJ87" s="16">
        <f t="shared" si="43"/>
        <v>0</v>
      </c>
      <c r="CK87" s="16">
        <f t="shared" si="44"/>
        <v>0</v>
      </c>
      <c r="CL87" s="16">
        <f t="shared" si="45"/>
        <v>0</v>
      </c>
      <c r="CM87" s="16">
        <f t="shared" si="46"/>
        <v>0</v>
      </c>
      <c r="CN87" s="16">
        <f t="shared" si="47"/>
        <v>0</v>
      </c>
      <c r="CO87" s="16">
        <f t="shared" si="48"/>
        <v>0</v>
      </c>
      <c r="CP87" s="16">
        <f t="shared" si="49"/>
        <v>0</v>
      </c>
      <c r="CQ87" s="16">
        <f t="shared" si="50"/>
        <v>0</v>
      </c>
      <c r="CR87" s="16">
        <f t="shared" si="51"/>
        <v>0</v>
      </c>
      <c r="CV87" s="16">
        <v>83</v>
      </c>
      <c r="CW87" s="35">
        <f t="shared" si="54"/>
        <v>0.13200000000000001</v>
      </c>
      <c r="CX87" s="16">
        <f>其他调用!V86/$E$4*求节点(E$28:E$34,$P$28:$P$34,$CV87)*$CW87</f>
        <v>9.6117593527362839</v>
      </c>
      <c r="CY87" s="16">
        <f>其他调用!W86/$E$4*求节点(F$28:F$34,$P$28:$P$34,$CV87)*$CW87</f>
        <v>12.197167809697643</v>
      </c>
      <c r="CZ87" s="16">
        <f>其他调用!X86/$E$4*求节点(G$28:G$34,$P$28:$P$34,$CV87)*$CW87</f>
        <v>13.673096802288292</v>
      </c>
      <c r="DA87" s="16">
        <f>其他调用!Y86/$E$4*求节点(H$28:H$34,$P$28:$P$34,$CV87)*$CW87</f>
        <v>10.979103746380977</v>
      </c>
      <c r="DB87" s="16">
        <f>其他调用!Z86/$E$4*求节点(I$28:I$34,$P$28:$P$34,$CV87)*$CW87</f>
        <v>6.0802069254470119</v>
      </c>
      <c r="DC87" s="16">
        <f>SUM(CX$5:CX87)</f>
        <v>116.33596409620726</v>
      </c>
      <c r="DD87" s="16">
        <f>SUM(CY$5:CY87)</f>
        <v>148.63206637748007</v>
      </c>
      <c r="DE87" s="16">
        <f>SUM(CZ$5:CZ87)</f>
        <v>171.09223612142836</v>
      </c>
      <c r="DF87" s="16">
        <f>SUM(DA$5:DA87)</f>
        <v>145.45886846308724</v>
      </c>
      <c r="DG87" s="16">
        <f>SUM(DB$5:DB87)</f>
        <v>80.911009700247007</v>
      </c>
    </row>
    <row r="88" spans="24:111">
      <c r="X88" s="16">
        <v>84</v>
      </c>
      <c r="Y88" s="45">
        <f t="shared" si="52"/>
        <v>525</v>
      </c>
      <c r="Z88" s="24">
        <f t="shared" si="53"/>
        <v>6.8000000000000005E-2</v>
      </c>
      <c r="AA88" s="16">
        <f>$Y88*$Z88*其他调用!V87</f>
        <v>37148.297081913202</v>
      </c>
      <c r="AB88" s="16">
        <f>$Y88*$Z88*其他调用!W87</f>
        <v>47167.730167629816</v>
      </c>
      <c r="AC88" s="16">
        <f>$Y88*$Z88*其他调用!X87</f>
        <v>51058.558733959951</v>
      </c>
      <c r="AD88" s="16">
        <f>$Y88*$Z88*其他调用!Y87</f>
        <v>41912.515902422543</v>
      </c>
      <c r="AE88" s="16">
        <f>$Y88*$Z88*其他调用!Z87</f>
        <v>23738.61120012512</v>
      </c>
      <c r="AH88" s="16">
        <v>84</v>
      </c>
      <c r="AI88" s="16">
        <f>SUM(AA$5:AA88)</f>
        <v>431082.14503682544</v>
      </c>
      <c r="AJ88" s="16">
        <f>SUM(AB$5:AB88)</f>
        <v>542738.30105336918</v>
      </c>
      <c r="AK88" s="16">
        <f>SUM(AC$5:AC88)</f>
        <v>599801.741798567</v>
      </c>
      <c r="AL88" s="16">
        <f>SUM(AD$5:AD88)</f>
        <v>494288.10963997786</v>
      </c>
      <c r="AM88" s="16">
        <f>SUM(AE$5:AE88)</f>
        <v>273108.30346288392</v>
      </c>
      <c r="AR88" s="16">
        <v>84</v>
      </c>
      <c r="AS88" s="24">
        <f t="shared" si="36"/>
        <v>6.8000000000000005E-2</v>
      </c>
      <c r="AT88" s="16">
        <f>求节点(E$28:E$34,$M$28:$M$34,$AR88)*$AS88*其他调用!V87/$E$4</f>
        <v>0</v>
      </c>
      <c r="AU88" s="16">
        <f>求节点(F$28:F$34,$M$28:$M$34,$AR88)*$AS88*其他调用!W87/$E$4</f>
        <v>0</v>
      </c>
      <c r="AV88" s="16">
        <f>求节点(G$28:G$34,$M$28:$M$34,$AR88)*$AS88*其他调用!X87/$E$4</f>
        <v>0</v>
      </c>
      <c r="AW88" s="16">
        <f>求节点(H$28:H$34,$M$28:$M$34,$AR88)*$AS88*其他调用!Y87/$E$4</f>
        <v>0</v>
      </c>
      <c r="AX88" s="16">
        <f>求节点(I$28:I$34,$M$28:$M$34,$AR88)*$AS88*其他调用!Z87/$E$4</f>
        <v>0</v>
      </c>
      <c r="AY88" s="16">
        <f>求节点(E$28:E$34,$N$28:$N$34,$AR88)*$AS88*其他调用!V87/$E$4</f>
        <v>0</v>
      </c>
      <c r="AZ88" s="16">
        <f>求节点(F$28:F$34,$N$28:$N$34,$AR88)*$AS88*其他调用!W87/$E$4</f>
        <v>0</v>
      </c>
      <c r="BA88" s="16">
        <f>求节点(G$28:G$34,$N$28:$N$34,$AR88)*$AS88*其他调用!X87/$E$4</f>
        <v>0</v>
      </c>
      <c r="BB88" s="16">
        <f>求节点(H$28:H$34,$N$28:$N$34,$AR88)*$AS88*其他调用!Y87/$E$4</f>
        <v>0</v>
      </c>
      <c r="BC88" s="16">
        <f>求节点(I$28:I$34,$N$28:$N$34,$AR88)*$AS88*其他调用!Z87/$E$4</f>
        <v>0</v>
      </c>
      <c r="BD88" s="16">
        <f>求节点(E$28:E$34,$O$28:$O$34,$AR88)*$AS88*其他调用!V87/$E$4</f>
        <v>0</v>
      </c>
      <c r="BE88" s="16">
        <f>求节点(F$28:F$34,$O$28:$O$34,$AR88)*$AS88*其他调用!W87/$E$4</f>
        <v>0</v>
      </c>
      <c r="BF88" s="16">
        <f>求节点(G$28:G$34,$O$28:$O$34,$AR88)*$AS88*其他调用!X87/$E$4</f>
        <v>0</v>
      </c>
      <c r="BG88" s="16">
        <f>求节点(H$28:H$34,$O$28:$O$34,$AR88)*$AS88*其他调用!Y87/$E$4</f>
        <v>0</v>
      </c>
      <c r="BH88" s="16">
        <f>求节点(I$28:I$34,$O$28:$O$34,$AR88)*$AS88*其他调用!Z87/$E$4</f>
        <v>0</v>
      </c>
      <c r="BK88" s="16">
        <v>84</v>
      </c>
      <c r="BL88" s="16">
        <f>SUM(AT$5:AT88)</f>
        <v>0</v>
      </c>
      <c r="BM88" s="16">
        <f>SUM(AU$5:AU88)</f>
        <v>0</v>
      </c>
      <c r="BN88" s="16">
        <f>SUM(AV$5:AV88)</f>
        <v>0</v>
      </c>
      <c r="BO88" s="16">
        <f>SUM(AW$5:AW88)</f>
        <v>0</v>
      </c>
      <c r="BP88" s="16">
        <f>SUM(AX$5:AX88)</f>
        <v>0</v>
      </c>
      <c r="BQ88" s="16">
        <f>SUM(AY$5:AY88)</f>
        <v>0</v>
      </c>
      <c r="BR88" s="16">
        <f>SUM(AZ$5:AZ88)</f>
        <v>0</v>
      </c>
      <c r="BS88" s="16">
        <f>SUM(BA$5:BA88)</f>
        <v>0</v>
      </c>
      <c r="BT88" s="16">
        <f>SUM(BB$5:BB88)</f>
        <v>0</v>
      </c>
      <c r="BU88" s="16">
        <f>SUM(BC$5:BC88)</f>
        <v>0</v>
      </c>
      <c r="BV88" s="16">
        <f>SUM(BD$5:BD88)</f>
        <v>0</v>
      </c>
      <c r="BW88" s="16">
        <f>SUM(BE$5:BE88)</f>
        <v>0</v>
      </c>
      <c r="BX88" s="16">
        <f>SUM(BF$5:BF88)</f>
        <v>0</v>
      </c>
      <c r="BY88" s="16">
        <f>SUM(BG$5:BG88)</f>
        <v>0</v>
      </c>
      <c r="BZ88" s="16">
        <f>SUM(BH$5:BH88)</f>
        <v>0</v>
      </c>
      <c r="CC88" s="16">
        <v>84</v>
      </c>
      <c r="CD88" s="16">
        <f t="shared" si="37"/>
        <v>0</v>
      </c>
      <c r="CE88" s="16">
        <f t="shared" si="38"/>
        <v>0</v>
      </c>
      <c r="CF88" s="16">
        <f t="shared" si="39"/>
        <v>0</v>
      </c>
      <c r="CG88" s="16">
        <f t="shared" si="40"/>
        <v>0</v>
      </c>
      <c r="CH88" s="16">
        <f t="shared" si="41"/>
        <v>0</v>
      </c>
      <c r="CI88" s="16">
        <f t="shared" si="42"/>
        <v>0</v>
      </c>
      <c r="CJ88" s="16">
        <f t="shared" si="43"/>
        <v>0</v>
      </c>
      <c r="CK88" s="16">
        <f t="shared" si="44"/>
        <v>0</v>
      </c>
      <c r="CL88" s="16">
        <f t="shared" si="45"/>
        <v>0</v>
      </c>
      <c r="CM88" s="16">
        <f t="shared" si="46"/>
        <v>0</v>
      </c>
      <c r="CN88" s="16">
        <f t="shared" si="47"/>
        <v>0</v>
      </c>
      <c r="CO88" s="16">
        <f t="shared" si="48"/>
        <v>0</v>
      </c>
      <c r="CP88" s="16">
        <f t="shared" si="49"/>
        <v>0</v>
      </c>
      <c r="CQ88" s="16">
        <f t="shared" si="50"/>
        <v>0</v>
      </c>
      <c r="CR88" s="16">
        <f t="shared" si="51"/>
        <v>0</v>
      </c>
      <c r="CV88" s="16">
        <v>84</v>
      </c>
      <c r="CW88" s="35">
        <f t="shared" si="54"/>
        <v>0.13200000000000001</v>
      </c>
      <c r="CX88" s="16">
        <f>其他调用!V87/$E$4*求节点(E$28:E$34,$P$28:$P$34,$CV88)*$CW88</f>
        <v>10.301628602547359</v>
      </c>
      <c r="CY88" s="16">
        <f>其他调用!W87/$E$4*求节点(F$28:F$34,$P$28:$P$34,$CV88)*$CW88</f>
        <v>13.080126853208267</v>
      </c>
      <c r="CZ88" s="16">
        <f>其他调用!X87/$E$4*求节点(G$28:G$34,$P$28:$P$34,$CV88)*$CW88</f>
        <v>14.159096119501497</v>
      </c>
      <c r="DA88" s="16">
        <f>其他调用!Y87/$E$4*求节点(H$28:H$34,$P$28:$P$34,$CV88)*$CW88</f>
        <v>11.622798527562553</v>
      </c>
      <c r="DB88" s="16">
        <f>其他调用!Z87/$E$4*求节点(I$28:I$34,$P$28:$P$34,$CV88)*$CW88</f>
        <v>6.5829762151607474</v>
      </c>
      <c r="DC88" s="16">
        <f>SUM(CX$5:CX88)</f>
        <v>126.63759269875462</v>
      </c>
      <c r="DD88" s="16">
        <f>SUM(CY$5:CY88)</f>
        <v>161.71219323068834</v>
      </c>
      <c r="DE88" s="16">
        <f>SUM(CZ$5:CZ88)</f>
        <v>185.25133224092986</v>
      </c>
      <c r="DF88" s="16">
        <f>SUM(DA$5:DA88)</f>
        <v>157.08166699064981</v>
      </c>
      <c r="DG88" s="16">
        <f>SUM(DB$5:DB88)</f>
        <v>87.493985915407748</v>
      </c>
    </row>
    <row r="89" spans="24:111">
      <c r="X89" s="16">
        <v>85</v>
      </c>
      <c r="Y89" s="45">
        <f t="shared" si="52"/>
        <v>534.375</v>
      </c>
      <c r="Z89" s="24">
        <f t="shared" si="53"/>
        <v>6.8000000000000005E-2</v>
      </c>
      <c r="AA89" s="16">
        <f>$Y89*$Z89*其他调用!V88</f>
        <v>40525.53325850267</v>
      </c>
      <c r="AB89" s="16">
        <f>$Y89*$Z89*其他调用!W88</f>
        <v>49815.376723152069</v>
      </c>
      <c r="AC89" s="16">
        <f>$Y89*$Z89*其他调用!X88</f>
        <v>55047.197701983656</v>
      </c>
      <c r="AD89" s="16">
        <f>$Y89*$Z89*其他调用!Y88</f>
        <v>47145.580840156836</v>
      </c>
      <c r="AE89" s="16">
        <f>$Y89*$Z89*其他调用!Z88</f>
        <v>25770.715192993877</v>
      </c>
      <c r="AH89" s="16">
        <v>85</v>
      </c>
      <c r="AI89" s="16">
        <f>SUM(AA$5:AA89)</f>
        <v>471607.67829532811</v>
      </c>
      <c r="AJ89" s="16">
        <f>SUM(AB$5:AB89)</f>
        <v>592553.6777765213</v>
      </c>
      <c r="AK89" s="16">
        <f>SUM(AC$5:AC89)</f>
        <v>654848.93950055062</v>
      </c>
      <c r="AL89" s="16">
        <f>SUM(AD$5:AD89)</f>
        <v>541433.69048013468</v>
      </c>
      <c r="AM89" s="16">
        <f>SUM(AE$5:AE89)</f>
        <v>298879.01865587779</v>
      </c>
      <c r="AR89" s="16">
        <v>85</v>
      </c>
      <c r="AS89" s="24">
        <f t="shared" si="36"/>
        <v>6.8000000000000005E-2</v>
      </c>
      <c r="AT89" s="16">
        <f>求节点(E$28:E$34,$M$28:$M$34,$AR89)*$AS89*其他调用!V88/$E$4</f>
        <v>0</v>
      </c>
      <c r="AU89" s="16">
        <f>求节点(F$28:F$34,$M$28:$M$34,$AR89)*$AS89*其他调用!W88/$E$4</f>
        <v>0</v>
      </c>
      <c r="AV89" s="16">
        <f>求节点(G$28:G$34,$M$28:$M$34,$AR89)*$AS89*其他调用!X88/$E$4</f>
        <v>0</v>
      </c>
      <c r="AW89" s="16">
        <f>求节点(H$28:H$34,$M$28:$M$34,$AR89)*$AS89*其他调用!Y88/$E$4</f>
        <v>0</v>
      </c>
      <c r="AX89" s="16">
        <f>求节点(I$28:I$34,$M$28:$M$34,$AR89)*$AS89*其他调用!Z88/$E$4</f>
        <v>0</v>
      </c>
      <c r="AY89" s="16">
        <f>求节点(E$28:E$34,$N$28:$N$34,$AR89)*$AS89*其他调用!V88/$E$4</f>
        <v>0</v>
      </c>
      <c r="AZ89" s="16">
        <f>求节点(F$28:F$34,$N$28:$N$34,$AR89)*$AS89*其他调用!W88/$E$4</f>
        <v>0</v>
      </c>
      <c r="BA89" s="16">
        <f>求节点(G$28:G$34,$N$28:$N$34,$AR89)*$AS89*其他调用!X88/$E$4</f>
        <v>0</v>
      </c>
      <c r="BB89" s="16">
        <f>求节点(H$28:H$34,$N$28:$N$34,$AR89)*$AS89*其他调用!Y88/$E$4</f>
        <v>0</v>
      </c>
      <c r="BC89" s="16">
        <f>求节点(I$28:I$34,$N$28:$N$34,$AR89)*$AS89*其他调用!Z88/$E$4</f>
        <v>0</v>
      </c>
      <c r="BD89" s="16">
        <f>求节点(E$28:E$34,$O$28:$O$34,$AR89)*$AS89*其他调用!V88/$E$4</f>
        <v>0</v>
      </c>
      <c r="BE89" s="16">
        <f>求节点(F$28:F$34,$O$28:$O$34,$AR89)*$AS89*其他调用!W88/$E$4</f>
        <v>0</v>
      </c>
      <c r="BF89" s="16">
        <f>求节点(G$28:G$34,$O$28:$O$34,$AR89)*$AS89*其他调用!X88/$E$4</f>
        <v>0</v>
      </c>
      <c r="BG89" s="16">
        <f>求节点(H$28:H$34,$O$28:$O$34,$AR89)*$AS89*其他调用!Y88/$E$4</f>
        <v>0</v>
      </c>
      <c r="BH89" s="16">
        <f>求节点(I$28:I$34,$O$28:$O$34,$AR89)*$AS89*其他调用!Z88/$E$4</f>
        <v>0</v>
      </c>
      <c r="BK89" s="16">
        <v>85</v>
      </c>
      <c r="BL89" s="16">
        <f>SUM(AT$5:AT89)</f>
        <v>0</v>
      </c>
      <c r="BM89" s="16">
        <f>SUM(AU$5:AU89)</f>
        <v>0</v>
      </c>
      <c r="BN89" s="16">
        <f>SUM(AV$5:AV89)</f>
        <v>0</v>
      </c>
      <c r="BO89" s="16">
        <f>SUM(AW$5:AW89)</f>
        <v>0</v>
      </c>
      <c r="BP89" s="16">
        <f>SUM(AX$5:AX89)</f>
        <v>0</v>
      </c>
      <c r="BQ89" s="16">
        <f>SUM(AY$5:AY89)</f>
        <v>0</v>
      </c>
      <c r="BR89" s="16">
        <f>SUM(AZ$5:AZ89)</f>
        <v>0</v>
      </c>
      <c r="BS89" s="16">
        <f>SUM(BA$5:BA89)</f>
        <v>0</v>
      </c>
      <c r="BT89" s="16">
        <f>SUM(BB$5:BB89)</f>
        <v>0</v>
      </c>
      <c r="BU89" s="16">
        <f>SUM(BC$5:BC89)</f>
        <v>0</v>
      </c>
      <c r="BV89" s="16">
        <f>SUM(BD$5:BD89)</f>
        <v>0</v>
      </c>
      <c r="BW89" s="16">
        <f>SUM(BE$5:BE89)</f>
        <v>0</v>
      </c>
      <c r="BX89" s="16">
        <f>SUM(BF$5:BF89)</f>
        <v>0</v>
      </c>
      <c r="BY89" s="16">
        <f>SUM(BG$5:BG89)</f>
        <v>0</v>
      </c>
      <c r="BZ89" s="16">
        <f>SUM(BH$5:BH89)</f>
        <v>0</v>
      </c>
      <c r="CC89" s="16">
        <v>85</v>
      </c>
      <c r="CD89" s="16">
        <f t="shared" si="37"/>
        <v>0</v>
      </c>
      <c r="CE89" s="16">
        <f t="shared" si="38"/>
        <v>0</v>
      </c>
      <c r="CF89" s="16">
        <f t="shared" si="39"/>
        <v>0</v>
      </c>
      <c r="CG89" s="16">
        <f t="shared" si="40"/>
        <v>0</v>
      </c>
      <c r="CH89" s="16">
        <f t="shared" si="41"/>
        <v>0</v>
      </c>
      <c r="CI89" s="16">
        <f t="shared" si="42"/>
        <v>0</v>
      </c>
      <c r="CJ89" s="16">
        <f t="shared" si="43"/>
        <v>0</v>
      </c>
      <c r="CK89" s="16">
        <f t="shared" si="44"/>
        <v>0</v>
      </c>
      <c r="CL89" s="16">
        <f t="shared" si="45"/>
        <v>0</v>
      </c>
      <c r="CM89" s="16">
        <f t="shared" si="46"/>
        <v>0</v>
      </c>
      <c r="CN89" s="16">
        <f t="shared" si="47"/>
        <v>0</v>
      </c>
      <c r="CO89" s="16">
        <f t="shared" si="48"/>
        <v>0</v>
      </c>
      <c r="CP89" s="16">
        <f t="shared" si="49"/>
        <v>0</v>
      </c>
      <c r="CQ89" s="16">
        <f t="shared" si="50"/>
        <v>0</v>
      </c>
      <c r="CR89" s="16">
        <f t="shared" si="51"/>
        <v>0</v>
      </c>
      <c r="CV89" s="16">
        <v>85</v>
      </c>
      <c r="CW89" s="35">
        <f t="shared" si="54"/>
        <v>0.13200000000000001</v>
      </c>
      <c r="CX89" s="16">
        <f>其他调用!V88/$E$4*求节点(E$28:E$34,$P$28:$P$34,$CV89)*$CW89</f>
        <v>11.041012157115278</v>
      </c>
      <c r="CY89" s="16">
        <f>其他调用!W88/$E$4*求节点(F$28:F$34,$P$28:$P$34,$CV89)*$CW89</f>
        <v>13.571991181539881</v>
      </c>
      <c r="CZ89" s="16">
        <f>其他调用!X88/$E$4*求节点(G$28:G$34,$P$28:$P$34,$CV89)*$CW89</f>
        <v>14.997378940478516</v>
      </c>
      <c r="DA89" s="16">
        <f>其他调用!Y88/$E$4*求节点(H$28:H$34,$P$28:$P$34,$CV89)*$CW89</f>
        <v>12.844616451807433</v>
      </c>
      <c r="DB89" s="16">
        <f>其他调用!Z88/$E$4*求节点(I$28:I$34,$P$28:$P$34,$CV89)*$CW89</f>
        <v>7.0211236439116442</v>
      </c>
      <c r="DC89" s="16">
        <f>SUM(CX$5:CX89)</f>
        <v>137.67860485586991</v>
      </c>
      <c r="DD89" s="16">
        <f>SUM(CY$5:CY89)</f>
        <v>175.28418441222823</v>
      </c>
      <c r="DE89" s="16">
        <f>SUM(CZ$5:CZ89)</f>
        <v>200.24871118140837</v>
      </c>
      <c r="DF89" s="16">
        <f>SUM(DA$5:DA89)</f>
        <v>169.92628344245725</v>
      </c>
      <c r="DG89" s="16">
        <f>SUM(DB$5:DB89)</f>
        <v>94.515109559319399</v>
      </c>
    </row>
    <row r="90" spans="24:111">
      <c r="X90" s="16">
        <v>86</v>
      </c>
      <c r="Y90" s="45">
        <f t="shared" si="52"/>
        <v>543.75</v>
      </c>
      <c r="Z90" s="24">
        <f t="shared" si="53"/>
        <v>6.8000000000000005E-2</v>
      </c>
      <c r="AA90" s="16">
        <f>$Y90*$Z90*其他调用!V89</f>
        <v>44196.194454254502</v>
      </c>
      <c r="AB90" s="16">
        <f>$Y90*$Z90*其他调用!W89</f>
        <v>55195.891590949344</v>
      </c>
      <c r="AC90" s="16">
        <f>$Y90*$Z90*其他调用!X89</f>
        <v>61620.868482383179</v>
      </c>
      <c r="AD90" s="16">
        <f>$Y90*$Z90*其他调用!Y89</f>
        <v>52634.716367573477</v>
      </c>
      <c r="AE90" s="16">
        <f>$Y90*$Z90*其他调用!Z89</f>
        <v>24420.06215458212</v>
      </c>
      <c r="AH90" s="16">
        <v>86</v>
      </c>
      <c r="AI90" s="16">
        <f>SUM(AA$5:AA90)</f>
        <v>515803.87274958263</v>
      </c>
      <c r="AJ90" s="16">
        <f>SUM(AB$5:AB90)</f>
        <v>647749.56936747069</v>
      </c>
      <c r="AK90" s="16">
        <f>SUM(AC$5:AC90)</f>
        <v>716469.80798293382</v>
      </c>
      <c r="AL90" s="16">
        <f>SUM(AD$5:AD90)</f>
        <v>594068.40684770816</v>
      </c>
      <c r="AM90" s="16">
        <f>SUM(AE$5:AE90)</f>
        <v>323299.08081045991</v>
      </c>
      <c r="AR90" s="16">
        <v>86</v>
      </c>
      <c r="AS90" s="24">
        <f t="shared" si="36"/>
        <v>6.8000000000000005E-2</v>
      </c>
      <c r="AT90" s="16">
        <f>求节点(E$28:E$34,$M$28:$M$34,$AR90)*$AS90*其他调用!V89/$E$4</f>
        <v>0</v>
      </c>
      <c r="AU90" s="16">
        <f>求节点(F$28:F$34,$M$28:$M$34,$AR90)*$AS90*其他调用!W89/$E$4</f>
        <v>0</v>
      </c>
      <c r="AV90" s="16">
        <f>求节点(G$28:G$34,$M$28:$M$34,$AR90)*$AS90*其他调用!X89/$E$4</f>
        <v>0</v>
      </c>
      <c r="AW90" s="16">
        <f>求节点(H$28:H$34,$M$28:$M$34,$AR90)*$AS90*其他调用!Y89/$E$4</f>
        <v>0</v>
      </c>
      <c r="AX90" s="16">
        <f>求节点(I$28:I$34,$M$28:$M$34,$AR90)*$AS90*其他调用!Z89/$E$4</f>
        <v>0</v>
      </c>
      <c r="AY90" s="16">
        <f>求节点(E$28:E$34,$N$28:$N$34,$AR90)*$AS90*其他调用!V89/$E$4</f>
        <v>0</v>
      </c>
      <c r="AZ90" s="16">
        <f>求节点(F$28:F$34,$N$28:$N$34,$AR90)*$AS90*其他调用!W89/$E$4</f>
        <v>0</v>
      </c>
      <c r="BA90" s="16">
        <f>求节点(G$28:G$34,$N$28:$N$34,$AR90)*$AS90*其他调用!X89/$E$4</f>
        <v>0</v>
      </c>
      <c r="BB90" s="16">
        <f>求节点(H$28:H$34,$N$28:$N$34,$AR90)*$AS90*其他调用!Y89/$E$4</f>
        <v>0</v>
      </c>
      <c r="BC90" s="16">
        <f>求节点(I$28:I$34,$N$28:$N$34,$AR90)*$AS90*其他调用!Z89/$E$4</f>
        <v>0</v>
      </c>
      <c r="BD90" s="16">
        <f>求节点(E$28:E$34,$O$28:$O$34,$AR90)*$AS90*其他调用!V89/$E$4</f>
        <v>0</v>
      </c>
      <c r="BE90" s="16">
        <f>求节点(F$28:F$34,$O$28:$O$34,$AR90)*$AS90*其他调用!W89/$E$4</f>
        <v>0</v>
      </c>
      <c r="BF90" s="16">
        <f>求节点(G$28:G$34,$O$28:$O$34,$AR90)*$AS90*其他调用!X89/$E$4</f>
        <v>0</v>
      </c>
      <c r="BG90" s="16">
        <f>求节点(H$28:H$34,$O$28:$O$34,$AR90)*$AS90*其他调用!Y89/$E$4</f>
        <v>0</v>
      </c>
      <c r="BH90" s="16">
        <f>求节点(I$28:I$34,$O$28:$O$34,$AR90)*$AS90*其他调用!Z89/$E$4</f>
        <v>0</v>
      </c>
      <c r="BK90" s="16">
        <v>86</v>
      </c>
      <c r="BL90" s="16">
        <f>SUM(AT$5:AT90)</f>
        <v>0</v>
      </c>
      <c r="BM90" s="16">
        <f>SUM(AU$5:AU90)</f>
        <v>0</v>
      </c>
      <c r="BN90" s="16">
        <f>SUM(AV$5:AV90)</f>
        <v>0</v>
      </c>
      <c r="BO90" s="16">
        <f>SUM(AW$5:AW90)</f>
        <v>0</v>
      </c>
      <c r="BP90" s="16">
        <f>SUM(AX$5:AX90)</f>
        <v>0</v>
      </c>
      <c r="BQ90" s="16">
        <f>SUM(AY$5:AY90)</f>
        <v>0</v>
      </c>
      <c r="BR90" s="16">
        <f>SUM(AZ$5:AZ90)</f>
        <v>0</v>
      </c>
      <c r="BS90" s="16">
        <f>SUM(BA$5:BA90)</f>
        <v>0</v>
      </c>
      <c r="BT90" s="16">
        <f>SUM(BB$5:BB90)</f>
        <v>0</v>
      </c>
      <c r="BU90" s="16">
        <f>SUM(BC$5:BC90)</f>
        <v>0</v>
      </c>
      <c r="BV90" s="16">
        <f>SUM(BD$5:BD90)</f>
        <v>0</v>
      </c>
      <c r="BW90" s="16">
        <f>SUM(BE$5:BE90)</f>
        <v>0</v>
      </c>
      <c r="BX90" s="16">
        <f>SUM(BF$5:BF90)</f>
        <v>0</v>
      </c>
      <c r="BY90" s="16">
        <f>SUM(BG$5:BG90)</f>
        <v>0</v>
      </c>
      <c r="BZ90" s="16">
        <f>SUM(BH$5:BH90)</f>
        <v>0</v>
      </c>
      <c r="CC90" s="16">
        <v>86</v>
      </c>
      <c r="CD90" s="16">
        <f t="shared" si="37"/>
        <v>0</v>
      </c>
      <c r="CE90" s="16">
        <f t="shared" si="38"/>
        <v>0</v>
      </c>
      <c r="CF90" s="16">
        <f t="shared" si="39"/>
        <v>0</v>
      </c>
      <c r="CG90" s="16">
        <f t="shared" si="40"/>
        <v>0</v>
      </c>
      <c r="CH90" s="16">
        <f t="shared" si="41"/>
        <v>0</v>
      </c>
      <c r="CI90" s="16">
        <f t="shared" si="42"/>
        <v>0</v>
      </c>
      <c r="CJ90" s="16">
        <f t="shared" si="43"/>
        <v>0</v>
      </c>
      <c r="CK90" s="16">
        <f t="shared" si="44"/>
        <v>0</v>
      </c>
      <c r="CL90" s="16">
        <f t="shared" si="45"/>
        <v>0</v>
      </c>
      <c r="CM90" s="16">
        <f t="shared" si="46"/>
        <v>0</v>
      </c>
      <c r="CN90" s="16">
        <f t="shared" si="47"/>
        <v>0</v>
      </c>
      <c r="CO90" s="16">
        <f t="shared" si="48"/>
        <v>0</v>
      </c>
      <c r="CP90" s="16">
        <f t="shared" si="49"/>
        <v>0</v>
      </c>
      <c r="CQ90" s="16">
        <f t="shared" si="50"/>
        <v>0</v>
      </c>
      <c r="CR90" s="16">
        <f t="shared" si="51"/>
        <v>0</v>
      </c>
      <c r="CV90" s="16">
        <v>86</v>
      </c>
      <c r="CW90" s="35">
        <f t="shared" si="54"/>
        <v>0.13200000000000001</v>
      </c>
      <c r="CX90" s="16">
        <f>其他调用!V89/$E$4*求节点(E$28:E$34,$P$28:$P$34,$CV90)*$CW90</f>
        <v>11.833463829536703</v>
      </c>
      <c r="CY90" s="16">
        <f>其他调用!W89/$E$4*求节点(F$28:F$34,$P$28:$P$34,$CV90)*$CW90</f>
        <v>14.778616004067572</v>
      </c>
      <c r="CZ90" s="16">
        <f>其他调用!X89/$E$4*求节点(G$28:G$34,$P$28:$P$34,$CV90)*$CW90</f>
        <v>16.498893792443365</v>
      </c>
      <c r="DA90" s="16">
        <f>其他调用!Y89/$E$4*求节点(H$28:H$34,$P$28:$P$34,$CV90)*$CW90</f>
        <v>14.092865234319875</v>
      </c>
      <c r="DB90" s="16">
        <f>其他调用!Z89/$E$4*求节点(I$28:I$34,$P$28:$P$34,$CV90)*$CW90</f>
        <v>6.538434491693387</v>
      </c>
      <c r="DC90" s="16">
        <f>SUM(CX$5:CX90)</f>
        <v>149.5120686854066</v>
      </c>
      <c r="DD90" s="16">
        <f>SUM(CY$5:CY90)</f>
        <v>190.0628004162958</v>
      </c>
      <c r="DE90" s="16">
        <f>SUM(CZ$5:CZ90)</f>
        <v>216.74760497385174</v>
      </c>
      <c r="DF90" s="16">
        <f>SUM(DA$5:DA90)</f>
        <v>184.01914867677712</v>
      </c>
      <c r="DG90" s="16">
        <f>SUM(DB$5:DB90)</f>
        <v>101.05354405101278</v>
      </c>
    </row>
    <row r="91" spans="24:111">
      <c r="X91" s="16">
        <v>87</v>
      </c>
      <c r="Y91" s="45">
        <f t="shared" si="52"/>
        <v>553.125</v>
      </c>
      <c r="Z91" s="24">
        <f t="shared" si="53"/>
        <v>6.8000000000000005E-2</v>
      </c>
      <c r="AA91" s="16">
        <f>$Y91*$Z91*其他调用!V90</f>
        <v>48185.003332907283</v>
      </c>
      <c r="AB91" s="16">
        <f>$Y91*$Z91*其他调用!W90</f>
        <v>61194.799343164319</v>
      </c>
      <c r="AC91" s="16">
        <f>$Y91*$Z91*其他调用!X90</f>
        <v>69037.8541499735</v>
      </c>
      <c r="AD91" s="16">
        <f>$Y91*$Z91*其他调用!Y90</f>
        <v>51085.905333698502</v>
      </c>
      <c r="AE91" s="16">
        <f>$Y91*$Z91*其他调用!Z90</f>
        <v>26353.60289440431</v>
      </c>
      <c r="AH91" s="16">
        <v>87</v>
      </c>
      <c r="AI91" s="16">
        <f>SUM(AA$5:AA91)</f>
        <v>563988.87608248997</v>
      </c>
      <c r="AJ91" s="16">
        <f>SUM(AB$5:AB91)</f>
        <v>708944.368710635</v>
      </c>
      <c r="AK91" s="16">
        <f>SUM(AC$5:AC91)</f>
        <v>785507.66213290731</v>
      </c>
      <c r="AL91" s="16">
        <f>SUM(AD$5:AD91)</f>
        <v>645154.31218140665</v>
      </c>
      <c r="AM91" s="16">
        <f>SUM(AE$5:AE91)</f>
        <v>349652.68370486423</v>
      </c>
      <c r="AR91" s="16">
        <v>87</v>
      </c>
      <c r="AS91" s="24">
        <f t="shared" si="36"/>
        <v>6.8000000000000005E-2</v>
      </c>
      <c r="AT91" s="16">
        <f>求节点(E$28:E$34,$M$28:$M$34,$AR91)*$AS91*其他调用!V90/$E$4</f>
        <v>0</v>
      </c>
      <c r="AU91" s="16">
        <f>求节点(F$28:F$34,$M$28:$M$34,$AR91)*$AS91*其他调用!W90/$E$4</f>
        <v>0</v>
      </c>
      <c r="AV91" s="16">
        <f>求节点(G$28:G$34,$M$28:$M$34,$AR91)*$AS91*其他调用!X90/$E$4</f>
        <v>0</v>
      </c>
      <c r="AW91" s="16">
        <f>求节点(H$28:H$34,$M$28:$M$34,$AR91)*$AS91*其他调用!Y90/$E$4</f>
        <v>0</v>
      </c>
      <c r="AX91" s="16">
        <f>求节点(I$28:I$34,$M$28:$M$34,$AR91)*$AS91*其他调用!Z90/$E$4</f>
        <v>0</v>
      </c>
      <c r="AY91" s="16">
        <f>求节点(E$28:E$34,$N$28:$N$34,$AR91)*$AS91*其他调用!V90/$E$4</f>
        <v>0</v>
      </c>
      <c r="AZ91" s="16">
        <f>求节点(F$28:F$34,$N$28:$N$34,$AR91)*$AS91*其他调用!W90/$E$4</f>
        <v>0</v>
      </c>
      <c r="BA91" s="16">
        <f>求节点(G$28:G$34,$N$28:$N$34,$AR91)*$AS91*其他调用!X90/$E$4</f>
        <v>0</v>
      </c>
      <c r="BB91" s="16">
        <f>求节点(H$28:H$34,$N$28:$N$34,$AR91)*$AS91*其他调用!Y90/$E$4</f>
        <v>0</v>
      </c>
      <c r="BC91" s="16">
        <f>求节点(I$28:I$34,$N$28:$N$34,$AR91)*$AS91*其他调用!Z90/$E$4</f>
        <v>0</v>
      </c>
      <c r="BD91" s="16">
        <f>求节点(E$28:E$34,$O$28:$O$34,$AR91)*$AS91*其他调用!V90/$E$4</f>
        <v>0</v>
      </c>
      <c r="BE91" s="16">
        <f>求节点(F$28:F$34,$O$28:$O$34,$AR91)*$AS91*其他调用!W90/$E$4</f>
        <v>0</v>
      </c>
      <c r="BF91" s="16">
        <f>求节点(G$28:G$34,$O$28:$O$34,$AR91)*$AS91*其他调用!X90/$E$4</f>
        <v>0</v>
      </c>
      <c r="BG91" s="16">
        <f>求节点(H$28:H$34,$O$28:$O$34,$AR91)*$AS91*其他调用!Y90/$E$4</f>
        <v>0</v>
      </c>
      <c r="BH91" s="16">
        <f>求节点(I$28:I$34,$O$28:$O$34,$AR91)*$AS91*其他调用!Z90/$E$4</f>
        <v>0</v>
      </c>
      <c r="BK91" s="16">
        <v>87</v>
      </c>
      <c r="BL91" s="16">
        <f>SUM(AT$5:AT91)</f>
        <v>0</v>
      </c>
      <c r="BM91" s="16">
        <f>SUM(AU$5:AU91)</f>
        <v>0</v>
      </c>
      <c r="BN91" s="16">
        <f>SUM(AV$5:AV91)</f>
        <v>0</v>
      </c>
      <c r="BO91" s="16">
        <f>SUM(AW$5:AW91)</f>
        <v>0</v>
      </c>
      <c r="BP91" s="16">
        <f>SUM(AX$5:AX91)</f>
        <v>0</v>
      </c>
      <c r="BQ91" s="16">
        <f>SUM(AY$5:AY91)</f>
        <v>0</v>
      </c>
      <c r="BR91" s="16">
        <f>SUM(AZ$5:AZ91)</f>
        <v>0</v>
      </c>
      <c r="BS91" s="16">
        <f>SUM(BA$5:BA91)</f>
        <v>0</v>
      </c>
      <c r="BT91" s="16">
        <f>SUM(BB$5:BB91)</f>
        <v>0</v>
      </c>
      <c r="BU91" s="16">
        <f>SUM(BC$5:BC91)</f>
        <v>0</v>
      </c>
      <c r="BV91" s="16">
        <f>SUM(BD$5:BD91)</f>
        <v>0</v>
      </c>
      <c r="BW91" s="16">
        <f>SUM(BE$5:BE91)</f>
        <v>0</v>
      </c>
      <c r="BX91" s="16">
        <f>SUM(BF$5:BF91)</f>
        <v>0</v>
      </c>
      <c r="BY91" s="16">
        <f>SUM(BG$5:BG91)</f>
        <v>0</v>
      </c>
      <c r="BZ91" s="16">
        <f>SUM(BH$5:BH91)</f>
        <v>0</v>
      </c>
      <c r="CC91" s="16">
        <v>87</v>
      </c>
      <c r="CD91" s="16">
        <f t="shared" si="37"/>
        <v>0</v>
      </c>
      <c r="CE91" s="16">
        <f t="shared" si="38"/>
        <v>0</v>
      </c>
      <c r="CF91" s="16">
        <f t="shared" si="39"/>
        <v>0</v>
      </c>
      <c r="CG91" s="16">
        <f t="shared" si="40"/>
        <v>0</v>
      </c>
      <c r="CH91" s="16">
        <f t="shared" si="41"/>
        <v>0</v>
      </c>
      <c r="CI91" s="16">
        <f t="shared" si="42"/>
        <v>0</v>
      </c>
      <c r="CJ91" s="16">
        <f t="shared" si="43"/>
        <v>0</v>
      </c>
      <c r="CK91" s="16">
        <f t="shared" si="44"/>
        <v>0</v>
      </c>
      <c r="CL91" s="16">
        <f t="shared" si="45"/>
        <v>0</v>
      </c>
      <c r="CM91" s="16">
        <f t="shared" si="46"/>
        <v>0</v>
      </c>
      <c r="CN91" s="16">
        <f t="shared" si="47"/>
        <v>0</v>
      </c>
      <c r="CO91" s="16">
        <f t="shared" si="48"/>
        <v>0</v>
      </c>
      <c r="CP91" s="16">
        <f t="shared" si="49"/>
        <v>0</v>
      </c>
      <c r="CQ91" s="16">
        <f t="shared" si="50"/>
        <v>0</v>
      </c>
      <c r="CR91" s="16">
        <f t="shared" si="51"/>
        <v>0</v>
      </c>
      <c r="CV91" s="16">
        <v>87</v>
      </c>
      <c r="CW91" s="35">
        <f t="shared" si="54"/>
        <v>0.13200000000000001</v>
      </c>
      <c r="CX91" s="16">
        <f>其他调用!V90/$E$4*求节点(E$28:E$34,$P$28:$P$34,$CV91)*$CW91</f>
        <v>12.682792502380382</v>
      </c>
      <c r="CY91" s="16">
        <f>其他调用!W90/$E$4*求节点(F$28:F$34,$P$28:$P$34,$CV91)*$CW91</f>
        <v>16.107105709466978</v>
      </c>
      <c r="CZ91" s="16">
        <f>其他调用!X90/$E$4*求节点(G$28:G$34,$P$28:$P$34,$CV91)*$CW91</f>
        <v>18.171479058417745</v>
      </c>
      <c r="DA91" s="16">
        <f>其他调用!Y90/$E$4*求节点(H$28:H$34,$P$28:$P$34,$CV91)*$CW91</f>
        <v>13.446339988132006</v>
      </c>
      <c r="DB91" s="16">
        <f>其他调用!Z90/$E$4*求节点(I$28:I$34,$P$28:$P$34,$CV91)*$CW91</f>
        <v>6.9365415395042236</v>
      </c>
      <c r="DC91" s="16">
        <f>SUM(CX$5:CX91)</f>
        <v>162.19486118778698</v>
      </c>
      <c r="DD91" s="16">
        <f>SUM(CY$5:CY91)</f>
        <v>206.16990612576279</v>
      </c>
      <c r="DE91" s="16">
        <f>SUM(CZ$5:CZ91)</f>
        <v>234.9190840322695</v>
      </c>
      <c r="DF91" s="16">
        <f>SUM(DA$5:DA91)</f>
        <v>197.46548866490912</v>
      </c>
      <c r="DG91" s="16">
        <f>SUM(DB$5:DB91)</f>
        <v>107.990085590517</v>
      </c>
    </row>
    <row r="92" spans="24:111">
      <c r="X92" s="16">
        <v>88</v>
      </c>
      <c r="Y92" s="45">
        <f t="shared" si="52"/>
        <v>562.5</v>
      </c>
      <c r="Z92" s="24">
        <f t="shared" si="53"/>
        <v>6.8000000000000005E-2</v>
      </c>
      <c r="AA92" s="16">
        <f>$Y92*$Z92*其他调用!V91</f>
        <v>52518.719862136386</v>
      </c>
      <c r="AB92" s="16">
        <f>$Y92*$Z92*其他调用!W91</f>
        <v>67884.323580944969</v>
      </c>
      <c r="AC92" s="16">
        <f>$Y92*$Z92*其他调用!X91</f>
        <v>71368.150536785804</v>
      </c>
      <c r="AD92" s="16">
        <f>$Y92*$Z92*其他调用!Y91</f>
        <v>52897.534842264715</v>
      </c>
      <c r="AE92" s="16">
        <f>$Y92*$Z92*其他调用!Z91</f>
        <v>29305.17154720984</v>
      </c>
      <c r="AH92" s="16">
        <v>88</v>
      </c>
      <c r="AI92" s="16">
        <f>SUM(AA$5:AA92)</f>
        <v>616507.59594462637</v>
      </c>
      <c r="AJ92" s="16">
        <f>SUM(AB$5:AB92)</f>
        <v>776828.69229157991</v>
      </c>
      <c r="AK92" s="16">
        <f>SUM(AC$5:AC92)</f>
        <v>856875.81266969314</v>
      </c>
      <c r="AL92" s="16">
        <f>SUM(AD$5:AD92)</f>
        <v>698051.84702367138</v>
      </c>
      <c r="AM92" s="16">
        <f>SUM(AE$5:AE92)</f>
        <v>378957.85525207408</v>
      </c>
      <c r="AR92" s="16">
        <v>88</v>
      </c>
      <c r="AS92" s="24">
        <f t="shared" si="36"/>
        <v>6.8000000000000005E-2</v>
      </c>
      <c r="AT92" s="16">
        <f>求节点(E$28:E$34,$M$28:$M$34,$AR92)*$AS92*其他调用!V91/$E$4</f>
        <v>0</v>
      </c>
      <c r="AU92" s="16">
        <f>求节点(F$28:F$34,$M$28:$M$34,$AR92)*$AS92*其他调用!W91/$E$4</f>
        <v>0</v>
      </c>
      <c r="AV92" s="16">
        <f>求节点(G$28:G$34,$M$28:$M$34,$AR92)*$AS92*其他调用!X91/$E$4</f>
        <v>0</v>
      </c>
      <c r="AW92" s="16">
        <f>求节点(H$28:H$34,$M$28:$M$34,$AR92)*$AS92*其他调用!Y91/$E$4</f>
        <v>0</v>
      </c>
      <c r="AX92" s="16">
        <f>求节点(I$28:I$34,$M$28:$M$34,$AR92)*$AS92*其他调用!Z91/$E$4</f>
        <v>0</v>
      </c>
      <c r="AY92" s="16">
        <f>求节点(E$28:E$34,$N$28:$N$34,$AR92)*$AS92*其他调用!V91/$E$4</f>
        <v>0</v>
      </c>
      <c r="AZ92" s="16">
        <f>求节点(F$28:F$34,$N$28:$N$34,$AR92)*$AS92*其他调用!W91/$E$4</f>
        <v>0</v>
      </c>
      <c r="BA92" s="16">
        <f>求节点(G$28:G$34,$N$28:$N$34,$AR92)*$AS92*其他调用!X91/$E$4</f>
        <v>0</v>
      </c>
      <c r="BB92" s="16">
        <f>求节点(H$28:H$34,$N$28:$N$34,$AR92)*$AS92*其他调用!Y91/$E$4</f>
        <v>0</v>
      </c>
      <c r="BC92" s="16">
        <f>求节点(I$28:I$34,$N$28:$N$34,$AR92)*$AS92*其他调用!Z91/$E$4</f>
        <v>0</v>
      </c>
      <c r="BD92" s="16">
        <f>求节点(E$28:E$34,$O$28:$O$34,$AR92)*$AS92*其他调用!V91/$E$4</f>
        <v>0</v>
      </c>
      <c r="BE92" s="16">
        <f>求节点(F$28:F$34,$O$28:$O$34,$AR92)*$AS92*其他调用!W91/$E$4</f>
        <v>0</v>
      </c>
      <c r="BF92" s="16">
        <f>求节点(G$28:G$34,$O$28:$O$34,$AR92)*$AS92*其他调用!X91/$E$4</f>
        <v>0</v>
      </c>
      <c r="BG92" s="16">
        <f>求节点(H$28:H$34,$O$28:$O$34,$AR92)*$AS92*其他调用!Y91/$E$4</f>
        <v>0</v>
      </c>
      <c r="BH92" s="16">
        <f>求节点(I$28:I$34,$O$28:$O$34,$AR92)*$AS92*其他调用!Z91/$E$4</f>
        <v>0</v>
      </c>
      <c r="BK92" s="16">
        <v>88</v>
      </c>
      <c r="BL92" s="16">
        <f>SUM(AT$5:AT92)</f>
        <v>0</v>
      </c>
      <c r="BM92" s="16">
        <f>SUM(AU$5:AU92)</f>
        <v>0</v>
      </c>
      <c r="BN92" s="16">
        <f>SUM(AV$5:AV92)</f>
        <v>0</v>
      </c>
      <c r="BO92" s="16">
        <f>SUM(AW$5:AW92)</f>
        <v>0</v>
      </c>
      <c r="BP92" s="16">
        <f>SUM(AX$5:AX92)</f>
        <v>0</v>
      </c>
      <c r="BQ92" s="16">
        <f>SUM(AY$5:AY92)</f>
        <v>0</v>
      </c>
      <c r="BR92" s="16">
        <f>SUM(AZ$5:AZ92)</f>
        <v>0</v>
      </c>
      <c r="BS92" s="16">
        <f>SUM(BA$5:BA92)</f>
        <v>0</v>
      </c>
      <c r="BT92" s="16">
        <f>SUM(BB$5:BB92)</f>
        <v>0</v>
      </c>
      <c r="BU92" s="16">
        <f>SUM(BC$5:BC92)</f>
        <v>0</v>
      </c>
      <c r="BV92" s="16">
        <f>SUM(BD$5:BD92)</f>
        <v>0</v>
      </c>
      <c r="BW92" s="16">
        <f>SUM(BE$5:BE92)</f>
        <v>0</v>
      </c>
      <c r="BX92" s="16">
        <f>SUM(BF$5:BF92)</f>
        <v>0</v>
      </c>
      <c r="BY92" s="16">
        <f>SUM(BG$5:BG92)</f>
        <v>0</v>
      </c>
      <c r="BZ92" s="16">
        <f>SUM(BH$5:BH92)</f>
        <v>0</v>
      </c>
      <c r="CC92" s="16">
        <v>88</v>
      </c>
      <c r="CD92" s="16">
        <f t="shared" si="37"/>
        <v>0</v>
      </c>
      <c r="CE92" s="16">
        <f t="shared" si="38"/>
        <v>0</v>
      </c>
      <c r="CF92" s="16">
        <f t="shared" si="39"/>
        <v>0</v>
      </c>
      <c r="CG92" s="16">
        <f t="shared" si="40"/>
        <v>0</v>
      </c>
      <c r="CH92" s="16">
        <f t="shared" si="41"/>
        <v>0</v>
      </c>
      <c r="CI92" s="16">
        <f t="shared" si="42"/>
        <v>0</v>
      </c>
      <c r="CJ92" s="16">
        <f t="shared" si="43"/>
        <v>0</v>
      </c>
      <c r="CK92" s="16">
        <f t="shared" si="44"/>
        <v>0</v>
      </c>
      <c r="CL92" s="16">
        <f t="shared" si="45"/>
        <v>0</v>
      </c>
      <c r="CM92" s="16">
        <f t="shared" si="46"/>
        <v>0</v>
      </c>
      <c r="CN92" s="16">
        <f t="shared" si="47"/>
        <v>0</v>
      </c>
      <c r="CO92" s="16">
        <f t="shared" si="48"/>
        <v>0</v>
      </c>
      <c r="CP92" s="16">
        <f t="shared" si="49"/>
        <v>0</v>
      </c>
      <c r="CQ92" s="16">
        <f t="shared" si="50"/>
        <v>0</v>
      </c>
      <c r="CR92" s="16">
        <f t="shared" si="51"/>
        <v>0</v>
      </c>
      <c r="CV92" s="16">
        <v>88</v>
      </c>
      <c r="CW92" s="35">
        <f t="shared" si="54"/>
        <v>0.13200000000000001</v>
      </c>
      <c r="CX92" s="16">
        <f>其他调用!V91/$E$4*求节点(E$28:E$34,$P$28:$P$34,$CV92)*$CW92</f>
        <v>13.593080434905888</v>
      </c>
      <c r="CY92" s="16">
        <f>其他调用!W91/$E$4*求节点(F$28:F$34,$P$28:$P$34,$CV92)*$CW92</f>
        <v>17.570060220950459</v>
      </c>
      <c r="CZ92" s="16">
        <f>其他调用!X91/$E$4*求节点(G$28:G$34,$P$28:$P$34,$CV92)*$CW92</f>
        <v>18.471756609521034</v>
      </c>
      <c r="DA92" s="16">
        <f>其他调用!Y91/$E$4*求节点(H$28:H$34,$P$28:$P$34,$CV92)*$CW92</f>
        <v>13.691126665056752</v>
      </c>
      <c r="DB92" s="16">
        <f>其他调用!Z91/$E$4*求节点(I$28:I$34,$P$28:$P$34,$CV92)*$CW92</f>
        <v>7.5848679298660757</v>
      </c>
      <c r="DC92" s="16">
        <f>SUM(CX$5:CX92)</f>
        <v>175.78794162269287</v>
      </c>
      <c r="DD92" s="16">
        <f>SUM(CY$5:CY92)</f>
        <v>223.73996634671326</v>
      </c>
      <c r="DE92" s="16">
        <f>SUM(CZ$5:CZ92)</f>
        <v>253.39084064179053</v>
      </c>
      <c r="DF92" s="16">
        <f>SUM(DA$5:DA92)</f>
        <v>211.15661532996586</v>
      </c>
      <c r="DG92" s="16">
        <f>SUM(DB$5:DB92)</f>
        <v>115.57495352038308</v>
      </c>
    </row>
    <row r="93" spans="24:111">
      <c r="X93" s="16">
        <v>89</v>
      </c>
      <c r="Y93" s="45">
        <f t="shared" si="52"/>
        <v>571.875</v>
      </c>
      <c r="Z93" s="24">
        <f t="shared" si="53"/>
        <v>6.8000000000000005E-2</v>
      </c>
      <c r="AA93" s="16">
        <f>$Y93*$Z93*其他调用!V92</f>
        <v>57226.306405191834</v>
      </c>
      <c r="AB93" s="16">
        <f>$Y93*$Z93*其他调用!W92</f>
        <v>70376.715504205247</v>
      </c>
      <c r="AC93" s="16">
        <f>$Y93*$Z93*其他调用!X92</f>
        <v>69700.39984006084</v>
      </c>
      <c r="AD93" s="16">
        <f>$Y93*$Z93*其他调用!Y92</f>
        <v>57290.636640341363</v>
      </c>
      <c r="AE93" s="16">
        <f>$Y93*$Z93*其他调用!Z92</f>
        <v>29765.699197170015</v>
      </c>
      <c r="AH93" s="16">
        <v>89</v>
      </c>
      <c r="AI93" s="16">
        <f>SUM(AA$5:AA93)</f>
        <v>673733.90234981827</v>
      </c>
      <c r="AJ93" s="16">
        <f>SUM(AB$5:AB93)</f>
        <v>847205.40779578511</v>
      </c>
      <c r="AK93" s="16">
        <f>SUM(AC$5:AC93)</f>
        <v>926576.212509754</v>
      </c>
      <c r="AL93" s="16">
        <f>SUM(AD$5:AD93)</f>
        <v>755342.48366401275</v>
      </c>
      <c r="AM93" s="16">
        <f>SUM(AE$5:AE93)</f>
        <v>408723.55444924411</v>
      </c>
      <c r="AR93" s="16">
        <v>89</v>
      </c>
      <c r="AS93" s="24">
        <f t="shared" si="36"/>
        <v>6.8000000000000005E-2</v>
      </c>
      <c r="AT93" s="16">
        <f>求节点(E$28:E$34,$M$28:$M$34,$AR93)*$AS93*其他调用!V92/$E$4</f>
        <v>0</v>
      </c>
      <c r="AU93" s="16">
        <f>求节点(F$28:F$34,$M$28:$M$34,$AR93)*$AS93*其他调用!W92/$E$4</f>
        <v>0</v>
      </c>
      <c r="AV93" s="16">
        <f>求节点(G$28:G$34,$M$28:$M$34,$AR93)*$AS93*其他调用!X92/$E$4</f>
        <v>0</v>
      </c>
      <c r="AW93" s="16">
        <f>求节点(H$28:H$34,$M$28:$M$34,$AR93)*$AS93*其他调用!Y92/$E$4</f>
        <v>0</v>
      </c>
      <c r="AX93" s="16">
        <f>求节点(I$28:I$34,$M$28:$M$34,$AR93)*$AS93*其他调用!Z92/$E$4</f>
        <v>0</v>
      </c>
      <c r="AY93" s="16">
        <f>求节点(E$28:E$34,$N$28:$N$34,$AR93)*$AS93*其他调用!V92/$E$4</f>
        <v>0</v>
      </c>
      <c r="AZ93" s="16">
        <f>求节点(F$28:F$34,$N$28:$N$34,$AR93)*$AS93*其他调用!W92/$E$4</f>
        <v>0</v>
      </c>
      <c r="BA93" s="16">
        <f>求节点(G$28:G$34,$N$28:$N$34,$AR93)*$AS93*其他调用!X92/$E$4</f>
        <v>0</v>
      </c>
      <c r="BB93" s="16">
        <f>求节点(H$28:H$34,$N$28:$N$34,$AR93)*$AS93*其他调用!Y92/$E$4</f>
        <v>0</v>
      </c>
      <c r="BC93" s="16">
        <f>求节点(I$28:I$34,$N$28:$N$34,$AR93)*$AS93*其他调用!Z92/$E$4</f>
        <v>0</v>
      </c>
      <c r="BD93" s="16">
        <f>求节点(E$28:E$34,$O$28:$O$34,$AR93)*$AS93*其他调用!V92/$E$4</f>
        <v>0</v>
      </c>
      <c r="BE93" s="16">
        <f>求节点(F$28:F$34,$O$28:$O$34,$AR93)*$AS93*其他调用!W92/$E$4</f>
        <v>0</v>
      </c>
      <c r="BF93" s="16">
        <f>求节点(G$28:G$34,$O$28:$O$34,$AR93)*$AS93*其他调用!X92/$E$4</f>
        <v>0</v>
      </c>
      <c r="BG93" s="16">
        <f>求节点(H$28:H$34,$O$28:$O$34,$AR93)*$AS93*其他调用!Y92/$E$4</f>
        <v>0</v>
      </c>
      <c r="BH93" s="16">
        <f>求节点(I$28:I$34,$O$28:$O$34,$AR93)*$AS93*其他调用!Z92/$E$4</f>
        <v>0</v>
      </c>
      <c r="BK93" s="16">
        <v>89</v>
      </c>
      <c r="BL93" s="16">
        <f>SUM(AT$5:AT93)</f>
        <v>0</v>
      </c>
      <c r="BM93" s="16">
        <f>SUM(AU$5:AU93)</f>
        <v>0</v>
      </c>
      <c r="BN93" s="16">
        <f>SUM(AV$5:AV93)</f>
        <v>0</v>
      </c>
      <c r="BO93" s="16">
        <f>SUM(AW$5:AW93)</f>
        <v>0</v>
      </c>
      <c r="BP93" s="16">
        <f>SUM(AX$5:AX93)</f>
        <v>0</v>
      </c>
      <c r="BQ93" s="16">
        <f>SUM(AY$5:AY93)</f>
        <v>0</v>
      </c>
      <c r="BR93" s="16">
        <f>SUM(AZ$5:AZ93)</f>
        <v>0</v>
      </c>
      <c r="BS93" s="16">
        <f>SUM(BA$5:BA93)</f>
        <v>0</v>
      </c>
      <c r="BT93" s="16">
        <f>SUM(BB$5:BB93)</f>
        <v>0</v>
      </c>
      <c r="BU93" s="16">
        <f>SUM(BC$5:BC93)</f>
        <v>0</v>
      </c>
      <c r="BV93" s="16">
        <f>SUM(BD$5:BD93)</f>
        <v>0</v>
      </c>
      <c r="BW93" s="16">
        <f>SUM(BE$5:BE93)</f>
        <v>0</v>
      </c>
      <c r="BX93" s="16">
        <f>SUM(BF$5:BF93)</f>
        <v>0</v>
      </c>
      <c r="BY93" s="16">
        <f>SUM(BG$5:BG93)</f>
        <v>0</v>
      </c>
      <c r="BZ93" s="16">
        <f>SUM(BH$5:BH93)</f>
        <v>0</v>
      </c>
      <c r="CC93" s="16">
        <v>89</v>
      </c>
      <c r="CD93" s="16">
        <f t="shared" si="37"/>
        <v>0</v>
      </c>
      <c r="CE93" s="16">
        <f t="shared" si="38"/>
        <v>0</v>
      </c>
      <c r="CF93" s="16">
        <f t="shared" si="39"/>
        <v>0</v>
      </c>
      <c r="CG93" s="16">
        <f t="shared" si="40"/>
        <v>0</v>
      </c>
      <c r="CH93" s="16">
        <f t="shared" si="41"/>
        <v>0</v>
      </c>
      <c r="CI93" s="16">
        <f t="shared" si="42"/>
        <v>0</v>
      </c>
      <c r="CJ93" s="16">
        <f t="shared" si="43"/>
        <v>0</v>
      </c>
      <c r="CK93" s="16">
        <f t="shared" si="44"/>
        <v>0</v>
      </c>
      <c r="CL93" s="16">
        <f t="shared" si="45"/>
        <v>0</v>
      </c>
      <c r="CM93" s="16">
        <f t="shared" si="46"/>
        <v>0</v>
      </c>
      <c r="CN93" s="16">
        <f t="shared" si="47"/>
        <v>0</v>
      </c>
      <c r="CO93" s="16">
        <f t="shared" si="48"/>
        <v>0</v>
      </c>
      <c r="CP93" s="16">
        <f t="shared" si="49"/>
        <v>0</v>
      </c>
      <c r="CQ93" s="16">
        <f t="shared" si="50"/>
        <v>0</v>
      </c>
      <c r="CR93" s="16">
        <f t="shared" si="51"/>
        <v>0</v>
      </c>
      <c r="CV93" s="16">
        <v>89</v>
      </c>
      <c r="CW93" s="35">
        <f t="shared" si="54"/>
        <v>0.13200000000000001</v>
      </c>
      <c r="CX93" s="16">
        <f>其他调用!V92/$E$4*求节点(E$28:E$34,$P$28:$P$34,$CV93)*$CW93</f>
        <v>14.568702884253273</v>
      </c>
      <c r="CY93" s="16">
        <f>其他调用!W92/$E$4*求节点(F$28:F$34,$P$28:$P$34,$CV93)*$CW93</f>
        <v>17.916540880530555</v>
      </c>
      <c r="CZ93" s="16">
        <f>其他调用!X92/$E$4*求节点(G$28:G$34,$P$28:$P$34,$CV93)*$CW93</f>
        <v>17.744364086572865</v>
      </c>
      <c r="DA93" s="16">
        <f>其他调用!Y92/$E$4*求节点(H$28:H$34,$P$28:$P$34,$CV93)*$CW93</f>
        <v>14.585080109016507</v>
      </c>
      <c r="DB93" s="16">
        <f>其他调用!Z92/$E$4*求节点(I$28:I$34,$P$28:$P$34,$CV93)*$CW93</f>
        <v>7.5777672015939093</v>
      </c>
      <c r="DC93" s="16">
        <f>SUM(CX$5:CX93)</f>
        <v>190.35664450694614</v>
      </c>
      <c r="DD93" s="16">
        <f>SUM(CY$5:CY93)</f>
        <v>241.65650722724382</v>
      </c>
      <c r="DE93" s="16">
        <f>SUM(CZ$5:CZ93)</f>
        <v>271.13520472836342</v>
      </c>
      <c r="DF93" s="16">
        <f>SUM(DA$5:DA93)</f>
        <v>225.74169543898236</v>
      </c>
      <c r="DG93" s="16">
        <f>SUM(DB$5:DB93)</f>
        <v>123.15272072197699</v>
      </c>
    </row>
    <row r="94" spans="24:111">
      <c r="X94" s="16">
        <v>90</v>
      </c>
      <c r="Y94" s="45">
        <f t="shared" si="52"/>
        <v>581.25</v>
      </c>
      <c r="Z94" s="24">
        <f t="shared" si="53"/>
        <v>6.8000000000000005E-2</v>
      </c>
      <c r="AA94" s="16">
        <f>$Y94*$Z94*其他调用!V93</f>
        <v>62339.106015925194</v>
      </c>
      <c r="AB94" s="16">
        <f>$Y94*$Z94*其他调用!W93</f>
        <v>69770.9481545491</v>
      </c>
      <c r="AC94" s="16">
        <f>$Y94*$Z94*其他调用!X93</f>
        <v>77404.092402615192</v>
      </c>
      <c r="AD94" s="16">
        <f>$Y94*$Z94*其他调用!Y93</f>
        <v>59339.302453384196</v>
      </c>
      <c r="AE94" s="16">
        <f>$Y94*$Z94*其他调用!Z93</f>
        <v>32005.438763727023</v>
      </c>
      <c r="AH94" s="16">
        <v>90</v>
      </c>
      <c r="AI94" s="16">
        <f>SUM(AA$5:AA94)</f>
        <v>736073.00836574344</v>
      </c>
      <c r="AJ94" s="16">
        <f>SUM(AB$5:AB94)</f>
        <v>916976.35595033423</v>
      </c>
      <c r="AK94" s="16">
        <f>SUM(AC$5:AC94)</f>
        <v>1003980.3049123692</v>
      </c>
      <c r="AL94" s="16">
        <f>SUM(AD$5:AD94)</f>
        <v>814681.7861173969</v>
      </c>
      <c r="AM94" s="16">
        <f>SUM(AE$5:AE94)</f>
        <v>440728.99321297114</v>
      </c>
      <c r="AR94" s="16">
        <v>90</v>
      </c>
      <c r="AS94" s="24">
        <f t="shared" si="36"/>
        <v>6.8000000000000005E-2</v>
      </c>
      <c r="AT94" s="16">
        <f>求节点(E$28:E$34,$M$28:$M$34,$AR94)*$AS94*其他调用!V93/$E$4</f>
        <v>0</v>
      </c>
      <c r="AU94" s="16">
        <f>求节点(F$28:F$34,$M$28:$M$34,$AR94)*$AS94*其他调用!W93/$E$4</f>
        <v>0</v>
      </c>
      <c r="AV94" s="16">
        <f>求节点(G$28:G$34,$M$28:$M$34,$AR94)*$AS94*其他调用!X93/$E$4</f>
        <v>0</v>
      </c>
      <c r="AW94" s="16">
        <f>求节点(H$28:H$34,$M$28:$M$34,$AR94)*$AS94*其他调用!Y93/$E$4</f>
        <v>0</v>
      </c>
      <c r="AX94" s="16">
        <f>求节点(I$28:I$34,$M$28:$M$34,$AR94)*$AS94*其他调用!Z93/$E$4</f>
        <v>0</v>
      </c>
      <c r="AY94" s="16">
        <f>求节点(E$28:E$34,$N$28:$N$34,$AR94)*$AS94*其他调用!V93/$E$4</f>
        <v>0</v>
      </c>
      <c r="AZ94" s="16">
        <f>求节点(F$28:F$34,$N$28:$N$34,$AR94)*$AS94*其他调用!W93/$E$4</f>
        <v>0</v>
      </c>
      <c r="BA94" s="16">
        <f>求节点(G$28:G$34,$N$28:$N$34,$AR94)*$AS94*其他调用!X93/$E$4</f>
        <v>0</v>
      </c>
      <c r="BB94" s="16">
        <f>求节点(H$28:H$34,$N$28:$N$34,$AR94)*$AS94*其他调用!Y93/$E$4</f>
        <v>0</v>
      </c>
      <c r="BC94" s="16">
        <f>求节点(I$28:I$34,$N$28:$N$34,$AR94)*$AS94*其他调用!Z93/$E$4</f>
        <v>0</v>
      </c>
      <c r="BD94" s="16">
        <f>求节点(E$28:E$34,$O$28:$O$34,$AR94)*$AS94*其他调用!V93/$E$4</f>
        <v>0</v>
      </c>
      <c r="BE94" s="16">
        <f>求节点(F$28:F$34,$O$28:$O$34,$AR94)*$AS94*其他调用!W93/$E$4</f>
        <v>0</v>
      </c>
      <c r="BF94" s="16">
        <f>求节点(G$28:G$34,$O$28:$O$34,$AR94)*$AS94*其他调用!X93/$E$4</f>
        <v>0</v>
      </c>
      <c r="BG94" s="16">
        <f>求节点(H$28:H$34,$O$28:$O$34,$AR94)*$AS94*其他调用!Y93/$E$4</f>
        <v>0</v>
      </c>
      <c r="BH94" s="16">
        <f>求节点(I$28:I$34,$O$28:$O$34,$AR94)*$AS94*其他调用!Z93/$E$4</f>
        <v>0</v>
      </c>
      <c r="BK94" s="16">
        <v>90</v>
      </c>
      <c r="BL94" s="16">
        <f>SUM(AT$5:AT94)</f>
        <v>0</v>
      </c>
      <c r="BM94" s="16">
        <f>SUM(AU$5:AU94)</f>
        <v>0</v>
      </c>
      <c r="BN94" s="16">
        <f>SUM(AV$5:AV94)</f>
        <v>0</v>
      </c>
      <c r="BO94" s="16">
        <f>SUM(AW$5:AW94)</f>
        <v>0</v>
      </c>
      <c r="BP94" s="16">
        <f>SUM(AX$5:AX94)</f>
        <v>0</v>
      </c>
      <c r="BQ94" s="16">
        <f>SUM(AY$5:AY94)</f>
        <v>0</v>
      </c>
      <c r="BR94" s="16">
        <f>SUM(AZ$5:AZ94)</f>
        <v>0</v>
      </c>
      <c r="BS94" s="16">
        <f>SUM(BA$5:BA94)</f>
        <v>0</v>
      </c>
      <c r="BT94" s="16">
        <f>SUM(BB$5:BB94)</f>
        <v>0</v>
      </c>
      <c r="BU94" s="16">
        <f>SUM(BC$5:BC94)</f>
        <v>0</v>
      </c>
      <c r="BV94" s="16">
        <f>SUM(BD$5:BD94)</f>
        <v>0</v>
      </c>
      <c r="BW94" s="16">
        <f>SUM(BE$5:BE94)</f>
        <v>0</v>
      </c>
      <c r="BX94" s="16">
        <f>SUM(BF$5:BF94)</f>
        <v>0</v>
      </c>
      <c r="BY94" s="16">
        <f>SUM(BG$5:BG94)</f>
        <v>0</v>
      </c>
      <c r="BZ94" s="16">
        <f>SUM(BH$5:BH94)</f>
        <v>0</v>
      </c>
      <c r="CC94" s="16">
        <v>90</v>
      </c>
      <c r="CD94" s="16">
        <f t="shared" si="37"/>
        <v>0</v>
      </c>
      <c r="CE94" s="16">
        <f t="shared" si="38"/>
        <v>0</v>
      </c>
      <c r="CF94" s="16">
        <f t="shared" si="39"/>
        <v>0</v>
      </c>
      <c r="CG94" s="16">
        <f t="shared" si="40"/>
        <v>0</v>
      </c>
      <c r="CH94" s="16">
        <f t="shared" si="41"/>
        <v>0</v>
      </c>
      <c r="CI94" s="16">
        <f t="shared" si="42"/>
        <v>0</v>
      </c>
      <c r="CJ94" s="16">
        <f t="shared" si="43"/>
        <v>0</v>
      </c>
      <c r="CK94" s="16">
        <f t="shared" si="44"/>
        <v>0</v>
      </c>
      <c r="CL94" s="16">
        <f t="shared" si="45"/>
        <v>0</v>
      </c>
      <c r="CM94" s="16">
        <f t="shared" si="46"/>
        <v>0</v>
      </c>
      <c r="CN94" s="16">
        <f t="shared" si="47"/>
        <v>0</v>
      </c>
      <c r="CO94" s="16">
        <f t="shared" si="48"/>
        <v>0</v>
      </c>
      <c r="CP94" s="16">
        <f t="shared" si="49"/>
        <v>0</v>
      </c>
      <c r="CQ94" s="16">
        <f t="shared" si="50"/>
        <v>0</v>
      </c>
      <c r="CR94" s="16">
        <f t="shared" si="51"/>
        <v>0</v>
      </c>
      <c r="CV94" s="16">
        <v>90</v>
      </c>
      <c r="CW94" s="35">
        <f t="shared" si="54"/>
        <v>0.13200000000000001</v>
      </c>
      <c r="CX94" s="16">
        <f>其他调用!V93/$E$4*求节点(E$28:E$34,$P$28:$P$34,$CV94)*$CW94</f>
        <v>15.614349134918641</v>
      </c>
      <c r="CY94" s="16">
        <f>其他调用!W93/$E$4*求节点(F$28:F$34,$P$28:$P$34,$CV94)*$CW94</f>
        <v>17.475835211386109</v>
      </c>
      <c r="CZ94" s="16">
        <f>其他调用!X93/$E$4*求节点(G$28:G$34,$P$28:$P$34,$CV94)*$CW94</f>
        <v>19.38774230957344</v>
      </c>
      <c r="DA94" s="16">
        <f>其他调用!Y93/$E$4*求节点(H$28:H$34,$P$28:$P$34,$CV94)*$CW94</f>
        <v>14.862975187564921</v>
      </c>
      <c r="DB94" s="16">
        <f>其他调用!Z93/$E$4*求节点(I$28:I$34,$P$28:$P$34,$CV94)*$CW94</f>
        <v>8.0165425366450975</v>
      </c>
      <c r="DC94" s="16">
        <f>SUM(CX$5:CX94)</f>
        <v>205.97099364186477</v>
      </c>
      <c r="DD94" s="16">
        <f>SUM(CY$5:CY94)</f>
        <v>259.13234243862991</v>
      </c>
      <c r="DE94" s="16">
        <f>SUM(CZ$5:CZ94)</f>
        <v>290.52294703793689</v>
      </c>
      <c r="DF94" s="16">
        <f>SUM(DA$5:DA94)</f>
        <v>240.60467062654729</v>
      </c>
      <c r="DG94" s="16">
        <f>SUM(DB$5:DB94)</f>
        <v>131.1692632586221</v>
      </c>
    </row>
    <row r="95" spans="24:111">
      <c r="X95" s="16">
        <v>91</v>
      </c>
      <c r="Y95" s="45">
        <f t="shared" si="52"/>
        <v>590.625</v>
      </c>
      <c r="Z95" s="24">
        <f t="shared" si="53"/>
        <v>6.8000000000000005E-2</v>
      </c>
      <c r="AA95" s="16">
        <f>$Y95*$Z95*其他调用!V94</f>
        <v>67891.03498200998</v>
      </c>
      <c r="AB95" s="16">
        <f>$Y95*$Z95*其他调用!W94</f>
        <v>84783.800377598804</v>
      </c>
      <c r="AC95" s="16">
        <f>$Y95*$Z95*其他调用!X94</f>
        <v>88870.185844302876</v>
      </c>
      <c r="AD95" s="16">
        <f>$Y95*$Z95*其他调用!Y94</f>
        <v>73333.542359647094</v>
      </c>
      <c r="AE95" s="16">
        <f>$Y95*$Z95*其他调用!Z94</f>
        <v>38930.685460319553</v>
      </c>
      <c r="AH95" s="16">
        <v>91</v>
      </c>
      <c r="AI95" s="16">
        <f>SUM(AA$5:AA95)</f>
        <v>803964.04334775347</v>
      </c>
      <c r="AJ95" s="16">
        <f>SUM(AB$5:AB95)</f>
        <v>1001760.1563279331</v>
      </c>
      <c r="AK95" s="16">
        <f>SUM(AC$5:AC95)</f>
        <v>1092850.4907566721</v>
      </c>
      <c r="AL95" s="16">
        <f>SUM(AD$5:AD95)</f>
        <v>888015.32847704401</v>
      </c>
      <c r="AM95" s="16">
        <f>SUM(AE$5:AE95)</f>
        <v>479659.67867329071</v>
      </c>
      <c r="AR95" s="16">
        <v>91</v>
      </c>
      <c r="AS95" s="24">
        <f t="shared" si="36"/>
        <v>6.8000000000000005E-2</v>
      </c>
      <c r="AT95" s="16">
        <f>求节点(E$28:E$34,$M$28:$M$34,$AR95)*$AS95*其他调用!V94/$E$4</f>
        <v>0</v>
      </c>
      <c r="AU95" s="16">
        <f>求节点(F$28:F$34,$M$28:$M$34,$AR95)*$AS95*其他调用!W94/$E$4</f>
        <v>0</v>
      </c>
      <c r="AV95" s="16">
        <f>求节点(G$28:G$34,$M$28:$M$34,$AR95)*$AS95*其他调用!X94/$E$4</f>
        <v>0</v>
      </c>
      <c r="AW95" s="16">
        <f>求节点(H$28:H$34,$M$28:$M$34,$AR95)*$AS95*其他调用!Y94/$E$4</f>
        <v>0</v>
      </c>
      <c r="AX95" s="16">
        <f>求节点(I$28:I$34,$M$28:$M$34,$AR95)*$AS95*其他调用!Z94/$E$4</f>
        <v>0</v>
      </c>
      <c r="AY95" s="16">
        <f>求节点(E$28:E$34,$N$28:$N$34,$AR95)*$AS95*其他调用!V94/$E$4</f>
        <v>0</v>
      </c>
      <c r="AZ95" s="16">
        <f>求节点(F$28:F$34,$N$28:$N$34,$AR95)*$AS95*其他调用!W94/$E$4</f>
        <v>0</v>
      </c>
      <c r="BA95" s="16">
        <f>求节点(G$28:G$34,$N$28:$N$34,$AR95)*$AS95*其他调用!X94/$E$4</f>
        <v>0</v>
      </c>
      <c r="BB95" s="16">
        <f>求节点(H$28:H$34,$N$28:$N$34,$AR95)*$AS95*其他调用!Y94/$E$4</f>
        <v>0</v>
      </c>
      <c r="BC95" s="16">
        <f>求节点(I$28:I$34,$N$28:$N$34,$AR95)*$AS95*其他调用!Z94/$E$4</f>
        <v>0</v>
      </c>
      <c r="BD95" s="16">
        <f>求节点(E$28:E$34,$O$28:$O$34,$AR95)*$AS95*其他调用!V94/$E$4</f>
        <v>0</v>
      </c>
      <c r="BE95" s="16">
        <f>求节点(F$28:F$34,$O$28:$O$34,$AR95)*$AS95*其他调用!W94/$E$4</f>
        <v>0</v>
      </c>
      <c r="BF95" s="16">
        <f>求节点(G$28:G$34,$O$28:$O$34,$AR95)*$AS95*其他调用!X94/$E$4</f>
        <v>0</v>
      </c>
      <c r="BG95" s="16">
        <f>求节点(H$28:H$34,$O$28:$O$34,$AR95)*$AS95*其他调用!Y94/$E$4</f>
        <v>0</v>
      </c>
      <c r="BH95" s="16">
        <f>求节点(I$28:I$34,$O$28:$O$34,$AR95)*$AS95*其他调用!Z94/$E$4</f>
        <v>0</v>
      </c>
      <c r="BK95" s="16">
        <v>91</v>
      </c>
      <c r="BL95" s="16">
        <f>SUM(AT$5:AT95)</f>
        <v>0</v>
      </c>
      <c r="BM95" s="16">
        <f>SUM(AU$5:AU95)</f>
        <v>0</v>
      </c>
      <c r="BN95" s="16">
        <f>SUM(AV$5:AV95)</f>
        <v>0</v>
      </c>
      <c r="BO95" s="16">
        <f>SUM(AW$5:AW95)</f>
        <v>0</v>
      </c>
      <c r="BP95" s="16">
        <f>SUM(AX$5:AX95)</f>
        <v>0</v>
      </c>
      <c r="BQ95" s="16">
        <f>SUM(AY$5:AY95)</f>
        <v>0</v>
      </c>
      <c r="BR95" s="16">
        <f>SUM(AZ$5:AZ95)</f>
        <v>0</v>
      </c>
      <c r="BS95" s="16">
        <f>SUM(BA$5:BA95)</f>
        <v>0</v>
      </c>
      <c r="BT95" s="16">
        <f>SUM(BB$5:BB95)</f>
        <v>0</v>
      </c>
      <c r="BU95" s="16">
        <f>SUM(BC$5:BC95)</f>
        <v>0</v>
      </c>
      <c r="BV95" s="16">
        <f>SUM(BD$5:BD95)</f>
        <v>0</v>
      </c>
      <c r="BW95" s="16">
        <f>SUM(BE$5:BE95)</f>
        <v>0</v>
      </c>
      <c r="BX95" s="16">
        <f>SUM(BF$5:BF95)</f>
        <v>0</v>
      </c>
      <c r="BY95" s="16">
        <f>SUM(BG$5:BG95)</f>
        <v>0</v>
      </c>
      <c r="BZ95" s="16">
        <f>SUM(BH$5:BH95)</f>
        <v>0</v>
      </c>
      <c r="CC95" s="16">
        <v>91</v>
      </c>
      <c r="CD95" s="16">
        <f t="shared" si="37"/>
        <v>0</v>
      </c>
      <c r="CE95" s="16">
        <f t="shared" si="38"/>
        <v>0</v>
      </c>
      <c r="CF95" s="16">
        <f t="shared" si="39"/>
        <v>0</v>
      </c>
      <c r="CG95" s="16">
        <f t="shared" si="40"/>
        <v>0</v>
      </c>
      <c r="CH95" s="16">
        <f t="shared" si="41"/>
        <v>0</v>
      </c>
      <c r="CI95" s="16">
        <f t="shared" si="42"/>
        <v>0</v>
      </c>
      <c r="CJ95" s="16">
        <f t="shared" si="43"/>
        <v>0</v>
      </c>
      <c r="CK95" s="16">
        <f t="shared" si="44"/>
        <v>0</v>
      </c>
      <c r="CL95" s="16">
        <f t="shared" si="45"/>
        <v>0</v>
      </c>
      <c r="CM95" s="16">
        <f t="shared" si="46"/>
        <v>0</v>
      </c>
      <c r="CN95" s="16">
        <f t="shared" si="47"/>
        <v>0</v>
      </c>
      <c r="CO95" s="16">
        <f t="shared" si="48"/>
        <v>0</v>
      </c>
      <c r="CP95" s="16">
        <f t="shared" si="49"/>
        <v>0</v>
      </c>
      <c r="CQ95" s="16">
        <f t="shared" si="50"/>
        <v>0</v>
      </c>
      <c r="CR95" s="16">
        <f t="shared" si="51"/>
        <v>0</v>
      </c>
      <c r="CV95" s="16">
        <v>91</v>
      </c>
      <c r="CW95" s="35">
        <f t="shared" si="54"/>
        <v>0.13200000000000001</v>
      </c>
      <c r="CX95" s="16">
        <f>其他调用!V94/$E$4*求节点(E$28:E$34,$P$28:$P$34,$CV95)*$CW95</f>
        <v>16.735045037582289</v>
      </c>
      <c r="CY95" s="16">
        <f>其他调用!W94/$E$4*求节点(F$28:F$34,$P$28:$P$34,$CV95)*$CW95</f>
        <v>20.899088048259646</v>
      </c>
      <c r="CZ95" s="16">
        <f>其他调用!X94/$E$4*求节点(G$28:G$34,$P$28:$P$34,$CV95)*$CW95</f>
        <v>21.906376342573257</v>
      </c>
      <c r="DA95" s="16">
        <f>其他调用!Y94/$E$4*求节点(H$28:H$34,$P$28:$P$34,$CV95)*$CW95</f>
        <v>18.076615483610489</v>
      </c>
      <c r="DB95" s="16">
        <f>其他调用!Z94/$E$4*求节点(I$28:I$34,$P$28:$P$34,$CV95)*$CW95</f>
        <v>9.5963594411992172</v>
      </c>
      <c r="DC95" s="16">
        <f>SUM(CX$5:CX95)</f>
        <v>222.70603867944706</v>
      </c>
      <c r="DD95" s="16">
        <f>SUM(CY$5:CY95)</f>
        <v>280.03143048688958</v>
      </c>
      <c r="DE95" s="16">
        <f>SUM(CZ$5:CZ95)</f>
        <v>312.42932338051014</v>
      </c>
      <c r="DF95" s="16">
        <f>SUM(DA$5:DA95)</f>
        <v>258.68128611015777</v>
      </c>
      <c r="DG95" s="16">
        <f>SUM(DB$5:DB95)</f>
        <v>140.76562269982131</v>
      </c>
    </row>
    <row r="96" spans="24:111">
      <c r="X96" s="16">
        <v>92</v>
      </c>
      <c r="Y96" s="45">
        <f t="shared" si="52"/>
        <v>600</v>
      </c>
      <c r="Z96" s="24">
        <f t="shared" si="53"/>
        <v>6.8000000000000005E-2</v>
      </c>
      <c r="AA96" s="16">
        <f>$Y96*$Z96*其他调用!V95</f>
        <v>73918.790743203019</v>
      </c>
      <c r="AB96" s="16">
        <f>$Y96*$Z96*其他调用!W95</f>
        <v>89261.915052717028</v>
      </c>
      <c r="AC96" s="16">
        <f>$Y96*$Z96*其他调用!X95</f>
        <v>99068.838424678455</v>
      </c>
      <c r="AD96" s="16">
        <f>$Y96*$Z96*其他调用!Y95</f>
        <v>79662.118185952379</v>
      </c>
      <c r="AE96" s="16">
        <f>$Y96*$Z96*其他调用!Z95</f>
        <v>40987.674700280419</v>
      </c>
      <c r="AH96" s="16">
        <v>92</v>
      </c>
      <c r="AI96" s="16">
        <f>SUM(AA$5:AA96)</f>
        <v>877882.83409095649</v>
      </c>
      <c r="AJ96" s="16">
        <f>SUM(AB$5:AB96)</f>
        <v>1091022.0713806502</v>
      </c>
      <c r="AK96" s="16">
        <f>SUM(AC$5:AC96)</f>
        <v>1191919.3291813505</v>
      </c>
      <c r="AL96" s="16">
        <f>SUM(AD$5:AD96)</f>
        <v>967677.44666299643</v>
      </c>
      <c r="AM96" s="16">
        <f>SUM(AE$5:AE96)</f>
        <v>520647.35337357112</v>
      </c>
      <c r="AR96" s="16">
        <v>92</v>
      </c>
      <c r="AS96" s="24">
        <f t="shared" si="36"/>
        <v>6.8000000000000005E-2</v>
      </c>
      <c r="AT96" s="16">
        <f>求节点(E$28:E$34,$M$28:$M$34,$AR96)*$AS96*其他调用!V95/$E$4</f>
        <v>0</v>
      </c>
      <c r="AU96" s="16">
        <f>求节点(F$28:F$34,$M$28:$M$34,$AR96)*$AS96*其他调用!W95/$E$4</f>
        <v>0</v>
      </c>
      <c r="AV96" s="16">
        <f>求节点(G$28:G$34,$M$28:$M$34,$AR96)*$AS96*其他调用!X95/$E$4</f>
        <v>0</v>
      </c>
      <c r="AW96" s="16">
        <f>求节点(H$28:H$34,$M$28:$M$34,$AR96)*$AS96*其他调用!Y95/$E$4</f>
        <v>0</v>
      </c>
      <c r="AX96" s="16">
        <f>求节点(I$28:I$34,$M$28:$M$34,$AR96)*$AS96*其他调用!Z95/$E$4</f>
        <v>0</v>
      </c>
      <c r="AY96" s="16">
        <f>求节点(E$28:E$34,$N$28:$N$34,$AR96)*$AS96*其他调用!V95/$E$4</f>
        <v>0</v>
      </c>
      <c r="AZ96" s="16">
        <f>求节点(F$28:F$34,$N$28:$N$34,$AR96)*$AS96*其他调用!W95/$E$4</f>
        <v>0</v>
      </c>
      <c r="BA96" s="16">
        <f>求节点(G$28:G$34,$N$28:$N$34,$AR96)*$AS96*其他调用!X95/$E$4</f>
        <v>0</v>
      </c>
      <c r="BB96" s="16">
        <f>求节点(H$28:H$34,$N$28:$N$34,$AR96)*$AS96*其他调用!Y95/$E$4</f>
        <v>0</v>
      </c>
      <c r="BC96" s="16">
        <f>求节点(I$28:I$34,$N$28:$N$34,$AR96)*$AS96*其他调用!Z95/$E$4</f>
        <v>0</v>
      </c>
      <c r="BD96" s="16">
        <f>求节点(E$28:E$34,$O$28:$O$34,$AR96)*$AS96*其他调用!V95/$E$4</f>
        <v>0</v>
      </c>
      <c r="BE96" s="16">
        <f>求节点(F$28:F$34,$O$28:$O$34,$AR96)*$AS96*其他调用!W95/$E$4</f>
        <v>0</v>
      </c>
      <c r="BF96" s="16">
        <f>求节点(G$28:G$34,$O$28:$O$34,$AR96)*$AS96*其他调用!X95/$E$4</f>
        <v>0</v>
      </c>
      <c r="BG96" s="16">
        <f>求节点(H$28:H$34,$O$28:$O$34,$AR96)*$AS96*其他调用!Y95/$E$4</f>
        <v>0</v>
      </c>
      <c r="BH96" s="16">
        <f>求节点(I$28:I$34,$O$28:$O$34,$AR96)*$AS96*其他调用!Z95/$E$4</f>
        <v>0</v>
      </c>
      <c r="BK96" s="16">
        <v>92</v>
      </c>
      <c r="BL96" s="16">
        <f>SUM(AT$5:AT96)</f>
        <v>0</v>
      </c>
      <c r="BM96" s="16">
        <f>SUM(AU$5:AU96)</f>
        <v>0</v>
      </c>
      <c r="BN96" s="16">
        <f>SUM(AV$5:AV96)</f>
        <v>0</v>
      </c>
      <c r="BO96" s="16">
        <f>SUM(AW$5:AW96)</f>
        <v>0</v>
      </c>
      <c r="BP96" s="16">
        <f>SUM(AX$5:AX96)</f>
        <v>0</v>
      </c>
      <c r="BQ96" s="16">
        <f>SUM(AY$5:AY96)</f>
        <v>0</v>
      </c>
      <c r="BR96" s="16">
        <f>SUM(AZ$5:AZ96)</f>
        <v>0</v>
      </c>
      <c r="BS96" s="16">
        <f>SUM(BA$5:BA96)</f>
        <v>0</v>
      </c>
      <c r="BT96" s="16">
        <f>SUM(BB$5:BB96)</f>
        <v>0</v>
      </c>
      <c r="BU96" s="16">
        <f>SUM(BC$5:BC96)</f>
        <v>0</v>
      </c>
      <c r="BV96" s="16">
        <f>SUM(BD$5:BD96)</f>
        <v>0</v>
      </c>
      <c r="BW96" s="16">
        <f>SUM(BE$5:BE96)</f>
        <v>0</v>
      </c>
      <c r="BX96" s="16">
        <f>SUM(BF$5:BF96)</f>
        <v>0</v>
      </c>
      <c r="BY96" s="16">
        <f>SUM(BG$5:BG96)</f>
        <v>0</v>
      </c>
      <c r="BZ96" s="16">
        <f>SUM(BH$5:BH96)</f>
        <v>0</v>
      </c>
      <c r="CC96" s="16">
        <v>92</v>
      </c>
      <c r="CD96" s="16">
        <f t="shared" si="37"/>
        <v>0</v>
      </c>
      <c r="CE96" s="16">
        <f t="shared" si="38"/>
        <v>0</v>
      </c>
      <c r="CF96" s="16">
        <f t="shared" si="39"/>
        <v>0</v>
      </c>
      <c r="CG96" s="16">
        <f t="shared" si="40"/>
        <v>0</v>
      </c>
      <c r="CH96" s="16">
        <f t="shared" si="41"/>
        <v>0</v>
      </c>
      <c r="CI96" s="16">
        <f t="shared" si="42"/>
        <v>0</v>
      </c>
      <c r="CJ96" s="16">
        <f t="shared" si="43"/>
        <v>0</v>
      </c>
      <c r="CK96" s="16">
        <f t="shared" si="44"/>
        <v>0</v>
      </c>
      <c r="CL96" s="16">
        <f t="shared" si="45"/>
        <v>0</v>
      </c>
      <c r="CM96" s="16">
        <f t="shared" si="46"/>
        <v>0</v>
      </c>
      <c r="CN96" s="16">
        <f t="shared" si="47"/>
        <v>0</v>
      </c>
      <c r="CO96" s="16">
        <f t="shared" si="48"/>
        <v>0</v>
      </c>
      <c r="CP96" s="16">
        <f t="shared" si="49"/>
        <v>0</v>
      </c>
      <c r="CQ96" s="16">
        <f t="shared" si="50"/>
        <v>0</v>
      </c>
      <c r="CR96" s="16">
        <f t="shared" si="51"/>
        <v>0</v>
      </c>
      <c r="CV96" s="16">
        <v>92</v>
      </c>
      <c r="CW96" s="35">
        <f t="shared" si="54"/>
        <v>0.13200000000000001</v>
      </c>
      <c r="CX96" s="16">
        <f>其他调用!V95/$E$4*求节点(E$28:E$34,$P$28:$P$34,$CV96)*$CW96</f>
        <v>17.936177165630141</v>
      </c>
      <c r="CY96" s="16">
        <f>其他调用!W95/$E$4*求节点(F$28:F$34,$P$28:$P$34,$CV96)*$CW96</f>
        <v>21.659141152497515</v>
      </c>
      <c r="CZ96" s="16">
        <f>其他调用!X95/$E$4*求节点(G$28:G$34,$P$28:$P$34,$CV96)*$CW96</f>
        <v>24.03876226481168</v>
      </c>
      <c r="DA96" s="16">
        <f>其他调用!Y95/$E$4*求节点(H$28:H$34,$P$28:$P$34,$CV96)*$CW96</f>
        <v>19.329778677473737</v>
      </c>
      <c r="DB96" s="16">
        <f>其他调用!Z95/$E$4*求节点(I$28:I$34,$P$28:$P$34,$CV96)*$CW96</f>
        <v>9.94553871403863</v>
      </c>
      <c r="DC96" s="16">
        <f>SUM(CX$5:CX96)</f>
        <v>240.6422158450772</v>
      </c>
      <c r="DD96" s="16">
        <f>SUM(CY$5:CY96)</f>
        <v>301.69057163938709</v>
      </c>
      <c r="DE96" s="16">
        <f>SUM(CZ$5:CZ96)</f>
        <v>336.46808564532182</v>
      </c>
      <c r="DF96" s="16">
        <f>SUM(DA$5:DA96)</f>
        <v>278.01106478763148</v>
      </c>
      <c r="DG96" s="16">
        <f>SUM(DB$5:DB96)</f>
        <v>150.71116141385994</v>
      </c>
    </row>
    <row r="97" spans="24:111">
      <c r="X97" s="16">
        <v>93</v>
      </c>
      <c r="Y97" s="45">
        <f t="shared" si="52"/>
        <v>612.5</v>
      </c>
      <c r="Z97" s="24">
        <f t="shared" si="53"/>
        <v>6.8000000000000005E-2</v>
      </c>
      <c r="AA97" s="16">
        <f>$Y97*$Z97*其他调用!V96</f>
        <v>80874.702432618229</v>
      </c>
      <c r="AB97" s="16">
        <f>$Y97*$Z97*其他调用!W96</f>
        <v>100598.65246412111</v>
      </c>
      <c r="AC97" s="16">
        <f>$Y97*$Z97*其他调用!X96</f>
        <v>108247.18485873545</v>
      </c>
      <c r="AD97" s="16">
        <f>$Y97*$Z97*其他调用!Y96</f>
        <v>85609.021002557303</v>
      </c>
      <c r="AE97" s="16">
        <f>$Y97*$Z97*其他调用!Z96</f>
        <v>45922.535932474704</v>
      </c>
      <c r="AH97" s="16">
        <v>93</v>
      </c>
      <c r="AI97" s="16">
        <f>SUM(AA$5:AA97)</f>
        <v>958757.53652357473</v>
      </c>
      <c r="AJ97" s="16">
        <f>SUM(AB$5:AB97)</f>
        <v>1191620.7238447713</v>
      </c>
      <c r="AK97" s="16">
        <f>SUM(AC$5:AC97)</f>
        <v>1300166.514040086</v>
      </c>
      <c r="AL97" s="16">
        <f>SUM(AD$5:AD97)</f>
        <v>1053286.4676655538</v>
      </c>
      <c r="AM97" s="16">
        <f>SUM(AE$5:AE97)</f>
        <v>566569.88930604584</v>
      </c>
      <c r="AR97" s="16">
        <v>93</v>
      </c>
      <c r="AS97" s="24">
        <f t="shared" si="36"/>
        <v>6.8000000000000005E-2</v>
      </c>
      <c r="AT97" s="16">
        <f>求节点(E$28:E$34,$M$28:$M$34,$AR97)*$AS97*其他调用!V96/$E$4</f>
        <v>0</v>
      </c>
      <c r="AU97" s="16">
        <f>求节点(F$28:F$34,$M$28:$M$34,$AR97)*$AS97*其他调用!W96/$E$4</f>
        <v>0</v>
      </c>
      <c r="AV97" s="16">
        <f>求节点(G$28:G$34,$M$28:$M$34,$AR97)*$AS97*其他调用!X96/$E$4</f>
        <v>0</v>
      </c>
      <c r="AW97" s="16">
        <f>求节点(H$28:H$34,$M$28:$M$34,$AR97)*$AS97*其他调用!Y96/$E$4</f>
        <v>0</v>
      </c>
      <c r="AX97" s="16">
        <f>求节点(I$28:I$34,$M$28:$M$34,$AR97)*$AS97*其他调用!Z96/$E$4</f>
        <v>0</v>
      </c>
      <c r="AY97" s="16">
        <f>求节点(E$28:E$34,$N$28:$N$34,$AR97)*$AS97*其他调用!V96/$E$4</f>
        <v>0</v>
      </c>
      <c r="AZ97" s="16">
        <f>求节点(F$28:F$34,$N$28:$N$34,$AR97)*$AS97*其他调用!W96/$E$4</f>
        <v>0</v>
      </c>
      <c r="BA97" s="16">
        <f>求节点(G$28:G$34,$N$28:$N$34,$AR97)*$AS97*其他调用!X96/$E$4</f>
        <v>0</v>
      </c>
      <c r="BB97" s="16">
        <f>求节点(H$28:H$34,$N$28:$N$34,$AR97)*$AS97*其他调用!Y96/$E$4</f>
        <v>0</v>
      </c>
      <c r="BC97" s="16">
        <f>求节点(I$28:I$34,$N$28:$N$34,$AR97)*$AS97*其他调用!Z96/$E$4</f>
        <v>0</v>
      </c>
      <c r="BD97" s="16">
        <f>求节点(E$28:E$34,$O$28:$O$34,$AR97)*$AS97*其他调用!V96/$E$4</f>
        <v>0</v>
      </c>
      <c r="BE97" s="16">
        <f>求节点(F$28:F$34,$O$28:$O$34,$AR97)*$AS97*其他调用!W96/$E$4</f>
        <v>0</v>
      </c>
      <c r="BF97" s="16">
        <f>求节点(G$28:G$34,$O$28:$O$34,$AR97)*$AS97*其他调用!X96/$E$4</f>
        <v>0</v>
      </c>
      <c r="BG97" s="16">
        <f>求节点(H$28:H$34,$O$28:$O$34,$AR97)*$AS97*其他调用!Y96/$E$4</f>
        <v>0</v>
      </c>
      <c r="BH97" s="16">
        <f>求节点(I$28:I$34,$O$28:$O$34,$AR97)*$AS97*其他调用!Z96/$E$4</f>
        <v>0</v>
      </c>
      <c r="BK97" s="16">
        <v>93</v>
      </c>
      <c r="BL97" s="16">
        <f>SUM(AT$5:AT97)</f>
        <v>0</v>
      </c>
      <c r="BM97" s="16">
        <f>SUM(AU$5:AU97)</f>
        <v>0</v>
      </c>
      <c r="BN97" s="16">
        <f>SUM(AV$5:AV97)</f>
        <v>0</v>
      </c>
      <c r="BO97" s="16">
        <f>SUM(AW$5:AW97)</f>
        <v>0</v>
      </c>
      <c r="BP97" s="16">
        <f>SUM(AX$5:AX97)</f>
        <v>0</v>
      </c>
      <c r="BQ97" s="16">
        <f>SUM(AY$5:AY97)</f>
        <v>0</v>
      </c>
      <c r="BR97" s="16">
        <f>SUM(AZ$5:AZ97)</f>
        <v>0</v>
      </c>
      <c r="BS97" s="16">
        <f>SUM(BA$5:BA97)</f>
        <v>0</v>
      </c>
      <c r="BT97" s="16">
        <f>SUM(BB$5:BB97)</f>
        <v>0</v>
      </c>
      <c r="BU97" s="16">
        <f>SUM(BC$5:BC97)</f>
        <v>0</v>
      </c>
      <c r="BV97" s="16">
        <f>SUM(BD$5:BD97)</f>
        <v>0</v>
      </c>
      <c r="BW97" s="16">
        <f>SUM(BE$5:BE97)</f>
        <v>0</v>
      </c>
      <c r="BX97" s="16">
        <f>SUM(BF$5:BF97)</f>
        <v>0</v>
      </c>
      <c r="BY97" s="16">
        <f>SUM(BG$5:BG97)</f>
        <v>0</v>
      </c>
      <c r="BZ97" s="16">
        <f>SUM(BH$5:BH97)</f>
        <v>0</v>
      </c>
      <c r="CC97" s="16">
        <v>93</v>
      </c>
      <c r="CD97" s="16">
        <f t="shared" si="37"/>
        <v>0</v>
      </c>
      <c r="CE97" s="16">
        <f t="shared" si="38"/>
        <v>0</v>
      </c>
      <c r="CF97" s="16">
        <f t="shared" si="39"/>
        <v>0</v>
      </c>
      <c r="CG97" s="16">
        <f t="shared" si="40"/>
        <v>0</v>
      </c>
      <c r="CH97" s="16">
        <f t="shared" si="41"/>
        <v>0</v>
      </c>
      <c r="CI97" s="16">
        <f t="shared" si="42"/>
        <v>0</v>
      </c>
      <c r="CJ97" s="16">
        <f t="shared" si="43"/>
        <v>0</v>
      </c>
      <c r="CK97" s="16">
        <f t="shared" si="44"/>
        <v>0</v>
      </c>
      <c r="CL97" s="16">
        <f t="shared" si="45"/>
        <v>0</v>
      </c>
      <c r="CM97" s="16">
        <f t="shared" si="46"/>
        <v>0</v>
      </c>
      <c r="CN97" s="16">
        <f t="shared" si="47"/>
        <v>0</v>
      </c>
      <c r="CO97" s="16">
        <f t="shared" si="48"/>
        <v>0</v>
      </c>
      <c r="CP97" s="16">
        <f t="shared" si="49"/>
        <v>0</v>
      </c>
      <c r="CQ97" s="16">
        <f t="shared" si="50"/>
        <v>0</v>
      </c>
      <c r="CR97" s="16">
        <f t="shared" si="51"/>
        <v>0</v>
      </c>
      <c r="CV97" s="16">
        <v>93</v>
      </c>
      <c r="CW97" s="35">
        <f t="shared" si="54"/>
        <v>0.13200000000000001</v>
      </c>
      <c r="CX97" s="16">
        <f>其他调用!V96/$E$4*求节点(E$28:E$34,$P$28:$P$34,$CV97)*$CW97</f>
        <v>19.22351870547228</v>
      </c>
      <c r="CY97" s="16">
        <f>其他调用!W96/$E$4*求节点(F$28:F$34,$P$28:$P$34,$CV97)*$CW97</f>
        <v>23.911804547294089</v>
      </c>
      <c r="CZ97" s="16">
        <f>其他调用!X96/$E$4*求节点(G$28:G$34,$P$28:$P$34,$CV97)*$CW97</f>
        <v>25.729823051656201</v>
      </c>
      <c r="DA97" s="16">
        <f>其他调用!Y96/$E$4*求节点(H$28:H$34,$P$28:$P$34,$CV97)*$CW97</f>
        <v>20.348842927378566</v>
      </c>
      <c r="DB97" s="16">
        <f>其他调用!Z96/$E$4*求节点(I$28:I$34,$P$28:$P$34,$CV97)*$CW97</f>
        <v>10.91556076186073</v>
      </c>
      <c r="DC97" s="16">
        <f>SUM(CX$5:CX97)</f>
        <v>259.86573455054946</v>
      </c>
      <c r="DD97" s="16">
        <f>SUM(CY$5:CY97)</f>
        <v>325.60237618668117</v>
      </c>
      <c r="DE97" s="16">
        <f>SUM(CZ$5:CZ97)</f>
        <v>362.197908696978</v>
      </c>
      <c r="DF97" s="16">
        <f>SUM(DA$5:DA97)</f>
        <v>298.35990771501002</v>
      </c>
      <c r="DG97" s="16">
        <f>SUM(DB$5:DB97)</f>
        <v>161.62672217572066</v>
      </c>
    </row>
    <row r="98" spans="24:111">
      <c r="X98" s="16">
        <v>94</v>
      </c>
      <c r="Y98" s="45">
        <f t="shared" si="52"/>
        <v>625</v>
      </c>
      <c r="Z98" s="24">
        <f t="shared" si="53"/>
        <v>6.8000000000000005E-2</v>
      </c>
      <c r="AA98" s="16">
        <f>$Y98*$Z98*其他调用!V97</f>
        <v>88448.326385508859</v>
      </c>
      <c r="AB98" s="16">
        <f>$Y98*$Z98*其他调用!W97</f>
        <v>108085.56053898545</v>
      </c>
      <c r="AC98" s="16">
        <f>$Y98*$Z98*其他调用!X97</f>
        <v>117443.72589794395</v>
      </c>
      <c r="AD98" s="16">
        <f>$Y98*$Z98*其他调用!Y97</f>
        <v>92718.016517649754</v>
      </c>
      <c r="AE98" s="16">
        <f>$Y98*$Z98*其他调用!Z97</f>
        <v>49434.052292055276</v>
      </c>
      <c r="AH98" s="16">
        <v>94</v>
      </c>
      <c r="AI98" s="16">
        <f>SUM(AA$5:AA98)</f>
        <v>1047205.8629090836</v>
      </c>
      <c r="AJ98" s="16">
        <f>SUM(AB$5:AB98)</f>
        <v>1299706.2843837568</v>
      </c>
      <c r="AK98" s="16">
        <f>SUM(AC$5:AC98)</f>
        <v>1417610.23993803</v>
      </c>
      <c r="AL98" s="16">
        <f>SUM(AD$5:AD98)</f>
        <v>1146004.4841832034</v>
      </c>
      <c r="AM98" s="16">
        <f>SUM(AE$5:AE98)</f>
        <v>616003.94159810105</v>
      </c>
      <c r="AR98" s="16">
        <v>94</v>
      </c>
      <c r="AS98" s="24">
        <f t="shared" si="36"/>
        <v>6.8000000000000005E-2</v>
      </c>
      <c r="AT98" s="16">
        <f>求节点(E$28:E$34,$M$28:$M$34,$AR98)*$AS98*其他调用!V97/$E$4</f>
        <v>0</v>
      </c>
      <c r="AU98" s="16">
        <f>求节点(F$28:F$34,$M$28:$M$34,$AR98)*$AS98*其他调用!W97/$E$4</f>
        <v>0</v>
      </c>
      <c r="AV98" s="16">
        <f>求节点(G$28:G$34,$M$28:$M$34,$AR98)*$AS98*其他调用!X97/$E$4</f>
        <v>0</v>
      </c>
      <c r="AW98" s="16">
        <f>求节点(H$28:H$34,$M$28:$M$34,$AR98)*$AS98*其他调用!Y97/$E$4</f>
        <v>0</v>
      </c>
      <c r="AX98" s="16">
        <f>求节点(I$28:I$34,$M$28:$M$34,$AR98)*$AS98*其他调用!Z97/$E$4</f>
        <v>0</v>
      </c>
      <c r="AY98" s="16">
        <f>求节点(E$28:E$34,$N$28:$N$34,$AR98)*$AS98*其他调用!V97/$E$4</f>
        <v>0</v>
      </c>
      <c r="AZ98" s="16">
        <f>求节点(F$28:F$34,$N$28:$N$34,$AR98)*$AS98*其他调用!W97/$E$4</f>
        <v>0</v>
      </c>
      <c r="BA98" s="16">
        <f>求节点(G$28:G$34,$N$28:$N$34,$AR98)*$AS98*其他调用!X97/$E$4</f>
        <v>0</v>
      </c>
      <c r="BB98" s="16">
        <f>求节点(H$28:H$34,$N$28:$N$34,$AR98)*$AS98*其他调用!Y97/$E$4</f>
        <v>0</v>
      </c>
      <c r="BC98" s="16">
        <f>求节点(I$28:I$34,$N$28:$N$34,$AR98)*$AS98*其他调用!Z97/$E$4</f>
        <v>0</v>
      </c>
      <c r="BD98" s="16">
        <f>求节点(E$28:E$34,$O$28:$O$34,$AR98)*$AS98*其他调用!V97/$E$4</f>
        <v>0</v>
      </c>
      <c r="BE98" s="16">
        <f>求节点(F$28:F$34,$O$28:$O$34,$AR98)*$AS98*其他调用!W97/$E$4</f>
        <v>0</v>
      </c>
      <c r="BF98" s="16">
        <f>求节点(G$28:G$34,$O$28:$O$34,$AR98)*$AS98*其他调用!X97/$E$4</f>
        <v>0</v>
      </c>
      <c r="BG98" s="16">
        <f>求节点(H$28:H$34,$O$28:$O$34,$AR98)*$AS98*其他调用!Y97/$E$4</f>
        <v>0</v>
      </c>
      <c r="BH98" s="16">
        <f>求节点(I$28:I$34,$O$28:$O$34,$AR98)*$AS98*其他调用!Z97/$E$4</f>
        <v>0</v>
      </c>
      <c r="BK98" s="16">
        <v>94</v>
      </c>
      <c r="BL98" s="16">
        <f>SUM(AT$5:AT98)</f>
        <v>0</v>
      </c>
      <c r="BM98" s="16">
        <f>SUM(AU$5:AU98)</f>
        <v>0</v>
      </c>
      <c r="BN98" s="16">
        <f>SUM(AV$5:AV98)</f>
        <v>0</v>
      </c>
      <c r="BO98" s="16">
        <f>SUM(AW$5:AW98)</f>
        <v>0</v>
      </c>
      <c r="BP98" s="16">
        <f>SUM(AX$5:AX98)</f>
        <v>0</v>
      </c>
      <c r="BQ98" s="16">
        <f>SUM(AY$5:AY98)</f>
        <v>0</v>
      </c>
      <c r="BR98" s="16">
        <f>SUM(AZ$5:AZ98)</f>
        <v>0</v>
      </c>
      <c r="BS98" s="16">
        <f>SUM(BA$5:BA98)</f>
        <v>0</v>
      </c>
      <c r="BT98" s="16">
        <f>SUM(BB$5:BB98)</f>
        <v>0</v>
      </c>
      <c r="BU98" s="16">
        <f>SUM(BC$5:BC98)</f>
        <v>0</v>
      </c>
      <c r="BV98" s="16">
        <f>SUM(BD$5:BD98)</f>
        <v>0</v>
      </c>
      <c r="BW98" s="16">
        <f>SUM(BE$5:BE98)</f>
        <v>0</v>
      </c>
      <c r="BX98" s="16">
        <f>SUM(BF$5:BF98)</f>
        <v>0</v>
      </c>
      <c r="BY98" s="16">
        <f>SUM(BG$5:BG98)</f>
        <v>0</v>
      </c>
      <c r="BZ98" s="16">
        <f>SUM(BH$5:BH98)</f>
        <v>0</v>
      </c>
      <c r="CC98" s="16">
        <v>94</v>
      </c>
      <c r="CD98" s="16">
        <f t="shared" si="37"/>
        <v>0</v>
      </c>
      <c r="CE98" s="16">
        <f t="shared" si="38"/>
        <v>0</v>
      </c>
      <c r="CF98" s="16">
        <f t="shared" si="39"/>
        <v>0</v>
      </c>
      <c r="CG98" s="16">
        <f t="shared" si="40"/>
        <v>0</v>
      </c>
      <c r="CH98" s="16">
        <f t="shared" si="41"/>
        <v>0</v>
      </c>
      <c r="CI98" s="16">
        <f t="shared" si="42"/>
        <v>0</v>
      </c>
      <c r="CJ98" s="16">
        <f t="shared" si="43"/>
        <v>0</v>
      </c>
      <c r="CK98" s="16">
        <f t="shared" si="44"/>
        <v>0</v>
      </c>
      <c r="CL98" s="16">
        <f t="shared" si="45"/>
        <v>0</v>
      </c>
      <c r="CM98" s="16">
        <f t="shared" si="46"/>
        <v>0</v>
      </c>
      <c r="CN98" s="16">
        <f t="shared" si="47"/>
        <v>0</v>
      </c>
      <c r="CO98" s="16">
        <f t="shared" si="48"/>
        <v>0</v>
      </c>
      <c r="CP98" s="16">
        <f t="shared" si="49"/>
        <v>0</v>
      </c>
      <c r="CQ98" s="16">
        <f t="shared" si="50"/>
        <v>0</v>
      </c>
      <c r="CR98" s="16">
        <f t="shared" si="51"/>
        <v>0</v>
      </c>
      <c r="CV98" s="16">
        <v>94</v>
      </c>
      <c r="CW98" s="35">
        <f t="shared" si="54"/>
        <v>0.13200000000000001</v>
      </c>
      <c r="CX98" s="16">
        <f>其他调用!V97/$E$4*求节点(E$28:E$34,$P$28:$P$34,$CV98)*$CW98</f>
        <v>20.603257205095002</v>
      </c>
      <c r="CY98" s="16">
        <f>其他调用!W97/$E$4*求节点(F$28:F$34,$P$28:$P$34,$CV98)*$CW98</f>
        <v>25.177577631434257</v>
      </c>
      <c r="CZ98" s="16">
        <f>其他调用!X97/$E$4*求节点(G$28:G$34,$P$28:$P$34,$CV98)*$CW98</f>
        <v>27.357479679756356</v>
      </c>
      <c r="DA98" s="16">
        <f>其他调用!Y97/$E$4*求节点(H$28:H$34,$P$28:$P$34,$CV98)*$CW98</f>
        <v>21.597843847640764</v>
      </c>
      <c r="DB98" s="16">
        <f>其他调用!Z97/$E$4*求节点(I$28:I$34,$P$28:$P$34,$CV98)*$CW98</f>
        <v>11.515226298619936</v>
      </c>
      <c r="DC98" s="16">
        <f>SUM(CX$5:CX98)</f>
        <v>280.46899175564448</v>
      </c>
      <c r="DD98" s="16">
        <f>SUM(CY$5:CY98)</f>
        <v>350.77995381811542</v>
      </c>
      <c r="DE98" s="16">
        <f>SUM(CZ$5:CZ98)</f>
        <v>389.55538837673436</v>
      </c>
      <c r="DF98" s="16">
        <f>SUM(DA$5:DA98)</f>
        <v>319.9577515626508</v>
      </c>
      <c r="DG98" s="16">
        <f>SUM(DB$5:DB98)</f>
        <v>173.14194847434061</v>
      </c>
    </row>
    <row r="99" spans="24:111">
      <c r="X99" s="16">
        <v>95</v>
      </c>
      <c r="Y99" s="45">
        <f t="shared" si="52"/>
        <v>637.5</v>
      </c>
      <c r="Z99" s="24">
        <f t="shared" si="53"/>
        <v>6.8000000000000005E-2</v>
      </c>
      <c r="AA99" s="16">
        <f>$Y99*$Z99*其他调用!V98</f>
        <v>96692.500406251813</v>
      </c>
      <c r="AB99" s="16">
        <f>$Y99*$Z99*其他调用!W98</f>
        <v>121575.19405371773</v>
      </c>
      <c r="AC99" s="16">
        <f>$Y99*$Z99*其他调用!X98</f>
        <v>125878.70545522765</v>
      </c>
      <c r="AD99" s="16">
        <f>$Y99*$Z99*其他调用!Y98</f>
        <v>101292.7317774918</v>
      </c>
      <c r="AE99" s="16">
        <f>$Y99*$Z99*其他调用!Z98</f>
        <v>58947.276780272223</v>
      </c>
      <c r="AH99" s="16">
        <v>95</v>
      </c>
      <c r="AI99" s="16">
        <f>SUM(AA$5:AA99)</f>
        <v>1143898.3633153355</v>
      </c>
      <c r="AJ99" s="16">
        <f>SUM(AB$5:AB99)</f>
        <v>1421281.4784374745</v>
      </c>
      <c r="AK99" s="16">
        <f>SUM(AC$5:AC99)</f>
        <v>1543488.9453932578</v>
      </c>
      <c r="AL99" s="16">
        <f>SUM(AD$5:AD99)</f>
        <v>1247297.2159606952</v>
      </c>
      <c r="AM99" s="16">
        <f>SUM(AE$5:AE99)</f>
        <v>674951.21837837331</v>
      </c>
      <c r="AR99" s="16">
        <v>95</v>
      </c>
      <c r="AS99" s="24">
        <f t="shared" si="36"/>
        <v>6.8000000000000005E-2</v>
      </c>
      <c r="AT99" s="16">
        <f>求节点(E$28:E$34,$M$28:$M$34,$AR99)*$AS99*其他调用!V98/$E$4</f>
        <v>0</v>
      </c>
      <c r="AU99" s="16">
        <f>求节点(F$28:F$34,$M$28:$M$34,$AR99)*$AS99*其他调用!W98/$E$4</f>
        <v>0</v>
      </c>
      <c r="AV99" s="16">
        <f>求节点(G$28:G$34,$M$28:$M$34,$AR99)*$AS99*其他调用!X98/$E$4</f>
        <v>0</v>
      </c>
      <c r="AW99" s="16">
        <f>求节点(H$28:H$34,$M$28:$M$34,$AR99)*$AS99*其他调用!Y98/$E$4</f>
        <v>0</v>
      </c>
      <c r="AX99" s="16">
        <f>求节点(I$28:I$34,$M$28:$M$34,$AR99)*$AS99*其他调用!Z98/$E$4</f>
        <v>0</v>
      </c>
      <c r="AY99" s="16">
        <f>求节点(E$28:E$34,$N$28:$N$34,$AR99)*$AS99*其他调用!V98/$E$4</f>
        <v>0</v>
      </c>
      <c r="AZ99" s="16">
        <f>求节点(F$28:F$34,$N$28:$N$34,$AR99)*$AS99*其他调用!W98/$E$4</f>
        <v>0</v>
      </c>
      <c r="BA99" s="16">
        <f>求节点(G$28:G$34,$N$28:$N$34,$AR99)*$AS99*其他调用!X98/$E$4</f>
        <v>0</v>
      </c>
      <c r="BB99" s="16">
        <f>求节点(H$28:H$34,$N$28:$N$34,$AR99)*$AS99*其他调用!Y98/$E$4</f>
        <v>0</v>
      </c>
      <c r="BC99" s="16">
        <f>求节点(I$28:I$34,$N$28:$N$34,$AR99)*$AS99*其他调用!Z98/$E$4</f>
        <v>0</v>
      </c>
      <c r="BD99" s="16">
        <f>求节点(E$28:E$34,$O$28:$O$34,$AR99)*$AS99*其他调用!V98/$E$4</f>
        <v>0</v>
      </c>
      <c r="BE99" s="16">
        <f>求节点(F$28:F$34,$O$28:$O$34,$AR99)*$AS99*其他调用!W98/$E$4</f>
        <v>0</v>
      </c>
      <c r="BF99" s="16">
        <f>求节点(G$28:G$34,$O$28:$O$34,$AR99)*$AS99*其他调用!X98/$E$4</f>
        <v>0</v>
      </c>
      <c r="BG99" s="16">
        <f>求节点(H$28:H$34,$O$28:$O$34,$AR99)*$AS99*其他调用!Y98/$E$4</f>
        <v>0</v>
      </c>
      <c r="BH99" s="16">
        <f>求节点(I$28:I$34,$O$28:$O$34,$AR99)*$AS99*其他调用!Z98/$E$4</f>
        <v>0</v>
      </c>
      <c r="BK99" s="16">
        <v>95</v>
      </c>
      <c r="BL99" s="16">
        <f>SUM(AT$5:AT99)</f>
        <v>0</v>
      </c>
      <c r="BM99" s="16">
        <f>SUM(AU$5:AU99)</f>
        <v>0</v>
      </c>
      <c r="BN99" s="16">
        <f>SUM(AV$5:AV99)</f>
        <v>0</v>
      </c>
      <c r="BO99" s="16">
        <f>SUM(AW$5:AW99)</f>
        <v>0</v>
      </c>
      <c r="BP99" s="16">
        <f>SUM(AX$5:AX99)</f>
        <v>0</v>
      </c>
      <c r="BQ99" s="16">
        <f>SUM(AY$5:AY99)</f>
        <v>0</v>
      </c>
      <c r="BR99" s="16">
        <f>SUM(AZ$5:AZ99)</f>
        <v>0</v>
      </c>
      <c r="BS99" s="16">
        <f>SUM(BA$5:BA99)</f>
        <v>0</v>
      </c>
      <c r="BT99" s="16">
        <f>SUM(BB$5:BB99)</f>
        <v>0</v>
      </c>
      <c r="BU99" s="16">
        <f>SUM(BC$5:BC99)</f>
        <v>0</v>
      </c>
      <c r="BV99" s="16">
        <f>SUM(BD$5:BD99)</f>
        <v>0</v>
      </c>
      <c r="BW99" s="16">
        <f>SUM(BE$5:BE99)</f>
        <v>0</v>
      </c>
      <c r="BX99" s="16">
        <f>SUM(BF$5:BF99)</f>
        <v>0</v>
      </c>
      <c r="BY99" s="16">
        <f>SUM(BG$5:BG99)</f>
        <v>0</v>
      </c>
      <c r="BZ99" s="16">
        <f>SUM(BH$5:BH99)</f>
        <v>0</v>
      </c>
      <c r="CC99" s="16">
        <v>95</v>
      </c>
      <c r="CD99" s="16">
        <f t="shared" si="37"/>
        <v>0</v>
      </c>
      <c r="CE99" s="16">
        <f t="shared" si="38"/>
        <v>0</v>
      </c>
      <c r="CF99" s="16">
        <f t="shared" si="39"/>
        <v>0</v>
      </c>
      <c r="CG99" s="16">
        <f t="shared" si="40"/>
        <v>0</v>
      </c>
      <c r="CH99" s="16">
        <f t="shared" si="41"/>
        <v>0</v>
      </c>
      <c r="CI99" s="16">
        <f t="shared" si="42"/>
        <v>0</v>
      </c>
      <c r="CJ99" s="16">
        <f t="shared" si="43"/>
        <v>0</v>
      </c>
      <c r="CK99" s="16">
        <f t="shared" si="44"/>
        <v>0</v>
      </c>
      <c r="CL99" s="16">
        <f t="shared" si="45"/>
        <v>0</v>
      </c>
      <c r="CM99" s="16">
        <f t="shared" si="46"/>
        <v>0</v>
      </c>
      <c r="CN99" s="16">
        <f t="shared" si="47"/>
        <v>0</v>
      </c>
      <c r="CO99" s="16">
        <f t="shared" si="48"/>
        <v>0</v>
      </c>
      <c r="CP99" s="16">
        <f t="shared" si="49"/>
        <v>0</v>
      </c>
      <c r="CQ99" s="16">
        <f t="shared" si="50"/>
        <v>0</v>
      </c>
      <c r="CR99" s="16">
        <f t="shared" si="51"/>
        <v>0</v>
      </c>
      <c r="CV99" s="16">
        <v>95</v>
      </c>
      <c r="CW99" s="35">
        <f t="shared" si="54"/>
        <v>0.13200000000000001</v>
      </c>
      <c r="CX99" s="16">
        <f>其他调用!V98/$E$4*求节点(E$28:E$34,$P$28:$P$34,$CV99)*$CW99</f>
        <v>22.082024314230519</v>
      </c>
      <c r="CY99" s="16">
        <f>其他调用!W98/$E$4*求节点(F$28:F$34,$P$28:$P$34,$CV99)*$CW99</f>
        <v>27.764577188738308</v>
      </c>
      <c r="CZ99" s="16">
        <f>其他调用!X98/$E$4*求节点(G$28:G$34,$P$28:$P$34,$CV99)*$CW99</f>
        <v>28.747386020917041</v>
      </c>
      <c r="DA99" s="16">
        <f>其他调用!Y98/$E$4*求节点(H$28:H$34,$P$28:$P$34,$CV99)*$CW99</f>
        <v>23.132596184479098</v>
      </c>
      <c r="DB99" s="16">
        <f>其他调用!Z98/$E$4*求节点(I$28:I$34,$P$28:$P$34,$CV99)*$CW99</f>
        <v>13.462007846013726</v>
      </c>
      <c r="DC99" s="16">
        <f>SUM(CX$5:CX99)</f>
        <v>302.551016069875</v>
      </c>
      <c r="DD99" s="16">
        <f>SUM(CY$5:CY99)</f>
        <v>378.54453100685373</v>
      </c>
      <c r="DE99" s="16">
        <f>SUM(CZ$5:CZ99)</f>
        <v>418.30277439765138</v>
      </c>
      <c r="DF99" s="16">
        <f>SUM(DA$5:DA99)</f>
        <v>343.0903477471299</v>
      </c>
      <c r="DG99" s="16">
        <f>SUM(DB$5:DB99)</f>
        <v>186.60395632035434</v>
      </c>
    </row>
    <row r="100" spans="24:111">
      <c r="X100" s="16">
        <v>96</v>
      </c>
      <c r="Y100" s="45">
        <f t="shared" si="52"/>
        <v>650</v>
      </c>
      <c r="Z100" s="24">
        <f t="shared" si="53"/>
        <v>6.8000000000000005E-2</v>
      </c>
      <c r="AA100" s="16">
        <f>$Y100*$Z100*其他调用!V99</f>
        <v>105664.46490212572</v>
      </c>
      <c r="AB100" s="16">
        <f>$Y100*$Z100*其他调用!W99</f>
        <v>126980.87667487537</v>
      </c>
      <c r="AC100" s="16">
        <f>$Y100*$Z100*其他调用!X99</f>
        <v>136828.43740401321</v>
      </c>
      <c r="AD100" s="16">
        <f>$Y100*$Z100*其他调用!Y99</f>
        <v>115228.64567459605</v>
      </c>
      <c r="AE100" s="16">
        <f>$Y100*$Z100*其他调用!Z99</f>
        <v>63805.987367653441</v>
      </c>
      <c r="AH100" s="16">
        <v>96</v>
      </c>
      <c r="AI100" s="16">
        <f>SUM(AA$5:AA100)</f>
        <v>1249562.8282174612</v>
      </c>
      <c r="AJ100" s="16">
        <f>SUM(AB$5:AB100)</f>
        <v>1548262.3551123498</v>
      </c>
      <c r="AK100" s="16">
        <f>SUM(AC$5:AC100)</f>
        <v>1680317.382797271</v>
      </c>
      <c r="AL100" s="16">
        <f>SUM(AD$5:AD100)</f>
        <v>1362525.8616352913</v>
      </c>
      <c r="AM100" s="16">
        <f>SUM(AE$5:AE100)</f>
        <v>738757.20574602671</v>
      </c>
      <c r="AR100" s="16">
        <v>96</v>
      </c>
      <c r="AS100" s="24">
        <f t="shared" si="36"/>
        <v>6.8000000000000005E-2</v>
      </c>
      <c r="AT100" s="16">
        <f>求节点(E$28:E$34,$M$28:$M$34,$AR100)*$AS100*其他调用!V99/$E$4</f>
        <v>0</v>
      </c>
      <c r="AU100" s="16">
        <f>求节点(F$28:F$34,$M$28:$M$34,$AR100)*$AS100*其他调用!W99/$E$4</f>
        <v>0</v>
      </c>
      <c r="AV100" s="16">
        <f>求节点(G$28:G$34,$M$28:$M$34,$AR100)*$AS100*其他调用!X99/$E$4</f>
        <v>0</v>
      </c>
      <c r="AW100" s="16">
        <f>求节点(H$28:H$34,$M$28:$M$34,$AR100)*$AS100*其他调用!Y99/$E$4</f>
        <v>0</v>
      </c>
      <c r="AX100" s="16">
        <f>求节点(I$28:I$34,$M$28:$M$34,$AR100)*$AS100*其他调用!Z99/$E$4</f>
        <v>0</v>
      </c>
      <c r="AY100" s="16">
        <f>求节点(E$28:E$34,$N$28:$N$34,$AR100)*$AS100*其他调用!V99/$E$4</f>
        <v>0</v>
      </c>
      <c r="AZ100" s="16">
        <f>求节点(F$28:F$34,$N$28:$N$34,$AR100)*$AS100*其他调用!W99/$E$4</f>
        <v>0</v>
      </c>
      <c r="BA100" s="16">
        <f>求节点(G$28:G$34,$N$28:$N$34,$AR100)*$AS100*其他调用!X99/$E$4</f>
        <v>0</v>
      </c>
      <c r="BB100" s="16">
        <f>求节点(H$28:H$34,$N$28:$N$34,$AR100)*$AS100*其他调用!Y99/$E$4</f>
        <v>0</v>
      </c>
      <c r="BC100" s="16">
        <f>求节点(I$28:I$34,$N$28:$N$34,$AR100)*$AS100*其他调用!Z99/$E$4</f>
        <v>0</v>
      </c>
      <c r="BD100" s="16">
        <f>求节点(E$28:E$34,$O$28:$O$34,$AR100)*$AS100*其他调用!V99/$E$4</f>
        <v>0</v>
      </c>
      <c r="BE100" s="16">
        <f>求节点(F$28:F$34,$O$28:$O$34,$AR100)*$AS100*其他调用!W99/$E$4</f>
        <v>0</v>
      </c>
      <c r="BF100" s="16">
        <f>求节点(G$28:G$34,$O$28:$O$34,$AR100)*$AS100*其他调用!X99/$E$4</f>
        <v>0</v>
      </c>
      <c r="BG100" s="16">
        <f>求节点(H$28:H$34,$O$28:$O$34,$AR100)*$AS100*其他调用!Y99/$E$4</f>
        <v>0</v>
      </c>
      <c r="BH100" s="16">
        <f>求节点(I$28:I$34,$O$28:$O$34,$AR100)*$AS100*其他调用!Z99/$E$4</f>
        <v>0</v>
      </c>
      <c r="BK100" s="16">
        <v>96</v>
      </c>
      <c r="BL100" s="16">
        <f>SUM(AT$5:AT100)</f>
        <v>0</v>
      </c>
      <c r="BM100" s="16">
        <f>SUM(AU$5:AU100)</f>
        <v>0</v>
      </c>
      <c r="BN100" s="16">
        <f>SUM(AV$5:AV100)</f>
        <v>0</v>
      </c>
      <c r="BO100" s="16">
        <f>SUM(AW$5:AW100)</f>
        <v>0</v>
      </c>
      <c r="BP100" s="16">
        <f>SUM(AX$5:AX100)</f>
        <v>0</v>
      </c>
      <c r="BQ100" s="16">
        <f>SUM(AY$5:AY100)</f>
        <v>0</v>
      </c>
      <c r="BR100" s="16">
        <f>SUM(AZ$5:AZ100)</f>
        <v>0</v>
      </c>
      <c r="BS100" s="16">
        <f>SUM(BA$5:BA100)</f>
        <v>0</v>
      </c>
      <c r="BT100" s="16">
        <f>SUM(BB$5:BB100)</f>
        <v>0</v>
      </c>
      <c r="BU100" s="16">
        <f>SUM(BC$5:BC100)</f>
        <v>0</v>
      </c>
      <c r="BV100" s="16">
        <f>SUM(BD$5:BD100)</f>
        <v>0</v>
      </c>
      <c r="BW100" s="16">
        <f>SUM(BE$5:BE100)</f>
        <v>0</v>
      </c>
      <c r="BX100" s="16">
        <f>SUM(BF$5:BF100)</f>
        <v>0</v>
      </c>
      <c r="BY100" s="16">
        <f>SUM(BG$5:BG100)</f>
        <v>0</v>
      </c>
      <c r="BZ100" s="16">
        <f>SUM(BH$5:BH100)</f>
        <v>0</v>
      </c>
      <c r="CC100" s="16">
        <v>96</v>
      </c>
      <c r="CD100" s="16">
        <f t="shared" si="37"/>
        <v>0</v>
      </c>
      <c r="CE100" s="16">
        <f t="shared" si="38"/>
        <v>0</v>
      </c>
      <c r="CF100" s="16">
        <f t="shared" si="39"/>
        <v>0</v>
      </c>
      <c r="CG100" s="16">
        <f t="shared" si="40"/>
        <v>0</v>
      </c>
      <c r="CH100" s="16">
        <f t="shared" si="41"/>
        <v>0</v>
      </c>
      <c r="CI100" s="16">
        <f t="shared" si="42"/>
        <v>0</v>
      </c>
      <c r="CJ100" s="16">
        <f t="shared" si="43"/>
        <v>0</v>
      </c>
      <c r="CK100" s="16">
        <f t="shared" si="44"/>
        <v>0</v>
      </c>
      <c r="CL100" s="16">
        <f t="shared" si="45"/>
        <v>0</v>
      </c>
      <c r="CM100" s="16">
        <f t="shared" si="46"/>
        <v>0</v>
      </c>
      <c r="CN100" s="16">
        <f t="shared" si="47"/>
        <v>0</v>
      </c>
      <c r="CO100" s="16">
        <f t="shared" si="48"/>
        <v>0</v>
      </c>
      <c r="CP100" s="16">
        <f t="shared" si="49"/>
        <v>0</v>
      </c>
      <c r="CQ100" s="16">
        <f t="shared" si="50"/>
        <v>0</v>
      </c>
      <c r="CR100" s="16">
        <f t="shared" si="51"/>
        <v>0</v>
      </c>
      <c r="CV100" s="16">
        <v>96</v>
      </c>
      <c r="CW100" s="35">
        <f t="shared" si="54"/>
        <v>0.13200000000000001</v>
      </c>
      <c r="CX100" s="16">
        <f>其他调用!V99/$E$4*求节点(E$28:E$34,$P$28:$P$34,$CV100)*$CW100</f>
        <v>23.666927659073405</v>
      </c>
      <c r="CY100" s="16">
        <f>其他调用!W99/$E$4*求节点(F$28:F$34,$P$28:$P$34,$CV100)*$CW100</f>
        <v>28.441418078761679</v>
      </c>
      <c r="CZ100" s="16">
        <f>其他调用!X99/$E$4*求节点(G$28:G$34,$P$28:$P$34,$CV100)*$CW100</f>
        <v>30.647093445695262</v>
      </c>
      <c r="DA100" s="16">
        <f>其他调用!Y99/$E$4*求节点(H$28:H$34,$P$28:$P$34,$CV100)*$CW100</f>
        <v>25.809131044762463</v>
      </c>
      <c r="DB100" s="16">
        <f>其他调用!Z99/$E$4*求节点(I$28:I$34,$P$28:$P$34,$CV100)*$CW100</f>
        <v>14.291386310854504</v>
      </c>
      <c r="DC100" s="16">
        <f>SUM(CX$5:CX100)</f>
        <v>326.2179437289484</v>
      </c>
      <c r="DD100" s="16">
        <f>SUM(CY$5:CY100)</f>
        <v>406.9859490856154</v>
      </c>
      <c r="DE100" s="16">
        <f>SUM(CZ$5:CZ100)</f>
        <v>448.94986784334662</v>
      </c>
      <c r="DF100" s="16">
        <f>SUM(DA$5:DA100)</f>
        <v>368.89947879189236</v>
      </c>
      <c r="DG100" s="16">
        <f>SUM(DB$5:DB100)</f>
        <v>200.89534263120885</v>
      </c>
    </row>
    <row r="101" spans="24:111">
      <c r="X101" s="16">
        <v>97</v>
      </c>
      <c r="Y101" s="45">
        <f t="shared" si="52"/>
        <v>662.5</v>
      </c>
      <c r="Z101" s="24">
        <f t="shared" si="53"/>
        <v>6.8000000000000005E-2</v>
      </c>
      <c r="AA101" s="16">
        <f>$Y101*$Z101*其他调用!V100</f>
        <v>115426.22267317936</v>
      </c>
      <c r="AB101" s="16">
        <f>$Y101*$Z101*其他调用!W100</f>
        <v>140882.7489692902</v>
      </c>
      <c r="AC101" s="16">
        <f>$Y101*$Z101*其他调用!X100</f>
        <v>161249.59617258274</v>
      </c>
      <c r="AD101" s="16">
        <f>$Y101*$Z101*其他调用!Y100</f>
        <v>135047.84077158172</v>
      </c>
      <c r="AE101" s="16">
        <f>$Y101*$Z101*其他调用!Z100</f>
        <v>76305.568361819634</v>
      </c>
      <c r="AH101" s="16">
        <v>97</v>
      </c>
      <c r="AI101" s="16">
        <f>SUM(AA$5:AA101)</f>
        <v>1364989.0508906406</v>
      </c>
      <c r="AJ101" s="16">
        <f>SUM(AB$5:AB101)</f>
        <v>1689145.10408164</v>
      </c>
      <c r="AK101" s="16">
        <f>SUM(AC$5:AC101)</f>
        <v>1841566.9789698538</v>
      </c>
      <c r="AL101" s="16">
        <f>SUM(AD$5:AD101)</f>
        <v>1497573.702406873</v>
      </c>
      <c r="AM101" s="16">
        <f>SUM(AE$5:AE101)</f>
        <v>815062.77410784632</v>
      </c>
      <c r="AR101" s="16">
        <v>97</v>
      </c>
      <c r="AS101" s="24">
        <f t="shared" ref="AS101:AS132" si="55">$E$50</f>
        <v>6.8000000000000005E-2</v>
      </c>
      <c r="AT101" s="16">
        <f>求节点(E$28:E$34,$M$28:$M$34,$AR101)*$AS101*其他调用!V100/$E$4</f>
        <v>0</v>
      </c>
      <c r="AU101" s="16">
        <f>求节点(F$28:F$34,$M$28:$M$34,$AR101)*$AS101*其他调用!W100/$E$4</f>
        <v>0</v>
      </c>
      <c r="AV101" s="16">
        <f>求节点(G$28:G$34,$M$28:$M$34,$AR101)*$AS101*其他调用!X100/$E$4</f>
        <v>0</v>
      </c>
      <c r="AW101" s="16">
        <f>求节点(H$28:H$34,$M$28:$M$34,$AR101)*$AS101*其他调用!Y100/$E$4</f>
        <v>0</v>
      </c>
      <c r="AX101" s="16">
        <f>求节点(I$28:I$34,$M$28:$M$34,$AR101)*$AS101*其他调用!Z100/$E$4</f>
        <v>0</v>
      </c>
      <c r="AY101" s="16">
        <f>求节点(E$28:E$34,$N$28:$N$34,$AR101)*$AS101*其他调用!V100/$E$4</f>
        <v>0</v>
      </c>
      <c r="AZ101" s="16">
        <f>求节点(F$28:F$34,$N$28:$N$34,$AR101)*$AS101*其他调用!W100/$E$4</f>
        <v>0</v>
      </c>
      <c r="BA101" s="16">
        <f>求节点(G$28:G$34,$N$28:$N$34,$AR101)*$AS101*其他调用!X100/$E$4</f>
        <v>0</v>
      </c>
      <c r="BB101" s="16">
        <f>求节点(H$28:H$34,$N$28:$N$34,$AR101)*$AS101*其他调用!Y100/$E$4</f>
        <v>0</v>
      </c>
      <c r="BC101" s="16">
        <f>求节点(I$28:I$34,$N$28:$N$34,$AR101)*$AS101*其他调用!Z100/$E$4</f>
        <v>0</v>
      </c>
      <c r="BD101" s="16">
        <f>求节点(E$28:E$34,$O$28:$O$34,$AR101)*$AS101*其他调用!V100/$E$4</f>
        <v>0</v>
      </c>
      <c r="BE101" s="16">
        <f>求节点(F$28:F$34,$O$28:$O$34,$AR101)*$AS101*其他调用!W100/$E$4</f>
        <v>0</v>
      </c>
      <c r="BF101" s="16">
        <f>求节点(G$28:G$34,$O$28:$O$34,$AR101)*$AS101*其他调用!X100/$E$4</f>
        <v>0</v>
      </c>
      <c r="BG101" s="16">
        <f>求节点(H$28:H$34,$O$28:$O$34,$AR101)*$AS101*其他调用!Y100/$E$4</f>
        <v>0</v>
      </c>
      <c r="BH101" s="16">
        <f>求节点(I$28:I$34,$O$28:$O$34,$AR101)*$AS101*其他调用!Z100/$E$4</f>
        <v>0</v>
      </c>
      <c r="BK101" s="16">
        <v>97</v>
      </c>
      <c r="BL101" s="16">
        <f>SUM(AT$5:AT101)</f>
        <v>0</v>
      </c>
      <c r="BM101" s="16">
        <f>SUM(AU$5:AU101)</f>
        <v>0</v>
      </c>
      <c r="BN101" s="16">
        <f>SUM(AV$5:AV101)</f>
        <v>0</v>
      </c>
      <c r="BO101" s="16">
        <f>SUM(AW$5:AW101)</f>
        <v>0</v>
      </c>
      <c r="BP101" s="16">
        <f>SUM(AX$5:AX101)</f>
        <v>0</v>
      </c>
      <c r="BQ101" s="16">
        <f>SUM(AY$5:AY101)</f>
        <v>0</v>
      </c>
      <c r="BR101" s="16">
        <f>SUM(AZ$5:AZ101)</f>
        <v>0</v>
      </c>
      <c r="BS101" s="16">
        <f>SUM(BA$5:BA101)</f>
        <v>0</v>
      </c>
      <c r="BT101" s="16">
        <f>SUM(BB$5:BB101)</f>
        <v>0</v>
      </c>
      <c r="BU101" s="16">
        <f>SUM(BC$5:BC101)</f>
        <v>0</v>
      </c>
      <c r="BV101" s="16">
        <f>SUM(BD$5:BD101)</f>
        <v>0</v>
      </c>
      <c r="BW101" s="16">
        <f>SUM(BE$5:BE101)</f>
        <v>0</v>
      </c>
      <c r="BX101" s="16">
        <f>SUM(BF$5:BF101)</f>
        <v>0</v>
      </c>
      <c r="BY101" s="16">
        <f>SUM(BG$5:BG101)</f>
        <v>0</v>
      </c>
      <c r="BZ101" s="16">
        <f>SUM(BH$5:BH101)</f>
        <v>0</v>
      </c>
      <c r="CC101" s="16">
        <v>97</v>
      </c>
      <c r="CD101" s="16">
        <f t="shared" ref="CD101:CD132" si="56">(BL101*$E$64+BQ101*$F$64+BV101*$G$64)/$F$6</f>
        <v>0</v>
      </c>
      <c r="CE101" s="16">
        <f t="shared" ref="CE101:CE132" si="57">(BM101*$E$64+BR101*$F$64+BW101*$G$64)/$F$6</f>
        <v>0</v>
      </c>
      <c r="CF101" s="16">
        <f t="shared" ref="CF101:CF132" si="58">(BN101*$E$64+BS101*$F$64+BX101*$G$64)/$F$6</f>
        <v>0</v>
      </c>
      <c r="CG101" s="16">
        <f t="shared" ref="CG101:CG132" si="59">(BO101*$E$64+BT101*$F$64+BY101*$G$64)/$F$6</f>
        <v>0</v>
      </c>
      <c r="CH101" s="16">
        <f t="shared" ref="CH101:CH132" si="60">(BP101*$E$64+BU101*$F$64+BZ101*$G$64)/$F$6</f>
        <v>0</v>
      </c>
      <c r="CI101" s="16">
        <f t="shared" ref="CI101:CI132" si="61">(BL101*$E$65+BQ101*$F$65+BV101*$G$65)/$F$7</f>
        <v>0</v>
      </c>
      <c r="CJ101" s="16">
        <f t="shared" ref="CJ101:CJ132" si="62">(BM101*$E$65+BR101*$F$65+BW101*$G$65)/$F$7</f>
        <v>0</v>
      </c>
      <c r="CK101" s="16">
        <f t="shared" ref="CK101:CK132" si="63">(BN101*$E$65+BS101*$F$65+BX101*$G$65)/$F$7</f>
        <v>0</v>
      </c>
      <c r="CL101" s="16">
        <f t="shared" ref="CL101:CL132" si="64">(BO101*$E$65+BT101*$F$65+BY101*$G$65)/$F$7</f>
        <v>0</v>
      </c>
      <c r="CM101" s="16">
        <f t="shared" ref="CM101:CM132" si="65">(BP101*$E$65+BU101*$F$65+BZ101*$G$65)/$F$7</f>
        <v>0</v>
      </c>
      <c r="CN101" s="16">
        <f t="shared" ref="CN101:CN132" si="66">(BL101*$E$66+BQ101*$F$66+BV101*$G$66)/$F$8</f>
        <v>0</v>
      </c>
      <c r="CO101" s="16">
        <f t="shared" ref="CO101:CO132" si="67">(BM101*$E$66+BR101*$F$66+BW101*$G$66)/$F$8</f>
        <v>0</v>
      </c>
      <c r="CP101" s="16">
        <f t="shared" ref="CP101:CP132" si="68">(BN101*$E$66+BS101*$F$66+BX101*$G$66)/$F$8</f>
        <v>0</v>
      </c>
      <c r="CQ101" s="16">
        <f t="shared" ref="CQ101:CQ132" si="69">(BO101*$E$66+BT101*$F$66+BY101*$G$66)/$F$8</f>
        <v>0</v>
      </c>
      <c r="CR101" s="16">
        <f t="shared" ref="CR101:CR132" si="70">(BP101*$E$66+BU101*$F$66+BZ101*$G$66)/$F$8</f>
        <v>0</v>
      </c>
      <c r="CV101" s="16">
        <v>97</v>
      </c>
      <c r="CW101" s="35">
        <f t="shared" si="54"/>
        <v>0.13200000000000001</v>
      </c>
      <c r="CX101" s="16">
        <f>其他调用!V100/$E$4*求节点(E$28:E$34,$P$28:$P$34,$CV101)*$CW101</f>
        <v>25.365585004760835</v>
      </c>
      <c r="CY101" s="16">
        <f>其他调用!W100/$E$4*求节点(F$28:F$34,$P$28:$P$34,$CV101)*$CW101</f>
        <v>30.959804989921704</v>
      </c>
      <c r="CZ101" s="16">
        <f>其他调用!X100/$E$4*求节点(G$28:G$34,$P$28:$P$34,$CV101)*$CW101</f>
        <v>35.435538337593094</v>
      </c>
      <c r="DA101" s="16">
        <f>其他调用!Y100/$E$4*求节点(H$28:H$34,$P$28:$P$34,$CV101)*$CW101</f>
        <v>29.677549914287653</v>
      </c>
      <c r="DB101" s="16">
        <f>其他调用!Z100/$E$4*求节点(I$28:I$34,$P$28:$P$34,$CV101)*$CW101</f>
        <v>16.768593269301093</v>
      </c>
      <c r="DC101" s="16">
        <f>SUM(CX$5:CX101)</f>
        <v>351.58352873370922</v>
      </c>
      <c r="DD101" s="16">
        <f>SUM(CY$5:CY101)</f>
        <v>437.94575407553708</v>
      </c>
      <c r="DE101" s="16">
        <f>SUM(CZ$5:CZ101)</f>
        <v>484.3854061809397</v>
      </c>
      <c r="DF101" s="16">
        <f>SUM(DA$5:DA101)</f>
        <v>398.57702870618004</v>
      </c>
      <c r="DG101" s="16">
        <f>SUM(DB$5:DB101)</f>
        <v>217.66393590050995</v>
      </c>
    </row>
    <row r="102" spans="24:111">
      <c r="X102" s="16">
        <v>98</v>
      </c>
      <c r="Y102" s="45">
        <f t="shared" si="52"/>
        <v>675</v>
      </c>
      <c r="Z102" s="24">
        <f t="shared" si="53"/>
        <v>6.8000000000000005E-2</v>
      </c>
      <c r="AA102" s="16">
        <f>$Y102*$Z102*其他调用!V101</f>
        <v>126044.92766912734</v>
      </c>
      <c r="AB102" s="16">
        <f>$Y102*$Z102*其他调用!W101</f>
        <v>161874.67979909503</v>
      </c>
      <c r="AC102" s="16">
        <f>$Y102*$Z102*其他调用!X101</f>
        <v>182409.19574702482</v>
      </c>
      <c r="AD102" s="16">
        <f>$Y102*$Z102*其他调用!Y101</f>
        <v>151853.82205215667</v>
      </c>
      <c r="AE102" s="16">
        <f>$Y102*$Z102*其他调用!Z101</f>
        <v>82599.303526763557</v>
      </c>
      <c r="AH102" s="16">
        <v>98</v>
      </c>
      <c r="AI102" s="16">
        <f>SUM(AA$5:AA102)</f>
        <v>1491033.9785597678</v>
      </c>
      <c r="AJ102" s="16">
        <f>SUM(AB$5:AB102)</f>
        <v>1851019.783880735</v>
      </c>
      <c r="AK102" s="16">
        <f>SUM(AC$5:AC102)</f>
        <v>2023976.1747168787</v>
      </c>
      <c r="AL102" s="16">
        <f>SUM(AD$5:AD102)</f>
        <v>1649427.5244590295</v>
      </c>
      <c r="AM102" s="16">
        <f>SUM(AE$5:AE102)</f>
        <v>897662.07763460989</v>
      </c>
      <c r="AR102" s="16">
        <v>98</v>
      </c>
      <c r="AS102" s="24">
        <f t="shared" si="55"/>
        <v>6.8000000000000005E-2</v>
      </c>
      <c r="AT102" s="16">
        <f>求节点(E$28:E$34,$M$28:$M$34,$AR102)*$AS102*其他调用!V101/$E$4</f>
        <v>0</v>
      </c>
      <c r="AU102" s="16">
        <f>求节点(F$28:F$34,$M$28:$M$34,$AR102)*$AS102*其他调用!W101/$E$4</f>
        <v>0</v>
      </c>
      <c r="AV102" s="16">
        <f>求节点(G$28:G$34,$M$28:$M$34,$AR102)*$AS102*其他调用!X101/$E$4</f>
        <v>0</v>
      </c>
      <c r="AW102" s="16">
        <f>求节点(H$28:H$34,$M$28:$M$34,$AR102)*$AS102*其他调用!Y101/$E$4</f>
        <v>0</v>
      </c>
      <c r="AX102" s="16">
        <f>求节点(I$28:I$34,$M$28:$M$34,$AR102)*$AS102*其他调用!Z101/$E$4</f>
        <v>0</v>
      </c>
      <c r="AY102" s="16">
        <f>求节点(E$28:E$34,$N$28:$N$34,$AR102)*$AS102*其他调用!V101/$E$4</f>
        <v>0</v>
      </c>
      <c r="AZ102" s="16">
        <f>求节点(F$28:F$34,$N$28:$N$34,$AR102)*$AS102*其他调用!W101/$E$4</f>
        <v>0</v>
      </c>
      <c r="BA102" s="16">
        <f>求节点(G$28:G$34,$N$28:$N$34,$AR102)*$AS102*其他调用!X101/$E$4</f>
        <v>0</v>
      </c>
      <c r="BB102" s="16">
        <f>求节点(H$28:H$34,$N$28:$N$34,$AR102)*$AS102*其他调用!Y101/$E$4</f>
        <v>0</v>
      </c>
      <c r="BC102" s="16">
        <f>求节点(I$28:I$34,$N$28:$N$34,$AR102)*$AS102*其他调用!Z101/$E$4</f>
        <v>0</v>
      </c>
      <c r="BD102" s="16">
        <f>求节点(E$28:E$34,$O$28:$O$34,$AR102)*$AS102*其他调用!V101/$E$4</f>
        <v>0</v>
      </c>
      <c r="BE102" s="16">
        <f>求节点(F$28:F$34,$O$28:$O$34,$AR102)*$AS102*其他调用!W101/$E$4</f>
        <v>0</v>
      </c>
      <c r="BF102" s="16">
        <f>求节点(G$28:G$34,$O$28:$O$34,$AR102)*$AS102*其他调用!X101/$E$4</f>
        <v>0</v>
      </c>
      <c r="BG102" s="16">
        <f>求节点(H$28:H$34,$O$28:$O$34,$AR102)*$AS102*其他调用!Y101/$E$4</f>
        <v>0</v>
      </c>
      <c r="BH102" s="16">
        <f>求节点(I$28:I$34,$O$28:$O$34,$AR102)*$AS102*其他调用!Z101/$E$4</f>
        <v>0</v>
      </c>
      <c r="BK102" s="16">
        <v>98</v>
      </c>
      <c r="BL102" s="16">
        <f>SUM(AT$5:AT102)</f>
        <v>0</v>
      </c>
      <c r="BM102" s="16">
        <f>SUM(AU$5:AU102)</f>
        <v>0</v>
      </c>
      <c r="BN102" s="16">
        <f>SUM(AV$5:AV102)</f>
        <v>0</v>
      </c>
      <c r="BO102" s="16">
        <f>SUM(AW$5:AW102)</f>
        <v>0</v>
      </c>
      <c r="BP102" s="16">
        <f>SUM(AX$5:AX102)</f>
        <v>0</v>
      </c>
      <c r="BQ102" s="16">
        <f>SUM(AY$5:AY102)</f>
        <v>0</v>
      </c>
      <c r="BR102" s="16">
        <f>SUM(AZ$5:AZ102)</f>
        <v>0</v>
      </c>
      <c r="BS102" s="16">
        <f>SUM(BA$5:BA102)</f>
        <v>0</v>
      </c>
      <c r="BT102" s="16">
        <f>SUM(BB$5:BB102)</f>
        <v>0</v>
      </c>
      <c r="BU102" s="16">
        <f>SUM(BC$5:BC102)</f>
        <v>0</v>
      </c>
      <c r="BV102" s="16">
        <f>SUM(BD$5:BD102)</f>
        <v>0</v>
      </c>
      <c r="BW102" s="16">
        <f>SUM(BE$5:BE102)</f>
        <v>0</v>
      </c>
      <c r="BX102" s="16">
        <f>SUM(BF$5:BF102)</f>
        <v>0</v>
      </c>
      <c r="BY102" s="16">
        <f>SUM(BG$5:BG102)</f>
        <v>0</v>
      </c>
      <c r="BZ102" s="16">
        <f>SUM(BH$5:BH102)</f>
        <v>0</v>
      </c>
      <c r="CC102" s="16">
        <v>98</v>
      </c>
      <c r="CD102" s="16">
        <f t="shared" si="56"/>
        <v>0</v>
      </c>
      <c r="CE102" s="16">
        <f t="shared" si="57"/>
        <v>0</v>
      </c>
      <c r="CF102" s="16">
        <f t="shared" si="58"/>
        <v>0</v>
      </c>
      <c r="CG102" s="16">
        <f t="shared" si="59"/>
        <v>0</v>
      </c>
      <c r="CH102" s="16">
        <f t="shared" si="60"/>
        <v>0</v>
      </c>
      <c r="CI102" s="16">
        <f t="shared" si="61"/>
        <v>0</v>
      </c>
      <c r="CJ102" s="16">
        <f t="shared" si="62"/>
        <v>0</v>
      </c>
      <c r="CK102" s="16">
        <f t="shared" si="63"/>
        <v>0</v>
      </c>
      <c r="CL102" s="16">
        <f t="shared" si="64"/>
        <v>0</v>
      </c>
      <c r="CM102" s="16">
        <f t="shared" si="65"/>
        <v>0</v>
      </c>
      <c r="CN102" s="16">
        <f t="shared" si="66"/>
        <v>0</v>
      </c>
      <c r="CO102" s="16">
        <f t="shared" si="67"/>
        <v>0</v>
      </c>
      <c r="CP102" s="16">
        <f t="shared" si="68"/>
        <v>0</v>
      </c>
      <c r="CQ102" s="16">
        <f t="shared" si="69"/>
        <v>0</v>
      </c>
      <c r="CR102" s="16">
        <f t="shared" si="70"/>
        <v>0</v>
      </c>
      <c r="CV102" s="16">
        <v>98</v>
      </c>
      <c r="CW102" s="35">
        <f t="shared" si="54"/>
        <v>0.13200000000000001</v>
      </c>
      <c r="CX102" s="16">
        <f>其他调用!V101/$E$4*求节点(E$28:E$34,$P$28:$P$34,$CV102)*$CW102</f>
        <v>27.186160869811776</v>
      </c>
      <c r="CY102" s="16">
        <f>其他调用!W101/$E$4*求节点(F$28:F$34,$P$28:$P$34,$CV102)*$CW102</f>
        <v>34.914146623334219</v>
      </c>
      <c r="CZ102" s="16">
        <f>其他调用!X101/$E$4*求节点(G$28:G$34,$P$28:$P$34,$CV102)*$CW102</f>
        <v>39.343159867005348</v>
      </c>
      <c r="DA102" s="16">
        <f>其他调用!Y101/$E$4*求节点(H$28:H$34,$P$28:$P$34,$CV102)*$CW102</f>
        <v>32.75278514850438</v>
      </c>
      <c r="DB102" s="16">
        <f>其他调用!Z101/$E$4*求节点(I$28:I$34,$P$28:$P$34,$CV102)*$CW102</f>
        <v>17.815536054792137</v>
      </c>
      <c r="DC102" s="16">
        <f>SUM(CX$5:CX102)</f>
        <v>378.76968960352099</v>
      </c>
      <c r="DD102" s="16">
        <f>SUM(CY$5:CY102)</f>
        <v>472.85990069887129</v>
      </c>
      <c r="DE102" s="16">
        <f>SUM(CZ$5:CZ102)</f>
        <v>523.72856604794504</v>
      </c>
      <c r="DF102" s="16">
        <f>SUM(DA$5:DA102)</f>
        <v>431.3298138546844</v>
      </c>
      <c r="DG102" s="16">
        <f>SUM(DB$5:DB102)</f>
        <v>235.4794719553021</v>
      </c>
    </row>
    <row r="103" spans="24:111">
      <c r="X103" s="16">
        <v>99</v>
      </c>
      <c r="Y103" s="45">
        <f t="shared" si="52"/>
        <v>687.5</v>
      </c>
      <c r="Z103" s="24">
        <f t="shared" si="53"/>
        <v>6.8000000000000005E-2</v>
      </c>
      <c r="AA103" s="16">
        <f>$Y103*$Z103*其他调用!V102</f>
        <v>137593.30501794757</v>
      </c>
      <c r="AB103" s="16">
        <f>$Y103*$Z103*其他调用!W102</f>
        <v>175911.28398126177</v>
      </c>
      <c r="AC103" s="16">
        <f>$Y103*$Z103*其他调用!X102</f>
        <v>194281.9706383993</v>
      </c>
      <c r="AD103" s="16">
        <f>$Y103*$Z103*其他调用!Y102</f>
        <v>161177.1855792765</v>
      </c>
      <c r="AE103" s="16">
        <f>$Y103*$Z103*其他调用!Z102</f>
        <v>81009.462725919802</v>
      </c>
      <c r="AH103" s="16">
        <v>99</v>
      </c>
      <c r="AI103" s="16">
        <f>SUM(AA$5:AA103)</f>
        <v>1628627.2835777155</v>
      </c>
      <c r="AJ103" s="16">
        <f>SUM(AB$5:AB103)</f>
        <v>2026931.0678619968</v>
      </c>
      <c r="AK103" s="16">
        <f>SUM(AC$5:AC103)</f>
        <v>2218258.1453552782</v>
      </c>
      <c r="AL103" s="16">
        <f>SUM(AD$5:AD103)</f>
        <v>1810604.710038306</v>
      </c>
      <c r="AM103" s="16">
        <f>SUM(AE$5:AE103)</f>
        <v>978671.54036052967</v>
      </c>
      <c r="AR103" s="16">
        <v>99</v>
      </c>
      <c r="AS103" s="24">
        <f t="shared" si="55"/>
        <v>6.8000000000000005E-2</v>
      </c>
      <c r="AT103" s="16">
        <f>求节点(E$28:E$34,$M$28:$M$34,$AR103)*$AS103*其他调用!V102/$E$4</f>
        <v>0</v>
      </c>
      <c r="AU103" s="16">
        <f>求节点(F$28:F$34,$M$28:$M$34,$AR103)*$AS103*其他调用!W102/$E$4</f>
        <v>0</v>
      </c>
      <c r="AV103" s="16">
        <f>求节点(G$28:G$34,$M$28:$M$34,$AR103)*$AS103*其他调用!X102/$E$4</f>
        <v>0</v>
      </c>
      <c r="AW103" s="16">
        <f>求节点(H$28:H$34,$M$28:$M$34,$AR103)*$AS103*其他调用!Y102/$E$4</f>
        <v>0</v>
      </c>
      <c r="AX103" s="16">
        <f>求节点(I$28:I$34,$M$28:$M$34,$AR103)*$AS103*其他调用!Z102/$E$4</f>
        <v>0</v>
      </c>
      <c r="AY103" s="16">
        <f>求节点(E$28:E$34,$N$28:$N$34,$AR103)*$AS103*其他调用!V102/$E$4</f>
        <v>0</v>
      </c>
      <c r="AZ103" s="16">
        <f>求节点(F$28:F$34,$N$28:$N$34,$AR103)*$AS103*其他调用!W102/$E$4</f>
        <v>0</v>
      </c>
      <c r="BA103" s="16">
        <f>求节点(G$28:G$34,$N$28:$N$34,$AR103)*$AS103*其他调用!X102/$E$4</f>
        <v>0</v>
      </c>
      <c r="BB103" s="16">
        <f>求节点(H$28:H$34,$N$28:$N$34,$AR103)*$AS103*其他调用!Y102/$E$4</f>
        <v>0</v>
      </c>
      <c r="BC103" s="16">
        <f>求节点(I$28:I$34,$N$28:$N$34,$AR103)*$AS103*其他调用!Z102/$E$4</f>
        <v>0</v>
      </c>
      <c r="BD103" s="16">
        <f>求节点(E$28:E$34,$O$28:$O$34,$AR103)*$AS103*其他调用!V102/$E$4</f>
        <v>0</v>
      </c>
      <c r="BE103" s="16">
        <f>求节点(F$28:F$34,$O$28:$O$34,$AR103)*$AS103*其他调用!W102/$E$4</f>
        <v>0</v>
      </c>
      <c r="BF103" s="16">
        <f>求节点(G$28:G$34,$O$28:$O$34,$AR103)*$AS103*其他调用!X102/$E$4</f>
        <v>0</v>
      </c>
      <c r="BG103" s="16">
        <f>求节点(H$28:H$34,$O$28:$O$34,$AR103)*$AS103*其他调用!Y102/$E$4</f>
        <v>0</v>
      </c>
      <c r="BH103" s="16">
        <f>求节点(I$28:I$34,$O$28:$O$34,$AR103)*$AS103*其他调用!Z102/$E$4</f>
        <v>0</v>
      </c>
      <c r="BK103" s="16">
        <v>99</v>
      </c>
      <c r="BL103" s="16">
        <f>SUM(AT$5:AT103)</f>
        <v>0</v>
      </c>
      <c r="BM103" s="16">
        <f>SUM(AU$5:AU103)</f>
        <v>0</v>
      </c>
      <c r="BN103" s="16">
        <f>SUM(AV$5:AV103)</f>
        <v>0</v>
      </c>
      <c r="BO103" s="16">
        <f>SUM(AW$5:AW103)</f>
        <v>0</v>
      </c>
      <c r="BP103" s="16">
        <f>SUM(AX$5:AX103)</f>
        <v>0</v>
      </c>
      <c r="BQ103" s="16">
        <f>SUM(AY$5:AY103)</f>
        <v>0</v>
      </c>
      <c r="BR103" s="16">
        <f>SUM(AZ$5:AZ103)</f>
        <v>0</v>
      </c>
      <c r="BS103" s="16">
        <f>SUM(BA$5:BA103)</f>
        <v>0</v>
      </c>
      <c r="BT103" s="16">
        <f>SUM(BB$5:BB103)</f>
        <v>0</v>
      </c>
      <c r="BU103" s="16">
        <f>SUM(BC$5:BC103)</f>
        <v>0</v>
      </c>
      <c r="BV103" s="16">
        <f>SUM(BD$5:BD103)</f>
        <v>0</v>
      </c>
      <c r="BW103" s="16">
        <f>SUM(BE$5:BE103)</f>
        <v>0</v>
      </c>
      <c r="BX103" s="16">
        <f>SUM(BF$5:BF103)</f>
        <v>0</v>
      </c>
      <c r="BY103" s="16">
        <f>SUM(BG$5:BG103)</f>
        <v>0</v>
      </c>
      <c r="BZ103" s="16">
        <f>SUM(BH$5:BH103)</f>
        <v>0</v>
      </c>
      <c r="CC103" s="16">
        <v>99</v>
      </c>
      <c r="CD103" s="16">
        <f t="shared" si="56"/>
        <v>0</v>
      </c>
      <c r="CE103" s="16">
        <f t="shared" si="57"/>
        <v>0</v>
      </c>
      <c r="CF103" s="16">
        <f t="shared" si="58"/>
        <v>0</v>
      </c>
      <c r="CG103" s="16">
        <f t="shared" si="59"/>
        <v>0</v>
      </c>
      <c r="CH103" s="16">
        <f t="shared" si="60"/>
        <v>0</v>
      </c>
      <c r="CI103" s="16">
        <f t="shared" si="61"/>
        <v>0</v>
      </c>
      <c r="CJ103" s="16">
        <f t="shared" si="62"/>
        <v>0</v>
      </c>
      <c r="CK103" s="16">
        <f t="shared" si="63"/>
        <v>0</v>
      </c>
      <c r="CL103" s="16">
        <f t="shared" si="64"/>
        <v>0</v>
      </c>
      <c r="CM103" s="16">
        <f t="shared" si="65"/>
        <v>0</v>
      </c>
      <c r="CN103" s="16">
        <f t="shared" si="66"/>
        <v>0</v>
      </c>
      <c r="CO103" s="16">
        <f t="shared" si="67"/>
        <v>0</v>
      </c>
      <c r="CP103" s="16">
        <f t="shared" si="68"/>
        <v>0</v>
      </c>
      <c r="CQ103" s="16">
        <f t="shared" si="69"/>
        <v>0</v>
      </c>
      <c r="CR103" s="16">
        <f t="shared" si="70"/>
        <v>0</v>
      </c>
      <c r="CV103" s="16">
        <v>99</v>
      </c>
      <c r="CW103" s="35">
        <f t="shared" si="54"/>
        <v>0.13200000000000001</v>
      </c>
      <c r="CX103" s="16">
        <f>其他调用!V102/$E$4*求节点(E$28:E$34,$P$28:$P$34,$CV103)*$CW103</f>
        <v>29.137405768506547</v>
      </c>
      <c r="CY103" s="16">
        <f>其他调用!W102/$E$4*求节点(F$28:F$34,$P$28:$P$34,$CV103)*$CW103</f>
        <v>37.251801313678968</v>
      </c>
      <c r="CZ103" s="16">
        <f>其他调用!X102/$E$4*求节点(G$28:G$34,$P$28:$P$34,$CV103)*$CW103</f>
        <v>41.142064370484555</v>
      </c>
      <c r="DA103" s="16">
        <f>其他调用!Y102/$E$4*求节点(H$28:H$34,$P$28:$P$34,$CV103)*$CW103</f>
        <v>34.131639299140907</v>
      </c>
      <c r="DB103" s="16">
        <f>其他调用!Z102/$E$4*求节点(I$28:I$34,$P$28:$P$34,$CV103)*$CW103</f>
        <v>17.154945047841839</v>
      </c>
      <c r="DC103" s="16">
        <f>SUM(CX$5:CX103)</f>
        <v>407.90709537202753</v>
      </c>
      <c r="DD103" s="16">
        <f>SUM(CY$5:CY103)</f>
        <v>510.11170201255027</v>
      </c>
      <c r="DE103" s="16">
        <f>SUM(CZ$5:CZ103)</f>
        <v>564.87063041842964</v>
      </c>
      <c r="DF103" s="16">
        <f>SUM(DA$5:DA103)</f>
        <v>465.46145315382529</v>
      </c>
      <c r="DG103" s="16">
        <f>SUM(DB$5:DB103)</f>
        <v>252.63441700314394</v>
      </c>
    </row>
    <row r="104" spans="24:111">
      <c r="X104" s="16">
        <v>100</v>
      </c>
      <c r="Y104" s="45">
        <f t="shared" si="52"/>
        <v>700</v>
      </c>
      <c r="Z104" s="24">
        <f t="shared" si="53"/>
        <v>6.8000000000000005E-2</v>
      </c>
      <c r="AA104" s="16">
        <f>$Y104*$Z104*其他调用!V103</f>
        <v>150150.10481255062</v>
      </c>
      <c r="AB104" s="16">
        <f>$Y104*$Z104*其他调用!W103</f>
        <v>187747.70124822151</v>
      </c>
      <c r="AC104" s="16">
        <f>$Y104*$Z104*其他调用!X103</f>
        <v>208086.45543682243</v>
      </c>
      <c r="AD104" s="16">
        <f>$Y104*$Z104*其他调用!Y103</f>
        <v>160943.81024379429</v>
      </c>
      <c r="AE104" s="16">
        <f>$Y104*$Z104*其他调用!Z103</f>
        <v>84221.67647038</v>
      </c>
      <c r="AH104" s="16">
        <v>100</v>
      </c>
      <c r="AI104" s="16">
        <f>SUM(AA$5:AA104)</f>
        <v>1778777.3883902661</v>
      </c>
      <c r="AJ104" s="16">
        <f>SUM(AB$5:AB104)</f>
        <v>2214678.7691102182</v>
      </c>
      <c r="AK104" s="16">
        <f>SUM(AC$5:AC104)</f>
        <v>2426344.6007921007</v>
      </c>
      <c r="AL104" s="16">
        <f>SUM(AD$5:AD104)</f>
        <v>1971548.5202821002</v>
      </c>
      <c r="AM104" s="16">
        <f>SUM(AE$5:AE104)</f>
        <v>1062893.2168309097</v>
      </c>
      <c r="AR104" s="16">
        <v>100</v>
      </c>
      <c r="AS104" s="24">
        <f t="shared" si="55"/>
        <v>6.8000000000000005E-2</v>
      </c>
      <c r="AT104" s="16">
        <f>求节点(E$28:E$34,$M$28:$M$34,$AR104)*$AS104*其他调用!V103/$E$4</f>
        <v>0</v>
      </c>
      <c r="AU104" s="16">
        <f>求节点(F$28:F$34,$M$28:$M$34,$AR104)*$AS104*其他调用!W103/$E$4</f>
        <v>0</v>
      </c>
      <c r="AV104" s="16">
        <f>求节点(G$28:G$34,$M$28:$M$34,$AR104)*$AS104*其他调用!X103/$E$4</f>
        <v>0</v>
      </c>
      <c r="AW104" s="16">
        <f>求节点(H$28:H$34,$M$28:$M$34,$AR104)*$AS104*其他调用!Y103/$E$4</f>
        <v>0</v>
      </c>
      <c r="AX104" s="16">
        <f>求节点(I$28:I$34,$M$28:$M$34,$AR104)*$AS104*其他调用!Z103/$E$4</f>
        <v>0</v>
      </c>
      <c r="AY104" s="16">
        <f>求节点(E$28:E$34,$N$28:$N$34,$AR104)*$AS104*其他调用!V103/$E$4</f>
        <v>0</v>
      </c>
      <c r="AZ104" s="16">
        <f>求节点(F$28:F$34,$N$28:$N$34,$AR104)*$AS104*其他调用!W103/$E$4</f>
        <v>0</v>
      </c>
      <c r="BA104" s="16">
        <f>求节点(G$28:G$34,$N$28:$N$34,$AR104)*$AS104*其他调用!X103/$E$4</f>
        <v>0</v>
      </c>
      <c r="BB104" s="16">
        <f>求节点(H$28:H$34,$N$28:$N$34,$AR104)*$AS104*其他调用!Y103/$E$4</f>
        <v>0</v>
      </c>
      <c r="BC104" s="16">
        <f>求节点(I$28:I$34,$N$28:$N$34,$AR104)*$AS104*其他调用!Z103/$E$4</f>
        <v>0</v>
      </c>
      <c r="BD104" s="16">
        <f>求节点(E$28:E$34,$O$28:$O$34,$AR104)*$AS104*其他调用!V103/$E$4</f>
        <v>0</v>
      </c>
      <c r="BE104" s="16">
        <f>求节点(F$28:F$34,$O$28:$O$34,$AR104)*$AS104*其他调用!W103/$E$4</f>
        <v>0</v>
      </c>
      <c r="BF104" s="16">
        <f>求节点(G$28:G$34,$O$28:$O$34,$AR104)*$AS104*其他调用!X103/$E$4</f>
        <v>0</v>
      </c>
      <c r="BG104" s="16">
        <f>求节点(H$28:H$34,$O$28:$O$34,$AR104)*$AS104*其他调用!Y103/$E$4</f>
        <v>0</v>
      </c>
      <c r="BH104" s="16">
        <f>求节点(I$28:I$34,$O$28:$O$34,$AR104)*$AS104*其他调用!Z103/$E$4</f>
        <v>0</v>
      </c>
      <c r="BK104" s="16">
        <v>100</v>
      </c>
      <c r="BL104" s="16">
        <f>SUM(AT$5:AT104)</f>
        <v>0</v>
      </c>
      <c r="BM104" s="16">
        <f>SUM(AU$5:AU104)</f>
        <v>0</v>
      </c>
      <c r="BN104" s="16">
        <f>SUM(AV$5:AV104)</f>
        <v>0</v>
      </c>
      <c r="BO104" s="16">
        <f>SUM(AW$5:AW104)</f>
        <v>0</v>
      </c>
      <c r="BP104" s="16">
        <f>SUM(AX$5:AX104)</f>
        <v>0</v>
      </c>
      <c r="BQ104" s="16">
        <f>SUM(AY$5:AY104)</f>
        <v>0</v>
      </c>
      <c r="BR104" s="16">
        <f>SUM(AZ$5:AZ104)</f>
        <v>0</v>
      </c>
      <c r="BS104" s="16">
        <f>SUM(BA$5:BA104)</f>
        <v>0</v>
      </c>
      <c r="BT104" s="16">
        <f>SUM(BB$5:BB104)</f>
        <v>0</v>
      </c>
      <c r="BU104" s="16">
        <f>SUM(BC$5:BC104)</f>
        <v>0</v>
      </c>
      <c r="BV104" s="16">
        <f>SUM(BD$5:BD104)</f>
        <v>0</v>
      </c>
      <c r="BW104" s="16">
        <f>SUM(BE$5:BE104)</f>
        <v>0</v>
      </c>
      <c r="BX104" s="16">
        <f>SUM(BF$5:BF104)</f>
        <v>0</v>
      </c>
      <c r="BY104" s="16">
        <f>SUM(BG$5:BG104)</f>
        <v>0</v>
      </c>
      <c r="BZ104" s="16">
        <f>SUM(BH$5:BH104)</f>
        <v>0</v>
      </c>
      <c r="CC104" s="16">
        <v>100</v>
      </c>
      <c r="CD104" s="16">
        <f t="shared" si="56"/>
        <v>0</v>
      </c>
      <c r="CE104" s="16">
        <f t="shared" si="57"/>
        <v>0</v>
      </c>
      <c r="CF104" s="16">
        <f t="shared" si="58"/>
        <v>0</v>
      </c>
      <c r="CG104" s="16">
        <f t="shared" si="59"/>
        <v>0</v>
      </c>
      <c r="CH104" s="16">
        <f t="shared" si="60"/>
        <v>0</v>
      </c>
      <c r="CI104" s="16">
        <f t="shared" si="61"/>
        <v>0</v>
      </c>
      <c r="CJ104" s="16">
        <f t="shared" si="62"/>
        <v>0</v>
      </c>
      <c r="CK104" s="16">
        <f t="shared" si="63"/>
        <v>0</v>
      </c>
      <c r="CL104" s="16">
        <f t="shared" si="64"/>
        <v>0</v>
      </c>
      <c r="CM104" s="16">
        <f t="shared" si="65"/>
        <v>0</v>
      </c>
      <c r="CN104" s="16">
        <f t="shared" si="66"/>
        <v>0</v>
      </c>
      <c r="CO104" s="16">
        <f t="shared" si="67"/>
        <v>0</v>
      </c>
      <c r="CP104" s="16">
        <f t="shared" si="68"/>
        <v>0</v>
      </c>
      <c r="CQ104" s="16">
        <f t="shared" si="69"/>
        <v>0</v>
      </c>
      <c r="CR104" s="16">
        <f t="shared" si="70"/>
        <v>0</v>
      </c>
      <c r="CV104" s="16">
        <v>100</v>
      </c>
      <c r="CW104" s="35">
        <f t="shared" si="54"/>
        <v>0.13200000000000001</v>
      </c>
      <c r="CX104" s="16">
        <f>其他调用!V103/$E$4*求节点(E$28:E$34,$P$28:$P$34,$CV104)*$CW104</f>
        <v>31.22869826983721</v>
      </c>
      <c r="CY104" s="16">
        <f>其他调用!W103/$E$4*求节点(F$28:F$34,$P$28:$P$34,$CV104)*$CW104</f>
        <v>39.048366436079689</v>
      </c>
      <c r="CZ104" s="16">
        <f>其他调用!X103/$E$4*求节点(G$28:G$34,$P$28:$P$34,$CV104)*$CW104</f>
        <v>43.278485479507182</v>
      </c>
      <c r="DA104" s="16">
        <f>其他调用!Y103/$E$4*求节点(H$28:H$34,$P$28:$P$34,$CV104)*$CW104</f>
        <v>33.473607592721919</v>
      </c>
      <c r="DB104" s="16">
        <f>其他调用!Z103/$E$4*求节点(I$28:I$34,$P$28:$P$34,$CV104)*$CW104</f>
        <v>17.516693215478195</v>
      </c>
      <c r="DC104" s="16">
        <f>SUM(CX$5:CX104)</f>
        <v>439.13579364186472</v>
      </c>
      <c r="DD104" s="16">
        <f>SUM(CY$5:CY104)</f>
        <v>549.16006844863</v>
      </c>
      <c r="DE104" s="16">
        <f>SUM(CZ$5:CZ104)</f>
        <v>608.14911589793678</v>
      </c>
      <c r="DF104" s="16">
        <f>SUM(DA$5:DA104)</f>
        <v>498.93506074654721</v>
      </c>
      <c r="DG104" s="16">
        <f>SUM(DB$5:DB104)</f>
        <v>270.15111021862214</v>
      </c>
    </row>
    <row r="105" spans="24:111">
      <c r="X105" s="16">
        <v>101</v>
      </c>
      <c r="Y105" s="45">
        <f t="shared" si="52"/>
        <v>700</v>
      </c>
      <c r="Z105" s="24">
        <f t="shared" si="53"/>
        <v>6.8000000000000005E-2</v>
      </c>
      <c r="AA105" s="16">
        <f>$Y105*$Z105*其他调用!V104</f>
        <v>160926.89773513266</v>
      </c>
      <c r="AB105" s="16">
        <f>$Y105*$Z105*其他调用!W104</f>
        <v>203368.0954099879</v>
      </c>
      <c r="AC105" s="16">
        <f>$Y105*$Z105*其他调用!X104</f>
        <v>214695.35931306108</v>
      </c>
      <c r="AD105" s="16">
        <f>$Y105*$Z105*其他调用!Y104</f>
        <v>165575.32925432723</v>
      </c>
      <c r="AE105" s="16">
        <f>$Y105*$Z105*其他调用!Z104</f>
        <v>91410.433358563227</v>
      </c>
      <c r="AH105" s="16">
        <v>101</v>
      </c>
      <c r="AI105" s="16">
        <f>SUM(AA$5:AA105)</f>
        <v>1939704.2861253987</v>
      </c>
      <c r="AJ105" s="16">
        <f>SUM(AB$5:AB105)</f>
        <v>2418046.8645202061</v>
      </c>
      <c r="AK105" s="16">
        <f>SUM(AC$5:AC105)</f>
        <v>2641039.9601051616</v>
      </c>
      <c r="AL105" s="16">
        <f>SUM(AD$5:AD105)</f>
        <v>2137123.8495364273</v>
      </c>
      <c r="AM105" s="16">
        <f>SUM(AE$5:AE105)</f>
        <v>1154303.6501894728</v>
      </c>
      <c r="AR105" s="16">
        <v>101</v>
      </c>
      <c r="AS105" s="24">
        <f t="shared" si="55"/>
        <v>6.8000000000000005E-2</v>
      </c>
      <c r="AT105" s="16">
        <f>求节点(E$28:E$34,$M$28:$M$34,$AR105)*$AS105*其他调用!V104/$E$4</f>
        <v>0</v>
      </c>
      <c r="AU105" s="16">
        <f>求节点(F$28:F$34,$M$28:$M$34,$AR105)*$AS105*其他调用!W104/$E$4</f>
        <v>0</v>
      </c>
      <c r="AV105" s="16">
        <f>求节点(G$28:G$34,$M$28:$M$34,$AR105)*$AS105*其他调用!X104/$E$4</f>
        <v>0</v>
      </c>
      <c r="AW105" s="16">
        <f>求节点(H$28:H$34,$M$28:$M$34,$AR105)*$AS105*其他调用!Y104/$E$4</f>
        <v>0</v>
      </c>
      <c r="AX105" s="16">
        <f>求节点(I$28:I$34,$M$28:$M$34,$AR105)*$AS105*其他调用!Z104/$E$4</f>
        <v>0</v>
      </c>
      <c r="AY105" s="16">
        <f>求节点(E$28:E$34,$N$28:$N$34,$AR105)*$AS105*其他调用!V104/$E$4</f>
        <v>0</v>
      </c>
      <c r="AZ105" s="16">
        <f>求节点(F$28:F$34,$N$28:$N$34,$AR105)*$AS105*其他调用!W104/$E$4</f>
        <v>0</v>
      </c>
      <c r="BA105" s="16">
        <f>求节点(G$28:G$34,$N$28:$N$34,$AR105)*$AS105*其他调用!X104/$E$4</f>
        <v>0</v>
      </c>
      <c r="BB105" s="16">
        <f>求节点(H$28:H$34,$N$28:$N$34,$AR105)*$AS105*其他调用!Y104/$E$4</f>
        <v>0</v>
      </c>
      <c r="BC105" s="16">
        <f>求节点(I$28:I$34,$N$28:$N$34,$AR105)*$AS105*其他调用!Z104/$E$4</f>
        <v>0</v>
      </c>
      <c r="BD105" s="16">
        <f>求节点(E$28:E$34,$O$28:$O$34,$AR105)*$AS105*其他调用!V104/$E$4</f>
        <v>0</v>
      </c>
      <c r="BE105" s="16">
        <f>求节点(F$28:F$34,$O$28:$O$34,$AR105)*$AS105*其他调用!W104/$E$4</f>
        <v>0</v>
      </c>
      <c r="BF105" s="16">
        <f>求节点(G$28:G$34,$O$28:$O$34,$AR105)*$AS105*其他调用!X104/$E$4</f>
        <v>0</v>
      </c>
      <c r="BG105" s="16">
        <f>求节点(H$28:H$34,$O$28:$O$34,$AR105)*$AS105*其他调用!Y104/$E$4</f>
        <v>0</v>
      </c>
      <c r="BH105" s="16">
        <f>求节点(I$28:I$34,$O$28:$O$34,$AR105)*$AS105*其他调用!Z104/$E$4</f>
        <v>0</v>
      </c>
      <c r="BK105" s="16">
        <v>101</v>
      </c>
      <c r="BL105" s="16">
        <f>SUM(AT$5:AT105)</f>
        <v>0</v>
      </c>
      <c r="BM105" s="16">
        <f>SUM(AU$5:AU105)</f>
        <v>0</v>
      </c>
      <c r="BN105" s="16">
        <f>SUM(AV$5:AV105)</f>
        <v>0</v>
      </c>
      <c r="BO105" s="16">
        <f>SUM(AW$5:AW105)</f>
        <v>0</v>
      </c>
      <c r="BP105" s="16">
        <f>SUM(AX$5:AX105)</f>
        <v>0</v>
      </c>
      <c r="BQ105" s="16">
        <f>SUM(AY$5:AY105)</f>
        <v>0</v>
      </c>
      <c r="BR105" s="16">
        <f>SUM(AZ$5:AZ105)</f>
        <v>0</v>
      </c>
      <c r="BS105" s="16">
        <f>SUM(BA$5:BA105)</f>
        <v>0</v>
      </c>
      <c r="BT105" s="16">
        <f>SUM(BB$5:BB105)</f>
        <v>0</v>
      </c>
      <c r="BU105" s="16">
        <f>SUM(BC$5:BC105)</f>
        <v>0</v>
      </c>
      <c r="BV105" s="16">
        <f>SUM(BD$5:BD105)</f>
        <v>0</v>
      </c>
      <c r="BW105" s="16">
        <f>SUM(BE$5:BE105)</f>
        <v>0</v>
      </c>
      <c r="BX105" s="16">
        <f>SUM(BF$5:BF105)</f>
        <v>0</v>
      </c>
      <c r="BY105" s="16">
        <f>SUM(BG$5:BG105)</f>
        <v>0</v>
      </c>
      <c r="BZ105" s="16">
        <f>SUM(BH$5:BH105)</f>
        <v>0</v>
      </c>
      <c r="CC105" s="16">
        <v>101</v>
      </c>
      <c r="CD105" s="16">
        <f t="shared" si="56"/>
        <v>0</v>
      </c>
      <c r="CE105" s="16">
        <f t="shared" si="57"/>
        <v>0</v>
      </c>
      <c r="CF105" s="16">
        <f t="shared" si="58"/>
        <v>0</v>
      </c>
      <c r="CG105" s="16">
        <f t="shared" si="59"/>
        <v>0</v>
      </c>
      <c r="CH105" s="16">
        <f t="shared" si="60"/>
        <v>0</v>
      </c>
      <c r="CI105" s="16">
        <f t="shared" si="61"/>
        <v>0</v>
      </c>
      <c r="CJ105" s="16">
        <f t="shared" si="62"/>
        <v>0</v>
      </c>
      <c r="CK105" s="16">
        <f t="shared" si="63"/>
        <v>0</v>
      </c>
      <c r="CL105" s="16">
        <f t="shared" si="64"/>
        <v>0</v>
      </c>
      <c r="CM105" s="16">
        <f t="shared" si="65"/>
        <v>0</v>
      </c>
      <c r="CN105" s="16">
        <f t="shared" si="66"/>
        <v>0</v>
      </c>
      <c r="CO105" s="16">
        <f t="shared" si="67"/>
        <v>0</v>
      </c>
      <c r="CP105" s="16">
        <f t="shared" si="68"/>
        <v>0</v>
      </c>
      <c r="CQ105" s="16">
        <f t="shared" si="69"/>
        <v>0</v>
      </c>
      <c r="CR105" s="16">
        <f t="shared" si="70"/>
        <v>0</v>
      </c>
      <c r="CV105" s="16">
        <v>101</v>
      </c>
      <c r="CW105" s="35">
        <f t="shared" si="54"/>
        <v>0.13200000000000001</v>
      </c>
      <c r="CX105" s="16">
        <f>其他调用!V104/$E$4*求节点(E$28:E$34,$P$28:$P$34,$CV105)*$CW105</f>
        <v>33.470090075164144</v>
      </c>
      <c r="CY105" s="16">
        <f>其他调用!W104/$E$4*求节点(F$28:F$34,$P$28:$P$34,$CV105)*$CW105</f>
        <v>42.297145894094122</v>
      </c>
      <c r="CZ105" s="16">
        <f>其他调用!X104/$E$4*求节点(G$28:G$34,$P$28:$P$34,$CV105)*$CW105</f>
        <v>44.653026411750098</v>
      </c>
      <c r="DA105" s="16">
        <f>其他调用!Y104/$E$4*求节点(H$28:H$34,$P$28:$P$34,$CV105)*$CW105</f>
        <v>34.436885706257129</v>
      </c>
      <c r="DB105" s="16">
        <f>其他调用!Z104/$E$4*求节点(I$28:I$34,$P$28:$P$34,$CV105)*$CW105</f>
        <v>19.011833828776805</v>
      </c>
      <c r="DC105" s="16">
        <f>SUM(CX$5:CX105)</f>
        <v>472.60588371702886</v>
      </c>
      <c r="DD105" s="16">
        <f>SUM(CY$5:CY105)</f>
        <v>591.45721434272411</v>
      </c>
      <c r="DE105" s="16">
        <f>SUM(CZ$5:CZ105)</f>
        <v>652.80214230968693</v>
      </c>
      <c r="DF105" s="16">
        <f>SUM(DA$5:DA105)</f>
        <v>533.37194645280431</v>
      </c>
      <c r="DG105" s="16">
        <f>SUM(DB$5:DB105)</f>
        <v>289.16294404739892</v>
      </c>
    </row>
    <row r="106" spans="24:111">
      <c r="X106" s="16">
        <v>102</v>
      </c>
      <c r="Y106" s="45">
        <f t="shared" si="52"/>
        <v>700</v>
      </c>
      <c r="Z106" s="24">
        <f t="shared" si="53"/>
        <v>6.8000000000000005E-2</v>
      </c>
      <c r="AA106" s="16">
        <f>$Y106*$Z106*其他调用!V105</f>
        <v>172477.17840080909</v>
      </c>
      <c r="AB106" s="16">
        <f>$Y106*$Z106*其他调用!W105</f>
        <v>207670.83103733486</v>
      </c>
      <c r="AC106" s="16">
        <f>$Y106*$Z106*其他调用!X105</f>
        <v>216493.07502220699</v>
      </c>
      <c r="AD106" s="16">
        <f>$Y106*$Z106*其他调用!Y105</f>
        <v>176492.86696951161</v>
      </c>
      <c r="AE106" s="16">
        <f>$Y106*$Z106*其他调用!Z105</f>
        <v>98737.145805048014</v>
      </c>
      <c r="AH106" s="16">
        <v>102</v>
      </c>
      <c r="AI106" s="16">
        <f>SUM(AA$5:AA106)</f>
        <v>2112181.4645262077</v>
      </c>
      <c r="AJ106" s="16">
        <f>SUM(AB$5:AB106)</f>
        <v>2625717.6955575412</v>
      </c>
      <c r="AK106" s="16">
        <f>SUM(AC$5:AC106)</f>
        <v>2857533.0351273688</v>
      </c>
      <c r="AL106" s="16">
        <f>SUM(AD$5:AD106)</f>
        <v>2313616.7165059391</v>
      </c>
      <c r="AM106" s="16">
        <f>SUM(AE$5:AE106)</f>
        <v>1253040.7959945209</v>
      </c>
      <c r="AR106" s="16">
        <v>102</v>
      </c>
      <c r="AS106" s="24">
        <f t="shared" si="55"/>
        <v>6.8000000000000005E-2</v>
      </c>
      <c r="AT106" s="16">
        <f>求节点(E$28:E$34,$M$28:$M$34,$AR106)*$AS106*其他调用!V105/$E$4</f>
        <v>0</v>
      </c>
      <c r="AU106" s="16">
        <f>求节点(F$28:F$34,$M$28:$M$34,$AR106)*$AS106*其他调用!W105/$E$4</f>
        <v>0</v>
      </c>
      <c r="AV106" s="16">
        <f>求节点(G$28:G$34,$M$28:$M$34,$AR106)*$AS106*其他调用!X105/$E$4</f>
        <v>0</v>
      </c>
      <c r="AW106" s="16">
        <f>求节点(H$28:H$34,$M$28:$M$34,$AR106)*$AS106*其他调用!Y105/$E$4</f>
        <v>0</v>
      </c>
      <c r="AX106" s="16">
        <f>求节点(I$28:I$34,$M$28:$M$34,$AR106)*$AS106*其他调用!Z105/$E$4</f>
        <v>0</v>
      </c>
      <c r="AY106" s="16">
        <f>求节点(E$28:E$34,$N$28:$N$34,$AR106)*$AS106*其他调用!V105/$E$4</f>
        <v>0</v>
      </c>
      <c r="AZ106" s="16">
        <f>求节点(F$28:F$34,$N$28:$N$34,$AR106)*$AS106*其他调用!W105/$E$4</f>
        <v>0</v>
      </c>
      <c r="BA106" s="16">
        <f>求节点(G$28:G$34,$N$28:$N$34,$AR106)*$AS106*其他调用!X105/$E$4</f>
        <v>0</v>
      </c>
      <c r="BB106" s="16">
        <f>求节点(H$28:H$34,$N$28:$N$34,$AR106)*$AS106*其他调用!Y105/$E$4</f>
        <v>0</v>
      </c>
      <c r="BC106" s="16">
        <f>求节点(I$28:I$34,$N$28:$N$34,$AR106)*$AS106*其他调用!Z105/$E$4</f>
        <v>0</v>
      </c>
      <c r="BD106" s="16">
        <f>求节点(E$28:E$34,$O$28:$O$34,$AR106)*$AS106*其他调用!V105/$E$4</f>
        <v>0</v>
      </c>
      <c r="BE106" s="16">
        <f>求节点(F$28:F$34,$O$28:$O$34,$AR106)*$AS106*其他调用!W105/$E$4</f>
        <v>0</v>
      </c>
      <c r="BF106" s="16">
        <f>求节点(G$28:G$34,$O$28:$O$34,$AR106)*$AS106*其他调用!X105/$E$4</f>
        <v>0</v>
      </c>
      <c r="BG106" s="16">
        <f>求节点(H$28:H$34,$O$28:$O$34,$AR106)*$AS106*其他调用!Y105/$E$4</f>
        <v>0</v>
      </c>
      <c r="BH106" s="16">
        <f>求节点(I$28:I$34,$O$28:$O$34,$AR106)*$AS106*其他调用!Z105/$E$4</f>
        <v>0</v>
      </c>
      <c r="BK106" s="16">
        <v>102</v>
      </c>
      <c r="BL106" s="16">
        <f>SUM(AT$5:AT106)</f>
        <v>0</v>
      </c>
      <c r="BM106" s="16">
        <f>SUM(AU$5:AU106)</f>
        <v>0</v>
      </c>
      <c r="BN106" s="16">
        <f>SUM(AV$5:AV106)</f>
        <v>0</v>
      </c>
      <c r="BO106" s="16">
        <f>SUM(AW$5:AW106)</f>
        <v>0</v>
      </c>
      <c r="BP106" s="16">
        <f>SUM(AX$5:AX106)</f>
        <v>0</v>
      </c>
      <c r="BQ106" s="16">
        <f>SUM(AY$5:AY106)</f>
        <v>0</v>
      </c>
      <c r="BR106" s="16">
        <f>SUM(AZ$5:AZ106)</f>
        <v>0</v>
      </c>
      <c r="BS106" s="16">
        <f>SUM(BA$5:BA106)</f>
        <v>0</v>
      </c>
      <c r="BT106" s="16">
        <f>SUM(BB$5:BB106)</f>
        <v>0</v>
      </c>
      <c r="BU106" s="16">
        <f>SUM(BC$5:BC106)</f>
        <v>0</v>
      </c>
      <c r="BV106" s="16">
        <f>SUM(BD$5:BD106)</f>
        <v>0</v>
      </c>
      <c r="BW106" s="16">
        <f>SUM(BE$5:BE106)</f>
        <v>0</v>
      </c>
      <c r="BX106" s="16">
        <f>SUM(BF$5:BF106)</f>
        <v>0</v>
      </c>
      <c r="BY106" s="16">
        <f>SUM(BG$5:BG106)</f>
        <v>0</v>
      </c>
      <c r="BZ106" s="16">
        <f>SUM(BH$5:BH106)</f>
        <v>0</v>
      </c>
      <c r="CC106" s="16">
        <v>102</v>
      </c>
      <c r="CD106" s="16">
        <f t="shared" si="56"/>
        <v>0</v>
      </c>
      <c r="CE106" s="16">
        <f t="shared" si="57"/>
        <v>0</v>
      </c>
      <c r="CF106" s="16">
        <f t="shared" si="58"/>
        <v>0</v>
      </c>
      <c r="CG106" s="16">
        <f t="shared" si="59"/>
        <v>0</v>
      </c>
      <c r="CH106" s="16">
        <f t="shared" si="60"/>
        <v>0</v>
      </c>
      <c r="CI106" s="16">
        <f t="shared" si="61"/>
        <v>0</v>
      </c>
      <c r="CJ106" s="16">
        <f t="shared" si="62"/>
        <v>0</v>
      </c>
      <c r="CK106" s="16">
        <f t="shared" si="63"/>
        <v>0</v>
      </c>
      <c r="CL106" s="16">
        <f t="shared" si="64"/>
        <v>0</v>
      </c>
      <c r="CM106" s="16">
        <f t="shared" si="65"/>
        <v>0</v>
      </c>
      <c r="CN106" s="16">
        <f t="shared" si="66"/>
        <v>0</v>
      </c>
      <c r="CO106" s="16">
        <f t="shared" si="67"/>
        <v>0</v>
      </c>
      <c r="CP106" s="16">
        <f t="shared" si="68"/>
        <v>0</v>
      </c>
      <c r="CQ106" s="16">
        <f t="shared" si="69"/>
        <v>0</v>
      </c>
      <c r="CR106" s="16">
        <f t="shared" si="70"/>
        <v>0</v>
      </c>
      <c r="CV106" s="16">
        <v>102</v>
      </c>
      <c r="CW106" s="35">
        <f t="shared" si="54"/>
        <v>0.13200000000000001</v>
      </c>
      <c r="CX106" s="16">
        <f>其他调用!V105/$E$4*求节点(E$28:E$34,$P$28:$P$34,$CV106)*$CW106</f>
        <v>35.872354331260709</v>
      </c>
      <c r="CY106" s="16">
        <f>其他调用!W105/$E$4*求节点(F$28:F$34,$P$28:$P$34,$CV106)*$CW106</f>
        <v>43.192042589697792</v>
      </c>
      <c r="CZ106" s="16">
        <f>其他调用!X105/$E$4*求节点(G$28:G$34,$P$28:$P$34,$CV106)*$CW106</f>
        <v>45.02692106554305</v>
      </c>
      <c r="DA106" s="16">
        <f>其他调用!Y105/$E$4*求节点(H$28:H$34,$P$28:$P$34,$CV106)*$CW106</f>
        <v>36.707550062986662</v>
      </c>
      <c r="DB106" s="16">
        <f>其他调用!Z105/$E$4*求节点(I$28:I$34,$P$28:$P$34,$CV106)*$CW106</f>
        <v>20.535666879621328</v>
      </c>
      <c r="DC106" s="16">
        <f>SUM(CX$5:CX106)</f>
        <v>508.47823804828954</v>
      </c>
      <c r="DD106" s="16">
        <f>SUM(CY$5:CY106)</f>
        <v>634.64925693242185</v>
      </c>
      <c r="DE106" s="16">
        <f>SUM(CZ$5:CZ106)</f>
        <v>697.82906337523002</v>
      </c>
      <c r="DF106" s="16">
        <f>SUM(DA$5:DA106)</f>
        <v>570.07949651579099</v>
      </c>
      <c r="DG106" s="16">
        <f>SUM(DB$5:DB106)</f>
        <v>309.69861092702024</v>
      </c>
    </row>
    <row r="107" spans="24:111">
      <c r="X107" s="16">
        <v>103</v>
      </c>
      <c r="Y107" s="45">
        <f t="shared" si="52"/>
        <v>700</v>
      </c>
      <c r="Z107" s="24">
        <f t="shared" si="53"/>
        <v>6.8000000000000005E-2</v>
      </c>
      <c r="AA107" s="16">
        <f>$Y107*$Z107*其他调用!V106</f>
        <v>184856.46270312771</v>
      </c>
      <c r="AB107" s="16">
        <f>$Y107*$Z107*其他调用!W106</f>
        <v>220430.16919919127</v>
      </c>
      <c r="AC107" s="16">
        <f>$Y107*$Z107*其他调用!X106</f>
        <v>239407.68354028842</v>
      </c>
      <c r="AD107" s="16">
        <f>$Y107*$Z107*其他调用!Y106</f>
        <v>201094.33351417081</v>
      </c>
      <c r="AE107" s="16">
        <f>$Y107*$Z107*其他调用!Z106</f>
        <v>109198.04734971642</v>
      </c>
      <c r="AH107" s="16">
        <v>103</v>
      </c>
      <c r="AI107" s="16">
        <f>SUM(AA$5:AA107)</f>
        <v>2297037.9272293355</v>
      </c>
      <c r="AJ107" s="16">
        <f>SUM(AB$5:AB107)</f>
        <v>2846147.8647567322</v>
      </c>
      <c r="AK107" s="16">
        <f>SUM(AC$5:AC107)</f>
        <v>3096940.7186676571</v>
      </c>
      <c r="AL107" s="16">
        <f>SUM(AD$5:AD107)</f>
        <v>2514711.0500201099</v>
      </c>
      <c r="AM107" s="16">
        <f>SUM(AE$5:AE107)</f>
        <v>1362238.8433442372</v>
      </c>
      <c r="AR107" s="16">
        <v>103</v>
      </c>
      <c r="AS107" s="24">
        <f t="shared" si="55"/>
        <v>6.8000000000000005E-2</v>
      </c>
      <c r="AT107" s="16">
        <f>求节点(E$28:E$34,$M$28:$M$34,$AR107)*$AS107*其他调用!V106/$E$4</f>
        <v>0</v>
      </c>
      <c r="AU107" s="16">
        <f>求节点(F$28:F$34,$M$28:$M$34,$AR107)*$AS107*其他调用!W106/$E$4</f>
        <v>0</v>
      </c>
      <c r="AV107" s="16">
        <f>求节点(G$28:G$34,$M$28:$M$34,$AR107)*$AS107*其他调用!X106/$E$4</f>
        <v>0</v>
      </c>
      <c r="AW107" s="16">
        <f>求节点(H$28:H$34,$M$28:$M$34,$AR107)*$AS107*其他调用!Y106/$E$4</f>
        <v>0</v>
      </c>
      <c r="AX107" s="16">
        <f>求节点(I$28:I$34,$M$28:$M$34,$AR107)*$AS107*其他调用!Z106/$E$4</f>
        <v>0</v>
      </c>
      <c r="AY107" s="16">
        <f>求节点(E$28:E$34,$N$28:$N$34,$AR107)*$AS107*其他调用!V106/$E$4</f>
        <v>0</v>
      </c>
      <c r="AZ107" s="16">
        <f>求节点(F$28:F$34,$N$28:$N$34,$AR107)*$AS107*其他调用!W106/$E$4</f>
        <v>0</v>
      </c>
      <c r="BA107" s="16">
        <f>求节点(G$28:G$34,$N$28:$N$34,$AR107)*$AS107*其他调用!X106/$E$4</f>
        <v>0</v>
      </c>
      <c r="BB107" s="16">
        <f>求节点(H$28:H$34,$N$28:$N$34,$AR107)*$AS107*其他调用!Y106/$E$4</f>
        <v>0</v>
      </c>
      <c r="BC107" s="16">
        <f>求节点(I$28:I$34,$N$28:$N$34,$AR107)*$AS107*其他调用!Z106/$E$4</f>
        <v>0</v>
      </c>
      <c r="BD107" s="16">
        <f>求节点(E$28:E$34,$O$28:$O$34,$AR107)*$AS107*其他调用!V106/$E$4</f>
        <v>0</v>
      </c>
      <c r="BE107" s="16">
        <f>求节点(F$28:F$34,$O$28:$O$34,$AR107)*$AS107*其他调用!W106/$E$4</f>
        <v>0</v>
      </c>
      <c r="BF107" s="16">
        <f>求节点(G$28:G$34,$O$28:$O$34,$AR107)*$AS107*其他调用!X106/$E$4</f>
        <v>0</v>
      </c>
      <c r="BG107" s="16">
        <f>求节点(H$28:H$34,$O$28:$O$34,$AR107)*$AS107*其他调用!Y106/$E$4</f>
        <v>0</v>
      </c>
      <c r="BH107" s="16">
        <f>求节点(I$28:I$34,$O$28:$O$34,$AR107)*$AS107*其他调用!Z106/$E$4</f>
        <v>0</v>
      </c>
      <c r="BK107" s="16">
        <v>103</v>
      </c>
      <c r="BL107" s="16">
        <f>SUM(AT$5:AT107)</f>
        <v>0</v>
      </c>
      <c r="BM107" s="16">
        <f>SUM(AU$5:AU107)</f>
        <v>0</v>
      </c>
      <c r="BN107" s="16">
        <f>SUM(AV$5:AV107)</f>
        <v>0</v>
      </c>
      <c r="BO107" s="16">
        <f>SUM(AW$5:AW107)</f>
        <v>0</v>
      </c>
      <c r="BP107" s="16">
        <f>SUM(AX$5:AX107)</f>
        <v>0</v>
      </c>
      <c r="BQ107" s="16">
        <f>SUM(AY$5:AY107)</f>
        <v>0</v>
      </c>
      <c r="BR107" s="16">
        <f>SUM(AZ$5:AZ107)</f>
        <v>0</v>
      </c>
      <c r="BS107" s="16">
        <f>SUM(BA$5:BA107)</f>
        <v>0</v>
      </c>
      <c r="BT107" s="16">
        <f>SUM(BB$5:BB107)</f>
        <v>0</v>
      </c>
      <c r="BU107" s="16">
        <f>SUM(BC$5:BC107)</f>
        <v>0</v>
      </c>
      <c r="BV107" s="16">
        <f>SUM(BD$5:BD107)</f>
        <v>0</v>
      </c>
      <c r="BW107" s="16">
        <f>SUM(BE$5:BE107)</f>
        <v>0</v>
      </c>
      <c r="BX107" s="16">
        <f>SUM(BF$5:BF107)</f>
        <v>0</v>
      </c>
      <c r="BY107" s="16">
        <f>SUM(BG$5:BG107)</f>
        <v>0</v>
      </c>
      <c r="BZ107" s="16">
        <f>SUM(BH$5:BH107)</f>
        <v>0</v>
      </c>
      <c r="CC107" s="16">
        <v>103</v>
      </c>
      <c r="CD107" s="16">
        <f t="shared" si="56"/>
        <v>0</v>
      </c>
      <c r="CE107" s="16">
        <f t="shared" si="57"/>
        <v>0</v>
      </c>
      <c r="CF107" s="16">
        <f t="shared" si="58"/>
        <v>0</v>
      </c>
      <c r="CG107" s="16">
        <f t="shared" si="59"/>
        <v>0</v>
      </c>
      <c r="CH107" s="16">
        <f t="shared" si="60"/>
        <v>0</v>
      </c>
      <c r="CI107" s="16">
        <f t="shared" si="61"/>
        <v>0</v>
      </c>
      <c r="CJ107" s="16">
        <f t="shared" si="62"/>
        <v>0</v>
      </c>
      <c r="CK107" s="16">
        <f t="shared" si="63"/>
        <v>0</v>
      </c>
      <c r="CL107" s="16">
        <f t="shared" si="64"/>
        <v>0</v>
      </c>
      <c r="CM107" s="16">
        <f t="shared" si="65"/>
        <v>0</v>
      </c>
      <c r="CN107" s="16">
        <f t="shared" si="66"/>
        <v>0</v>
      </c>
      <c r="CO107" s="16">
        <f t="shared" si="67"/>
        <v>0</v>
      </c>
      <c r="CP107" s="16">
        <f t="shared" si="68"/>
        <v>0</v>
      </c>
      <c r="CQ107" s="16">
        <f t="shared" si="69"/>
        <v>0</v>
      </c>
      <c r="CR107" s="16">
        <f t="shared" si="70"/>
        <v>0</v>
      </c>
      <c r="CV107" s="16">
        <v>103</v>
      </c>
      <c r="CW107" s="35">
        <f t="shared" si="54"/>
        <v>0.13200000000000001</v>
      </c>
      <c r="CX107" s="16">
        <f>其他调用!V106/$E$4*求节点(E$28:E$34,$P$28:$P$34,$CV107)*$CW107</f>
        <v>38.447037410944631</v>
      </c>
      <c r="CY107" s="16">
        <f>其他调用!W106/$E$4*求节点(F$28:F$34,$P$28:$P$34,$CV107)*$CW107</f>
        <v>45.845770484705746</v>
      </c>
      <c r="CZ107" s="16">
        <f>其他调用!X106/$E$4*求节点(G$28:G$34,$P$28:$P$34,$CV107)*$CW107</f>
        <v>49.792774517833095</v>
      </c>
      <c r="DA107" s="16">
        <f>其他调用!Y106/$E$4*求节点(H$28:H$34,$P$28:$P$34,$CV107)*$CW107</f>
        <v>41.824241634249809</v>
      </c>
      <c r="DB107" s="16">
        <f>其他调用!Z106/$E$4*求节点(I$28:I$34,$P$28:$P$34,$CV107)*$CW107</f>
        <v>22.711358587441023</v>
      </c>
      <c r="DC107" s="16">
        <f>SUM(CX$5:CX107)</f>
        <v>546.92527545923417</v>
      </c>
      <c r="DD107" s="16">
        <f>SUM(CY$5:CY107)</f>
        <v>680.49502741712763</v>
      </c>
      <c r="DE107" s="16">
        <f>SUM(CZ$5:CZ107)</f>
        <v>747.62183789306312</v>
      </c>
      <c r="DF107" s="16">
        <f>SUM(DA$5:DA107)</f>
        <v>611.90373815004079</v>
      </c>
      <c r="DG107" s="16">
        <f>SUM(DB$5:DB107)</f>
        <v>332.40996951446124</v>
      </c>
    </row>
    <row r="108" spans="24:111">
      <c r="X108" s="16">
        <v>104</v>
      </c>
      <c r="Y108" s="45">
        <f t="shared" si="52"/>
        <v>700</v>
      </c>
      <c r="Z108" s="24">
        <f t="shared" si="53"/>
        <v>6.8000000000000005E-2</v>
      </c>
      <c r="AA108" s="16">
        <f>$Y108*$Z108*其他调用!V107</f>
        <v>198124.25110353949</v>
      </c>
      <c r="AB108" s="16">
        <f>$Y108*$Z108*其他调用!W107</f>
        <v>246753.63507352362</v>
      </c>
      <c r="AC108" s="16">
        <f>$Y108*$Z108*其他调用!X107</f>
        <v>276821.39408762718</v>
      </c>
      <c r="AD108" s="16">
        <f>$Y108*$Z108*其他调用!Y107</f>
        <v>225941.40837221011</v>
      </c>
      <c r="AE108" s="16">
        <f>$Y108*$Z108*其他调用!Z107</f>
        <v>120918.55975562222</v>
      </c>
      <c r="AH108" s="16">
        <v>104</v>
      </c>
      <c r="AI108" s="16">
        <f>SUM(AA$5:AA108)</f>
        <v>2495162.178332875</v>
      </c>
      <c r="AJ108" s="16">
        <f>SUM(AB$5:AB108)</f>
        <v>3092901.4998302558</v>
      </c>
      <c r="AK108" s="16">
        <f>SUM(AC$5:AC108)</f>
        <v>3373762.1127552842</v>
      </c>
      <c r="AL108" s="16">
        <f>SUM(AD$5:AD108)</f>
        <v>2740652.4583923202</v>
      </c>
      <c r="AM108" s="16">
        <f>SUM(AE$5:AE108)</f>
        <v>1483157.4030998594</v>
      </c>
      <c r="AR108" s="16">
        <v>104</v>
      </c>
      <c r="AS108" s="24">
        <f t="shared" si="55"/>
        <v>6.8000000000000005E-2</v>
      </c>
      <c r="AT108" s="16">
        <f>求节点(E$28:E$34,$M$28:$M$34,$AR108)*$AS108*其他调用!V107/$E$4</f>
        <v>0</v>
      </c>
      <c r="AU108" s="16">
        <f>求节点(F$28:F$34,$M$28:$M$34,$AR108)*$AS108*其他调用!W107/$E$4</f>
        <v>0</v>
      </c>
      <c r="AV108" s="16">
        <f>求节点(G$28:G$34,$M$28:$M$34,$AR108)*$AS108*其他调用!X107/$E$4</f>
        <v>0</v>
      </c>
      <c r="AW108" s="16">
        <f>求节点(H$28:H$34,$M$28:$M$34,$AR108)*$AS108*其他调用!Y107/$E$4</f>
        <v>0</v>
      </c>
      <c r="AX108" s="16">
        <f>求节点(I$28:I$34,$M$28:$M$34,$AR108)*$AS108*其他调用!Z107/$E$4</f>
        <v>0</v>
      </c>
      <c r="AY108" s="16">
        <f>求节点(E$28:E$34,$N$28:$N$34,$AR108)*$AS108*其他调用!V107/$E$4</f>
        <v>0</v>
      </c>
      <c r="AZ108" s="16">
        <f>求节点(F$28:F$34,$N$28:$N$34,$AR108)*$AS108*其他调用!W107/$E$4</f>
        <v>0</v>
      </c>
      <c r="BA108" s="16">
        <f>求节点(G$28:G$34,$N$28:$N$34,$AR108)*$AS108*其他调用!X107/$E$4</f>
        <v>0</v>
      </c>
      <c r="BB108" s="16">
        <f>求节点(H$28:H$34,$N$28:$N$34,$AR108)*$AS108*其他调用!Y107/$E$4</f>
        <v>0</v>
      </c>
      <c r="BC108" s="16">
        <f>求节点(I$28:I$34,$N$28:$N$34,$AR108)*$AS108*其他调用!Z107/$E$4</f>
        <v>0</v>
      </c>
      <c r="BD108" s="16">
        <f>求节点(E$28:E$34,$O$28:$O$34,$AR108)*$AS108*其他调用!V107/$E$4</f>
        <v>0</v>
      </c>
      <c r="BE108" s="16">
        <f>求节点(F$28:F$34,$O$28:$O$34,$AR108)*$AS108*其他调用!W107/$E$4</f>
        <v>0</v>
      </c>
      <c r="BF108" s="16">
        <f>求节点(G$28:G$34,$O$28:$O$34,$AR108)*$AS108*其他调用!X107/$E$4</f>
        <v>0</v>
      </c>
      <c r="BG108" s="16">
        <f>求节点(H$28:H$34,$O$28:$O$34,$AR108)*$AS108*其他调用!Y107/$E$4</f>
        <v>0</v>
      </c>
      <c r="BH108" s="16">
        <f>求节点(I$28:I$34,$O$28:$O$34,$AR108)*$AS108*其他调用!Z107/$E$4</f>
        <v>0</v>
      </c>
      <c r="BK108" s="16">
        <v>104</v>
      </c>
      <c r="BL108" s="16">
        <f>SUM(AT$5:AT108)</f>
        <v>0</v>
      </c>
      <c r="BM108" s="16">
        <f>SUM(AU$5:AU108)</f>
        <v>0</v>
      </c>
      <c r="BN108" s="16">
        <f>SUM(AV$5:AV108)</f>
        <v>0</v>
      </c>
      <c r="BO108" s="16">
        <f>SUM(AW$5:AW108)</f>
        <v>0</v>
      </c>
      <c r="BP108" s="16">
        <f>SUM(AX$5:AX108)</f>
        <v>0</v>
      </c>
      <c r="BQ108" s="16">
        <f>SUM(AY$5:AY108)</f>
        <v>0</v>
      </c>
      <c r="BR108" s="16">
        <f>SUM(AZ$5:AZ108)</f>
        <v>0</v>
      </c>
      <c r="BS108" s="16">
        <f>SUM(BA$5:BA108)</f>
        <v>0</v>
      </c>
      <c r="BT108" s="16">
        <f>SUM(BB$5:BB108)</f>
        <v>0</v>
      </c>
      <c r="BU108" s="16">
        <f>SUM(BC$5:BC108)</f>
        <v>0</v>
      </c>
      <c r="BV108" s="16">
        <f>SUM(BD$5:BD108)</f>
        <v>0</v>
      </c>
      <c r="BW108" s="16">
        <f>SUM(BE$5:BE108)</f>
        <v>0</v>
      </c>
      <c r="BX108" s="16">
        <f>SUM(BF$5:BF108)</f>
        <v>0</v>
      </c>
      <c r="BY108" s="16">
        <f>SUM(BG$5:BG108)</f>
        <v>0</v>
      </c>
      <c r="BZ108" s="16">
        <f>SUM(BH$5:BH108)</f>
        <v>0</v>
      </c>
      <c r="CC108" s="16">
        <v>104</v>
      </c>
      <c r="CD108" s="16">
        <f t="shared" si="56"/>
        <v>0</v>
      </c>
      <c r="CE108" s="16">
        <f t="shared" si="57"/>
        <v>0</v>
      </c>
      <c r="CF108" s="16">
        <f t="shared" si="58"/>
        <v>0</v>
      </c>
      <c r="CG108" s="16">
        <f t="shared" si="59"/>
        <v>0</v>
      </c>
      <c r="CH108" s="16">
        <f t="shared" si="60"/>
        <v>0</v>
      </c>
      <c r="CI108" s="16">
        <f t="shared" si="61"/>
        <v>0</v>
      </c>
      <c r="CJ108" s="16">
        <f t="shared" si="62"/>
        <v>0</v>
      </c>
      <c r="CK108" s="16">
        <f t="shared" si="63"/>
        <v>0</v>
      </c>
      <c r="CL108" s="16">
        <f t="shared" si="64"/>
        <v>0</v>
      </c>
      <c r="CM108" s="16">
        <f t="shared" si="65"/>
        <v>0</v>
      </c>
      <c r="CN108" s="16">
        <f t="shared" si="66"/>
        <v>0</v>
      </c>
      <c r="CO108" s="16">
        <f t="shared" si="67"/>
        <v>0</v>
      </c>
      <c r="CP108" s="16">
        <f t="shared" si="68"/>
        <v>0</v>
      </c>
      <c r="CQ108" s="16">
        <f t="shared" si="69"/>
        <v>0</v>
      </c>
      <c r="CR108" s="16">
        <f t="shared" si="70"/>
        <v>0</v>
      </c>
      <c r="CV108" s="16">
        <v>104</v>
      </c>
      <c r="CW108" s="35">
        <f t="shared" si="54"/>
        <v>0.13200000000000001</v>
      </c>
      <c r="CX108" s="16">
        <f>其他调用!V107/$E$4*求节点(E$28:E$34,$P$28:$P$34,$CV108)*$CW108</f>
        <v>41.206514410189939</v>
      </c>
      <c r="CY108" s="16">
        <f>其他调用!W107/$E$4*求节点(F$28:F$34,$P$28:$P$34,$CV108)*$CW108</f>
        <v>51.320608975375706</v>
      </c>
      <c r="CZ108" s="16">
        <f>其他调用!X107/$E$4*求节点(G$28:G$34,$P$28:$P$34,$CV108)*$CW108</f>
        <v>57.574197509821616</v>
      </c>
      <c r="DA108" s="16">
        <f>其他调用!Y107/$E$4*求节点(H$28:H$34,$P$28:$P$34,$CV108)*$CW108</f>
        <v>46.992015606825213</v>
      </c>
      <c r="DB108" s="16">
        <f>其他调用!Z107/$E$4*求节点(I$28:I$34,$P$28:$P$34,$CV108)*$CW108</f>
        <v>25.14902818446765</v>
      </c>
      <c r="DC108" s="16">
        <f>SUM(CX$5:CX108)</f>
        <v>588.1317898694241</v>
      </c>
      <c r="DD108" s="16">
        <f>SUM(CY$5:CY108)</f>
        <v>731.81563639250339</v>
      </c>
      <c r="DE108" s="16">
        <f>SUM(CZ$5:CZ108)</f>
        <v>805.19603540288472</v>
      </c>
      <c r="DF108" s="16">
        <f>SUM(DA$5:DA108)</f>
        <v>658.89575375686604</v>
      </c>
      <c r="DG108" s="16">
        <f>SUM(DB$5:DB108)</f>
        <v>357.55899769892886</v>
      </c>
    </row>
    <row r="109" spans="24:111">
      <c r="X109" s="16">
        <v>105</v>
      </c>
      <c r="Y109" s="45">
        <f t="shared" si="52"/>
        <v>700</v>
      </c>
      <c r="Z109" s="24">
        <f t="shared" si="53"/>
        <v>6.8000000000000005E-2</v>
      </c>
      <c r="AA109" s="16">
        <f>$Y109*$Z109*其他调用!V108</f>
        <v>212344.31461765105</v>
      </c>
      <c r="AB109" s="16">
        <f>$Y109*$Z109*其他调用!W108</f>
        <v>268218.11304268136</v>
      </c>
      <c r="AC109" s="16">
        <f>$Y109*$Z109*其他调用!X108</f>
        <v>293559.30191145372</v>
      </c>
      <c r="AD109" s="16">
        <f>$Y109*$Z109*其他调用!Y108</f>
        <v>237762.41078896335</v>
      </c>
      <c r="AE109" s="16">
        <f>$Y109*$Z109*其他调用!Z108</f>
        <v>126949.58687608765</v>
      </c>
      <c r="AH109" s="16">
        <v>105</v>
      </c>
      <c r="AI109" s="16">
        <f>SUM(AA$5:AA109)</f>
        <v>2707506.4929505261</v>
      </c>
      <c r="AJ109" s="16">
        <f>SUM(AB$5:AB109)</f>
        <v>3361119.6128729372</v>
      </c>
      <c r="AK109" s="16">
        <f>SUM(AC$5:AC109)</f>
        <v>3667321.4146667379</v>
      </c>
      <c r="AL109" s="16">
        <f>SUM(AD$5:AD109)</f>
        <v>2978414.8691812837</v>
      </c>
      <c r="AM109" s="16">
        <f>SUM(AE$5:AE109)</f>
        <v>1610106.989975947</v>
      </c>
      <c r="AR109" s="16">
        <v>105</v>
      </c>
      <c r="AS109" s="24">
        <f t="shared" si="55"/>
        <v>6.8000000000000005E-2</v>
      </c>
      <c r="AT109" s="16">
        <f>求节点(E$28:E$34,$M$28:$M$34,$AR109)*$AS109*其他调用!V108/$E$4</f>
        <v>0</v>
      </c>
      <c r="AU109" s="16">
        <f>求节点(F$28:F$34,$M$28:$M$34,$AR109)*$AS109*其他调用!W108/$E$4</f>
        <v>0</v>
      </c>
      <c r="AV109" s="16">
        <f>求节点(G$28:G$34,$M$28:$M$34,$AR109)*$AS109*其他调用!X108/$E$4</f>
        <v>0</v>
      </c>
      <c r="AW109" s="16">
        <f>求节点(H$28:H$34,$M$28:$M$34,$AR109)*$AS109*其他调用!Y108/$E$4</f>
        <v>0</v>
      </c>
      <c r="AX109" s="16">
        <f>求节点(I$28:I$34,$M$28:$M$34,$AR109)*$AS109*其他调用!Z108/$E$4</f>
        <v>0</v>
      </c>
      <c r="AY109" s="16">
        <f>求节点(E$28:E$34,$N$28:$N$34,$AR109)*$AS109*其他调用!V108/$E$4</f>
        <v>0</v>
      </c>
      <c r="AZ109" s="16">
        <f>求节点(F$28:F$34,$N$28:$N$34,$AR109)*$AS109*其他调用!W108/$E$4</f>
        <v>0</v>
      </c>
      <c r="BA109" s="16">
        <f>求节点(G$28:G$34,$N$28:$N$34,$AR109)*$AS109*其他调用!X108/$E$4</f>
        <v>0</v>
      </c>
      <c r="BB109" s="16">
        <f>求节点(H$28:H$34,$N$28:$N$34,$AR109)*$AS109*其他调用!Y108/$E$4</f>
        <v>0</v>
      </c>
      <c r="BC109" s="16">
        <f>求节点(I$28:I$34,$N$28:$N$34,$AR109)*$AS109*其他调用!Z108/$E$4</f>
        <v>0</v>
      </c>
      <c r="BD109" s="16">
        <f>求节点(E$28:E$34,$O$28:$O$34,$AR109)*$AS109*其他调用!V108/$E$4</f>
        <v>0</v>
      </c>
      <c r="BE109" s="16">
        <f>求节点(F$28:F$34,$O$28:$O$34,$AR109)*$AS109*其他调用!W108/$E$4</f>
        <v>0</v>
      </c>
      <c r="BF109" s="16">
        <f>求节点(G$28:G$34,$O$28:$O$34,$AR109)*$AS109*其他调用!X108/$E$4</f>
        <v>0</v>
      </c>
      <c r="BG109" s="16">
        <f>求节点(H$28:H$34,$O$28:$O$34,$AR109)*$AS109*其他调用!Y108/$E$4</f>
        <v>0</v>
      </c>
      <c r="BH109" s="16">
        <f>求节点(I$28:I$34,$O$28:$O$34,$AR109)*$AS109*其他调用!Z108/$E$4</f>
        <v>0</v>
      </c>
      <c r="BK109" s="16">
        <v>105</v>
      </c>
      <c r="BL109" s="16">
        <f>SUM(AT$5:AT109)</f>
        <v>0</v>
      </c>
      <c r="BM109" s="16">
        <f>SUM(AU$5:AU109)</f>
        <v>0</v>
      </c>
      <c r="BN109" s="16">
        <f>SUM(AV$5:AV109)</f>
        <v>0</v>
      </c>
      <c r="BO109" s="16">
        <f>SUM(AW$5:AW109)</f>
        <v>0</v>
      </c>
      <c r="BP109" s="16">
        <f>SUM(AX$5:AX109)</f>
        <v>0</v>
      </c>
      <c r="BQ109" s="16">
        <f>SUM(AY$5:AY109)</f>
        <v>0</v>
      </c>
      <c r="BR109" s="16">
        <f>SUM(AZ$5:AZ109)</f>
        <v>0</v>
      </c>
      <c r="BS109" s="16">
        <f>SUM(BA$5:BA109)</f>
        <v>0</v>
      </c>
      <c r="BT109" s="16">
        <f>SUM(BB$5:BB109)</f>
        <v>0</v>
      </c>
      <c r="BU109" s="16">
        <f>SUM(BC$5:BC109)</f>
        <v>0</v>
      </c>
      <c r="BV109" s="16">
        <f>SUM(BD$5:BD109)</f>
        <v>0</v>
      </c>
      <c r="BW109" s="16">
        <f>SUM(BE$5:BE109)</f>
        <v>0</v>
      </c>
      <c r="BX109" s="16">
        <f>SUM(BF$5:BF109)</f>
        <v>0</v>
      </c>
      <c r="BY109" s="16">
        <f>SUM(BG$5:BG109)</f>
        <v>0</v>
      </c>
      <c r="BZ109" s="16">
        <f>SUM(BH$5:BH109)</f>
        <v>0</v>
      </c>
      <c r="CC109" s="16">
        <v>105</v>
      </c>
      <c r="CD109" s="16">
        <f t="shared" si="56"/>
        <v>0</v>
      </c>
      <c r="CE109" s="16">
        <f t="shared" si="57"/>
        <v>0</v>
      </c>
      <c r="CF109" s="16">
        <f t="shared" si="58"/>
        <v>0</v>
      </c>
      <c r="CG109" s="16">
        <f t="shared" si="59"/>
        <v>0</v>
      </c>
      <c r="CH109" s="16">
        <f t="shared" si="60"/>
        <v>0</v>
      </c>
      <c r="CI109" s="16">
        <f t="shared" si="61"/>
        <v>0</v>
      </c>
      <c r="CJ109" s="16">
        <f t="shared" si="62"/>
        <v>0</v>
      </c>
      <c r="CK109" s="16">
        <f t="shared" si="63"/>
        <v>0</v>
      </c>
      <c r="CL109" s="16">
        <f t="shared" si="64"/>
        <v>0</v>
      </c>
      <c r="CM109" s="16">
        <f t="shared" si="65"/>
        <v>0</v>
      </c>
      <c r="CN109" s="16">
        <f t="shared" si="66"/>
        <v>0</v>
      </c>
      <c r="CO109" s="16">
        <f t="shared" si="67"/>
        <v>0</v>
      </c>
      <c r="CP109" s="16">
        <f t="shared" si="68"/>
        <v>0</v>
      </c>
      <c r="CQ109" s="16">
        <f t="shared" si="69"/>
        <v>0</v>
      </c>
      <c r="CR109" s="16">
        <f t="shared" si="70"/>
        <v>0</v>
      </c>
      <c r="CV109" s="16">
        <v>105</v>
      </c>
      <c r="CW109" s="35">
        <f t="shared" si="54"/>
        <v>0.13200000000000001</v>
      </c>
      <c r="CX109" s="16">
        <f>其他调用!V108/$E$4*求节点(E$28:E$34,$P$28:$P$34,$CV109)*$CW109</f>
        <v>44.164048628461039</v>
      </c>
      <c r="CY109" s="16">
        <f>其他调用!W108/$E$4*求节点(F$28:F$34,$P$28:$P$34,$CV109)*$CW109</f>
        <v>55.784859645431624</v>
      </c>
      <c r="CZ109" s="16">
        <f>其他调用!X108/$E$4*求节点(G$28:G$34,$P$28:$P$34,$CV109)*$CW109</f>
        <v>61.055401027802347</v>
      </c>
      <c r="DA109" s="16">
        <f>其他调用!Y108/$E$4*求节点(H$28:H$34,$P$28:$P$34,$CV109)*$CW109</f>
        <v>49.45058543720036</v>
      </c>
      <c r="DB109" s="16">
        <f>其他调用!Z108/$E$4*求节点(I$28:I$34,$P$28:$P$34,$CV109)*$CW109</f>
        <v>26.403380463724108</v>
      </c>
      <c r="DC109" s="16">
        <f>SUM(CX$5:CX109)</f>
        <v>632.29583849788514</v>
      </c>
      <c r="DD109" s="16">
        <f>SUM(CY$5:CY109)</f>
        <v>787.60049603793505</v>
      </c>
      <c r="DE109" s="16">
        <f>SUM(CZ$5:CZ109)</f>
        <v>866.25143643068702</v>
      </c>
      <c r="DF109" s="16">
        <f>SUM(DA$5:DA109)</f>
        <v>708.34633919406645</v>
      </c>
      <c r="DG109" s="16">
        <f>SUM(DB$5:DB109)</f>
        <v>383.96237816265295</v>
      </c>
    </row>
    <row r="110" spans="24:111">
      <c r="X110" s="16">
        <v>106</v>
      </c>
      <c r="Y110" s="45">
        <f t="shared" si="52"/>
        <v>700</v>
      </c>
      <c r="Z110" s="24">
        <f t="shared" si="53"/>
        <v>6.8000000000000005E-2</v>
      </c>
      <c r="AA110" s="16">
        <f>$Y110*$Z110*其他调用!V109</f>
        <v>227585.0013276533</v>
      </c>
      <c r="AB110" s="16">
        <f>$Y110*$Z110*其他调用!W109</f>
        <v>285822.06783956679</v>
      </c>
      <c r="AC110" s="16">
        <f>$Y110*$Z110*其他调用!X109</f>
        <v>309659.57532738859</v>
      </c>
      <c r="AD110" s="16">
        <f>$Y110*$Z110*其他调用!Y109</f>
        <v>248998.65246388366</v>
      </c>
      <c r="AE110" s="16">
        <f>$Y110*$Z110*其他调用!Z109</f>
        <v>128456.49578707195</v>
      </c>
      <c r="AH110" s="16">
        <v>106</v>
      </c>
      <c r="AI110" s="16">
        <f>SUM(AA$5:AA110)</f>
        <v>2935091.4942781795</v>
      </c>
      <c r="AJ110" s="16">
        <f>SUM(AB$5:AB110)</f>
        <v>3646941.6807125038</v>
      </c>
      <c r="AK110" s="16">
        <f>SUM(AC$5:AC110)</f>
        <v>3976980.9899941264</v>
      </c>
      <c r="AL110" s="16">
        <f>SUM(AD$5:AD110)</f>
        <v>3227413.5216451674</v>
      </c>
      <c r="AM110" s="16">
        <f>SUM(AE$5:AE110)</f>
        <v>1738563.485763019</v>
      </c>
      <c r="AR110" s="16">
        <v>106</v>
      </c>
      <c r="AS110" s="24">
        <f t="shared" si="55"/>
        <v>6.8000000000000005E-2</v>
      </c>
      <c r="AT110" s="16">
        <f>求节点(E$28:E$34,$M$28:$M$34,$AR110)*$AS110*其他调用!V109/$E$4</f>
        <v>0</v>
      </c>
      <c r="AU110" s="16">
        <f>求节点(F$28:F$34,$M$28:$M$34,$AR110)*$AS110*其他调用!W109/$E$4</f>
        <v>0</v>
      </c>
      <c r="AV110" s="16">
        <f>求节点(G$28:G$34,$M$28:$M$34,$AR110)*$AS110*其他调用!X109/$E$4</f>
        <v>0</v>
      </c>
      <c r="AW110" s="16">
        <f>求节点(H$28:H$34,$M$28:$M$34,$AR110)*$AS110*其他调用!Y109/$E$4</f>
        <v>0</v>
      </c>
      <c r="AX110" s="16">
        <f>求节点(I$28:I$34,$M$28:$M$34,$AR110)*$AS110*其他调用!Z109/$E$4</f>
        <v>0</v>
      </c>
      <c r="AY110" s="16">
        <f>求节点(E$28:E$34,$N$28:$N$34,$AR110)*$AS110*其他调用!V109/$E$4</f>
        <v>0</v>
      </c>
      <c r="AZ110" s="16">
        <f>求节点(F$28:F$34,$N$28:$N$34,$AR110)*$AS110*其他调用!W109/$E$4</f>
        <v>0</v>
      </c>
      <c r="BA110" s="16">
        <f>求节点(G$28:G$34,$N$28:$N$34,$AR110)*$AS110*其他调用!X109/$E$4</f>
        <v>0</v>
      </c>
      <c r="BB110" s="16">
        <f>求节点(H$28:H$34,$N$28:$N$34,$AR110)*$AS110*其他调用!Y109/$E$4</f>
        <v>0</v>
      </c>
      <c r="BC110" s="16">
        <f>求节点(I$28:I$34,$N$28:$N$34,$AR110)*$AS110*其他调用!Z109/$E$4</f>
        <v>0</v>
      </c>
      <c r="BD110" s="16">
        <f>求节点(E$28:E$34,$O$28:$O$34,$AR110)*$AS110*其他调用!V109/$E$4</f>
        <v>0</v>
      </c>
      <c r="BE110" s="16">
        <f>求节点(F$28:F$34,$O$28:$O$34,$AR110)*$AS110*其他调用!W109/$E$4</f>
        <v>0</v>
      </c>
      <c r="BF110" s="16">
        <f>求节点(G$28:G$34,$O$28:$O$34,$AR110)*$AS110*其他调用!X109/$E$4</f>
        <v>0</v>
      </c>
      <c r="BG110" s="16">
        <f>求节点(H$28:H$34,$O$28:$O$34,$AR110)*$AS110*其他调用!Y109/$E$4</f>
        <v>0</v>
      </c>
      <c r="BH110" s="16">
        <f>求节点(I$28:I$34,$O$28:$O$34,$AR110)*$AS110*其他调用!Z109/$E$4</f>
        <v>0</v>
      </c>
      <c r="BK110" s="16">
        <v>106</v>
      </c>
      <c r="BL110" s="16">
        <f>SUM(AT$5:AT110)</f>
        <v>0</v>
      </c>
      <c r="BM110" s="16">
        <f>SUM(AU$5:AU110)</f>
        <v>0</v>
      </c>
      <c r="BN110" s="16">
        <f>SUM(AV$5:AV110)</f>
        <v>0</v>
      </c>
      <c r="BO110" s="16">
        <f>SUM(AW$5:AW110)</f>
        <v>0</v>
      </c>
      <c r="BP110" s="16">
        <f>SUM(AX$5:AX110)</f>
        <v>0</v>
      </c>
      <c r="BQ110" s="16">
        <f>SUM(AY$5:AY110)</f>
        <v>0</v>
      </c>
      <c r="BR110" s="16">
        <f>SUM(AZ$5:AZ110)</f>
        <v>0</v>
      </c>
      <c r="BS110" s="16">
        <f>SUM(BA$5:BA110)</f>
        <v>0</v>
      </c>
      <c r="BT110" s="16">
        <f>SUM(BB$5:BB110)</f>
        <v>0</v>
      </c>
      <c r="BU110" s="16">
        <f>SUM(BC$5:BC110)</f>
        <v>0</v>
      </c>
      <c r="BV110" s="16">
        <f>SUM(BD$5:BD110)</f>
        <v>0</v>
      </c>
      <c r="BW110" s="16">
        <f>SUM(BE$5:BE110)</f>
        <v>0</v>
      </c>
      <c r="BX110" s="16">
        <f>SUM(BF$5:BF110)</f>
        <v>0</v>
      </c>
      <c r="BY110" s="16">
        <f>SUM(BG$5:BG110)</f>
        <v>0</v>
      </c>
      <c r="BZ110" s="16">
        <f>SUM(BH$5:BH110)</f>
        <v>0</v>
      </c>
      <c r="CC110" s="16">
        <v>106</v>
      </c>
      <c r="CD110" s="16">
        <f t="shared" si="56"/>
        <v>0</v>
      </c>
      <c r="CE110" s="16">
        <f t="shared" si="57"/>
        <v>0</v>
      </c>
      <c r="CF110" s="16">
        <f t="shared" si="58"/>
        <v>0</v>
      </c>
      <c r="CG110" s="16">
        <f t="shared" si="59"/>
        <v>0</v>
      </c>
      <c r="CH110" s="16">
        <f t="shared" si="60"/>
        <v>0</v>
      </c>
      <c r="CI110" s="16">
        <f t="shared" si="61"/>
        <v>0</v>
      </c>
      <c r="CJ110" s="16">
        <f t="shared" si="62"/>
        <v>0</v>
      </c>
      <c r="CK110" s="16">
        <f t="shared" si="63"/>
        <v>0</v>
      </c>
      <c r="CL110" s="16">
        <f t="shared" si="64"/>
        <v>0</v>
      </c>
      <c r="CM110" s="16">
        <f t="shared" si="65"/>
        <v>0</v>
      </c>
      <c r="CN110" s="16">
        <f t="shared" si="66"/>
        <v>0</v>
      </c>
      <c r="CO110" s="16">
        <f t="shared" si="67"/>
        <v>0</v>
      </c>
      <c r="CP110" s="16">
        <f t="shared" si="68"/>
        <v>0</v>
      </c>
      <c r="CQ110" s="16">
        <f t="shared" si="69"/>
        <v>0</v>
      </c>
      <c r="CR110" s="16">
        <f t="shared" si="70"/>
        <v>0</v>
      </c>
      <c r="CV110" s="16">
        <v>106</v>
      </c>
      <c r="CW110" s="35">
        <f t="shared" si="54"/>
        <v>0.13200000000000001</v>
      </c>
      <c r="CX110" s="16">
        <f>其他调用!V109/$E$4*求节点(E$28:E$34,$P$28:$P$34,$CV110)*$CW110</f>
        <v>47.333855318146384</v>
      </c>
      <c r="CY110" s="16">
        <f>其他调用!W109/$E$4*求节点(F$28:F$34,$P$28:$P$34,$CV110)*$CW110</f>
        <v>59.4461863783973</v>
      </c>
      <c r="CZ110" s="16">
        <f>其他调用!X109/$E$4*求节点(G$28:G$34,$P$28:$P$34,$CV110)*$CW110</f>
        <v>64.403987305486282</v>
      </c>
      <c r="DA110" s="16">
        <f>其他调用!Y109/$E$4*求节点(H$28:H$34,$P$28:$P$34,$CV110)*$CW110</f>
        <v>51.78753486118589</v>
      </c>
      <c r="DB110" s="16">
        <f>其他调用!Z109/$E$4*求节点(I$28:I$34,$P$28:$P$34,$CV110)*$CW110</f>
        <v>26.716792191008661</v>
      </c>
      <c r="DC110" s="16">
        <f>SUM(CX$5:CX110)</f>
        <v>679.62969381603148</v>
      </c>
      <c r="DD110" s="16">
        <f>SUM(CY$5:CY110)</f>
        <v>847.04668241633237</v>
      </c>
      <c r="DE110" s="16">
        <f>SUM(CZ$5:CZ110)</f>
        <v>930.65542373617336</v>
      </c>
      <c r="DF110" s="16">
        <f>SUM(DA$5:DA110)</f>
        <v>760.13387405525236</v>
      </c>
      <c r="DG110" s="16">
        <f>SUM(DB$5:DB110)</f>
        <v>410.67917035366162</v>
      </c>
    </row>
    <row r="111" spans="24:111">
      <c r="X111" s="16">
        <v>107</v>
      </c>
      <c r="Y111" s="45">
        <f t="shared" si="52"/>
        <v>700</v>
      </c>
      <c r="Z111" s="24">
        <f t="shared" si="53"/>
        <v>6.8000000000000005E-2</v>
      </c>
      <c r="AA111" s="16">
        <f>$Y111*$Z111*其他调用!V110</f>
        <v>243919.56489426788</v>
      </c>
      <c r="AB111" s="16">
        <f>$Y111*$Z111*其他调用!W110</f>
        <v>301247.78676561918</v>
      </c>
      <c r="AC111" s="16">
        <f>$Y111*$Z111*其他调用!X110</f>
        <v>333373.45085443521</v>
      </c>
      <c r="AD111" s="16">
        <f>$Y111*$Z111*其他调用!Y110</f>
        <v>253664.79966950262</v>
      </c>
      <c r="AE111" s="16">
        <f>$Y111*$Z111*其他调用!Z110</f>
        <v>135499.56961705367</v>
      </c>
      <c r="AH111" s="16">
        <v>107</v>
      </c>
      <c r="AI111" s="16">
        <f>SUM(AA$5:AA111)</f>
        <v>3179011.0591724473</v>
      </c>
      <c r="AJ111" s="16">
        <f>SUM(AB$5:AB111)</f>
        <v>3948189.467478123</v>
      </c>
      <c r="AK111" s="16">
        <f>SUM(AC$5:AC111)</f>
        <v>4310354.4408485619</v>
      </c>
      <c r="AL111" s="16">
        <f>SUM(AD$5:AD111)</f>
        <v>3481078.3213146701</v>
      </c>
      <c r="AM111" s="16">
        <f>SUM(AE$5:AE111)</f>
        <v>1874063.0553800727</v>
      </c>
      <c r="AR111" s="16">
        <v>107</v>
      </c>
      <c r="AS111" s="24">
        <f t="shared" si="55"/>
        <v>6.8000000000000005E-2</v>
      </c>
      <c r="AT111" s="16">
        <f>求节点(E$28:E$34,$M$28:$M$34,$AR111)*$AS111*其他调用!V110/$E$4</f>
        <v>0</v>
      </c>
      <c r="AU111" s="16">
        <f>求节点(F$28:F$34,$M$28:$M$34,$AR111)*$AS111*其他调用!W110/$E$4</f>
        <v>0</v>
      </c>
      <c r="AV111" s="16">
        <f>求节点(G$28:G$34,$M$28:$M$34,$AR111)*$AS111*其他调用!X110/$E$4</f>
        <v>0</v>
      </c>
      <c r="AW111" s="16">
        <f>求节点(H$28:H$34,$M$28:$M$34,$AR111)*$AS111*其他调用!Y110/$E$4</f>
        <v>0</v>
      </c>
      <c r="AX111" s="16">
        <f>求节点(I$28:I$34,$M$28:$M$34,$AR111)*$AS111*其他调用!Z110/$E$4</f>
        <v>0</v>
      </c>
      <c r="AY111" s="16">
        <f>求节点(E$28:E$34,$N$28:$N$34,$AR111)*$AS111*其他调用!V110/$E$4</f>
        <v>0</v>
      </c>
      <c r="AZ111" s="16">
        <f>求节点(F$28:F$34,$N$28:$N$34,$AR111)*$AS111*其他调用!W110/$E$4</f>
        <v>0</v>
      </c>
      <c r="BA111" s="16">
        <f>求节点(G$28:G$34,$N$28:$N$34,$AR111)*$AS111*其他调用!X110/$E$4</f>
        <v>0</v>
      </c>
      <c r="BB111" s="16">
        <f>求节点(H$28:H$34,$N$28:$N$34,$AR111)*$AS111*其他调用!Y110/$E$4</f>
        <v>0</v>
      </c>
      <c r="BC111" s="16">
        <f>求节点(I$28:I$34,$N$28:$N$34,$AR111)*$AS111*其他调用!Z110/$E$4</f>
        <v>0</v>
      </c>
      <c r="BD111" s="16">
        <f>求节点(E$28:E$34,$O$28:$O$34,$AR111)*$AS111*其他调用!V110/$E$4</f>
        <v>0</v>
      </c>
      <c r="BE111" s="16">
        <f>求节点(F$28:F$34,$O$28:$O$34,$AR111)*$AS111*其他调用!W110/$E$4</f>
        <v>0</v>
      </c>
      <c r="BF111" s="16">
        <f>求节点(G$28:G$34,$O$28:$O$34,$AR111)*$AS111*其他调用!X110/$E$4</f>
        <v>0</v>
      </c>
      <c r="BG111" s="16">
        <f>求节点(H$28:H$34,$O$28:$O$34,$AR111)*$AS111*其他调用!Y110/$E$4</f>
        <v>0</v>
      </c>
      <c r="BH111" s="16">
        <f>求节点(I$28:I$34,$O$28:$O$34,$AR111)*$AS111*其他调用!Z110/$E$4</f>
        <v>0</v>
      </c>
      <c r="BK111" s="16">
        <v>107</v>
      </c>
      <c r="BL111" s="16">
        <f>SUM(AT$5:AT111)</f>
        <v>0</v>
      </c>
      <c r="BM111" s="16">
        <f>SUM(AU$5:AU111)</f>
        <v>0</v>
      </c>
      <c r="BN111" s="16">
        <f>SUM(AV$5:AV111)</f>
        <v>0</v>
      </c>
      <c r="BO111" s="16">
        <f>SUM(AW$5:AW111)</f>
        <v>0</v>
      </c>
      <c r="BP111" s="16">
        <f>SUM(AX$5:AX111)</f>
        <v>0</v>
      </c>
      <c r="BQ111" s="16">
        <f>SUM(AY$5:AY111)</f>
        <v>0</v>
      </c>
      <c r="BR111" s="16">
        <f>SUM(AZ$5:AZ111)</f>
        <v>0</v>
      </c>
      <c r="BS111" s="16">
        <f>SUM(BA$5:BA111)</f>
        <v>0</v>
      </c>
      <c r="BT111" s="16">
        <f>SUM(BB$5:BB111)</f>
        <v>0</v>
      </c>
      <c r="BU111" s="16">
        <f>SUM(BC$5:BC111)</f>
        <v>0</v>
      </c>
      <c r="BV111" s="16">
        <f>SUM(BD$5:BD111)</f>
        <v>0</v>
      </c>
      <c r="BW111" s="16">
        <f>SUM(BE$5:BE111)</f>
        <v>0</v>
      </c>
      <c r="BX111" s="16">
        <f>SUM(BF$5:BF111)</f>
        <v>0</v>
      </c>
      <c r="BY111" s="16">
        <f>SUM(BG$5:BG111)</f>
        <v>0</v>
      </c>
      <c r="BZ111" s="16">
        <f>SUM(BH$5:BH111)</f>
        <v>0</v>
      </c>
      <c r="CC111" s="16">
        <v>107</v>
      </c>
      <c r="CD111" s="16">
        <f t="shared" si="56"/>
        <v>0</v>
      </c>
      <c r="CE111" s="16">
        <f t="shared" si="57"/>
        <v>0</v>
      </c>
      <c r="CF111" s="16">
        <f t="shared" si="58"/>
        <v>0</v>
      </c>
      <c r="CG111" s="16">
        <f t="shared" si="59"/>
        <v>0</v>
      </c>
      <c r="CH111" s="16">
        <f t="shared" si="60"/>
        <v>0</v>
      </c>
      <c r="CI111" s="16">
        <f t="shared" si="61"/>
        <v>0</v>
      </c>
      <c r="CJ111" s="16">
        <f t="shared" si="62"/>
        <v>0</v>
      </c>
      <c r="CK111" s="16">
        <f t="shared" si="63"/>
        <v>0</v>
      </c>
      <c r="CL111" s="16">
        <f t="shared" si="64"/>
        <v>0</v>
      </c>
      <c r="CM111" s="16">
        <f t="shared" si="65"/>
        <v>0</v>
      </c>
      <c r="CN111" s="16">
        <f t="shared" si="66"/>
        <v>0</v>
      </c>
      <c r="CO111" s="16">
        <f t="shared" si="67"/>
        <v>0</v>
      </c>
      <c r="CP111" s="16">
        <f t="shared" si="68"/>
        <v>0</v>
      </c>
      <c r="CQ111" s="16">
        <f t="shared" si="69"/>
        <v>0</v>
      </c>
      <c r="CR111" s="16">
        <f t="shared" si="70"/>
        <v>0</v>
      </c>
      <c r="CV111" s="16">
        <v>107</v>
      </c>
      <c r="CW111" s="35">
        <f t="shared" si="54"/>
        <v>0.13200000000000001</v>
      </c>
      <c r="CX111" s="16">
        <f>其他调用!V110/$E$4*求节点(E$28:E$34,$P$28:$P$34,$CV111)*$CW111</f>
        <v>50.731170009522096</v>
      </c>
      <c r="CY111" s="16">
        <f>其他调用!W110/$E$4*求节点(F$28:F$34,$P$28:$P$34,$CV111)*$CW111</f>
        <v>62.654476659235918</v>
      </c>
      <c r="CZ111" s="16">
        <f>其他调用!X110/$E$4*求节点(G$28:G$34,$P$28:$P$34,$CV111)*$CW111</f>
        <v>69.336074862582109</v>
      </c>
      <c r="DA111" s="16">
        <f>其他调用!Y110/$E$4*求节点(H$28:H$34,$P$28:$P$34,$CV111)*$CW111</f>
        <v>52.758015057312512</v>
      </c>
      <c r="DB111" s="16">
        <f>其他调用!Z110/$E$4*求节点(I$28:I$34,$P$28:$P$34,$CV111)*$CW111</f>
        <v>28.181633176656121</v>
      </c>
      <c r="DC111" s="16">
        <f>SUM(CX$5:CX111)</f>
        <v>730.36086382555357</v>
      </c>
      <c r="DD111" s="16">
        <f>SUM(CY$5:CY111)</f>
        <v>909.70115907556828</v>
      </c>
      <c r="DE111" s="16">
        <f>SUM(CZ$5:CZ111)</f>
        <v>999.99149859875547</v>
      </c>
      <c r="DF111" s="16">
        <f>SUM(DA$5:DA111)</f>
        <v>812.89188911256485</v>
      </c>
      <c r="DG111" s="16">
        <f>SUM(DB$5:DB111)</f>
        <v>438.86080353031775</v>
      </c>
    </row>
    <row r="112" spans="24:111">
      <c r="X112" s="16">
        <v>108</v>
      </c>
      <c r="Y112" s="45">
        <f t="shared" si="52"/>
        <v>700</v>
      </c>
      <c r="Z112" s="24">
        <f t="shared" si="53"/>
        <v>6.8000000000000005E-2</v>
      </c>
      <c r="AA112" s="16">
        <f>$Y112*$Z112*其他调用!V111</f>
        <v>261426.51664707958</v>
      </c>
      <c r="AB112" s="16">
        <f>$Y112*$Z112*其他调用!W111</f>
        <v>324990.10089575913</v>
      </c>
      <c r="AC112" s="16">
        <f>$Y112*$Z112*其他调用!X111</f>
        <v>331213.41992972372</v>
      </c>
      <c r="AD112" s="16">
        <f>$Y112*$Z112*其他调用!Y111</f>
        <v>272505.58039940067</v>
      </c>
      <c r="AE112" s="16">
        <f>$Y112*$Z112*其他调用!Z111</f>
        <v>151510.96958602258</v>
      </c>
      <c r="AH112" s="16">
        <v>108</v>
      </c>
      <c r="AI112" s="16">
        <f>SUM(AA$5:AA112)</f>
        <v>3440437.5758195268</v>
      </c>
      <c r="AJ112" s="16">
        <f>SUM(AB$5:AB112)</f>
        <v>4273179.5683738822</v>
      </c>
      <c r="AK112" s="16">
        <f>SUM(AC$5:AC112)</f>
        <v>4641567.8607782852</v>
      </c>
      <c r="AL112" s="16">
        <f>SUM(AD$5:AD112)</f>
        <v>3753583.9017140707</v>
      </c>
      <c r="AM112" s="16">
        <f>SUM(AE$5:AE112)</f>
        <v>2025574.0249660953</v>
      </c>
      <c r="AR112" s="16">
        <v>108</v>
      </c>
      <c r="AS112" s="24">
        <f t="shared" si="55"/>
        <v>6.8000000000000005E-2</v>
      </c>
      <c r="AT112" s="16">
        <f>求节点(E$28:E$34,$M$28:$M$34,$AR112)*$AS112*其他调用!V111/$E$4</f>
        <v>0</v>
      </c>
      <c r="AU112" s="16">
        <f>求节点(F$28:F$34,$M$28:$M$34,$AR112)*$AS112*其他调用!W111/$E$4</f>
        <v>0</v>
      </c>
      <c r="AV112" s="16">
        <f>求节点(G$28:G$34,$M$28:$M$34,$AR112)*$AS112*其他调用!X111/$E$4</f>
        <v>0</v>
      </c>
      <c r="AW112" s="16">
        <f>求节点(H$28:H$34,$M$28:$M$34,$AR112)*$AS112*其他调用!Y111/$E$4</f>
        <v>0</v>
      </c>
      <c r="AX112" s="16">
        <f>求节点(I$28:I$34,$M$28:$M$34,$AR112)*$AS112*其他调用!Z111/$E$4</f>
        <v>0</v>
      </c>
      <c r="AY112" s="16">
        <f>求节点(E$28:E$34,$N$28:$N$34,$AR112)*$AS112*其他调用!V111/$E$4</f>
        <v>0</v>
      </c>
      <c r="AZ112" s="16">
        <f>求节点(F$28:F$34,$N$28:$N$34,$AR112)*$AS112*其他调用!W111/$E$4</f>
        <v>0</v>
      </c>
      <c r="BA112" s="16">
        <f>求节点(G$28:G$34,$N$28:$N$34,$AR112)*$AS112*其他调用!X111/$E$4</f>
        <v>0</v>
      </c>
      <c r="BB112" s="16">
        <f>求节点(H$28:H$34,$N$28:$N$34,$AR112)*$AS112*其他调用!Y111/$E$4</f>
        <v>0</v>
      </c>
      <c r="BC112" s="16">
        <f>求节点(I$28:I$34,$N$28:$N$34,$AR112)*$AS112*其他调用!Z111/$E$4</f>
        <v>0</v>
      </c>
      <c r="BD112" s="16">
        <f>求节点(E$28:E$34,$O$28:$O$34,$AR112)*$AS112*其他调用!V111/$E$4</f>
        <v>0</v>
      </c>
      <c r="BE112" s="16">
        <f>求节点(F$28:F$34,$O$28:$O$34,$AR112)*$AS112*其他调用!W111/$E$4</f>
        <v>0</v>
      </c>
      <c r="BF112" s="16">
        <f>求节点(G$28:G$34,$O$28:$O$34,$AR112)*$AS112*其他调用!X111/$E$4</f>
        <v>0</v>
      </c>
      <c r="BG112" s="16">
        <f>求节点(H$28:H$34,$O$28:$O$34,$AR112)*$AS112*其他调用!Y111/$E$4</f>
        <v>0</v>
      </c>
      <c r="BH112" s="16">
        <f>求节点(I$28:I$34,$O$28:$O$34,$AR112)*$AS112*其他调用!Z111/$E$4</f>
        <v>0</v>
      </c>
      <c r="BK112" s="16">
        <v>108</v>
      </c>
      <c r="BL112" s="16">
        <f>SUM(AT$5:AT112)</f>
        <v>0</v>
      </c>
      <c r="BM112" s="16">
        <f>SUM(AU$5:AU112)</f>
        <v>0</v>
      </c>
      <c r="BN112" s="16">
        <f>SUM(AV$5:AV112)</f>
        <v>0</v>
      </c>
      <c r="BO112" s="16">
        <f>SUM(AW$5:AW112)</f>
        <v>0</v>
      </c>
      <c r="BP112" s="16">
        <f>SUM(AX$5:AX112)</f>
        <v>0</v>
      </c>
      <c r="BQ112" s="16">
        <f>SUM(AY$5:AY112)</f>
        <v>0</v>
      </c>
      <c r="BR112" s="16">
        <f>SUM(AZ$5:AZ112)</f>
        <v>0</v>
      </c>
      <c r="BS112" s="16">
        <f>SUM(BA$5:BA112)</f>
        <v>0</v>
      </c>
      <c r="BT112" s="16">
        <f>SUM(BB$5:BB112)</f>
        <v>0</v>
      </c>
      <c r="BU112" s="16">
        <f>SUM(BC$5:BC112)</f>
        <v>0</v>
      </c>
      <c r="BV112" s="16">
        <f>SUM(BD$5:BD112)</f>
        <v>0</v>
      </c>
      <c r="BW112" s="16">
        <f>SUM(BE$5:BE112)</f>
        <v>0</v>
      </c>
      <c r="BX112" s="16">
        <f>SUM(BF$5:BF112)</f>
        <v>0</v>
      </c>
      <c r="BY112" s="16">
        <f>SUM(BG$5:BG112)</f>
        <v>0</v>
      </c>
      <c r="BZ112" s="16">
        <f>SUM(BH$5:BH112)</f>
        <v>0</v>
      </c>
      <c r="CC112" s="16">
        <v>108</v>
      </c>
      <c r="CD112" s="16">
        <f t="shared" si="56"/>
        <v>0</v>
      </c>
      <c r="CE112" s="16">
        <f t="shared" si="57"/>
        <v>0</v>
      </c>
      <c r="CF112" s="16">
        <f t="shared" si="58"/>
        <v>0</v>
      </c>
      <c r="CG112" s="16">
        <f t="shared" si="59"/>
        <v>0</v>
      </c>
      <c r="CH112" s="16">
        <f t="shared" si="60"/>
        <v>0</v>
      </c>
      <c r="CI112" s="16">
        <f t="shared" si="61"/>
        <v>0</v>
      </c>
      <c r="CJ112" s="16">
        <f t="shared" si="62"/>
        <v>0</v>
      </c>
      <c r="CK112" s="16">
        <f t="shared" si="63"/>
        <v>0</v>
      </c>
      <c r="CL112" s="16">
        <f t="shared" si="64"/>
        <v>0</v>
      </c>
      <c r="CM112" s="16">
        <f t="shared" si="65"/>
        <v>0</v>
      </c>
      <c r="CN112" s="16">
        <f t="shared" si="66"/>
        <v>0</v>
      </c>
      <c r="CO112" s="16">
        <f t="shared" si="67"/>
        <v>0</v>
      </c>
      <c r="CP112" s="16">
        <f t="shared" si="68"/>
        <v>0</v>
      </c>
      <c r="CQ112" s="16">
        <f t="shared" si="69"/>
        <v>0</v>
      </c>
      <c r="CR112" s="16">
        <f t="shared" si="70"/>
        <v>0</v>
      </c>
      <c r="CV112" s="16">
        <v>108</v>
      </c>
      <c r="CW112" s="35">
        <f t="shared" si="54"/>
        <v>0.13200000000000001</v>
      </c>
      <c r="CX112" s="16">
        <f>其他调用!V111/$E$4*求节点(E$28:E$34,$P$28:$P$34,$CV112)*$CW112</f>
        <v>54.3723217396237</v>
      </c>
      <c r="CY112" s="16">
        <f>其他调用!W111/$E$4*求节点(F$28:F$34,$P$28:$P$34,$CV112)*$CW112</f>
        <v>67.592478967815453</v>
      </c>
      <c r="CZ112" s="16">
        <f>其他调用!X111/$E$4*求节点(G$28:G$34,$P$28:$P$34,$CV112)*$CW112</f>
        <v>68.886824733282879</v>
      </c>
      <c r="DA112" s="16">
        <f>其他调用!Y111/$E$4*求节点(H$28:H$34,$P$28:$P$34,$CV112)*$CW112</f>
        <v>56.67658079735434</v>
      </c>
      <c r="DB112" s="16">
        <f>其他调用!Z111/$E$4*求节点(I$28:I$34,$P$28:$P$34,$CV112)*$CW112</f>
        <v>31.511735271042507</v>
      </c>
      <c r="DC112" s="16">
        <f>SUM(CX$5:CX112)</f>
        <v>784.73318556517722</v>
      </c>
      <c r="DD112" s="16">
        <f>SUM(CY$5:CY112)</f>
        <v>977.29363804338368</v>
      </c>
      <c r="DE112" s="16">
        <f>SUM(CZ$5:CZ112)</f>
        <v>1068.8783233320382</v>
      </c>
      <c r="DF112" s="16">
        <f>SUM(DA$5:DA112)</f>
        <v>869.56846990991914</v>
      </c>
      <c r="DG112" s="16">
        <f>SUM(DB$5:DB112)</f>
        <v>470.37253880136024</v>
      </c>
    </row>
    <row r="113" spans="24:111">
      <c r="X113" s="16">
        <v>109</v>
      </c>
      <c r="Y113" s="45">
        <f t="shared" si="52"/>
        <v>700</v>
      </c>
      <c r="Z113" s="24">
        <f t="shared" si="53"/>
        <v>6.8000000000000005E-2</v>
      </c>
      <c r="AA113" s="16">
        <f>$Y113*$Z113*其他调用!V112</f>
        <v>280190.00294563873</v>
      </c>
      <c r="AB113" s="16">
        <f>$Y113*$Z113*其他调用!W112</f>
        <v>331261.24960109848</v>
      </c>
      <c r="AC113" s="16">
        <f>$Y113*$Z113*其他调用!X112</f>
        <v>361539.2075430532</v>
      </c>
      <c r="AD113" s="16">
        <f>$Y113*$Z113*其他调用!Y112</f>
        <v>294742.55001766223</v>
      </c>
      <c r="AE113" s="16">
        <f>$Y113*$Z113*其他调用!Z112</f>
        <v>164007.06699603112</v>
      </c>
      <c r="AH113" s="16">
        <v>109</v>
      </c>
      <c r="AI113" s="16">
        <f>SUM(AA$5:AA113)</f>
        <v>3720627.5787651655</v>
      </c>
      <c r="AJ113" s="16">
        <f>SUM(AB$5:AB113)</f>
        <v>4604440.8179749809</v>
      </c>
      <c r="AK113" s="16">
        <f>SUM(AC$5:AC113)</f>
        <v>5003107.0683213379</v>
      </c>
      <c r="AL113" s="16">
        <f>SUM(AD$5:AD113)</f>
        <v>4048326.451731733</v>
      </c>
      <c r="AM113" s="16">
        <f>SUM(AE$5:AE113)</f>
        <v>2189581.0919621265</v>
      </c>
      <c r="AR113" s="16">
        <v>109</v>
      </c>
      <c r="AS113" s="24">
        <f t="shared" si="55"/>
        <v>6.8000000000000005E-2</v>
      </c>
      <c r="AT113" s="16">
        <f>求节点(E$28:E$34,$M$28:$M$34,$AR113)*$AS113*其他调用!V112/$E$4</f>
        <v>0</v>
      </c>
      <c r="AU113" s="16">
        <f>求节点(F$28:F$34,$M$28:$M$34,$AR113)*$AS113*其他调用!W112/$E$4</f>
        <v>0</v>
      </c>
      <c r="AV113" s="16">
        <f>求节点(G$28:G$34,$M$28:$M$34,$AR113)*$AS113*其他调用!X112/$E$4</f>
        <v>0</v>
      </c>
      <c r="AW113" s="16">
        <f>求节点(H$28:H$34,$M$28:$M$34,$AR113)*$AS113*其他调用!Y112/$E$4</f>
        <v>0</v>
      </c>
      <c r="AX113" s="16">
        <f>求节点(I$28:I$34,$M$28:$M$34,$AR113)*$AS113*其他调用!Z112/$E$4</f>
        <v>0</v>
      </c>
      <c r="AY113" s="16">
        <f>求节点(E$28:E$34,$N$28:$N$34,$AR113)*$AS113*其他调用!V112/$E$4</f>
        <v>0</v>
      </c>
      <c r="AZ113" s="16">
        <f>求节点(F$28:F$34,$N$28:$N$34,$AR113)*$AS113*其他调用!W112/$E$4</f>
        <v>0</v>
      </c>
      <c r="BA113" s="16">
        <f>求节点(G$28:G$34,$N$28:$N$34,$AR113)*$AS113*其他调用!X112/$E$4</f>
        <v>0</v>
      </c>
      <c r="BB113" s="16">
        <f>求节点(H$28:H$34,$N$28:$N$34,$AR113)*$AS113*其他调用!Y112/$E$4</f>
        <v>0</v>
      </c>
      <c r="BC113" s="16">
        <f>求节点(I$28:I$34,$N$28:$N$34,$AR113)*$AS113*其他调用!Z112/$E$4</f>
        <v>0</v>
      </c>
      <c r="BD113" s="16">
        <f>求节点(E$28:E$34,$O$28:$O$34,$AR113)*$AS113*其他调用!V112/$E$4</f>
        <v>0</v>
      </c>
      <c r="BE113" s="16">
        <f>求节点(F$28:F$34,$O$28:$O$34,$AR113)*$AS113*其他调用!W112/$E$4</f>
        <v>0</v>
      </c>
      <c r="BF113" s="16">
        <f>求节点(G$28:G$34,$O$28:$O$34,$AR113)*$AS113*其他调用!X112/$E$4</f>
        <v>0</v>
      </c>
      <c r="BG113" s="16">
        <f>求节点(H$28:H$34,$O$28:$O$34,$AR113)*$AS113*其他调用!Y112/$E$4</f>
        <v>0</v>
      </c>
      <c r="BH113" s="16">
        <f>求节点(I$28:I$34,$O$28:$O$34,$AR113)*$AS113*其他调用!Z112/$E$4</f>
        <v>0</v>
      </c>
      <c r="BK113" s="16">
        <v>109</v>
      </c>
      <c r="BL113" s="16">
        <f>SUM(AT$5:AT113)</f>
        <v>0</v>
      </c>
      <c r="BM113" s="16">
        <f>SUM(AU$5:AU113)</f>
        <v>0</v>
      </c>
      <c r="BN113" s="16">
        <f>SUM(AV$5:AV113)</f>
        <v>0</v>
      </c>
      <c r="BO113" s="16">
        <f>SUM(AW$5:AW113)</f>
        <v>0</v>
      </c>
      <c r="BP113" s="16">
        <f>SUM(AX$5:AX113)</f>
        <v>0</v>
      </c>
      <c r="BQ113" s="16">
        <f>SUM(AY$5:AY113)</f>
        <v>0</v>
      </c>
      <c r="BR113" s="16">
        <f>SUM(AZ$5:AZ113)</f>
        <v>0</v>
      </c>
      <c r="BS113" s="16">
        <f>SUM(BA$5:BA113)</f>
        <v>0</v>
      </c>
      <c r="BT113" s="16">
        <f>SUM(BB$5:BB113)</f>
        <v>0</v>
      </c>
      <c r="BU113" s="16">
        <f>SUM(BC$5:BC113)</f>
        <v>0</v>
      </c>
      <c r="BV113" s="16">
        <f>SUM(BD$5:BD113)</f>
        <v>0</v>
      </c>
      <c r="BW113" s="16">
        <f>SUM(BE$5:BE113)</f>
        <v>0</v>
      </c>
      <c r="BX113" s="16">
        <f>SUM(BF$5:BF113)</f>
        <v>0</v>
      </c>
      <c r="BY113" s="16">
        <f>SUM(BG$5:BG113)</f>
        <v>0</v>
      </c>
      <c r="BZ113" s="16">
        <f>SUM(BH$5:BH113)</f>
        <v>0</v>
      </c>
      <c r="CC113" s="16">
        <v>109</v>
      </c>
      <c r="CD113" s="16">
        <f t="shared" si="56"/>
        <v>0</v>
      </c>
      <c r="CE113" s="16">
        <f t="shared" si="57"/>
        <v>0</v>
      </c>
      <c r="CF113" s="16">
        <f t="shared" si="58"/>
        <v>0</v>
      </c>
      <c r="CG113" s="16">
        <f t="shared" si="59"/>
        <v>0</v>
      </c>
      <c r="CH113" s="16">
        <f t="shared" si="60"/>
        <v>0</v>
      </c>
      <c r="CI113" s="16">
        <f t="shared" si="61"/>
        <v>0</v>
      </c>
      <c r="CJ113" s="16">
        <f t="shared" si="62"/>
        <v>0</v>
      </c>
      <c r="CK113" s="16">
        <f t="shared" si="63"/>
        <v>0</v>
      </c>
      <c r="CL113" s="16">
        <f t="shared" si="64"/>
        <v>0</v>
      </c>
      <c r="CM113" s="16">
        <f t="shared" si="65"/>
        <v>0</v>
      </c>
      <c r="CN113" s="16">
        <f t="shared" si="66"/>
        <v>0</v>
      </c>
      <c r="CO113" s="16">
        <f t="shared" si="67"/>
        <v>0</v>
      </c>
      <c r="CP113" s="16">
        <f t="shared" si="68"/>
        <v>0</v>
      </c>
      <c r="CQ113" s="16">
        <f t="shared" si="69"/>
        <v>0</v>
      </c>
      <c r="CR113" s="16">
        <f t="shared" si="70"/>
        <v>0</v>
      </c>
      <c r="CV113" s="16">
        <v>109</v>
      </c>
      <c r="CW113" s="35">
        <f t="shared" si="54"/>
        <v>0.13200000000000001</v>
      </c>
      <c r="CX113" s="16">
        <f>其他调用!V112/$E$4*求节点(E$28:E$34,$P$28:$P$34,$CV113)*$CW113</f>
        <v>58.274811537013093</v>
      </c>
      <c r="CY113" s="16">
        <f>其他调用!W112/$E$4*求节点(F$28:F$34,$P$28:$P$34,$CV113)*$CW113</f>
        <v>68.896772501068796</v>
      </c>
      <c r="CZ113" s="16">
        <f>其他调用!X112/$E$4*求节点(G$28:G$34,$P$28:$P$34,$CV113)*$CW113</f>
        <v>75.194078879752652</v>
      </c>
      <c r="DA113" s="16">
        <f>其他调用!Y112/$E$4*求节点(H$28:H$34,$P$28:$P$34,$CV113)*$CW113</f>
        <v>61.301496747370926</v>
      </c>
      <c r="DB113" s="16">
        <f>其他调用!Z112/$E$4*求节点(I$28:I$34,$P$28:$P$34,$CV113)*$CW113</f>
        <v>34.11071351388042</v>
      </c>
      <c r="DC113" s="16">
        <f>SUM(CX$5:CX113)</f>
        <v>843.0079971021903</v>
      </c>
      <c r="DD113" s="16">
        <f>SUM(CY$5:CY113)</f>
        <v>1046.1904105444526</v>
      </c>
      <c r="DE113" s="16">
        <f>SUM(CZ$5:CZ113)</f>
        <v>1144.0724022117909</v>
      </c>
      <c r="DF113" s="16">
        <f>SUM(DA$5:DA113)</f>
        <v>930.86996665729009</v>
      </c>
      <c r="DG113" s="16">
        <f>SUM(DB$5:DB113)</f>
        <v>504.48325231524063</v>
      </c>
    </row>
    <row r="114" spans="24:111">
      <c r="X114" s="16">
        <v>110</v>
      </c>
      <c r="Y114" s="45">
        <f t="shared" si="52"/>
        <v>700</v>
      </c>
      <c r="Z114" s="24">
        <f t="shared" si="53"/>
        <v>6.8000000000000005E-2</v>
      </c>
      <c r="AA114" s="16">
        <f>$Y114*$Z114*其他调用!V113</f>
        <v>300300.2096251006</v>
      </c>
      <c r="AB114" s="16">
        <f>$Y114*$Z114*其他调用!W113</f>
        <v>372090.8916952376</v>
      </c>
      <c r="AC114" s="16">
        <f>$Y114*$Z114*其他调用!X113</f>
        <v>414613.63655076158</v>
      </c>
      <c r="AD114" s="16">
        <f>$Y114*$Z114*其他调用!Y113</f>
        <v>341116.33335036831</v>
      </c>
      <c r="AE114" s="16">
        <f>$Y114*$Z114*其他调用!Z113</f>
        <v>183672.69470878263</v>
      </c>
      <c r="AH114" s="16">
        <v>110</v>
      </c>
      <c r="AI114" s="16">
        <f>SUM(AA$5:AA114)</f>
        <v>4020927.7883902662</v>
      </c>
      <c r="AJ114" s="16">
        <f>SUM(AB$5:AB114)</f>
        <v>4976531.7096702186</v>
      </c>
      <c r="AK114" s="16">
        <f>SUM(AC$5:AC114)</f>
        <v>5417720.7048720997</v>
      </c>
      <c r="AL114" s="16">
        <f>SUM(AD$5:AD114)</f>
        <v>4389442.7850821018</v>
      </c>
      <c r="AM114" s="16">
        <f>SUM(AE$5:AE114)</f>
        <v>2373253.7866709093</v>
      </c>
      <c r="AR114" s="16">
        <v>110</v>
      </c>
      <c r="AS114" s="24">
        <f t="shared" si="55"/>
        <v>6.8000000000000005E-2</v>
      </c>
      <c r="AT114" s="16">
        <f>求节点(E$28:E$34,$M$28:$M$34,$AR114)*$AS114*其他调用!V113/$E$4</f>
        <v>0</v>
      </c>
      <c r="AU114" s="16">
        <f>求节点(F$28:F$34,$M$28:$M$34,$AR114)*$AS114*其他调用!W113/$E$4</f>
        <v>0</v>
      </c>
      <c r="AV114" s="16">
        <f>求节点(G$28:G$34,$M$28:$M$34,$AR114)*$AS114*其他调用!X113/$E$4</f>
        <v>0</v>
      </c>
      <c r="AW114" s="16">
        <f>求节点(H$28:H$34,$M$28:$M$34,$AR114)*$AS114*其他调用!Y113/$E$4</f>
        <v>0</v>
      </c>
      <c r="AX114" s="16">
        <f>求节点(I$28:I$34,$M$28:$M$34,$AR114)*$AS114*其他调用!Z113/$E$4</f>
        <v>0</v>
      </c>
      <c r="AY114" s="16">
        <f>求节点(E$28:E$34,$N$28:$N$34,$AR114)*$AS114*其他调用!V113/$E$4</f>
        <v>0</v>
      </c>
      <c r="AZ114" s="16">
        <f>求节点(F$28:F$34,$N$28:$N$34,$AR114)*$AS114*其他调用!W113/$E$4</f>
        <v>0</v>
      </c>
      <c r="BA114" s="16">
        <f>求节点(G$28:G$34,$N$28:$N$34,$AR114)*$AS114*其他调用!X113/$E$4</f>
        <v>0</v>
      </c>
      <c r="BB114" s="16">
        <f>求节点(H$28:H$34,$N$28:$N$34,$AR114)*$AS114*其他调用!Y113/$E$4</f>
        <v>0</v>
      </c>
      <c r="BC114" s="16">
        <f>求节点(I$28:I$34,$N$28:$N$34,$AR114)*$AS114*其他调用!Z113/$E$4</f>
        <v>0</v>
      </c>
      <c r="BD114" s="16">
        <f>求节点(E$28:E$34,$O$28:$O$34,$AR114)*$AS114*其他调用!V113/$E$4</f>
        <v>0</v>
      </c>
      <c r="BE114" s="16">
        <f>求节点(F$28:F$34,$O$28:$O$34,$AR114)*$AS114*其他调用!W113/$E$4</f>
        <v>0</v>
      </c>
      <c r="BF114" s="16">
        <f>求节点(G$28:G$34,$O$28:$O$34,$AR114)*$AS114*其他调用!X113/$E$4</f>
        <v>0</v>
      </c>
      <c r="BG114" s="16">
        <f>求节点(H$28:H$34,$O$28:$O$34,$AR114)*$AS114*其他调用!Y113/$E$4</f>
        <v>0</v>
      </c>
      <c r="BH114" s="16">
        <f>求节点(I$28:I$34,$O$28:$O$34,$AR114)*$AS114*其他调用!Z113/$E$4</f>
        <v>0</v>
      </c>
      <c r="BK114" s="16">
        <v>110</v>
      </c>
      <c r="BL114" s="16">
        <f>SUM(AT$5:AT114)</f>
        <v>0</v>
      </c>
      <c r="BM114" s="16">
        <f>SUM(AU$5:AU114)</f>
        <v>0</v>
      </c>
      <c r="BN114" s="16">
        <f>SUM(AV$5:AV114)</f>
        <v>0</v>
      </c>
      <c r="BO114" s="16">
        <f>SUM(AW$5:AW114)</f>
        <v>0</v>
      </c>
      <c r="BP114" s="16">
        <f>SUM(AX$5:AX114)</f>
        <v>0</v>
      </c>
      <c r="BQ114" s="16">
        <f>SUM(AY$5:AY114)</f>
        <v>0</v>
      </c>
      <c r="BR114" s="16">
        <f>SUM(AZ$5:AZ114)</f>
        <v>0</v>
      </c>
      <c r="BS114" s="16">
        <f>SUM(BA$5:BA114)</f>
        <v>0</v>
      </c>
      <c r="BT114" s="16">
        <f>SUM(BB$5:BB114)</f>
        <v>0</v>
      </c>
      <c r="BU114" s="16">
        <f>SUM(BC$5:BC114)</f>
        <v>0</v>
      </c>
      <c r="BV114" s="16">
        <f>SUM(BD$5:BD114)</f>
        <v>0</v>
      </c>
      <c r="BW114" s="16">
        <f>SUM(BE$5:BE114)</f>
        <v>0</v>
      </c>
      <c r="BX114" s="16">
        <f>SUM(BF$5:BF114)</f>
        <v>0</v>
      </c>
      <c r="BY114" s="16">
        <f>SUM(BG$5:BG114)</f>
        <v>0</v>
      </c>
      <c r="BZ114" s="16">
        <f>SUM(BH$5:BH114)</f>
        <v>0</v>
      </c>
      <c r="CC114" s="16">
        <v>110</v>
      </c>
      <c r="CD114" s="16">
        <f t="shared" si="56"/>
        <v>0</v>
      </c>
      <c r="CE114" s="16">
        <f t="shared" si="57"/>
        <v>0</v>
      </c>
      <c r="CF114" s="16">
        <f t="shared" si="58"/>
        <v>0</v>
      </c>
      <c r="CG114" s="16">
        <f t="shared" si="59"/>
        <v>0</v>
      </c>
      <c r="CH114" s="16">
        <f t="shared" si="60"/>
        <v>0</v>
      </c>
      <c r="CI114" s="16">
        <f t="shared" si="61"/>
        <v>0</v>
      </c>
      <c r="CJ114" s="16">
        <f t="shared" si="62"/>
        <v>0</v>
      </c>
      <c r="CK114" s="16">
        <f t="shared" si="63"/>
        <v>0</v>
      </c>
      <c r="CL114" s="16">
        <f t="shared" si="64"/>
        <v>0</v>
      </c>
      <c r="CM114" s="16">
        <f t="shared" si="65"/>
        <v>0</v>
      </c>
      <c r="CN114" s="16">
        <f t="shared" si="66"/>
        <v>0</v>
      </c>
      <c r="CO114" s="16">
        <f t="shared" si="67"/>
        <v>0</v>
      </c>
      <c r="CP114" s="16">
        <f t="shared" si="68"/>
        <v>0</v>
      </c>
      <c r="CQ114" s="16">
        <f t="shared" si="69"/>
        <v>0</v>
      </c>
      <c r="CR114" s="16">
        <f t="shared" si="70"/>
        <v>0</v>
      </c>
      <c r="CV114" s="16">
        <v>110</v>
      </c>
      <c r="CW114" s="35">
        <f t="shared" si="54"/>
        <v>0.13200000000000001</v>
      </c>
      <c r="CX114" s="16">
        <f>其他调用!V113/$E$4*求节点(E$28:E$34,$P$28:$P$34,$CV114)*$CW114</f>
        <v>62.457396539674278</v>
      </c>
      <c r="CY114" s="16">
        <f>其他调用!W113/$E$4*求节点(F$28:F$34,$P$28:$P$34,$CV114)*$CW114</f>
        <v>77.388651844177559</v>
      </c>
      <c r="CZ114" s="16">
        <f>其他调用!X113/$E$4*求节点(G$28:G$34,$P$28:$P$34,$CV114)*$CW114</f>
        <v>86.232668106145795</v>
      </c>
      <c r="DA114" s="16">
        <f>其他调用!Y113/$E$4*求节点(H$28:H$34,$P$28:$P$34,$CV114)*$CW114</f>
        <v>70.946464289257278</v>
      </c>
      <c r="DB114" s="16">
        <f>其他调用!Z113/$E$4*求节点(I$28:I$34,$P$28:$P$34,$CV114)*$CW114</f>
        <v>38.200833563381266</v>
      </c>
      <c r="DC114" s="16">
        <f>SUM(CX$5:CX114)</f>
        <v>905.46539364186458</v>
      </c>
      <c r="DD114" s="16">
        <f>SUM(CY$5:CY114)</f>
        <v>1123.5790623886301</v>
      </c>
      <c r="DE114" s="16">
        <f>SUM(CZ$5:CZ114)</f>
        <v>1230.3050703179367</v>
      </c>
      <c r="DF114" s="16">
        <f>SUM(DA$5:DA114)</f>
        <v>1001.8164309465474</v>
      </c>
      <c r="DG114" s="16">
        <f>SUM(DB$5:DB114)</f>
        <v>542.68408587862189</v>
      </c>
    </row>
    <row r="115" spans="24:111">
      <c r="X115" s="16">
        <v>111</v>
      </c>
      <c r="Y115" s="45">
        <f t="shared" si="52"/>
        <v>700</v>
      </c>
      <c r="Z115" s="24">
        <f t="shared" si="53"/>
        <v>6.8000000000000005E-2</v>
      </c>
      <c r="AA115" s="16">
        <f>$Y115*$Z115*其他调用!V114</f>
        <v>321853.79547026532</v>
      </c>
      <c r="AB115" s="16">
        <f>$Y115*$Z115*其他调用!W114</f>
        <v>407193.63871032471</v>
      </c>
      <c r="AC115" s="16">
        <f>$Y115*$Z115*其他调用!X114</f>
        <v>446973.31588418328</v>
      </c>
      <c r="AD115" s="16">
        <f>$Y115*$Z115*其他调用!Y114</f>
        <v>368688.10644429812</v>
      </c>
      <c r="AE115" s="16">
        <f>$Y115*$Z115*其他调用!Z114</f>
        <v>201590.81638494937</v>
      </c>
      <c r="AH115" s="16">
        <v>111</v>
      </c>
      <c r="AI115" s="16">
        <f>SUM(AA$5:AA115)</f>
        <v>4342781.5838605314</v>
      </c>
      <c r="AJ115" s="16">
        <f>SUM(AB$5:AB115)</f>
        <v>5383725.3483805433</v>
      </c>
      <c r="AK115" s="16">
        <f>SUM(AC$5:AC115)</f>
        <v>5864694.0207562828</v>
      </c>
      <c r="AL115" s="16">
        <f>SUM(AD$5:AD115)</f>
        <v>4758130.8915264001</v>
      </c>
      <c r="AM115" s="16">
        <f>SUM(AE$5:AE115)</f>
        <v>2574844.6030558585</v>
      </c>
      <c r="AR115" s="16">
        <v>111</v>
      </c>
      <c r="AS115" s="24">
        <f t="shared" si="55"/>
        <v>6.8000000000000005E-2</v>
      </c>
      <c r="AT115" s="16">
        <f>求节点(E$28:E$34,$M$28:$M$34,$AR115)*$AS115*其他调用!V114/$E$4</f>
        <v>0</v>
      </c>
      <c r="AU115" s="16">
        <f>求节点(F$28:F$34,$M$28:$M$34,$AR115)*$AS115*其他调用!W114/$E$4</f>
        <v>0</v>
      </c>
      <c r="AV115" s="16">
        <f>求节点(G$28:G$34,$M$28:$M$34,$AR115)*$AS115*其他调用!X114/$E$4</f>
        <v>0</v>
      </c>
      <c r="AW115" s="16">
        <f>求节点(H$28:H$34,$M$28:$M$34,$AR115)*$AS115*其他调用!Y114/$E$4</f>
        <v>0</v>
      </c>
      <c r="AX115" s="16">
        <f>求节点(I$28:I$34,$M$28:$M$34,$AR115)*$AS115*其他调用!Z114/$E$4</f>
        <v>0</v>
      </c>
      <c r="AY115" s="16">
        <f>求节点(E$28:E$34,$N$28:$N$34,$AR115)*$AS115*其他调用!V114/$E$4</f>
        <v>0</v>
      </c>
      <c r="AZ115" s="16">
        <f>求节点(F$28:F$34,$N$28:$N$34,$AR115)*$AS115*其他调用!W114/$E$4</f>
        <v>0</v>
      </c>
      <c r="BA115" s="16">
        <f>求节点(G$28:G$34,$N$28:$N$34,$AR115)*$AS115*其他调用!X114/$E$4</f>
        <v>0</v>
      </c>
      <c r="BB115" s="16">
        <f>求节点(H$28:H$34,$N$28:$N$34,$AR115)*$AS115*其他调用!Y114/$E$4</f>
        <v>0</v>
      </c>
      <c r="BC115" s="16">
        <f>求节点(I$28:I$34,$N$28:$N$34,$AR115)*$AS115*其他调用!Z114/$E$4</f>
        <v>0</v>
      </c>
      <c r="BD115" s="16">
        <f>求节点(E$28:E$34,$O$28:$O$34,$AR115)*$AS115*其他调用!V114/$E$4</f>
        <v>0</v>
      </c>
      <c r="BE115" s="16">
        <f>求节点(F$28:F$34,$O$28:$O$34,$AR115)*$AS115*其他调用!W114/$E$4</f>
        <v>0</v>
      </c>
      <c r="BF115" s="16">
        <f>求节点(G$28:G$34,$O$28:$O$34,$AR115)*$AS115*其他调用!X114/$E$4</f>
        <v>0</v>
      </c>
      <c r="BG115" s="16">
        <f>求节点(H$28:H$34,$O$28:$O$34,$AR115)*$AS115*其他调用!Y114/$E$4</f>
        <v>0</v>
      </c>
      <c r="BH115" s="16">
        <f>求节点(I$28:I$34,$O$28:$O$34,$AR115)*$AS115*其他调用!Z114/$E$4</f>
        <v>0</v>
      </c>
      <c r="BK115" s="16">
        <v>111</v>
      </c>
      <c r="BL115" s="16">
        <f>SUM(AT$5:AT115)</f>
        <v>0</v>
      </c>
      <c r="BM115" s="16">
        <f>SUM(AU$5:AU115)</f>
        <v>0</v>
      </c>
      <c r="BN115" s="16">
        <f>SUM(AV$5:AV115)</f>
        <v>0</v>
      </c>
      <c r="BO115" s="16">
        <f>SUM(AW$5:AW115)</f>
        <v>0</v>
      </c>
      <c r="BP115" s="16">
        <f>SUM(AX$5:AX115)</f>
        <v>0</v>
      </c>
      <c r="BQ115" s="16">
        <f>SUM(AY$5:AY115)</f>
        <v>0</v>
      </c>
      <c r="BR115" s="16">
        <f>SUM(AZ$5:AZ115)</f>
        <v>0</v>
      </c>
      <c r="BS115" s="16">
        <f>SUM(BA$5:BA115)</f>
        <v>0</v>
      </c>
      <c r="BT115" s="16">
        <f>SUM(BB$5:BB115)</f>
        <v>0</v>
      </c>
      <c r="BU115" s="16">
        <f>SUM(BC$5:BC115)</f>
        <v>0</v>
      </c>
      <c r="BV115" s="16">
        <f>SUM(BD$5:BD115)</f>
        <v>0</v>
      </c>
      <c r="BW115" s="16">
        <f>SUM(BE$5:BE115)</f>
        <v>0</v>
      </c>
      <c r="BX115" s="16">
        <f>SUM(BF$5:BF115)</f>
        <v>0</v>
      </c>
      <c r="BY115" s="16">
        <f>SUM(BG$5:BG115)</f>
        <v>0</v>
      </c>
      <c r="BZ115" s="16">
        <f>SUM(BH$5:BH115)</f>
        <v>0</v>
      </c>
      <c r="CC115" s="16">
        <v>111</v>
      </c>
      <c r="CD115" s="16">
        <f t="shared" si="56"/>
        <v>0</v>
      </c>
      <c r="CE115" s="16">
        <f t="shared" si="57"/>
        <v>0</v>
      </c>
      <c r="CF115" s="16">
        <f t="shared" si="58"/>
        <v>0</v>
      </c>
      <c r="CG115" s="16">
        <f t="shared" si="59"/>
        <v>0</v>
      </c>
      <c r="CH115" s="16">
        <f t="shared" si="60"/>
        <v>0</v>
      </c>
      <c r="CI115" s="16">
        <f t="shared" si="61"/>
        <v>0</v>
      </c>
      <c r="CJ115" s="16">
        <f t="shared" si="62"/>
        <v>0</v>
      </c>
      <c r="CK115" s="16">
        <f t="shared" si="63"/>
        <v>0</v>
      </c>
      <c r="CL115" s="16">
        <f t="shared" si="64"/>
        <v>0</v>
      </c>
      <c r="CM115" s="16">
        <f t="shared" si="65"/>
        <v>0</v>
      </c>
      <c r="CN115" s="16">
        <f t="shared" si="66"/>
        <v>0</v>
      </c>
      <c r="CO115" s="16">
        <f t="shared" si="67"/>
        <v>0</v>
      </c>
      <c r="CP115" s="16">
        <f t="shared" si="68"/>
        <v>0</v>
      </c>
      <c r="CQ115" s="16">
        <f t="shared" si="69"/>
        <v>0</v>
      </c>
      <c r="CR115" s="16">
        <f t="shared" si="70"/>
        <v>0</v>
      </c>
      <c r="CV115" s="16">
        <v>111</v>
      </c>
      <c r="CW115" s="35">
        <f t="shared" si="54"/>
        <v>0.13200000000000001</v>
      </c>
      <c r="CX115" s="16">
        <f>其他调用!V114/$E$4*求节点(E$28:E$34,$P$28:$P$34,$CV115)*$CW115</f>
        <v>66.940180150328288</v>
      </c>
      <c r="CY115" s="16">
        <f>其他调用!W114/$E$4*求节点(F$28:F$34,$P$28:$P$34,$CV115)*$CW115</f>
        <v>84.68943326118098</v>
      </c>
      <c r="CZ115" s="16">
        <f>其他调用!X114/$E$4*求节点(G$28:G$34,$P$28:$P$34,$CV115)*$CW115</f>
        <v>92.96293754734063</v>
      </c>
      <c r="DA115" s="16">
        <f>其他调用!Y114/$E$4*求节点(H$28:H$34,$P$28:$P$34,$CV115)*$CW115</f>
        <v>76.680929701650243</v>
      </c>
      <c r="DB115" s="16">
        <f>其他调用!Z114/$E$4*求节点(I$28:I$34,$P$28:$P$34,$CV115)*$CW115</f>
        <v>41.927501727121815</v>
      </c>
      <c r="DC115" s="16">
        <f>SUM(CX$5:CX115)</f>
        <v>972.40557379219285</v>
      </c>
      <c r="DD115" s="16">
        <f>SUM(CY$5:CY115)</f>
        <v>1208.268495649811</v>
      </c>
      <c r="DE115" s="16">
        <f>SUM(CZ$5:CZ115)</f>
        <v>1323.2680078652775</v>
      </c>
      <c r="DF115" s="16">
        <f>SUM(DA$5:DA115)</f>
        <v>1078.4973606481976</v>
      </c>
      <c r="DG115" s="16">
        <f>SUM(DB$5:DB115)</f>
        <v>584.61158760574369</v>
      </c>
    </row>
    <row r="116" spans="24:111">
      <c r="X116" s="16">
        <v>112</v>
      </c>
      <c r="Y116" s="45">
        <f t="shared" si="52"/>
        <v>700</v>
      </c>
      <c r="Z116" s="24">
        <f t="shared" si="53"/>
        <v>6.8000000000000005E-2</v>
      </c>
      <c r="AA116" s="16">
        <f>$Y116*$Z116*其他调用!V115</f>
        <v>344954.35680161818</v>
      </c>
      <c r="AB116" s="16">
        <f>$Y116*$Z116*其他调用!W115</f>
        <v>432522.82320509449</v>
      </c>
      <c r="AC116" s="16">
        <f>$Y116*$Z116*其他调用!X115</f>
        <v>471792.95066611725</v>
      </c>
      <c r="AD116" s="16">
        <f>$Y116*$Z116*其他调用!Y115</f>
        <v>385933.06114942272</v>
      </c>
      <c r="AE116" s="16">
        <f>$Y116*$Z116*其他调用!Z115</f>
        <v>196080.0533320308</v>
      </c>
      <c r="AH116" s="16">
        <v>112</v>
      </c>
      <c r="AI116" s="16">
        <f>SUM(AA$5:AA116)</f>
        <v>4687735.9406621493</v>
      </c>
      <c r="AJ116" s="16">
        <f>SUM(AB$5:AB116)</f>
        <v>5816248.1715856381</v>
      </c>
      <c r="AK116" s="16">
        <f>SUM(AC$5:AC116)</f>
        <v>6336486.9714224003</v>
      </c>
      <c r="AL116" s="16">
        <f>SUM(AD$5:AD116)</f>
        <v>5144063.9526758231</v>
      </c>
      <c r="AM116" s="16">
        <f>SUM(AE$5:AE116)</f>
        <v>2770924.6563878893</v>
      </c>
      <c r="AR116" s="16">
        <v>112</v>
      </c>
      <c r="AS116" s="24">
        <f t="shared" si="55"/>
        <v>6.8000000000000005E-2</v>
      </c>
      <c r="AT116" s="16">
        <f>求节点(E$28:E$34,$M$28:$M$34,$AR116)*$AS116*其他调用!V115/$E$4</f>
        <v>0</v>
      </c>
      <c r="AU116" s="16">
        <f>求节点(F$28:F$34,$M$28:$M$34,$AR116)*$AS116*其他调用!W115/$E$4</f>
        <v>0</v>
      </c>
      <c r="AV116" s="16">
        <f>求节点(G$28:G$34,$M$28:$M$34,$AR116)*$AS116*其他调用!X115/$E$4</f>
        <v>0</v>
      </c>
      <c r="AW116" s="16">
        <f>求节点(H$28:H$34,$M$28:$M$34,$AR116)*$AS116*其他调用!Y115/$E$4</f>
        <v>0</v>
      </c>
      <c r="AX116" s="16">
        <f>求节点(I$28:I$34,$M$28:$M$34,$AR116)*$AS116*其他调用!Z115/$E$4</f>
        <v>0</v>
      </c>
      <c r="AY116" s="16">
        <f>求节点(E$28:E$34,$N$28:$N$34,$AR116)*$AS116*其他调用!V115/$E$4</f>
        <v>0</v>
      </c>
      <c r="AZ116" s="16">
        <f>求节点(F$28:F$34,$N$28:$N$34,$AR116)*$AS116*其他调用!W115/$E$4</f>
        <v>0</v>
      </c>
      <c r="BA116" s="16">
        <f>求节点(G$28:G$34,$N$28:$N$34,$AR116)*$AS116*其他调用!X115/$E$4</f>
        <v>0</v>
      </c>
      <c r="BB116" s="16">
        <f>求节点(H$28:H$34,$N$28:$N$34,$AR116)*$AS116*其他调用!Y115/$E$4</f>
        <v>0</v>
      </c>
      <c r="BC116" s="16">
        <f>求节点(I$28:I$34,$N$28:$N$34,$AR116)*$AS116*其他调用!Z115/$E$4</f>
        <v>0</v>
      </c>
      <c r="BD116" s="16">
        <f>求节点(E$28:E$34,$O$28:$O$34,$AR116)*$AS116*其他调用!V115/$E$4</f>
        <v>0</v>
      </c>
      <c r="BE116" s="16">
        <f>求节点(F$28:F$34,$O$28:$O$34,$AR116)*$AS116*其他调用!W115/$E$4</f>
        <v>0</v>
      </c>
      <c r="BF116" s="16">
        <f>求节点(G$28:G$34,$O$28:$O$34,$AR116)*$AS116*其他调用!X115/$E$4</f>
        <v>0</v>
      </c>
      <c r="BG116" s="16">
        <f>求节点(H$28:H$34,$O$28:$O$34,$AR116)*$AS116*其他调用!Y115/$E$4</f>
        <v>0</v>
      </c>
      <c r="BH116" s="16">
        <f>求节点(I$28:I$34,$O$28:$O$34,$AR116)*$AS116*其他调用!Z115/$E$4</f>
        <v>0</v>
      </c>
      <c r="BK116" s="16">
        <v>112</v>
      </c>
      <c r="BL116" s="16">
        <f>SUM(AT$5:AT116)</f>
        <v>0</v>
      </c>
      <c r="BM116" s="16">
        <f>SUM(AU$5:AU116)</f>
        <v>0</v>
      </c>
      <c r="BN116" s="16">
        <f>SUM(AV$5:AV116)</f>
        <v>0</v>
      </c>
      <c r="BO116" s="16">
        <f>SUM(AW$5:AW116)</f>
        <v>0</v>
      </c>
      <c r="BP116" s="16">
        <f>SUM(AX$5:AX116)</f>
        <v>0</v>
      </c>
      <c r="BQ116" s="16">
        <f>SUM(AY$5:AY116)</f>
        <v>0</v>
      </c>
      <c r="BR116" s="16">
        <f>SUM(AZ$5:AZ116)</f>
        <v>0</v>
      </c>
      <c r="BS116" s="16">
        <f>SUM(BA$5:BA116)</f>
        <v>0</v>
      </c>
      <c r="BT116" s="16">
        <f>SUM(BB$5:BB116)</f>
        <v>0</v>
      </c>
      <c r="BU116" s="16">
        <f>SUM(BC$5:BC116)</f>
        <v>0</v>
      </c>
      <c r="BV116" s="16">
        <f>SUM(BD$5:BD116)</f>
        <v>0</v>
      </c>
      <c r="BW116" s="16">
        <f>SUM(BE$5:BE116)</f>
        <v>0</v>
      </c>
      <c r="BX116" s="16">
        <f>SUM(BF$5:BF116)</f>
        <v>0</v>
      </c>
      <c r="BY116" s="16">
        <f>SUM(BG$5:BG116)</f>
        <v>0</v>
      </c>
      <c r="BZ116" s="16">
        <f>SUM(BH$5:BH116)</f>
        <v>0</v>
      </c>
      <c r="CC116" s="16">
        <v>112</v>
      </c>
      <c r="CD116" s="16">
        <f t="shared" si="56"/>
        <v>0</v>
      </c>
      <c r="CE116" s="16">
        <f t="shared" si="57"/>
        <v>0</v>
      </c>
      <c r="CF116" s="16">
        <f t="shared" si="58"/>
        <v>0</v>
      </c>
      <c r="CG116" s="16">
        <f t="shared" si="59"/>
        <v>0</v>
      </c>
      <c r="CH116" s="16">
        <f t="shared" si="60"/>
        <v>0</v>
      </c>
      <c r="CI116" s="16">
        <f t="shared" si="61"/>
        <v>0</v>
      </c>
      <c r="CJ116" s="16">
        <f t="shared" si="62"/>
        <v>0</v>
      </c>
      <c r="CK116" s="16">
        <f t="shared" si="63"/>
        <v>0</v>
      </c>
      <c r="CL116" s="16">
        <f t="shared" si="64"/>
        <v>0</v>
      </c>
      <c r="CM116" s="16">
        <f t="shared" si="65"/>
        <v>0</v>
      </c>
      <c r="CN116" s="16">
        <f t="shared" si="66"/>
        <v>0</v>
      </c>
      <c r="CO116" s="16">
        <f t="shared" si="67"/>
        <v>0</v>
      </c>
      <c r="CP116" s="16">
        <f t="shared" si="68"/>
        <v>0</v>
      </c>
      <c r="CQ116" s="16">
        <f t="shared" si="69"/>
        <v>0</v>
      </c>
      <c r="CR116" s="16">
        <f t="shared" si="70"/>
        <v>0</v>
      </c>
      <c r="CV116" s="16">
        <v>112</v>
      </c>
      <c r="CW116" s="35">
        <f t="shared" si="54"/>
        <v>0.13200000000000001</v>
      </c>
      <c r="CX116" s="16">
        <f>其他调用!V115/$E$4*求节点(E$28:E$34,$P$28:$P$34,$CV116)*$CW116</f>
        <v>71.744708662521418</v>
      </c>
      <c r="CY116" s="16">
        <f>其他调用!W115/$E$4*求节点(F$28:F$34,$P$28:$P$34,$CV116)*$CW116</f>
        <v>89.957477935513353</v>
      </c>
      <c r="CZ116" s="16">
        <f>其他调用!X115/$E$4*求节点(G$28:G$34,$P$28:$P$34,$CV116)*$CW116</f>
        <v>98.125004445263869</v>
      </c>
      <c r="DA116" s="16">
        <f>其他调用!Y115/$E$4*求节点(H$28:H$34,$P$28:$P$34,$CV116)*$CW116</f>
        <v>80.267590449144635</v>
      </c>
      <c r="DB116" s="16">
        <f>其他调用!Z115/$E$4*求节点(I$28:I$34,$P$28:$P$34,$CV116)*$CW116</f>
        <v>40.781355629981192</v>
      </c>
      <c r="DC116" s="16">
        <f>SUM(CX$5:CX116)</f>
        <v>1044.1502824547142</v>
      </c>
      <c r="DD116" s="16">
        <f>SUM(CY$5:CY116)</f>
        <v>1298.2259735853245</v>
      </c>
      <c r="DE116" s="16">
        <f>SUM(CZ$5:CZ116)</f>
        <v>1421.3930123105413</v>
      </c>
      <c r="DF116" s="16">
        <f>SUM(DA$5:DA116)</f>
        <v>1158.7649510973422</v>
      </c>
      <c r="DG116" s="16">
        <f>SUM(DB$5:DB116)</f>
        <v>625.39294323572494</v>
      </c>
    </row>
    <row r="117" spans="24:111">
      <c r="X117" s="16">
        <v>113</v>
      </c>
      <c r="Y117" s="45">
        <f t="shared" si="52"/>
        <v>700</v>
      </c>
      <c r="Z117" s="24">
        <f t="shared" si="53"/>
        <v>6.8000000000000005E-2</v>
      </c>
      <c r="AA117" s="16">
        <f>$Y117*$Z117*其他调用!V116</f>
        <v>369712.92540625541</v>
      </c>
      <c r="AB117" s="16">
        <f>$Y117*$Z117*其他调用!W116</f>
        <v>462282.1165637729</v>
      </c>
      <c r="AC117" s="16">
        <f>$Y117*$Z117*其他调用!X116</f>
        <v>508204.47294695413</v>
      </c>
      <c r="AD117" s="16">
        <f>$Y117*$Z117*其他调用!Y116</f>
        <v>394358.62568184239</v>
      </c>
      <c r="AE117" s="16">
        <f>$Y117*$Z117*其他调用!Z116</f>
        <v>208255.15406136887</v>
      </c>
      <c r="AH117" s="16">
        <v>113</v>
      </c>
      <c r="AI117" s="16">
        <f>SUM(AA$5:AA117)</f>
        <v>5057448.8660684051</v>
      </c>
      <c r="AJ117" s="16">
        <f>SUM(AB$5:AB117)</f>
        <v>6278530.2881494109</v>
      </c>
      <c r="AK117" s="16">
        <f>SUM(AC$5:AC117)</f>
        <v>6844691.4443693543</v>
      </c>
      <c r="AL117" s="16">
        <f>SUM(AD$5:AD117)</f>
        <v>5538422.5783576658</v>
      </c>
      <c r="AM117" s="16">
        <f>SUM(AE$5:AE117)</f>
        <v>2979179.810449258</v>
      </c>
      <c r="AR117" s="16">
        <v>113</v>
      </c>
      <c r="AS117" s="24">
        <f t="shared" si="55"/>
        <v>6.8000000000000005E-2</v>
      </c>
      <c r="AT117" s="16">
        <f>求节点(E$28:E$34,$M$28:$M$34,$AR117)*$AS117*其他调用!V116/$E$4</f>
        <v>0</v>
      </c>
      <c r="AU117" s="16">
        <f>求节点(F$28:F$34,$M$28:$M$34,$AR117)*$AS117*其他调用!W116/$E$4</f>
        <v>0</v>
      </c>
      <c r="AV117" s="16">
        <f>求节点(G$28:G$34,$M$28:$M$34,$AR117)*$AS117*其他调用!X116/$E$4</f>
        <v>0</v>
      </c>
      <c r="AW117" s="16">
        <f>求节点(H$28:H$34,$M$28:$M$34,$AR117)*$AS117*其他调用!Y116/$E$4</f>
        <v>0</v>
      </c>
      <c r="AX117" s="16">
        <f>求节点(I$28:I$34,$M$28:$M$34,$AR117)*$AS117*其他调用!Z116/$E$4</f>
        <v>0</v>
      </c>
      <c r="AY117" s="16">
        <f>求节点(E$28:E$34,$N$28:$N$34,$AR117)*$AS117*其他调用!V116/$E$4</f>
        <v>0</v>
      </c>
      <c r="AZ117" s="16">
        <f>求节点(F$28:F$34,$N$28:$N$34,$AR117)*$AS117*其他调用!W116/$E$4</f>
        <v>0</v>
      </c>
      <c r="BA117" s="16">
        <f>求节点(G$28:G$34,$N$28:$N$34,$AR117)*$AS117*其他调用!X116/$E$4</f>
        <v>0</v>
      </c>
      <c r="BB117" s="16">
        <f>求节点(H$28:H$34,$N$28:$N$34,$AR117)*$AS117*其他调用!Y116/$E$4</f>
        <v>0</v>
      </c>
      <c r="BC117" s="16">
        <f>求节点(I$28:I$34,$N$28:$N$34,$AR117)*$AS117*其他调用!Z116/$E$4</f>
        <v>0</v>
      </c>
      <c r="BD117" s="16">
        <f>求节点(E$28:E$34,$O$28:$O$34,$AR117)*$AS117*其他调用!V116/$E$4</f>
        <v>0</v>
      </c>
      <c r="BE117" s="16">
        <f>求节点(F$28:F$34,$O$28:$O$34,$AR117)*$AS117*其他调用!W116/$E$4</f>
        <v>0</v>
      </c>
      <c r="BF117" s="16">
        <f>求节点(G$28:G$34,$O$28:$O$34,$AR117)*$AS117*其他调用!X116/$E$4</f>
        <v>0</v>
      </c>
      <c r="BG117" s="16">
        <f>求节点(H$28:H$34,$O$28:$O$34,$AR117)*$AS117*其他调用!Y116/$E$4</f>
        <v>0</v>
      </c>
      <c r="BH117" s="16">
        <f>求节点(I$28:I$34,$O$28:$O$34,$AR117)*$AS117*其他调用!Z116/$E$4</f>
        <v>0</v>
      </c>
      <c r="BK117" s="16">
        <v>113</v>
      </c>
      <c r="BL117" s="16">
        <f>SUM(AT$5:AT117)</f>
        <v>0</v>
      </c>
      <c r="BM117" s="16">
        <f>SUM(AU$5:AU117)</f>
        <v>0</v>
      </c>
      <c r="BN117" s="16">
        <f>SUM(AV$5:AV117)</f>
        <v>0</v>
      </c>
      <c r="BO117" s="16">
        <f>SUM(AW$5:AW117)</f>
        <v>0</v>
      </c>
      <c r="BP117" s="16">
        <f>SUM(AX$5:AX117)</f>
        <v>0</v>
      </c>
      <c r="BQ117" s="16">
        <f>SUM(AY$5:AY117)</f>
        <v>0</v>
      </c>
      <c r="BR117" s="16">
        <f>SUM(AZ$5:AZ117)</f>
        <v>0</v>
      </c>
      <c r="BS117" s="16">
        <f>SUM(BA$5:BA117)</f>
        <v>0</v>
      </c>
      <c r="BT117" s="16">
        <f>SUM(BB$5:BB117)</f>
        <v>0</v>
      </c>
      <c r="BU117" s="16">
        <f>SUM(BC$5:BC117)</f>
        <v>0</v>
      </c>
      <c r="BV117" s="16">
        <f>SUM(BD$5:BD117)</f>
        <v>0</v>
      </c>
      <c r="BW117" s="16">
        <f>SUM(BE$5:BE117)</f>
        <v>0</v>
      </c>
      <c r="BX117" s="16">
        <f>SUM(BF$5:BF117)</f>
        <v>0</v>
      </c>
      <c r="BY117" s="16">
        <f>SUM(BG$5:BG117)</f>
        <v>0</v>
      </c>
      <c r="BZ117" s="16">
        <f>SUM(BH$5:BH117)</f>
        <v>0</v>
      </c>
      <c r="CC117" s="16">
        <v>113</v>
      </c>
      <c r="CD117" s="16">
        <f t="shared" si="56"/>
        <v>0</v>
      </c>
      <c r="CE117" s="16">
        <f t="shared" si="57"/>
        <v>0</v>
      </c>
      <c r="CF117" s="16">
        <f t="shared" si="58"/>
        <v>0</v>
      </c>
      <c r="CG117" s="16">
        <f t="shared" si="59"/>
        <v>0</v>
      </c>
      <c r="CH117" s="16">
        <f t="shared" si="60"/>
        <v>0</v>
      </c>
      <c r="CI117" s="16">
        <f t="shared" si="61"/>
        <v>0</v>
      </c>
      <c r="CJ117" s="16">
        <f t="shared" si="62"/>
        <v>0</v>
      </c>
      <c r="CK117" s="16">
        <f t="shared" si="63"/>
        <v>0</v>
      </c>
      <c r="CL117" s="16">
        <f t="shared" si="64"/>
        <v>0</v>
      </c>
      <c r="CM117" s="16">
        <f t="shared" si="65"/>
        <v>0</v>
      </c>
      <c r="CN117" s="16">
        <f t="shared" si="66"/>
        <v>0</v>
      </c>
      <c r="CO117" s="16">
        <f t="shared" si="67"/>
        <v>0</v>
      </c>
      <c r="CP117" s="16">
        <f t="shared" si="68"/>
        <v>0</v>
      </c>
      <c r="CQ117" s="16">
        <f t="shared" si="69"/>
        <v>0</v>
      </c>
      <c r="CR117" s="16">
        <f t="shared" si="70"/>
        <v>0</v>
      </c>
      <c r="CV117" s="16">
        <v>113</v>
      </c>
      <c r="CW117" s="35">
        <f t="shared" si="54"/>
        <v>0.13200000000000001</v>
      </c>
      <c r="CX117" s="16">
        <f>其他调用!V116/$E$4*求节点(E$28:E$34,$P$28:$P$34,$CV117)*$CW117</f>
        <v>76.894074821889262</v>
      </c>
      <c r="CY117" s="16">
        <f>其他调用!W116/$E$4*求节点(F$28:F$34,$P$28:$P$34,$CV117)*$CW117</f>
        <v>96.146910797927546</v>
      </c>
      <c r="CZ117" s="16">
        <f>其他调用!X116/$E$4*求节点(G$28:G$34,$P$28:$P$34,$CV117)*$CW117</f>
        <v>105.69798912132029</v>
      </c>
      <c r="DA117" s="16">
        <f>其他调用!Y116/$E$4*求节点(H$28:H$34,$P$28:$P$34,$CV117)*$CW117</f>
        <v>82.01996626576134</v>
      </c>
      <c r="DB117" s="16">
        <f>其他调用!Z116/$E$4*求节点(I$28:I$34,$P$28:$P$34,$CV117)*$CW117</f>
        <v>43.31357195814185</v>
      </c>
      <c r="DC117" s="16">
        <f>SUM(CX$5:CX117)</f>
        <v>1121.0443572766035</v>
      </c>
      <c r="DD117" s="16">
        <f>SUM(CY$5:CY117)</f>
        <v>1394.3728843832521</v>
      </c>
      <c r="DE117" s="16">
        <f>SUM(CZ$5:CZ117)</f>
        <v>1527.0910014318615</v>
      </c>
      <c r="DF117" s="16">
        <f>SUM(DA$5:DA117)</f>
        <v>1240.7849173631034</v>
      </c>
      <c r="DG117" s="16">
        <f>SUM(DB$5:DB117)</f>
        <v>668.70651519386684</v>
      </c>
    </row>
    <row r="118" spans="24:111">
      <c r="X118" s="16">
        <v>114</v>
      </c>
      <c r="Y118" s="45">
        <f t="shared" si="52"/>
        <v>700</v>
      </c>
      <c r="Z118" s="24">
        <f t="shared" si="53"/>
        <v>6.8000000000000005E-2</v>
      </c>
      <c r="AA118" s="16">
        <f>$Y118*$Z118*其他调用!V117</f>
        <v>396248.50220708037</v>
      </c>
      <c r="AB118" s="16">
        <f>$Y118*$Z118*其他调用!W117</f>
        <v>493969.62363309815</v>
      </c>
      <c r="AC118" s="16">
        <f>$Y118*$Z118*其他调用!X117</f>
        <v>518316.29575863219</v>
      </c>
      <c r="AD118" s="16">
        <f>$Y118*$Z118*其他调用!Y117</f>
        <v>409855.73514100071</v>
      </c>
      <c r="AE118" s="16">
        <f>$Y118*$Z118*其他调用!Z117</f>
        <v>222403.50398461538</v>
      </c>
      <c r="AH118" s="16">
        <v>114</v>
      </c>
      <c r="AI118" s="16">
        <f>SUM(AA$5:AA118)</f>
        <v>5453697.3682754859</v>
      </c>
      <c r="AJ118" s="16">
        <f>SUM(AB$5:AB118)</f>
        <v>6772499.9117825087</v>
      </c>
      <c r="AK118" s="16">
        <f>SUM(AC$5:AC118)</f>
        <v>7363007.7401279863</v>
      </c>
      <c r="AL118" s="16">
        <f>SUM(AD$5:AD118)</f>
        <v>5948278.3134986665</v>
      </c>
      <c r="AM118" s="16">
        <f>SUM(AE$5:AE118)</f>
        <v>3201583.3144338732</v>
      </c>
      <c r="AR118" s="16">
        <v>114</v>
      </c>
      <c r="AS118" s="24">
        <f t="shared" si="55"/>
        <v>6.8000000000000005E-2</v>
      </c>
      <c r="AT118" s="16">
        <f>求节点(E$28:E$34,$M$28:$M$34,$AR118)*$AS118*其他调用!V117/$E$4</f>
        <v>0</v>
      </c>
      <c r="AU118" s="16">
        <f>求节点(F$28:F$34,$M$28:$M$34,$AR118)*$AS118*其他调用!W117/$E$4</f>
        <v>0</v>
      </c>
      <c r="AV118" s="16">
        <f>求节点(G$28:G$34,$M$28:$M$34,$AR118)*$AS118*其他调用!X117/$E$4</f>
        <v>0</v>
      </c>
      <c r="AW118" s="16">
        <f>求节点(H$28:H$34,$M$28:$M$34,$AR118)*$AS118*其他调用!Y117/$E$4</f>
        <v>0</v>
      </c>
      <c r="AX118" s="16">
        <f>求节点(I$28:I$34,$M$28:$M$34,$AR118)*$AS118*其他调用!Z117/$E$4</f>
        <v>0</v>
      </c>
      <c r="AY118" s="16">
        <f>求节点(E$28:E$34,$N$28:$N$34,$AR118)*$AS118*其他调用!V117/$E$4</f>
        <v>0</v>
      </c>
      <c r="AZ118" s="16">
        <f>求节点(F$28:F$34,$N$28:$N$34,$AR118)*$AS118*其他调用!W117/$E$4</f>
        <v>0</v>
      </c>
      <c r="BA118" s="16">
        <f>求节点(G$28:G$34,$N$28:$N$34,$AR118)*$AS118*其他调用!X117/$E$4</f>
        <v>0</v>
      </c>
      <c r="BB118" s="16">
        <f>求节点(H$28:H$34,$N$28:$N$34,$AR118)*$AS118*其他调用!Y117/$E$4</f>
        <v>0</v>
      </c>
      <c r="BC118" s="16">
        <f>求节点(I$28:I$34,$N$28:$N$34,$AR118)*$AS118*其他调用!Z117/$E$4</f>
        <v>0</v>
      </c>
      <c r="BD118" s="16">
        <f>求节点(E$28:E$34,$O$28:$O$34,$AR118)*$AS118*其他调用!V117/$E$4</f>
        <v>0</v>
      </c>
      <c r="BE118" s="16">
        <f>求节点(F$28:F$34,$O$28:$O$34,$AR118)*$AS118*其他调用!W117/$E$4</f>
        <v>0</v>
      </c>
      <c r="BF118" s="16">
        <f>求节点(G$28:G$34,$O$28:$O$34,$AR118)*$AS118*其他调用!X117/$E$4</f>
        <v>0</v>
      </c>
      <c r="BG118" s="16">
        <f>求节点(H$28:H$34,$O$28:$O$34,$AR118)*$AS118*其他调用!Y117/$E$4</f>
        <v>0</v>
      </c>
      <c r="BH118" s="16">
        <f>求节点(I$28:I$34,$O$28:$O$34,$AR118)*$AS118*其他调用!Z117/$E$4</f>
        <v>0</v>
      </c>
      <c r="BK118" s="16">
        <v>114</v>
      </c>
      <c r="BL118" s="16">
        <f>SUM(AT$5:AT118)</f>
        <v>0</v>
      </c>
      <c r="BM118" s="16">
        <f>SUM(AU$5:AU118)</f>
        <v>0</v>
      </c>
      <c r="BN118" s="16">
        <f>SUM(AV$5:AV118)</f>
        <v>0</v>
      </c>
      <c r="BO118" s="16">
        <f>SUM(AW$5:AW118)</f>
        <v>0</v>
      </c>
      <c r="BP118" s="16">
        <f>SUM(AX$5:AX118)</f>
        <v>0</v>
      </c>
      <c r="BQ118" s="16">
        <f>SUM(AY$5:AY118)</f>
        <v>0</v>
      </c>
      <c r="BR118" s="16">
        <f>SUM(AZ$5:AZ118)</f>
        <v>0</v>
      </c>
      <c r="BS118" s="16">
        <f>SUM(BA$5:BA118)</f>
        <v>0</v>
      </c>
      <c r="BT118" s="16">
        <f>SUM(BB$5:BB118)</f>
        <v>0</v>
      </c>
      <c r="BU118" s="16">
        <f>SUM(BC$5:BC118)</f>
        <v>0</v>
      </c>
      <c r="BV118" s="16">
        <f>SUM(BD$5:BD118)</f>
        <v>0</v>
      </c>
      <c r="BW118" s="16">
        <f>SUM(BE$5:BE118)</f>
        <v>0</v>
      </c>
      <c r="BX118" s="16">
        <f>SUM(BF$5:BF118)</f>
        <v>0</v>
      </c>
      <c r="BY118" s="16">
        <f>SUM(BG$5:BG118)</f>
        <v>0</v>
      </c>
      <c r="BZ118" s="16">
        <f>SUM(BH$5:BH118)</f>
        <v>0</v>
      </c>
      <c r="CC118" s="16">
        <v>114</v>
      </c>
      <c r="CD118" s="16">
        <f t="shared" si="56"/>
        <v>0</v>
      </c>
      <c r="CE118" s="16">
        <f t="shared" si="57"/>
        <v>0</v>
      </c>
      <c r="CF118" s="16">
        <f t="shared" si="58"/>
        <v>0</v>
      </c>
      <c r="CG118" s="16">
        <f t="shared" si="59"/>
        <v>0</v>
      </c>
      <c r="CH118" s="16">
        <f t="shared" si="60"/>
        <v>0</v>
      </c>
      <c r="CI118" s="16">
        <f t="shared" si="61"/>
        <v>0</v>
      </c>
      <c r="CJ118" s="16">
        <f t="shared" si="62"/>
        <v>0</v>
      </c>
      <c r="CK118" s="16">
        <f t="shared" si="63"/>
        <v>0</v>
      </c>
      <c r="CL118" s="16">
        <f t="shared" si="64"/>
        <v>0</v>
      </c>
      <c r="CM118" s="16">
        <f t="shared" si="65"/>
        <v>0</v>
      </c>
      <c r="CN118" s="16">
        <f t="shared" si="66"/>
        <v>0</v>
      </c>
      <c r="CO118" s="16">
        <f t="shared" si="67"/>
        <v>0</v>
      </c>
      <c r="CP118" s="16">
        <f t="shared" si="68"/>
        <v>0</v>
      </c>
      <c r="CQ118" s="16">
        <f t="shared" si="69"/>
        <v>0</v>
      </c>
      <c r="CR118" s="16">
        <f t="shared" si="70"/>
        <v>0</v>
      </c>
      <c r="CV118" s="16">
        <v>114</v>
      </c>
      <c r="CW118" s="35">
        <f t="shared" si="54"/>
        <v>0.13200000000000001</v>
      </c>
      <c r="CX118" s="16">
        <f>其他调用!V117/$E$4*求节点(E$28:E$34,$P$28:$P$34,$CV118)*$CW118</f>
        <v>82.413028820380163</v>
      </c>
      <c r="CY118" s="16">
        <f>其他调用!W117/$E$4*求节点(F$28:F$34,$P$28:$P$34,$CV118)*$CW118</f>
        <v>102.73737970520318</v>
      </c>
      <c r="CZ118" s="16">
        <f>其他调用!X117/$E$4*求节点(G$28:G$34,$P$28:$P$34,$CV118)*$CW118</f>
        <v>107.80107831954746</v>
      </c>
      <c r="DA118" s="16">
        <f>其他调用!Y117/$E$4*求节点(H$28:H$34,$P$28:$P$34,$CV118)*$CW118</f>
        <v>85.243104577645113</v>
      </c>
      <c r="DB118" s="16">
        <f>其他调用!Z117/$E$4*求节点(I$28:I$34,$P$28:$P$34,$CV118)*$CW118</f>
        <v>46.256190954783456</v>
      </c>
      <c r="DC118" s="16">
        <f>SUM(CX$5:CX118)</f>
        <v>1203.4573860969836</v>
      </c>
      <c r="DD118" s="16">
        <f>SUM(CY$5:CY118)</f>
        <v>1497.1102640884553</v>
      </c>
      <c r="DE118" s="16">
        <f>SUM(CZ$5:CZ118)</f>
        <v>1634.892079751409</v>
      </c>
      <c r="DF118" s="16">
        <f>SUM(DA$5:DA118)</f>
        <v>1326.0280219407487</v>
      </c>
      <c r="DG118" s="16">
        <f>SUM(DB$5:DB118)</f>
        <v>714.96270614865034</v>
      </c>
    </row>
    <row r="119" spans="24:111">
      <c r="X119" s="16">
        <v>115</v>
      </c>
      <c r="Y119" s="45">
        <f t="shared" si="52"/>
        <v>700</v>
      </c>
      <c r="Z119" s="24">
        <f t="shared" si="53"/>
        <v>6.8000000000000005E-2</v>
      </c>
      <c r="AA119" s="16">
        <f>$Y119*$Z119*其他调用!V118</f>
        <v>424688.6292353007</v>
      </c>
      <c r="AB119" s="16">
        <f>$Y119*$Z119*其他调用!W118</f>
        <v>505539.61961426202</v>
      </c>
      <c r="AC119" s="16">
        <f>$Y119*$Z119*其他调用!X118</f>
        <v>535360.93859084928</v>
      </c>
      <c r="AD119" s="16">
        <f>$Y119*$Z119*其他调用!Y118</f>
        <v>430367.49724941375</v>
      </c>
      <c r="AE119" s="16">
        <f>$Y119*$Z119*其他调用!Z118</f>
        <v>234670.9923709557</v>
      </c>
      <c r="AH119" s="16">
        <v>115</v>
      </c>
      <c r="AI119" s="16">
        <f>SUM(AA$5:AA119)</f>
        <v>5878385.9975107871</v>
      </c>
      <c r="AJ119" s="16">
        <f>SUM(AB$5:AB119)</f>
        <v>7278039.5313967708</v>
      </c>
      <c r="AK119" s="16">
        <f>SUM(AC$5:AC119)</f>
        <v>7898368.6787188351</v>
      </c>
      <c r="AL119" s="16">
        <f>SUM(AD$5:AD119)</f>
        <v>6378645.8107480798</v>
      </c>
      <c r="AM119" s="16">
        <f>SUM(AE$5:AE119)</f>
        <v>3436254.3068048288</v>
      </c>
      <c r="AR119" s="16">
        <v>115</v>
      </c>
      <c r="AS119" s="24">
        <f t="shared" si="55"/>
        <v>6.8000000000000005E-2</v>
      </c>
      <c r="AT119" s="16">
        <f>求节点(E$28:E$34,$M$28:$M$34,$AR119)*$AS119*其他调用!V118/$E$4</f>
        <v>0</v>
      </c>
      <c r="AU119" s="16">
        <f>求节点(F$28:F$34,$M$28:$M$34,$AR119)*$AS119*其他调用!W118/$E$4</f>
        <v>0</v>
      </c>
      <c r="AV119" s="16">
        <f>求节点(G$28:G$34,$M$28:$M$34,$AR119)*$AS119*其他调用!X118/$E$4</f>
        <v>0</v>
      </c>
      <c r="AW119" s="16">
        <f>求节点(H$28:H$34,$M$28:$M$34,$AR119)*$AS119*其他调用!Y118/$E$4</f>
        <v>0</v>
      </c>
      <c r="AX119" s="16">
        <f>求节点(I$28:I$34,$M$28:$M$34,$AR119)*$AS119*其他调用!Z118/$E$4</f>
        <v>0</v>
      </c>
      <c r="AY119" s="16">
        <f>求节点(E$28:E$34,$N$28:$N$34,$AR119)*$AS119*其他调用!V118/$E$4</f>
        <v>0</v>
      </c>
      <c r="AZ119" s="16">
        <f>求节点(F$28:F$34,$N$28:$N$34,$AR119)*$AS119*其他调用!W118/$E$4</f>
        <v>0</v>
      </c>
      <c r="BA119" s="16">
        <f>求节点(G$28:G$34,$N$28:$N$34,$AR119)*$AS119*其他调用!X118/$E$4</f>
        <v>0</v>
      </c>
      <c r="BB119" s="16">
        <f>求节点(H$28:H$34,$N$28:$N$34,$AR119)*$AS119*其他调用!Y118/$E$4</f>
        <v>0</v>
      </c>
      <c r="BC119" s="16">
        <f>求节点(I$28:I$34,$N$28:$N$34,$AR119)*$AS119*其他调用!Z118/$E$4</f>
        <v>0</v>
      </c>
      <c r="BD119" s="16">
        <f>求节点(E$28:E$34,$O$28:$O$34,$AR119)*$AS119*其他调用!V118/$E$4</f>
        <v>0</v>
      </c>
      <c r="BE119" s="16">
        <f>求节点(F$28:F$34,$O$28:$O$34,$AR119)*$AS119*其他调用!W118/$E$4</f>
        <v>0</v>
      </c>
      <c r="BF119" s="16">
        <f>求节点(G$28:G$34,$O$28:$O$34,$AR119)*$AS119*其他调用!X118/$E$4</f>
        <v>0</v>
      </c>
      <c r="BG119" s="16">
        <f>求节点(H$28:H$34,$O$28:$O$34,$AR119)*$AS119*其他调用!Y118/$E$4</f>
        <v>0</v>
      </c>
      <c r="BH119" s="16">
        <f>求节点(I$28:I$34,$O$28:$O$34,$AR119)*$AS119*其他调用!Z118/$E$4</f>
        <v>0</v>
      </c>
      <c r="BK119" s="16">
        <v>115</v>
      </c>
      <c r="BL119" s="16">
        <f>SUM(AT$5:AT119)</f>
        <v>0</v>
      </c>
      <c r="BM119" s="16">
        <f>SUM(AU$5:AU119)</f>
        <v>0</v>
      </c>
      <c r="BN119" s="16">
        <f>SUM(AV$5:AV119)</f>
        <v>0</v>
      </c>
      <c r="BO119" s="16">
        <f>SUM(AW$5:AW119)</f>
        <v>0</v>
      </c>
      <c r="BP119" s="16">
        <f>SUM(AX$5:AX119)</f>
        <v>0</v>
      </c>
      <c r="BQ119" s="16">
        <f>SUM(AY$5:AY119)</f>
        <v>0</v>
      </c>
      <c r="BR119" s="16">
        <f>SUM(AZ$5:AZ119)</f>
        <v>0</v>
      </c>
      <c r="BS119" s="16">
        <f>SUM(BA$5:BA119)</f>
        <v>0</v>
      </c>
      <c r="BT119" s="16">
        <f>SUM(BB$5:BB119)</f>
        <v>0</v>
      </c>
      <c r="BU119" s="16">
        <f>SUM(BC$5:BC119)</f>
        <v>0</v>
      </c>
      <c r="BV119" s="16">
        <f>SUM(BD$5:BD119)</f>
        <v>0</v>
      </c>
      <c r="BW119" s="16">
        <f>SUM(BE$5:BE119)</f>
        <v>0</v>
      </c>
      <c r="BX119" s="16">
        <f>SUM(BF$5:BF119)</f>
        <v>0</v>
      </c>
      <c r="BY119" s="16">
        <f>SUM(BG$5:BG119)</f>
        <v>0</v>
      </c>
      <c r="BZ119" s="16">
        <f>SUM(BH$5:BH119)</f>
        <v>0</v>
      </c>
      <c r="CC119" s="16">
        <v>115</v>
      </c>
      <c r="CD119" s="16">
        <f t="shared" si="56"/>
        <v>0</v>
      </c>
      <c r="CE119" s="16">
        <f t="shared" si="57"/>
        <v>0</v>
      </c>
      <c r="CF119" s="16">
        <f t="shared" si="58"/>
        <v>0</v>
      </c>
      <c r="CG119" s="16">
        <f t="shared" si="59"/>
        <v>0</v>
      </c>
      <c r="CH119" s="16">
        <f t="shared" si="60"/>
        <v>0</v>
      </c>
      <c r="CI119" s="16">
        <f t="shared" si="61"/>
        <v>0</v>
      </c>
      <c r="CJ119" s="16">
        <f t="shared" si="62"/>
        <v>0</v>
      </c>
      <c r="CK119" s="16">
        <f t="shared" si="63"/>
        <v>0</v>
      </c>
      <c r="CL119" s="16">
        <f t="shared" si="64"/>
        <v>0</v>
      </c>
      <c r="CM119" s="16">
        <f t="shared" si="65"/>
        <v>0</v>
      </c>
      <c r="CN119" s="16">
        <f t="shared" si="66"/>
        <v>0</v>
      </c>
      <c r="CO119" s="16">
        <f t="shared" si="67"/>
        <v>0</v>
      </c>
      <c r="CP119" s="16">
        <f t="shared" si="68"/>
        <v>0</v>
      </c>
      <c r="CQ119" s="16">
        <f t="shared" si="69"/>
        <v>0</v>
      </c>
      <c r="CR119" s="16">
        <f t="shared" si="70"/>
        <v>0</v>
      </c>
      <c r="CV119" s="16">
        <v>115</v>
      </c>
      <c r="CW119" s="35">
        <f t="shared" si="54"/>
        <v>0.13200000000000001</v>
      </c>
      <c r="CX119" s="16">
        <f>其他调用!V118/$E$4*求节点(E$28:E$34,$P$28:$P$34,$CV119)*$CW119</f>
        <v>88.328097256921779</v>
      </c>
      <c r="CY119" s="16">
        <f>其他调用!W118/$E$4*求节点(F$28:F$34,$P$28:$P$34,$CV119)*$CW119</f>
        <v>105.14374441557131</v>
      </c>
      <c r="CZ119" s="16">
        <f>其他调用!X118/$E$4*求节点(G$28:G$34,$P$28:$P$34,$CV119)*$CW119</f>
        <v>111.34607756406321</v>
      </c>
      <c r="DA119" s="16">
        <f>其他调用!Y118/$E$4*求节点(H$28:H$34,$P$28:$P$34,$CV119)*$CW119</f>
        <v>89.509206360697405</v>
      </c>
      <c r="DB119" s="16">
        <f>其他调用!Z118/$E$4*求节点(I$28:I$34,$P$28:$P$34,$CV119)*$CW119</f>
        <v>48.807622362866837</v>
      </c>
      <c r="DC119" s="16">
        <f>SUM(CX$5:CX119)</f>
        <v>1291.7854833539054</v>
      </c>
      <c r="DD119" s="16">
        <f>SUM(CY$5:CY119)</f>
        <v>1602.2540085040266</v>
      </c>
      <c r="DE119" s="16">
        <f>SUM(CZ$5:CZ119)</f>
        <v>1746.2381573154723</v>
      </c>
      <c r="DF119" s="16">
        <f>SUM(DA$5:DA119)</f>
        <v>1415.537228301446</v>
      </c>
      <c r="DG119" s="16">
        <f>SUM(DB$5:DB119)</f>
        <v>763.77032851151716</v>
      </c>
    </row>
    <row r="120" spans="24:111">
      <c r="X120" s="16">
        <v>116</v>
      </c>
      <c r="Y120" s="45">
        <f t="shared" si="52"/>
        <v>700</v>
      </c>
      <c r="Z120" s="24">
        <f t="shared" si="53"/>
        <v>6.8000000000000005E-2</v>
      </c>
      <c r="AA120" s="16">
        <f>$Y120*$Z120*其他调用!V119</f>
        <v>455170.0026553066</v>
      </c>
      <c r="AB120" s="16">
        <f>$Y120*$Z120*其他调用!W119</f>
        <v>554087.64312511194</v>
      </c>
      <c r="AC120" s="16">
        <f>$Y120*$Z120*其他调用!X119</f>
        <v>601909.36789629655</v>
      </c>
      <c r="AD120" s="16">
        <f>$Y120*$Z120*其他调用!Y119</f>
        <v>499888.2052335465</v>
      </c>
      <c r="AE120" s="16">
        <f>$Y120*$Z120*其他调用!Z119</f>
        <v>267128.39005833527</v>
      </c>
      <c r="AH120" s="16">
        <v>116</v>
      </c>
      <c r="AI120" s="16">
        <f>SUM(AA$5:AA120)</f>
        <v>6333556.0001660939</v>
      </c>
      <c r="AJ120" s="16">
        <f>SUM(AB$5:AB120)</f>
        <v>7832127.174521883</v>
      </c>
      <c r="AK120" s="16">
        <f>SUM(AC$5:AC120)</f>
        <v>8500278.0466151312</v>
      </c>
      <c r="AL120" s="16">
        <f>SUM(AD$5:AD120)</f>
        <v>6878534.0159816267</v>
      </c>
      <c r="AM120" s="16">
        <f>SUM(AE$5:AE120)</f>
        <v>3703382.6968631642</v>
      </c>
      <c r="AR120" s="16">
        <v>116</v>
      </c>
      <c r="AS120" s="24">
        <f t="shared" si="55"/>
        <v>6.8000000000000005E-2</v>
      </c>
      <c r="AT120" s="16">
        <f>求节点(E$28:E$34,$M$28:$M$34,$AR120)*$AS120*其他调用!V119/$E$4</f>
        <v>0</v>
      </c>
      <c r="AU120" s="16">
        <f>求节点(F$28:F$34,$M$28:$M$34,$AR120)*$AS120*其他调用!W119/$E$4</f>
        <v>0</v>
      </c>
      <c r="AV120" s="16">
        <f>求节点(G$28:G$34,$M$28:$M$34,$AR120)*$AS120*其他调用!X119/$E$4</f>
        <v>0</v>
      </c>
      <c r="AW120" s="16">
        <f>求节点(H$28:H$34,$M$28:$M$34,$AR120)*$AS120*其他调用!Y119/$E$4</f>
        <v>0</v>
      </c>
      <c r="AX120" s="16">
        <f>求节点(I$28:I$34,$M$28:$M$34,$AR120)*$AS120*其他调用!Z119/$E$4</f>
        <v>0</v>
      </c>
      <c r="AY120" s="16">
        <f>求节点(E$28:E$34,$N$28:$N$34,$AR120)*$AS120*其他调用!V119/$E$4</f>
        <v>0</v>
      </c>
      <c r="AZ120" s="16">
        <f>求节点(F$28:F$34,$N$28:$N$34,$AR120)*$AS120*其他调用!W119/$E$4</f>
        <v>0</v>
      </c>
      <c r="BA120" s="16">
        <f>求节点(G$28:G$34,$N$28:$N$34,$AR120)*$AS120*其他调用!X119/$E$4</f>
        <v>0</v>
      </c>
      <c r="BB120" s="16">
        <f>求节点(H$28:H$34,$N$28:$N$34,$AR120)*$AS120*其他调用!Y119/$E$4</f>
        <v>0</v>
      </c>
      <c r="BC120" s="16">
        <f>求节点(I$28:I$34,$N$28:$N$34,$AR120)*$AS120*其他调用!Z119/$E$4</f>
        <v>0</v>
      </c>
      <c r="BD120" s="16">
        <f>求节点(E$28:E$34,$O$28:$O$34,$AR120)*$AS120*其他调用!V119/$E$4</f>
        <v>0</v>
      </c>
      <c r="BE120" s="16">
        <f>求节点(F$28:F$34,$O$28:$O$34,$AR120)*$AS120*其他调用!W119/$E$4</f>
        <v>0</v>
      </c>
      <c r="BF120" s="16">
        <f>求节点(G$28:G$34,$O$28:$O$34,$AR120)*$AS120*其他调用!X119/$E$4</f>
        <v>0</v>
      </c>
      <c r="BG120" s="16">
        <f>求节点(H$28:H$34,$O$28:$O$34,$AR120)*$AS120*其他调用!Y119/$E$4</f>
        <v>0</v>
      </c>
      <c r="BH120" s="16">
        <f>求节点(I$28:I$34,$O$28:$O$34,$AR120)*$AS120*其他调用!Z119/$E$4</f>
        <v>0</v>
      </c>
      <c r="BK120" s="16">
        <v>116</v>
      </c>
      <c r="BL120" s="16">
        <f>SUM(AT$5:AT120)</f>
        <v>0</v>
      </c>
      <c r="BM120" s="16">
        <f>SUM(AU$5:AU120)</f>
        <v>0</v>
      </c>
      <c r="BN120" s="16">
        <f>SUM(AV$5:AV120)</f>
        <v>0</v>
      </c>
      <c r="BO120" s="16">
        <f>SUM(AW$5:AW120)</f>
        <v>0</v>
      </c>
      <c r="BP120" s="16">
        <f>SUM(AX$5:AX120)</f>
        <v>0</v>
      </c>
      <c r="BQ120" s="16">
        <f>SUM(AY$5:AY120)</f>
        <v>0</v>
      </c>
      <c r="BR120" s="16">
        <f>SUM(AZ$5:AZ120)</f>
        <v>0</v>
      </c>
      <c r="BS120" s="16">
        <f>SUM(BA$5:BA120)</f>
        <v>0</v>
      </c>
      <c r="BT120" s="16">
        <f>SUM(BB$5:BB120)</f>
        <v>0</v>
      </c>
      <c r="BU120" s="16">
        <f>SUM(BC$5:BC120)</f>
        <v>0</v>
      </c>
      <c r="BV120" s="16">
        <f>SUM(BD$5:BD120)</f>
        <v>0</v>
      </c>
      <c r="BW120" s="16">
        <f>SUM(BE$5:BE120)</f>
        <v>0</v>
      </c>
      <c r="BX120" s="16">
        <f>SUM(BF$5:BF120)</f>
        <v>0</v>
      </c>
      <c r="BY120" s="16">
        <f>SUM(BG$5:BG120)</f>
        <v>0</v>
      </c>
      <c r="BZ120" s="16">
        <f>SUM(BH$5:BH120)</f>
        <v>0</v>
      </c>
      <c r="CC120" s="16">
        <v>116</v>
      </c>
      <c r="CD120" s="16">
        <f t="shared" si="56"/>
        <v>0</v>
      </c>
      <c r="CE120" s="16">
        <f t="shared" si="57"/>
        <v>0</v>
      </c>
      <c r="CF120" s="16">
        <f t="shared" si="58"/>
        <v>0</v>
      </c>
      <c r="CG120" s="16">
        <f t="shared" si="59"/>
        <v>0</v>
      </c>
      <c r="CH120" s="16">
        <f t="shared" si="60"/>
        <v>0</v>
      </c>
      <c r="CI120" s="16">
        <f t="shared" si="61"/>
        <v>0</v>
      </c>
      <c r="CJ120" s="16">
        <f t="shared" si="62"/>
        <v>0</v>
      </c>
      <c r="CK120" s="16">
        <f t="shared" si="63"/>
        <v>0</v>
      </c>
      <c r="CL120" s="16">
        <f t="shared" si="64"/>
        <v>0</v>
      </c>
      <c r="CM120" s="16">
        <f t="shared" si="65"/>
        <v>0</v>
      </c>
      <c r="CN120" s="16">
        <f t="shared" si="66"/>
        <v>0</v>
      </c>
      <c r="CO120" s="16">
        <f t="shared" si="67"/>
        <v>0</v>
      </c>
      <c r="CP120" s="16">
        <f t="shared" si="68"/>
        <v>0</v>
      </c>
      <c r="CQ120" s="16">
        <f t="shared" si="69"/>
        <v>0</v>
      </c>
      <c r="CR120" s="16">
        <f t="shared" si="70"/>
        <v>0</v>
      </c>
      <c r="CV120" s="16">
        <v>116</v>
      </c>
      <c r="CW120" s="35">
        <f t="shared" si="54"/>
        <v>0.13200000000000001</v>
      </c>
      <c r="CX120" s="16">
        <f>其他调用!V119/$E$4*求节点(E$28:E$34,$P$28:$P$34,$CV120)*$CW120</f>
        <v>94.667710636292767</v>
      </c>
      <c r="CY120" s="16">
        <f>其他调用!W119/$E$4*求节点(F$28:F$34,$P$28:$P$34,$CV120)*$CW120</f>
        <v>115.24091737265982</v>
      </c>
      <c r="CZ120" s="16">
        <f>其他调用!X119/$E$4*求节点(G$28:G$34,$P$28:$P$34,$CV120)*$CW120</f>
        <v>125.1870323985995</v>
      </c>
      <c r="DA120" s="16">
        <f>其他调用!Y119/$E$4*求节点(H$28:H$34,$P$28:$P$34,$CV120)*$CW120</f>
        <v>103.96834520613677</v>
      </c>
      <c r="DB120" s="16">
        <f>其他调用!Z119/$E$4*求节点(I$28:I$34,$P$28:$P$34,$CV120)*$CW120</f>
        <v>55.558215579359647</v>
      </c>
      <c r="DC120" s="16">
        <f>SUM(CX$5:CX120)</f>
        <v>1386.4531939901981</v>
      </c>
      <c r="DD120" s="16">
        <f>SUM(CY$5:CY120)</f>
        <v>1717.4949258766865</v>
      </c>
      <c r="DE120" s="16">
        <f>SUM(CZ$5:CZ120)</f>
        <v>1871.4251897140718</v>
      </c>
      <c r="DF120" s="16">
        <f>SUM(DA$5:DA120)</f>
        <v>1519.5055735075828</v>
      </c>
      <c r="DG120" s="16">
        <f>SUM(DB$5:DB120)</f>
        <v>819.32854409087679</v>
      </c>
    </row>
    <row r="121" spans="24:111">
      <c r="X121" s="16">
        <v>117</v>
      </c>
      <c r="Y121" s="45">
        <f t="shared" si="52"/>
        <v>700</v>
      </c>
      <c r="Z121" s="24">
        <f t="shared" si="53"/>
        <v>6.8000000000000005E-2</v>
      </c>
      <c r="AA121" s="16">
        <f>$Y121*$Z121*其他调用!V120</f>
        <v>487839.12978852884</v>
      </c>
      <c r="AB121" s="16">
        <f>$Y121*$Z121*其他调用!W120</f>
        <v>605874.33537837083</v>
      </c>
      <c r="AC121" s="16">
        <f>$Y121*$Z121*其他调用!X120</f>
        <v>665948.44043668546</v>
      </c>
      <c r="AD121" s="16">
        <f>$Y121*$Z121*其他调用!Y120</f>
        <v>534464.05447871611</v>
      </c>
      <c r="AE121" s="16">
        <f>$Y121*$Z121*其他调用!Z120</f>
        <v>292823.77685701201</v>
      </c>
      <c r="AH121" s="16">
        <v>117</v>
      </c>
      <c r="AI121" s="16">
        <f>SUM(AA$5:AA121)</f>
        <v>6821395.1299546231</v>
      </c>
      <c r="AJ121" s="16">
        <f>SUM(AB$5:AB121)</f>
        <v>8438001.5099002533</v>
      </c>
      <c r="AK121" s="16">
        <f>SUM(AC$5:AC121)</f>
        <v>9166226.4870518167</v>
      </c>
      <c r="AL121" s="16">
        <f>SUM(AD$5:AD121)</f>
        <v>7412998.0704603428</v>
      </c>
      <c r="AM121" s="16">
        <f>SUM(AE$5:AE121)</f>
        <v>3996206.4737201761</v>
      </c>
      <c r="AR121" s="16">
        <v>117</v>
      </c>
      <c r="AS121" s="24">
        <f t="shared" si="55"/>
        <v>6.8000000000000005E-2</v>
      </c>
      <c r="AT121" s="16">
        <f>求节点(E$28:E$34,$M$28:$M$34,$AR121)*$AS121*其他调用!V120/$E$4</f>
        <v>0</v>
      </c>
      <c r="AU121" s="16">
        <f>求节点(F$28:F$34,$M$28:$M$34,$AR121)*$AS121*其他调用!W120/$E$4</f>
        <v>0</v>
      </c>
      <c r="AV121" s="16">
        <f>求节点(G$28:G$34,$M$28:$M$34,$AR121)*$AS121*其他调用!X120/$E$4</f>
        <v>0</v>
      </c>
      <c r="AW121" s="16">
        <f>求节点(H$28:H$34,$M$28:$M$34,$AR121)*$AS121*其他调用!Y120/$E$4</f>
        <v>0</v>
      </c>
      <c r="AX121" s="16">
        <f>求节点(I$28:I$34,$M$28:$M$34,$AR121)*$AS121*其他调用!Z120/$E$4</f>
        <v>0</v>
      </c>
      <c r="AY121" s="16">
        <f>求节点(E$28:E$34,$N$28:$N$34,$AR121)*$AS121*其他调用!V120/$E$4</f>
        <v>0</v>
      </c>
      <c r="AZ121" s="16">
        <f>求节点(F$28:F$34,$N$28:$N$34,$AR121)*$AS121*其他调用!W120/$E$4</f>
        <v>0</v>
      </c>
      <c r="BA121" s="16">
        <f>求节点(G$28:G$34,$N$28:$N$34,$AR121)*$AS121*其他调用!X120/$E$4</f>
        <v>0</v>
      </c>
      <c r="BB121" s="16">
        <f>求节点(H$28:H$34,$N$28:$N$34,$AR121)*$AS121*其他调用!Y120/$E$4</f>
        <v>0</v>
      </c>
      <c r="BC121" s="16">
        <f>求节点(I$28:I$34,$N$28:$N$34,$AR121)*$AS121*其他调用!Z120/$E$4</f>
        <v>0</v>
      </c>
      <c r="BD121" s="16">
        <f>求节点(E$28:E$34,$O$28:$O$34,$AR121)*$AS121*其他调用!V120/$E$4</f>
        <v>0</v>
      </c>
      <c r="BE121" s="16">
        <f>求节点(F$28:F$34,$O$28:$O$34,$AR121)*$AS121*其他调用!W120/$E$4</f>
        <v>0</v>
      </c>
      <c r="BF121" s="16">
        <f>求节点(G$28:G$34,$O$28:$O$34,$AR121)*$AS121*其他调用!X120/$E$4</f>
        <v>0</v>
      </c>
      <c r="BG121" s="16">
        <f>求节点(H$28:H$34,$O$28:$O$34,$AR121)*$AS121*其他调用!Y120/$E$4</f>
        <v>0</v>
      </c>
      <c r="BH121" s="16">
        <f>求节点(I$28:I$34,$O$28:$O$34,$AR121)*$AS121*其他调用!Z120/$E$4</f>
        <v>0</v>
      </c>
      <c r="BK121" s="16">
        <v>117</v>
      </c>
      <c r="BL121" s="16">
        <f>SUM(AT$5:AT121)</f>
        <v>0</v>
      </c>
      <c r="BM121" s="16">
        <f>SUM(AU$5:AU121)</f>
        <v>0</v>
      </c>
      <c r="BN121" s="16">
        <f>SUM(AV$5:AV121)</f>
        <v>0</v>
      </c>
      <c r="BO121" s="16">
        <f>SUM(AW$5:AW121)</f>
        <v>0</v>
      </c>
      <c r="BP121" s="16">
        <f>SUM(AX$5:AX121)</f>
        <v>0</v>
      </c>
      <c r="BQ121" s="16">
        <f>SUM(AY$5:AY121)</f>
        <v>0</v>
      </c>
      <c r="BR121" s="16">
        <f>SUM(AZ$5:AZ121)</f>
        <v>0</v>
      </c>
      <c r="BS121" s="16">
        <f>SUM(BA$5:BA121)</f>
        <v>0</v>
      </c>
      <c r="BT121" s="16">
        <f>SUM(BB$5:BB121)</f>
        <v>0</v>
      </c>
      <c r="BU121" s="16">
        <f>SUM(BC$5:BC121)</f>
        <v>0</v>
      </c>
      <c r="BV121" s="16">
        <f>SUM(BD$5:BD121)</f>
        <v>0</v>
      </c>
      <c r="BW121" s="16">
        <f>SUM(BE$5:BE121)</f>
        <v>0</v>
      </c>
      <c r="BX121" s="16">
        <f>SUM(BF$5:BF121)</f>
        <v>0</v>
      </c>
      <c r="BY121" s="16">
        <f>SUM(BG$5:BG121)</f>
        <v>0</v>
      </c>
      <c r="BZ121" s="16">
        <f>SUM(BH$5:BH121)</f>
        <v>0</v>
      </c>
      <c r="CC121" s="16">
        <v>117</v>
      </c>
      <c r="CD121" s="16">
        <f t="shared" si="56"/>
        <v>0</v>
      </c>
      <c r="CE121" s="16">
        <f t="shared" si="57"/>
        <v>0</v>
      </c>
      <c r="CF121" s="16">
        <f t="shared" si="58"/>
        <v>0</v>
      </c>
      <c r="CG121" s="16">
        <f t="shared" si="59"/>
        <v>0</v>
      </c>
      <c r="CH121" s="16">
        <f t="shared" si="60"/>
        <v>0</v>
      </c>
      <c r="CI121" s="16">
        <f t="shared" si="61"/>
        <v>0</v>
      </c>
      <c r="CJ121" s="16">
        <f t="shared" si="62"/>
        <v>0</v>
      </c>
      <c r="CK121" s="16">
        <f t="shared" si="63"/>
        <v>0</v>
      </c>
      <c r="CL121" s="16">
        <f t="shared" si="64"/>
        <v>0</v>
      </c>
      <c r="CM121" s="16">
        <f t="shared" si="65"/>
        <v>0</v>
      </c>
      <c r="CN121" s="16">
        <f t="shared" si="66"/>
        <v>0</v>
      </c>
      <c r="CO121" s="16">
        <f t="shared" si="67"/>
        <v>0</v>
      </c>
      <c r="CP121" s="16">
        <f t="shared" si="68"/>
        <v>0</v>
      </c>
      <c r="CQ121" s="16">
        <f t="shared" si="69"/>
        <v>0</v>
      </c>
      <c r="CR121" s="16">
        <f t="shared" si="70"/>
        <v>0</v>
      </c>
      <c r="CV121" s="16">
        <v>117</v>
      </c>
      <c r="CW121" s="35">
        <f t="shared" si="54"/>
        <v>0.13200000000000001</v>
      </c>
      <c r="CX121" s="16">
        <f>其他调用!V120/$E$4*求节点(E$28:E$34,$P$28:$P$34,$CV121)*$CW121</f>
        <v>101.46234001904276</v>
      </c>
      <c r="CY121" s="16">
        <f>其他调用!W120/$E$4*求节点(F$28:F$34,$P$28:$P$34,$CV121)*$CW121</f>
        <v>126.011678996762</v>
      </c>
      <c r="CZ121" s="16">
        <f>其他调用!X120/$E$4*求节点(G$28:G$34,$P$28:$P$34,$CV121)*$CW121</f>
        <v>138.50608320006694</v>
      </c>
      <c r="DA121" s="16">
        <f>其他调用!Y120/$E$4*求节点(H$28:H$34,$P$28:$P$34,$CV121)*$CW121</f>
        <v>111.15954074242205</v>
      </c>
      <c r="DB121" s="16">
        <f>其他调用!Z120/$E$4*求节点(I$28:I$34,$P$28:$P$34,$CV121)*$CW121</f>
        <v>60.90242417824409</v>
      </c>
      <c r="DC121" s="16">
        <f>SUM(CX$5:CX121)</f>
        <v>1487.9155340092409</v>
      </c>
      <c r="DD121" s="16">
        <f>SUM(CY$5:CY121)</f>
        <v>1843.5066048734484</v>
      </c>
      <c r="DE121" s="16">
        <f>SUM(CZ$5:CZ121)</f>
        <v>2009.9312729141388</v>
      </c>
      <c r="DF121" s="16">
        <f>SUM(DA$5:DA121)</f>
        <v>1630.6651142500048</v>
      </c>
      <c r="DG121" s="16">
        <f>SUM(DB$5:DB121)</f>
        <v>880.23096826912092</v>
      </c>
    </row>
    <row r="122" spans="24:111">
      <c r="X122" s="16">
        <v>118</v>
      </c>
      <c r="Y122" s="45">
        <f t="shared" si="52"/>
        <v>700</v>
      </c>
      <c r="Z122" s="24">
        <f t="shared" si="53"/>
        <v>6.8000000000000005E-2</v>
      </c>
      <c r="AA122" s="16">
        <f>$Y122*$Z122*其他调用!V121</f>
        <v>522853.03329417302</v>
      </c>
      <c r="AB122" s="16">
        <f>$Y122*$Z122*其他调用!W121</f>
        <v>649512.38943224098</v>
      </c>
      <c r="AC122" s="16">
        <f>$Y122*$Z122*其他调用!X121</f>
        <v>708293.64934882661</v>
      </c>
      <c r="AD122" s="16">
        <f>$Y122*$Z122*其他调用!Y121</f>
        <v>585292.77345312457</v>
      </c>
      <c r="AE122" s="16">
        <f>$Y122*$Z122*其他调用!Z121</f>
        <v>309065.97462852672</v>
      </c>
      <c r="AH122" s="16">
        <v>118</v>
      </c>
      <c r="AI122" s="16">
        <f>SUM(AA$5:AA122)</f>
        <v>7344248.163248796</v>
      </c>
      <c r="AJ122" s="16">
        <f>SUM(AB$5:AB122)</f>
        <v>9087513.8993324935</v>
      </c>
      <c r="AK122" s="16">
        <f>SUM(AC$5:AC122)</f>
        <v>9874520.1364006437</v>
      </c>
      <c r="AL122" s="16">
        <f>SUM(AD$5:AD122)</f>
        <v>7998290.8439134676</v>
      </c>
      <c r="AM122" s="16">
        <f>SUM(AE$5:AE122)</f>
        <v>4305272.4483487029</v>
      </c>
      <c r="AR122" s="16">
        <v>118</v>
      </c>
      <c r="AS122" s="24">
        <f t="shared" si="55"/>
        <v>6.8000000000000005E-2</v>
      </c>
      <c r="AT122" s="16">
        <f>求节点(E$28:E$34,$M$28:$M$34,$AR122)*$AS122*其他调用!V121/$E$4</f>
        <v>0</v>
      </c>
      <c r="AU122" s="16">
        <f>求节点(F$28:F$34,$M$28:$M$34,$AR122)*$AS122*其他调用!W121/$E$4</f>
        <v>0</v>
      </c>
      <c r="AV122" s="16">
        <f>求节点(G$28:G$34,$M$28:$M$34,$AR122)*$AS122*其他调用!X121/$E$4</f>
        <v>0</v>
      </c>
      <c r="AW122" s="16">
        <f>求节点(H$28:H$34,$M$28:$M$34,$AR122)*$AS122*其他调用!Y121/$E$4</f>
        <v>0</v>
      </c>
      <c r="AX122" s="16">
        <f>求节点(I$28:I$34,$M$28:$M$34,$AR122)*$AS122*其他调用!Z121/$E$4</f>
        <v>0</v>
      </c>
      <c r="AY122" s="16">
        <f>求节点(E$28:E$34,$N$28:$N$34,$AR122)*$AS122*其他调用!V121/$E$4</f>
        <v>0</v>
      </c>
      <c r="AZ122" s="16">
        <f>求节点(F$28:F$34,$N$28:$N$34,$AR122)*$AS122*其他调用!W121/$E$4</f>
        <v>0</v>
      </c>
      <c r="BA122" s="16">
        <f>求节点(G$28:G$34,$N$28:$N$34,$AR122)*$AS122*其他调用!X121/$E$4</f>
        <v>0</v>
      </c>
      <c r="BB122" s="16">
        <f>求节点(H$28:H$34,$N$28:$N$34,$AR122)*$AS122*其他调用!Y121/$E$4</f>
        <v>0</v>
      </c>
      <c r="BC122" s="16">
        <f>求节点(I$28:I$34,$N$28:$N$34,$AR122)*$AS122*其他调用!Z121/$E$4</f>
        <v>0</v>
      </c>
      <c r="BD122" s="16">
        <f>求节点(E$28:E$34,$O$28:$O$34,$AR122)*$AS122*其他调用!V121/$E$4</f>
        <v>0</v>
      </c>
      <c r="BE122" s="16">
        <f>求节点(F$28:F$34,$O$28:$O$34,$AR122)*$AS122*其他调用!W121/$E$4</f>
        <v>0</v>
      </c>
      <c r="BF122" s="16">
        <f>求节点(G$28:G$34,$O$28:$O$34,$AR122)*$AS122*其他调用!X121/$E$4</f>
        <v>0</v>
      </c>
      <c r="BG122" s="16">
        <f>求节点(H$28:H$34,$O$28:$O$34,$AR122)*$AS122*其他调用!Y121/$E$4</f>
        <v>0</v>
      </c>
      <c r="BH122" s="16">
        <f>求节点(I$28:I$34,$O$28:$O$34,$AR122)*$AS122*其他调用!Z121/$E$4</f>
        <v>0</v>
      </c>
      <c r="BK122" s="16">
        <v>118</v>
      </c>
      <c r="BL122" s="16">
        <f>SUM(AT$5:AT122)</f>
        <v>0</v>
      </c>
      <c r="BM122" s="16">
        <f>SUM(AU$5:AU122)</f>
        <v>0</v>
      </c>
      <c r="BN122" s="16">
        <f>SUM(AV$5:AV122)</f>
        <v>0</v>
      </c>
      <c r="BO122" s="16">
        <f>SUM(AW$5:AW122)</f>
        <v>0</v>
      </c>
      <c r="BP122" s="16">
        <f>SUM(AX$5:AX122)</f>
        <v>0</v>
      </c>
      <c r="BQ122" s="16">
        <f>SUM(AY$5:AY122)</f>
        <v>0</v>
      </c>
      <c r="BR122" s="16">
        <f>SUM(AZ$5:AZ122)</f>
        <v>0</v>
      </c>
      <c r="BS122" s="16">
        <f>SUM(BA$5:BA122)</f>
        <v>0</v>
      </c>
      <c r="BT122" s="16">
        <f>SUM(BB$5:BB122)</f>
        <v>0</v>
      </c>
      <c r="BU122" s="16">
        <f>SUM(BC$5:BC122)</f>
        <v>0</v>
      </c>
      <c r="BV122" s="16">
        <f>SUM(BD$5:BD122)</f>
        <v>0</v>
      </c>
      <c r="BW122" s="16">
        <f>SUM(BE$5:BE122)</f>
        <v>0</v>
      </c>
      <c r="BX122" s="16">
        <f>SUM(BF$5:BF122)</f>
        <v>0</v>
      </c>
      <c r="BY122" s="16">
        <f>SUM(BG$5:BG122)</f>
        <v>0</v>
      </c>
      <c r="BZ122" s="16">
        <f>SUM(BH$5:BH122)</f>
        <v>0</v>
      </c>
      <c r="CC122" s="16">
        <v>118</v>
      </c>
      <c r="CD122" s="16">
        <f t="shared" si="56"/>
        <v>0</v>
      </c>
      <c r="CE122" s="16">
        <f t="shared" si="57"/>
        <v>0</v>
      </c>
      <c r="CF122" s="16">
        <f t="shared" si="58"/>
        <v>0</v>
      </c>
      <c r="CG122" s="16">
        <f t="shared" si="59"/>
        <v>0</v>
      </c>
      <c r="CH122" s="16">
        <f t="shared" si="60"/>
        <v>0</v>
      </c>
      <c r="CI122" s="16">
        <f t="shared" si="61"/>
        <v>0</v>
      </c>
      <c r="CJ122" s="16">
        <f t="shared" si="62"/>
        <v>0</v>
      </c>
      <c r="CK122" s="16">
        <f t="shared" si="63"/>
        <v>0</v>
      </c>
      <c r="CL122" s="16">
        <f t="shared" si="64"/>
        <v>0</v>
      </c>
      <c r="CM122" s="16">
        <f t="shared" si="65"/>
        <v>0</v>
      </c>
      <c r="CN122" s="16">
        <f t="shared" si="66"/>
        <v>0</v>
      </c>
      <c r="CO122" s="16">
        <f t="shared" si="67"/>
        <v>0</v>
      </c>
      <c r="CP122" s="16">
        <f t="shared" si="68"/>
        <v>0</v>
      </c>
      <c r="CQ122" s="16">
        <f t="shared" si="69"/>
        <v>0</v>
      </c>
      <c r="CR122" s="16">
        <f t="shared" si="70"/>
        <v>0</v>
      </c>
      <c r="CV122" s="16">
        <v>118</v>
      </c>
      <c r="CW122" s="35">
        <f t="shared" si="54"/>
        <v>0.13200000000000001</v>
      </c>
      <c r="CX122" s="16">
        <f>其他调用!V121/$E$4*求节点(E$28:E$34,$P$28:$P$34,$CV122)*$CW122</f>
        <v>108.74464347925029</v>
      </c>
      <c r="CY122" s="16">
        <f>其他调用!W121/$E$4*求节点(F$28:F$34,$P$28:$P$34,$CV122)*$CW122</f>
        <v>135.0876608272938</v>
      </c>
      <c r="CZ122" s="16">
        <f>其他调用!X121/$E$4*求节点(G$28:G$34,$P$28:$P$34,$CV122)*$CW122</f>
        <v>147.31317496960892</v>
      </c>
      <c r="DA122" s="16">
        <f>其他调用!Y121/$E$4*求节点(H$28:H$34,$P$28:$P$34,$CV122)*$CW122</f>
        <v>121.73106002491456</v>
      </c>
      <c r="DB122" s="16">
        <f>其他调用!Z121/$E$4*求节点(I$28:I$34,$P$28:$P$34,$CV122)*$CW122</f>
        <v>64.280528336605343</v>
      </c>
      <c r="DC122" s="16">
        <f>SUM(CX$5:CX122)</f>
        <v>1596.6601774884912</v>
      </c>
      <c r="DD122" s="16">
        <f>SUM(CY$5:CY122)</f>
        <v>1978.5942657007422</v>
      </c>
      <c r="DE122" s="16">
        <f>SUM(CZ$5:CZ122)</f>
        <v>2157.2444478837479</v>
      </c>
      <c r="DF122" s="16">
        <f>SUM(DA$5:DA122)</f>
        <v>1752.3961742749193</v>
      </c>
      <c r="DG122" s="16">
        <f>SUM(DB$5:DB122)</f>
        <v>944.51149660572628</v>
      </c>
    </row>
    <row r="123" spans="24:111">
      <c r="X123" s="16">
        <v>119</v>
      </c>
      <c r="Y123" s="45">
        <f t="shared" si="52"/>
        <v>700</v>
      </c>
      <c r="Z123" s="24">
        <f t="shared" si="53"/>
        <v>6.8000000000000005E-2</v>
      </c>
      <c r="AA123" s="16">
        <f>$Y123*$Z123*其他调用!V122</f>
        <v>560380.00589127047</v>
      </c>
      <c r="AB123" s="16">
        <f>$Y123*$Z123*其他调用!W122</f>
        <v>701167.42406724941</v>
      </c>
      <c r="AC123" s="16">
        <f>$Y123*$Z123*其他调用!X122</f>
        <v>772702.80982840084</v>
      </c>
      <c r="AD123" s="16">
        <f>$Y123*$Z123*其他调用!Y122</f>
        <v>617191.58064347575</v>
      </c>
      <c r="AE123" s="16">
        <f>$Y123*$Z123*其他调用!Z122</f>
        <v>314515.29237156693</v>
      </c>
      <c r="AH123" s="16">
        <v>119</v>
      </c>
      <c r="AI123" s="16">
        <f>SUM(AA$5:AA123)</f>
        <v>7904628.169140067</v>
      </c>
      <c r="AJ123" s="16">
        <f>SUM(AB$5:AB123)</f>
        <v>9788681.3233997431</v>
      </c>
      <c r="AK123" s="16">
        <f>SUM(AC$5:AC123)</f>
        <v>10647222.946229044</v>
      </c>
      <c r="AL123" s="16">
        <f>SUM(AD$5:AD123)</f>
        <v>8615482.4245569427</v>
      </c>
      <c r="AM123" s="16">
        <f>SUM(AE$5:AE123)</f>
        <v>4619787.7407202702</v>
      </c>
      <c r="AR123" s="16">
        <v>119</v>
      </c>
      <c r="AS123" s="24">
        <f t="shared" si="55"/>
        <v>6.8000000000000005E-2</v>
      </c>
      <c r="AT123" s="16">
        <f>求节点(E$28:E$34,$M$28:$M$34,$AR123)*$AS123*其他调用!V122/$E$4</f>
        <v>0</v>
      </c>
      <c r="AU123" s="16">
        <f>求节点(F$28:F$34,$M$28:$M$34,$AR123)*$AS123*其他调用!W122/$E$4</f>
        <v>0</v>
      </c>
      <c r="AV123" s="16">
        <f>求节点(G$28:G$34,$M$28:$M$34,$AR123)*$AS123*其他调用!X122/$E$4</f>
        <v>0</v>
      </c>
      <c r="AW123" s="16">
        <f>求节点(H$28:H$34,$M$28:$M$34,$AR123)*$AS123*其他调用!Y122/$E$4</f>
        <v>0</v>
      </c>
      <c r="AX123" s="16">
        <f>求节点(I$28:I$34,$M$28:$M$34,$AR123)*$AS123*其他调用!Z122/$E$4</f>
        <v>0</v>
      </c>
      <c r="AY123" s="16">
        <f>求节点(E$28:E$34,$N$28:$N$34,$AR123)*$AS123*其他调用!V122/$E$4</f>
        <v>0</v>
      </c>
      <c r="AZ123" s="16">
        <f>求节点(F$28:F$34,$N$28:$N$34,$AR123)*$AS123*其他调用!W122/$E$4</f>
        <v>0</v>
      </c>
      <c r="BA123" s="16">
        <f>求节点(G$28:G$34,$N$28:$N$34,$AR123)*$AS123*其他调用!X122/$E$4</f>
        <v>0</v>
      </c>
      <c r="BB123" s="16">
        <f>求节点(H$28:H$34,$N$28:$N$34,$AR123)*$AS123*其他调用!Y122/$E$4</f>
        <v>0</v>
      </c>
      <c r="BC123" s="16">
        <f>求节点(I$28:I$34,$N$28:$N$34,$AR123)*$AS123*其他调用!Z122/$E$4</f>
        <v>0</v>
      </c>
      <c r="BD123" s="16">
        <f>求节点(E$28:E$34,$O$28:$O$34,$AR123)*$AS123*其他调用!V122/$E$4</f>
        <v>0</v>
      </c>
      <c r="BE123" s="16">
        <f>求节点(F$28:F$34,$O$28:$O$34,$AR123)*$AS123*其他调用!W122/$E$4</f>
        <v>0</v>
      </c>
      <c r="BF123" s="16">
        <f>求节点(G$28:G$34,$O$28:$O$34,$AR123)*$AS123*其他调用!X122/$E$4</f>
        <v>0</v>
      </c>
      <c r="BG123" s="16">
        <f>求节点(H$28:H$34,$O$28:$O$34,$AR123)*$AS123*其他调用!Y122/$E$4</f>
        <v>0</v>
      </c>
      <c r="BH123" s="16">
        <f>求节点(I$28:I$34,$O$28:$O$34,$AR123)*$AS123*其他调用!Z122/$E$4</f>
        <v>0</v>
      </c>
      <c r="BK123" s="16">
        <v>119</v>
      </c>
      <c r="BL123" s="16">
        <f>SUM(AT$5:AT123)</f>
        <v>0</v>
      </c>
      <c r="BM123" s="16">
        <f>SUM(AU$5:AU123)</f>
        <v>0</v>
      </c>
      <c r="BN123" s="16">
        <f>SUM(AV$5:AV123)</f>
        <v>0</v>
      </c>
      <c r="BO123" s="16">
        <f>SUM(AW$5:AW123)</f>
        <v>0</v>
      </c>
      <c r="BP123" s="16">
        <f>SUM(AX$5:AX123)</f>
        <v>0</v>
      </c>
      <c r="BQ123" s="16">
        <f>SUM(AY$5:AY123)</f>
        <v>0</v>
      </c>
      <c r="BR123" s="16">
        <f>SUM(AZ$5:AZ123)</f>
        <v>0</v>
      </c>
      <c r="BS123" s="16">
        <f>SUM(BA$5:BA123)</f>
        <v>0</v>
      </c>
      <c r="BT123" s="16">
        <f>SUM(BB$5:BB123)</f>
        <v>0</v>
      </c>
      <c r="BU123" s="16">
        <f>SUM(BC$5:BC123)</f>
        <v>0</v>
      </c>
      <c r="BV123" s="16">
        <f>SUM(BD$5:BD123)</f>
        <v>0</v>
      </c>
      <c r="BW123" s="16">
        <f>SUM(BE$5:BE123)</f>
        <v>0</v>
      </c>
      <c r="BX123" s="16">
        <f>SUM(BF$5:BF123)</f>
        <v>0</v>
      </c>
      <c r="BY123" s="16">
        <f>SUM(BG$5:BG123)</f>
        <v>0</v>
      </c>
      <c r="BZ123" s="16">
        <f>SUM(BH$5:BH123)</f>
        <v>0</v>
      </c>
      <c r="CC123" s="16">
        <v>119</v>
      </c>
      <c r="CD123" s="16">
        <f t="shared" si="56"/>
        <v>0</v>
      </c>
      <c r="CE123" s="16">
        <f t="shared" si="57"/>
        <v>0</v>
      </c>
      <c r="CF123" s="16">
        <f t="shared" si="58"/>
        <v>0</v>
      </c>
      <c r="CG123" s="16">
        <f t="shared" si="59"/>
        <v>0</v>
      </c>
      <c r="CH123" s="16">
        <f t="shared" si="60"/>
        <v>0</v>
      </c>
      <c r="CI123" s="16">
        <f t="shared" si="61"/>
        <v>0</v>
      </c>
      <c r="CJ123" s="16">
        <f t="shared" si="62"/>
        <v>0</v>
      </c>
      <c r="CK123" s="16">
        <f t="shared" si="63"/>
        <v>0</v>
      </c>
      <c r="CL123" s="16">
        <f t="shared" si="64"/>
        <v>0</v>
      </c>
      <c r="CM123" s="16">
        <f t="shared" si="65"/>
        <v>0</v>
      </c>
      <c r="CN123" s="16">
        <f t="shared" si="66"/>
        <v>0</v>
      </c>
      <c r="CO123" s="16">
        <f t="shared" si="67"/>
        <v>0</v>
      </c>
      <c r="CP123" s="16">
        <f t="shared" si="68"/>
        <v>0</v>
      </c>
      <c r="CQ123" s="16">
        <f t="shared" si="69"/>
        <v>0</v>
      </c>
      <c r="CR123" s="16">
        <f t="shared" si="70"/>
        <v>0</v>
      </c>
      <c r="CV123" s="16">
        <v>119</v>
      </c>
      <c r="CW123" s="35">
        <f t="shared" si="54"/>
        <v>0.13200000000000001</v>
      </c>
      <c r="CX123" s="16">
        <f>其他调用!V122/$E$4*求节点(E$28:E$34,$P$28:$P$34,$CV123)*$CW123</f>
        <v>116.54962307402474</v>
      </c>
      <c r="CY123" s="16">
        <f>其他调用!W122/$E$4*求节点(F$28:F$34,$P$28:$P$34,$CV123)*$CW123</f>
        <v>145.83103987953294</v>
      </c>
      <c r="CZ123" s="16">
        <f>其他调用!X122/$E$4*求节点(G$28:G$34,$P$28:$P$34,$CV123)*$CW123</f>
        <v>160.70919784246152</v>
      </c>
      <c r="DA123" s="16">
        <f>其他调用!Y122/$E$4*求节点(H$28:H$34,$P$28:$P$34,$CV123)*$CW123</f>
        <v>128.36547580610105</v>
      </c>
      <c r="DB123" s="16">
        <f>其他调用!Z122/$E$4*求节点(I$28:I$34,$P$28:$P$34,$CV123)*$CW123</f>
        <v>65.413894841985567</v>
      </c>
      <c r="DC123" s="16">
        <f>SUM(CX$5:CX123)</f>
        <v>1713.209800562516</v>
      </c>
      <c r="DD123" s="16">
        <f>SUM(CY$5:CY123)</f>
        <v>2124.4253055802751</v>
      </c>
      <c r="DE123" s="16">
        <f>SUM(CZ$5:CZ123)</f>
        <v>2317.9536457262093</v>
      </c>
      <c r="DF123" s="16">
        <f>SUM(DA$5:DA123)</f>
        <v>1880.7616500810204</v>
      </c>
      <c r="DG123" s="16">
        <f>SUM(DB$5:DB123)</f>
        <v>1009.9253914477118</v>
      </c>
    </row>
    <row r="124" spans="24:111">
      <c r="X124" s="16">
        <v>120</v>
      </c>
      <c r="Y124" s="45">
        <f t="shared" si="52"/>
        <v>700</v>
      </c>
      <c r="Z124" s="24">
        <f t="shared" si="53"/>
        <v>6.8000000000000005E-2</v>
      </c>
      <c r="AA124" s="16">
        <f>$Y124*$Z124*其他调用!V123</f>
        <v>600600.4192502012</v>
      </c>
      <c r="AB124" s="16">
        <f>$Y124*$Z124*其他调用!W123</f>
        <v>752017.64779047412</v>
      </c>
      <c r="AC124" s="16">
        <f>$Y124*$Z124*其他调用!X123</f>
        <v>811731.7647230553</v>
      </c>
      <c r="AD124" s="16">
        <f>$Y124*$Z124*其他调用!Y123</f>
        <v>613708.39140515914</v>
      </c>
      <c r="AE124" s="16">
        <f>$Y124*$Z124*其他调用!Z123</f>
        <v>331997.6110706391</v>
      </c>
      <c r="AH124" s="16">
        <v>120</v>
      </c>
      <c r="AI124" s="16">
        <f>SUM(AA$5:AA124)</f>
        <v>8505228.5883902684</v>
      </c>
      <c r="AJ124" s="16">
        <f>SUM(AB$5:AB124)</f>
        <v>10540698.971190218</v>
      </c>
      <c r="AK124" s="16">
        <f>SUM(AC$5:AC124)</f>
        <v>11458954.710952099</v>
      </c>
      <c r="AL124" s="16">
        <f>SUM(AD$5:AD124)</f>
        <v>9229190.8159621023</v>
      </c>
      <c r="AM124" s="16">
        <f>SUM(AE$5:AE124)</f>
        <v>4951785.3517909097</v>
      </c>
      <c r="AR124" s="16">
        <v>120</v>
      </c>
      <c r="AS124" s="24">
        <f t="shared" si="55"/>
        <v>6.8000000000000005E-2</v>
      </c>
      <c r="AT124" s="16">
        <f>求节点(E$28:E$34,$M$28:$M$34,$AR124)*$AS124*其他调用!V123/$E$4</f>
        <v>0</v>
      </c>
      <c r="AU124" s="16">
        <f>求节点(F$28:F$34,$M$28:$M$34,$AR124)*$AS124*其他调用!W123/$E$4</f>
        <v>0</v>
      </c>
      <c r="AV124" s="16">
        <f>求节点(G$28:G$34,$M$28:$M$34,$AR124)*$AS124*其他调用!X123/$E$4</f>
        <v>0</v>
      </c>
      <c r="AW124" s="16">
        <f>求节点(H$28:H$34,$M$28:$M$34,$AR124)*$AS124*其他调用!Y123/$E$4</f>
        <v>0</v>
      </c>
      <c r="AX124" s="16">
        <f>求节点(I$28:I$34,$M$28:$M$34,$AR124)*$AS124*其他调用!Z123/$E$4</f>
        <v>0</v>
      </c>
      <c r="AY124" s="16">
        <f>求节点(E$28:E$34,$N$28:$N$34,$AR124)*$AS124*其他调用!V123/$E$4</f>
        <v>0</v>
      </c>
      <c r="AZ124" s="16">
        <f>求节点(F$28:F$34,$N$28:$N$34,$AR124)*$AS124*其他调用!W123/$E$4</f>
        <v>0</v>
      </c>
      <c r="BA124" s="16">
        <f>求节点(G$28:G$34,$N$28:$N$34,$AR124)*$AS124*其他调用!X123/$E$4</f>
        <v>0</v>
      </c>
      <c r="BB124" s="16">
        <f>求节点(H$28:H$34,$N$28:$N$34,$AR124)*$AS124*其他调用!Y123/$E$4</f>
        <v>0</v>
      </c>
      <c r="BC124" s="16">
        <f>求节点(I$28:I$34,$N$28:$N$34,$AR124)*$AS124*其他调用!Z123/$E$4</f>
        <v>0</v>
      </c>
      <c r="BD124" s="16">
        <f>求节点(E$28:E$34,$O$28:$O$34,$AR124)*$AS124*其他调用!V123/$E$4</f>
        <v>0</v>
      </c>
      <c r="BE124" s="16">
        <f>求节点(F$28:F$34,$O$28:$O$34,$AR124)*$AS124*其他调用!W123/$E$4</f>
        <v>0</v>
      </c>
      <c r="BF124" s="16">
        <f>求节点(G$28:G$34,$O$28:$O$34,$AR124)*$AS124*其他调用!X123/$E$4</f>
        <v>0</v>
      </c>
      <c r="BG124" s="16">
        <f>求节点(H$28:H$34,$O$28:$O$34,$AR124)*$AS124*其他调用!Y123/$E$4</f>
        <v>0</v>
      </c>
      <c r="BH124" s="16">
        <f>求节点(I$28:I$34,$O$28:$O$34,$AR124)*$AS124*其他调用!Z123/$E$4</f>
        <v>0</v>
      </c>
      <c r="BK124" s="16">
        <v>120</v>
      </c>
      <c r="BL124" s="16">
        <f>SUM(AT$5:AT124)</f>
        <v>0</v>
      </c>
      <c r="BM124" s="16">
        <f>SUM(AU$5:AU124)</f>
        <v>0</v>
      </c>
      <c r="BN124" s="16">
        <f>SUM(AV$5:AV124)</f>
        <v>0</v>
      </c>
      <c r="BO124" s="16">
        <f>SUM(AW$5:AW124)</f>
        <v>0</v>
      </c>
      <c r="BP124" s="16">
        <f>SUM(AX$5:AX124)</f>
        <v>0</v>
      </c>
      <c r="BQ124" s="16">
        <f>SUM(AY$5:AY124)</f>
        <v>0</v>
      </c>
      <c r="BR124" s="16">
        <f>SUM(AZ$5:AZ124)</f>
        <v>0</v>
      </c>
      <c r="BS124" s="16">
        <f>SUM(BA$5:BA124)</f>
        <v>0</v>
      </c>
      <c r="BT124" s="16">
        <f>SUM(BB$5:BB124)</f>
        <v>0</v>
      </c>
      <c r="BU124" s="16">
        <f>SUM(BC$5:BC124)</f>
        <v>0</v>
      </c>
      <c r="BV124" s="16">
        <f>SUM(BD$5:BD124)</f>
        <v>0</v>
      </c>
      <c r="BW124" s="16">
        <f>SUM(BE$5:BE124)</f>
        <v>0</v>
      </c>
      <c r="BX124" s="16">
        <f>SUM(BF$5:BF124)</f>
        <v>0</v>
      </c>
      <c r="BY124" s="16">
        <f>SUM(BG$5:BG124)</f>
        <v>0</v>
      </c>
      <c r="BZ124" s="16">
        <f>SUM(BH$5:BH124)</f>
        <v>0</v>
      </c>
      <c r="CC124" s="16">
        <v>120</v>
      </c>
      <c r="CD124" s="16">
        <f t="shared" si="56"/>
        <v>0</v>
      </c>
      <c r="CE124" s="16">
        <f t="shared" si="57"/>
        <v>0</v>
      </c>
      <c r="CF124" s="16">
        <f t="shared" si="58"/>
        <v>0</v>
      </c>
      <c r="CG124" s="16">
        <f t="shared" si="59"/>
        <v>0</v>
      </c>
      <c r="CH124" s="16">
        <f t="shared" si="60"/>
        <v>0</v>
      </c>
      <c r="CI124" s="16">
        <f t="shared" si="61"/>
        <v>0</v>
      </c>
      <c r="CJ124" s="16">
        <f t="shared" si="62"/>
        <v>0</v>
      </c>
      <c r="CK124" s="16">
        <f t="shared" si="63"/>
        <v>0</v>
      </c>
      <c r="CL124" s="16">
        <f t="shared" si="64"/>
        <v>0</v>
      </c>
      <c r="CM124" s="16">
        <f t="shared" si="65"/>
        <v>0</v>
      </c>
      <c r="CN124" s="16">
        <f t="shared" si="66"/>
        <v>0</v>
      </c>
      <c r="CO124" s="16">
        <f t="shared" si="67"/>
        <v>0</v>
      </c>
      <c r="CP124" s="16">
        <f t="shared" si="68"/>
        <v>0</v>
      </c>
      <c r="CQ124" s="16">
        <f t="shared" si="69"/>
        <v>0</v>
      </c>
      <c r="CR124" s="16">
        <f t="shared" si="70"/>
        <v>0</v>
      </c>
      <c r="CV124" s="16">
        <v>120</v>
      </c>
      <c r="CW124" s="35">
        <f t="shared" si="54"/>
        <v>0.13200000000000001</v>
      </c>
      <c r="CX124" s="16">
        <f>其他调用!V123/$E$4*求节点(E$28:E$34,$P$28:$P$34,$CV124)*$CW124</f>
        <v>124.91479307934856</v>
      </c>
      <c r="CY124" s="16">
        <f>其他调用!W123/$E$4*求节点(F$28:F$34,$P$28:$P$34,$CV124)*$CW124</f>
        <v>156.40703178835489</v>
      </c>
      <c r="CZ124" s="16">
        <f>其他调用!X123/$E$4*求节点(G$28:G$34,$P$28:$P$34,$CV124)*$CW124</f>
        <v>168.82656451172787</v>
      </c>
      <c r="DA124" s="16">
        <f>其他调用!Y123/$E$4*求节点(H$28:H$34,$P$28:$P$34,$CV124)*$CW124</f>
        <v>127.6410309855268</v>
      </c>
      <c r="DB124" s="16">
        <f>其他调用!Z123/$E$4*求节点(I$28:I$34,$P$28:$P$34,$CV124)*$CW124</f>
        <v>69.049923310910231</v>
      </c>
      <c r="DC124" s="16">
        <f>SUM(CX$5:CX124)</f>
        <v>1838.1245936418645</v>
      </c>
      <c r="DD124" s="16">
        <f>SUM(CY$5:CY124)</f>
        <v>2280.8323373686299</v>
      </c>
      <c r="DE124" s="16">
        <f>SUM(CZ$5:CZ124)</f>
        <v>2486.7802102379374</v>
      </c>
      <c r="DF124" s="16">
        <f>SUM(DA$5:DA124)</f>
        <v>2008.4026810665473</v>
      </c>
      <c r="DG124" s="16">
        <f>SUM(DB$5:DB124)</f>
        <v>1078.9753147586221</v>
      </c>
    </row>
    <row r="125" spans="24:111">
      <c r="X125" s="16">
        <v>121</v>
      </c>
      <c r="Y125" s="45">
        <f t="shared" si="52"/>
        <v>700</v>
      </c>
      <c r="Z125" s="24">
        <f t="shared" si="53"/>
        <v>6.8000000000000005E-2</v>
      </c>
      <c r="AA125" s="16">
        <f>$Y125*$Z125*其他调用!V124</f>
        <v>643707.59094054042</v>
      </c>
      <c r="AB125" s="16">
        <f>$Y125*$Z125*其他调用!W124</f>
        <v>782759.74829092168</v>
      </c>
      <c r="AC125" s="16">
        <f>$Y125*$Z125*其他调用!X124</f>
        <v>809283.70204766036</v>
      </c>
      <c r="AD125" s="16">
        <f>$Y125*$Z125*其他调用!Y124</f>
        <v>654728.80363118148</v>
      </c>
      <c r="AE125" s="16">
        <f>$Y125*$Z125*其他调用!Z124</f>
        <v>369447.34990263352</v>
      </c>
      <c r="AH125" s="16">
        <v>121</v>
      </c>
      <c r="AI125" s="16">
        <f>SUM(AA$5:AA125)</f>
        <v>9148936.179330809</v>
      </c>
      <c r="AJ125" s="16">
        <f>SUM(AB$5:AB125)</f>
        <v>11323458.71948114</v>
      </c>
      <c r="AK125" s="16">
        <f>SUM(AC$5:AC125)</f>
        <v>12268238.41299976</v>
      </c>
      <c r="AL125" s="16">
        <f>SUM(AD$5:AD125)</f>
        <v>9883919.6195932832</v>
      </c>
      <c r="AM125" s="16">
        <f>SUM(AE$5:AE125)</f>
        <v>5321232.7016935432</v>
      </c>
      <c r="AR125" s="16">
        <v>121</v>
      </c>
      <c r="AS125" s="24">
        <f t="shared" si="55"/>
        <v>6.8000000000000005E-2</v>
      </c>
      <c r="AT125" s="16">
        <f>求节点(E$28:E$34,$M$28:$M$34,$AR125)*$AS125*其他调用!V124/$E$4</f>
        <v>0</v>
      </c>
      <c r="AU125" s="16">
        <f>求节点(F$28:F$34,$M$28:$M$34,$AR125)*$AS125*其他调用!W124/$E$4</f>
        <v>0</v>
      </c>
      <c r="AV125" s="16">
        <f>求节点(G$28:G$34,$M$28:$M$34,$AR125)*$AS125*其他调用!X124/$E$4</f>
        <v>0</v>
      </c>
      <c r="AW125" s="16">
        <f>求节点(H$28:H$34,$M$28:$M$34,$AR125)*$AS125*其他调用!Y124/$E$4</f>
        <v>0</v>
      </c>
      <c r="AX125" s="16">
        <f>求节点(I$28:I$34,$M$28:$M$34,$AR125)*$AS125*其他调用!Z124/$E$4</f>
        <v>0</v>
      </c>
      <c r="AY125" s="16">
        <f>求节点(E$28:E$34,$N$28:$N$34,$AR125)*$AS125*其他调用!V124/$E$4</f>
        <v>0</v>
      </c>
      <c r="AZ125" s="16">
        <f>求节点(F$28:F$34,$N$28:$N$34,$AR125)*$AS125*其他调用!W124/$E$4</f>
        <v>0</v>
      </c>
      <c r="BA125" s="16">
        <f>求节点(G$28:G$34,$N$28:$N$34,$AR125)*$AS125*其他调用!X124/$E$4</f>
        <v>0</v>
      </c>
      <c r="BB125" s="16">
        <f>求节点(H$28:H$34,$N$28:$N$34,$AR125)*$AS125*其他调用!Y124/$E$4</f>
        <v>0</v>
      </c>
      <c r="BC125" s="16">
        <f>求节点(I$28:I$34,$N$28:$N$34,$AR125)*$AS125*其他调用!Z124/$E$4</f>
        <v>0</v>
      </c>
      <c r="BD125" s="16">
        <f>求节点(E$28:E$34,$O$28:$O$34,$AR125)*$AS125*其他调用!V124/$E$4</f>
        <v>0</v>
      </c>
      <c r="BE125" s="16">
        <f>求节点(F$28:F$34,$O$28:$O$34,$AR125)*$AS125*其他调用!W124/$E$4</f>
        <v>0</v>
      </c>
      <c r="BF125" s="16">
        <f>求节点(G$28:G$34,$O$28:$O$34,$AR125)*$AS125*其他调用!X124/$E$4</f>
        <v>0</v>
      </c>
      <c r="BG125" s="16">
        <f>求节点(H$28:H$34,$O$28:$O$34,$AR125)*$AS125*其他调用!Y124/$E$4</f>
        <v>0</v>
      </c>
      <c r="BH125" s="16">
        <f>求节点(I$28:I$34,$O$28:$O$34,$AR125)*$AS125*其他调用!Z124/$E$4</f>
        <v>0</v>
      </c>
      <c r="BK125" s="16">
        <v>121</v>
      </c>
      <c r="BL125" s="16">
        <f>SUM(AT$5:AT125)</f>
        <v>0</v>
      </c>
      <c r="BM125" s="16">
        <f>SUM(AU$5:AU125)</f>
        <v>0</v>
      </c>
      <c r="BN125" s="16">
        <f>SUM(AV$5:AV125)</f>
        <v>0</v>
      </c>
      <c r="BO125" s="16">
        <f>SUM(AW$5:AW125)</f>
        <v>0</v>
      </c>
      <c r="BP125" s="16">
        <f>SUM(AX$5:AX125)</f>
        <v>0</v>
      </c>
      <c r="BQ125" s="16">
        <f>SUM(AY$5:AY125)</f>
        <v>0</v>
      </c>
      <c r="BR125" s="16">
        <f>SUM(AZ$5:AZ125)</f>
        <v>0</v>
      </c>
      <c r="BS125" s="16">
        <f>SUM(BA$5:BA125)</f>
        <v>0</v>
      </c>
      <c r="BT125" s="16">
        <f>SUM(BB$5:BB125)</f>
        <v>0</v>
      </c>
      <c r="BU125" s="16">
        <f>SUM(BC$5:BC125)</f>
        <v>0</v>
      </c>
      <c r="BV125" s="16">
        <f>SUM(BD$5:BD125)</f>
        <v>0</v>
      </c>
      <c r="BW125" s="16">
        <f>SUM(BE$5:BE125)</f>
        <v>0</v>
      </c>
      <c r="BX125" s="16">
        <f>SUM(BF$5:BF125)</f>
        <v>0</v>
      </c>
      <c r="BY125" s="16">
        <f>SUM(BG$5:BG125)</f>
        <v>0</v>
      </c>
      <c r="BZ125" s="16">
        <f>SUM(BH$5:BH125)</f>
        <v>0</v>
      </c>
      <c r="CC125" s="16">
        <v>121</v>
      </c>
      <c r="CD125" s="16">
        <f t="shared" si="56"/>
        <v>0</v>
      </c>
      <c r="CE125" s="16">
        <f t="shared" si="57"/>
        <v>0</v>
      </c>
      <c r="CF125" s="16">
        <f t="shared" si="58"/>
        <v>0</v>
      </c>
      <c r="CG125" s="16">
        <f t="shared" si="59"/>
        <v>0</v>
      </c>
      <c r="CH125" s="16">
        <f t="shared" si="60"/>
        <v>0</v>
      </c>
      <c r="CI125" s="16">
        <f t="shared" si="61"/>
        <v>0</v>
      </c>
      <c r="CJ125" s="16">
        <f t="shared" si="62"/>
        <v>0</v>
      </c>
      <c r="CK125" s="16">
        <f t="shared" si="63"/>
        <v>0</v>
      </c>
      <c r="CL125" s="16">
        <f t="shared" si="64"/>
        <v>0</v>
      </c>
      <c r="CM125" s="16">
        <f t="shared" si="65"/>
        <v>0</v>
      </c>
      <c r="CN125" s="16">
        <f t="shared" si="66"/>
        <v>0</v>
      </c>
      <c r="CO125" s="16">
        <f t="shared" si="67"/>
        <v>0</v>
      </c>
      <c r="CP125" s="16">
        <f t="shared" si="68"/>
        <v>0</v>
      </c>
      <c r="CQ125" s="16">
        <f t="shared" si="69"/>
        <v>0</v>
      </c>
      <c r="CR125" s="16">
        <f t="shared" si="70"/>
        <v>0</v>
      </c>
      <c r="CV125" s="16">
        <v>121</v>
      </c>
      <c r="CW125" s="35">
        <f t="shared" si="54"/>
        <v>0.13200000000000001</v>
      </c>
      <c r="CX125" s="16">
        <f>其他调用!V124/$E$4*求节点(E$28:E$34,$P$28:$P$34,$CV125)*$CW125</f>
        <v>133.88036030065862</v>
      </c>
      <c r="CY125" s="16">
        <f>其他调用!W124/$E$4*求节点(F$28:F$34,$P$28:$P$34,$CV125)*$CW125</f>
        <v>162.80087201849</v>
      </c>
      <c r="CZ125" s="16">
        <f>其他调用!X124/$E$4*求节点(G$28:G$34,$P$28:$P$34,$CV125)*$CW125</f>
        <v>168.31740861915625</v>
      </c>
      <c r="DA125" s="16">
        <f>其他调用!Y124/$E$4*求节点(H$28:H$34,$P$28:$P$34,$CV125)*$CW125</f>
        <v>136.17258730984659</v>
      </c>
      <c r="DB125" s="16">
        <f>其他调用!Z124/$E$4*求节点(I$28:I$34,$P$28:$P$34,$CV125)*$CW125</f>
        <v>76.838839580589749</v>
      </c>
      <c r="DC125" s="16">
        <f>SUM(CX$5:CX125)</f>
        <v>1972.0049539425231</v>
      </c>
      <c r="DD125" s="16">
        <f>SUM(CY$5:CY125)</f>
        <v>2443.6332093871197</v>
      </c>
      <c r="DE125" s="16">
        <f>SUM(CZ$5:CZ125)</f>
        <v>2655.0976188570935</v>
      </c>
      <c r="DF125" s="16">
        <f>SUM(DA$5:DA125)</f>
        <v>2144.575268376394</v>
      </c>
      <c r="DG125" s="16">
        <f>SUM(DB$5:DB125)</f>
        <v>1155.8141543392119</v>
      </c>
    </row>
    <row r="126" spans="24:111">
      <c r="X126" s="16">
        <v>122</v>
      </c>
      <c r="Y126" s="45">
        <f t="shared" si="52"/>
        <v>700</v>
      </c>
      <c r="Z126" s="24">
        <f t="shared" si="53"/>
        <v>6.8000000000000005E-2</v>
      </c>
      <c r="AA126" s="16">
        <f>$Y126*$Z126*其他调用!V125</f>
        <v>689908.7136032281</v>
      </c>
      <c r="AB126" s="16">
        <f>$Y126*$Z126*其他调用!W125</f>
        <v>822833.3050873226</v>
      </c>
      <c r="AC126" s="16">
        <f>$Y126*$Z126*其他调用!X125</f>
        <v>887588.26311071229</v>
      </c>
      <c r="AD126" s="16">
        <f>$Y126*$Z126*其他调用!Y125</f>
        <v>730764.49676173995</v>
      </c>
      <c r="AE126" s="16">
        <f>$Y126*$Z126*其他调用!Z125</f>
        <v>395500.321183361</v>
      </c>
      <c r="AH126" s="16">
        <v>122</v>
      </c>
      <c r="AI126" s="16">
        <f>SUM(AA$5:AA126)</f>
        <v>9838844.8929340374</v>
      </c>
      <c r="AJ126" s="16">
        <f>SUM(AB$5:AB126)</f>
        <v>12146292.024568463</v>
      </c>
      <c r="AK126" s="16">
        <f>SUM(AC$5:AC126)</f>
        <v>13155826.676110473</v>
      </c>
      <c r="AL126" s="16">
        <f>SUM(AD$5:AD126)</f>
        <v>10614684.116355022</v>
      </c>
      <c r="AM126" s="16">
        <f>SUM(AE$5:AE126)</f>
        <v>5716733.0228769043</v>
      </c>
      <c r="AR126" s="16">
        <v>122</v>
      </c>
      <c r="AS126" s="24">
        <f t="shared" si="55"/>
        <v>6.8000000000000005E-2</v>
      </c>
      <c r="AT126" s="16">
        <f>求节点(E$28:E$34,$M$28:$M$34,$AR126)*$AS126*其他调用!V125/$E$4</f>
        <v>0</v>
      </c>
      <c r="AU126" s="16">
        <f>求节点(F$28:F$34,$M$28:$M$34,$AR126)*$AS126*其他调用!W125/$E$4</f>
        <v>0</v>
      </c>
      <c r="AV126" s="16">
        <f>求节点(G$28:G$34,$M$28:$M$34,$AR126)*$AS126*其他调用!X125/$E$4</f>
        <v>0</v>
      </c>
      <c r="AW126" s="16">
        <f>求节点(H$28:H$34,$M$28:$M$34,$AR126)*$AS126*其他调用!Y125/$E$4</f>
        <v>0</v>
      </c>
      <c r="AX126" s="16">
        <f>求节点(I$28:I$34,$M$28:$M$34,$AR126)*$AS126*其他调用!Z125/$E$4</f>
        <v>0</v>
      </c>
      <c r="AY126" s="16">
        <f>求节点(E$28:E$34,$N$28:$N$34,$AR126)*$AS126*其他调用!V125/$E$4</f>
        <v>0</v>
      </c>
      <c r="AZ126" s="16">
        <f>求节点(F$28:F$34,$N$28:$N$34,$AR126)*$AS126*其他调用!W125/$E$4</f>
        <v>0</v>
      </c>
      <c r="BA126" s="16">
        <f>求节点(G$28:G$34,$N$28:$N$34,$AR126)*$AS126*其他调用!X125/$E$4</f>
        <v>0</v>
      </c>
      <c r="BB126" s="16">
        <f>求节点(H$28:H$34,$N$28:$N$34,$AR126)*$AS126*其他调用!Y125/$E$4</f>
        <v>0</v>
      </c>
      <c r="BC126" s="16">
        <f>求节点(I$28:I$34,$N$28:$N$34,$AR126)*$AS126*其他调用!Z125/$E$4</f>
        <v>0</v>
      </c>
      <c r="BD126" s="16">
        <f>求节点(E$28:E$34,$O$28:$O$34,$AR126)*$AS126*其他调用!V125/$E$4</f>
        <v>0</v>
      </c>
      <c r="BE126" s="16">
        <f>求节点(F$28:F$34,$O$28:$O$34,$AR126)*$AS126*其他调用!W125/$E$4</f>
        <v>0</v>
      </c>
      <c r="BF126" s="16">
        <f>求节点(G$28:G$34,$O$28:$O$34,$AR126)*$AS126*其他调用!X125/$E$4</f>
        <v>0</v>
      </c>
      <c r="BG126" s="16">
        <f>求节点(H$28:H$34,$O$28:$O$34,$AR126)*$AS126*其他调用!Y125/$E$4</f>
        <v>0</v>
      </c>
      <c r="BH126" s="16">
        <f>求节点(I$28:I$34,$O$28:$O$34,$AR126)*$AS126*其他调用!Z125/$E$4</f>
        <v>0</v>
      </c>
      <c r="BK126" s="16">
        <v>122</v>
      </c>
      <c r="BL126" s="16">
        <f>SUM(AT$5:AT126)</f>
        <v>0</v>
      </c>
      <c r="BM126" s="16">
        <f>SUM(AU$5:AU126)</f>
        <v>0</v>
      </c>
      <c r="BN126" s="16">
        <f>SUM(AV$5:AV126)</f>
        <v>0</v>
      </c>
      <c r="BO126" s="16">
        <f>SUM(AW$5:AW126)</f>
        <v>0</v>
      </c>
      <c r="BP126" s="16">
        <f>SUM(AX$5:AX126)</f>
        <v>0</v>
      </c>
      <c r="BQ126" s="16">
        <f>SUM(AY$5:AY126)</f>
        <v>0</v>
      </c>
      <c r="BR126" s="16">
        <f>SUM(AZ$5:AZ126)</f>
        <v>0</v>
      </c>
      <c r="BS126" s="16">
        <f>SUM(BA$5:BA126)</f>
        <v>0</v>
      </c>
      <c r="BT126" s="16">
        <f>SUM(BB$5:BB126)</f>
        <v>0</v>
      </c>
      <c r="BU126" s="16">
        <f>SUM(BC$5:BC126)</f>
        <v>0</v>
      </c>
      <c r="BV126" s="16">
        <f>SUM(BD$5:BD126)</f>
        <v>0</v>
      </c>
      <c r="BW126" s="16">
        <f>SUM(BE$5:BE126)</f>
        <v>0</v>
      </c>
      <c r="BX126" s="16">
        <f>SUM(BF$5:BF126)</f>
        <v>0</v>
      </c>
      <c r="BY126" s="16">
        <f>SUM(BG$5:BG126)</f>
        <v>0</v>
      </c>
      <c r="BZ126" s="16">
        <f>SUM(BH$5:BH126)</f>
        <v>0</v>
      </c>
      <c r="CC126" s="16">
        <v>122</v>
      </c>
      <c r="CD126" s="16">
        <f t="shared" si="56"/>
        <v>0</v>
      </c>
      <c r="CE126" s="16">
        <f t="shared" si="57"/>
        <v>0</v>
      </c>
      <c r="CF126" s="16">
        <f t="shared" si="58"/>
        <v>0</v>
      </c>
      <c r="CG126" s="16">
        <f t="shared" si="59"/>
        <v>0</v>
      </c>
      <c r="CH126" s="16">
        <f t="shared" si="60"/>
        <v>0</v>
      </c>
      <c r="CI126" s="16">
        <f t="shared" si="61"/>
        <v>0</v>
      </c>
      <c r="CJ126" s="16">
        <f t="shared" si="62"/>
        <v>0</v>
      </c>
      <c r="CK126" s="16">
        <f t="shared" si="63"/>
        <v>0</v>
      </c>
      <c r="CL126" s="16">
        <f t="shared" si="64"/>
        <v>0</v>
      </c>
      <c r="CM126" s="16">
        <f t="shared" si="65"/>
        <v>0</v>
      </c>
      <c r="CN126" s="16">
        <f t="shared" si="66"/>
        <v>0</v>
      </c>
      <c r="CO126" s="16">
        <f t="shared" si="67"/>
        <v>0</v>
      </c>
      <c r="CP126" s="16">
        <f t="shared" si="68"/>
        <v>0</v>
      </c>
      <c r="CQ126" s="16">
        <f t="shared" si="69"/>
        <v>0</v>
      </c>
      <c r="CR126" s="16">
        <f t="shared" si="70"/>
        <v>0</v>
      </c>
      <c r="CV126" s="16">
        <v>122</v>
      </c>
      <c r="CW126" s="35">
        <f t="shared" si="54"/>
        <v>0.13200000000000001</v>
      </c>
      <c r="CX126" s="16">
        <f>其他调用!V125/$E$4*求节点(E$28:E$34,$P$28:$P$34,$CV126)*$CW126</f>
        <v>143.48941732504113</v>
      </c>
      <c r="CY126" s="16">
        <f>其他调用!W125/$E$4*求节点(F$28:F$34,$P$28:$P$34,$CV126)*$CW126</f>
        <v>171.13549832698516</v>
      </c>
      <c r="CZ126" s="16">
        <f>其他调用!X125/$E$4*求节点(G$28:G$34,$P$28:$P$34,$CV126)*$CW126</f>
        <v>184.60344127722797</v>
      </c>
      <c r="DA126" s="16">
        <f>其他调用!Y125/$E$4*求节点(H$28:H$34,$P$28:$P$34,$CV126)*$CW126</f>
        <v>151.98673357019382</v>
      </c>
      <c r="DB126" s="16">
        <f>其他调用!Z125/$E$4*求节点(I$28:I$34,$P$28:$P$34,$CV126)*$CW126</f>
        <v>82.257419741917516</v>
      </c>
      <c r="DC126" s="16">
        <f>SUM(CX$5:CX126)</f>
        <v>2115.494371267564</v>
      </c>
      <c r="DD126" s="16">
        <f>SUM(CY$5:CY126)</f>
        <v>2614.7687077141049</v>
      </c>
      <c r="DE126" s="16">
        <f>SUM(CZ$5:CZ126)</f>
        <v>2839.7010601343213</v>
      </c>
      <c r="DF126" s="16">
        <f>SUM(DA$5:DA126)</f>
        <v>2296.5620019465878</v>
      </c>
      <c r="DG126" s="16">
        <f>SUM(DB$5:DB126)</f>
        <v>1238.0715740811295</v>
      </c>
    </row>
    <row r="127" spans="24:111">
      <c r="X127" s="16">
        <v>123</v>
      </c>
      <c r="Y127" s="45">
        <f t="shared" si="52"/>
        <v>700</v>
      </c>
      <c r="Z127" s="24">
        <f t="shared" si="53"/>
        <v>6.8000000000000005E-2</v>
      </c>
      <c r="AA127" s="16">
        <f>$Y127*$Z127*其他调用!V126</f>
        <v>739425.85081251082</v>
      </c>
      <c r="AB127" s="16">
        <f>$Y127*$Z127*其他调用!W126</f>
        <v>913395.07158617431</v>
      </c>
      <c r="AC127" s="16">
        <f>$Y127*$Z127*其他调用!X126</f>
        <v>1022766.0072332131</v>
      </c>
      <c r="AD127" s="16">
        <f>$Y127*$Z127*其他调用!Y126</f>
        <v>841379.84569886152</v>
      </c>
      <c r="AE127" s="16">
        <f>$Y127*$Z127*其他调用!Z126</f>
        <v>453052.47516276815</v>
      </c>
      <c r="AH127" s="16">
        <v>123</v>
      </c>
      <c r="AI127" s="16">
        <f>SUM(AA$5:AA127)</f>
        <v>10578270.743746549</v>
      </c>
      <c r="AJ127" s="16">
        <f>SUM(AB$5:AB127)</f>
        <v>13059687.096154638</v>
      </c>
      <c r="AK127" s="16">
        <f>SUM(AC$5:AC127)</f>
        <v>14178592.683343686</v>
      </c>
      <c r="AL127" s="16">
        <f>SUM(AD$5:AD127)</f>
        <v>11456063.962053884</v>
      </c>
      <c r="AM127" s="16">
        <f>SUM(AE$5:AE127)</f>
        <v>6169785.4980396722</v>
      </c>
      <c r="AR127" s="16">
        <v>123</v>
      </c>
      <c r="AS127" s="24">
        <f t="shared" si="55"/>
        <v>6.8000000000000005E-2</v>
      </c>
      <c r="AT127" s="16">
        <f>求节点(E$28:E$34,$M$28:$M$34,$AR127)*$AS127*其他调用!V126/$E$4</f>
        <v>0</v>
      </c>
      <c r="AU127" s="16">
        <f>求节点(F$28:F$34,$M$28:$M$34,$AR127)*$AS127*其他调用!W126/$E$4</f>
        <v>0</v>
      </c>
      <c r="AV127" s="16">
        <f>求节点(G$28:G$34,$M$28:$M$34,$AR127)*$AS127*其他调用!X126/$E$4</f>
        <v>0</v>
      </c>
      <c r="AW127" s="16">
        <f>求节点(H$28:H$34,$M$28:$M$34,$AR127)*$AS127*其他调用!Y126/$E$4</f>
        <v>0</v>
      </c>
      <c r="AX127" s="16">
        <f>求节点(I$28:I$34,$M$28:$M$34,$AR127)*$AS127*其他调用!Z126/$E$4</f>
        <v>0</v>
      </c>
      <c r="AY127" s="16">
        <f>求节点(E$28:E$34,$N$28:$N$34,$AR127)*$AS127*其他调用!V126/$E$4</f>
        <v>0</v>
      </c>
      <c r="AZ127" s="16">
        <f>求节点(F$28:F$34,$N$28:$N$34,$AR127)*$AS127*其他调用!W126/$E$4</f>
        <v>0</v>
      </c>
      <c r="BA127" s="16">
        <f>求节点(G$28:G$34,$N$28:$N$34,$AR127)*$AS127*其他调用!X126/$E$4</f>
        <v>0</v>
      </c>
      <c r="BB127" s="16">
        <f>求节点(H$28:H$34,$N$28:$N$34,$AR127)*$AS127*其他调用!Y126/$E$4</f>
        <v>0</v>
      </c>
      <c r="BC127" s="16">
        <f>求节点(I$28:I$34,$N$28:$N$34,$AR127)*$AS127*其他调用!Z126/$E$4</f>
        <v>0</v>
      </c>
      <c r="BD127" s="16">
        <f>求节点(E$28:E$34,$O$28:$O$34,$AR127)*$AS127*其他调用!V126/$E$4</f>
        <v>0</v>
      </c>
      <c r="BE127" s="16">
        <f>求节点(F$28:F$34,$O$28:$O$34,$AR127)*$AS127*其他调用!W126/$E$4</f>
        <v>0</v>
      </c>
      <c r="BF127" s="16">
        <f>求节点(G$28:G$34,$O$28:$O$34,$AR127)*$AS127*其他调用!X126/$E$4</f>
        <v>0</v>
      </c>
      <c r="BG127" s="16">
        <f>求节点(H$28:H$34,$O$28:$O$34,$AR127)*$AS127*其他调用!Y126/$E$4</f>
        <v>0</v>
      </c>
      <c r="BH127" s="16">
        <f>求节点(I$28:I$34,$O$28:$O$34,$AR127)*$AS127*其他调用!Z126/$E$4</f>
        <v>0</v>
      </c>
      <c r="BK127" s="16">
        <v>123</v>
      </c>
      <c r="BL127" s="16">
        <f>SUM(AT$5:AT127)</f>
        <v>0</v>
      </c>
      <c r="BM127" s="16">
        <f>SUM(AU$5:AU127)</f>
        <v>0</v>
      </c>
      <c r="BN127" s="16">
        <f>SUM(AV$5:AV127)</f>
        <v>0</v>
      </c>
      <c r="BO127" s="16">
        <f>SUM(AW$5:AW127)</f>
        <v>0</v>
      </c>
      <c r="BP127" s="16">
        <f>SUM(AX$5:AX127)</f>
        <v>0</v>
      </c>
      <c r="BQ127" s="16">
        <f>SUM(AY$5:AY127)</f>
        <v>0</v>
      </c>
      <c r="BR127" s="16">
        <f>SUM(AZ$5:AZ127)</f>
        <v>0</v>
      </c>
      <c r="BS127" s="16">
        <f>SUM(BA$5:BA127)</f>
        <v>0</v>
      </c>
      <c r="BT127" s="16">
        <f>SUM(BB$5:BB127)</f>
        <v>0</v>
      </c>
      <c r="BU127" s="16">
        <f>SUM(BC$5:BC127)</f>
        <v>0</v>
      </c>
      <c r="BV127" s="16">
        <f>SUM(BD$5:BD127)</f>
        <v>0</v>
      </c>
      <c r="BW127" s="16">
        <f>SUM(BE$5:BE127)</f>
        <v>0</v>
      </c>
      <c r="BX127" s="16">
        <f>SUM(BF$5:BF127)</f>
        <v>0</v>
      </c>
      <c r="BY127" s="16">
        <f>SUM(BG$5:BG127)</f>
        <v>0</v>
      </c>
      <c r="BZ127" s="16">
        <f>SUM(BH$5:BH127)</f>
        <v>0</v>
      </c>
      <c r="CC127" s="16">
        <v>123</v>
      </c>
      <c r="CD127" s="16">
        <f t="shared" si="56"/>
        <v>0</v>
      </c>
      <c r="CE127" s="16">
        <f t="shared" si="57"/>
        <v>0</v>
      </c>
      <c r="CF127" s="16">
        <f t="shared" si="58"/>
        <v>0</v>
      </c>
      <c r="CG127" s="16">
        <f t="shared" si="59"/>
        <v>0</v>
      </c>
      <c r="CH127" s="16">
        <f t="shared" si="60"/>
        <v>0</v>
      </c>
      <c r="CI127" s="16">
        <f t="shared" si="61"/>
        <v>0</v>
      </c>
      <c r="CJ127" s="16">
        <f t="shared" si="62"/>
        <v>0</v>
      </c>
      <c r="CK127" s="16">
        <f t="shared" si="63"/>
        <v>0</v>
      </c>
      <c r="CL127" s="16">
        <f t="shared" si="64"/>
        <v>0</v>
      </c>
      <c r="CM127" s="16">
        <f t="shared" si="65"/>
        <v>0</v>
      </c>
      <c r="CN127" s="16">
        <f t="shared" si="66"/>
        <v>0</v>
      </c>
      <c r="CO127" s="16">
        <f t="shared" si="67"/>
        <v>0</v>
      </c>
      <c r="CP127" s="16">
        <f t="shared" si="68"/>
        <v>0</v>
      </c>
      <c r="CQ127" s="16">
        <f t="shared" si="69"/>
        <v>0</v>
      </c>
      <c r="CR127" s="16">
        <f t="shared" si="70"/>
        <v>0</v>
      </c>
      <c r="CV127" s="16">
        <v>123</v>
      </c>
      <c r="CW127" s="35">
        <f t="shared" si="54"/>
        <v>0.13200000000000001</v>
      </c>
      <c r="CX127" s="16">
        <f>其他调用!V126/$E$4*求节点(E$28:E$34,$P$28:$P$34,$CV127)*$CW127</f>
        <v>153.78814964377852</v>
      </c>
      <c r="CY127" s="16">
        <f>其他调用!W126/$E$4*求节点(F$28:F$34,$P$28:$P$34,$CV127)*$CW127</f>
        <v>189.97082371225056</v>
      </c>
      <c r="CZ127" s="16">
        <f>其他调用!X126/$E$4*求节点(G$28:G$34,$P$28:$P$34,$CV127)*$CW127</f>
        <v>212.71814015984896</v>
      </c>
      <c r="DA127" s="16">
        <f>其他调用!Y126/$E$4*求节点(H$28:H$34,$P$28:$P$34,$CV127)*$CW127</f>
        <v>174.99286706762035</v>
      </c>
      <c r="DB127" s="16">
        <f>其他调用!Z126/$E$4*求节点(I$28:I$34,$P$28:$P$34,$CV127)*$CW127</f>
        <v>94.227300506542122</v>
      </c>
      <c r="DC127" s="16">
        <f>SUM(CX$5:CX127)</f>
        <v>2269.2825209113425</v>
      </c>
      <c r="DD127" s="16">
        <f>SUM(CY$5:CY127)</f>
        <v>2804.7395314263554</v>
      </c>
      <c r="DE127" s="16">
        <f>SUM(CZ$5:CZ127)</f>
        <v>3052.4192002941704</v>
      </c>
      <c r="DF127" s="16">
        <f>SUM(DA$5:DA127)</f>
        <v>2471.5548690142082</v>
      </c>
      <c r="DG127" s="16">
        <f>SUM(DB$5:DB127)</f>
        <v>1332.2988745876717</v>
      </c>
    </row>
    <row r="128" spans="24:111">
      <c r="X128" s="16">
        <v>124</v>
      </c>
      <c r="Y128" s="45">
        <f t="shared" si="52"/>
        <v>700</v>
      </c>
      <c r="Z128" s="24">
        <f t="shared" si="53"/>
        <v>6.8000000000000005E-2</v>
      </c>
      <c r="AA128" s="16">
        <f>$Y128*$Z128*其他调用!V127</f>
        <v>792497.00441414968</v>
      </c>
      <c r="AB128" s="16">
        <f>$Y128*$Z128*其他调用!W127</f>
        <v>1006526.1890663309</v>
      </c>
      <c r="AC128" s="16">
        <f>$Y128*$Z128*其他调用!X127</f>
        <v>1089162.9056012542</v>
      </c>
      <c r="AD128" s="16">
        <f>$Y128*$Z128*其他调用!Y127</f>
        <v>888889.87665616348</v>
      </c>
      <c r="AE128" s="16">
        <f>$Y128*$Z128*其他调用!Z127</f>
        <v>487166.99046351603</v>
      </c>
      <c r="AH128" s="16">
        <v>124</v>
      </c>
      <c r="AI128" s="16">
        <f>SUM(AA$5:AA128)</f>
        <v>11370767.748160699</v>
      </c>
      <c r="AJ128" s="16">
        <f>SUM(AB$5:AB128)</f>
        <v>14066213.285220969</v>
      </c>
      <c r="AK128" s="16">
        <f>SUM(AC$5:AC128)</f>
        <v>15267755.58894494</v>
      </c>
      <c r="AL128" s="16">
        <f>SUM(AD$5:AD128)</f>
        <v>12344953.838710047</v>
      </c>
      <c r="AM128" s="16">
        <f>SUM(AE$5:AE128)</f>
        <v>6656952.4885031879</v>
      </c>
      <c r="AR128" s="16">
        <v>124</v>
      </c>
      <c r="AS128" s="24">
        <f t="shared" si="55"/>
        <v>6.8000000000000005E-2</v>
      </c>
      <c r="AT128" s="16">
        <f>求节点(E$28:E$34,$M$28:$M$34,$AR128)*$AS128*其他调用!V127/$E$4</f>
        <v>0</v>
      </c>
      <c r="AU128" s="16">
        <f>求节点(F$28:F$34,$M$28:$M$34,$AR128)*$AS128*其他调用!W127/$E$4</f>
        <v>0</v>
      </c>
      <c r="AV128" s="16">
        <f>求节点(G$28:G$34,$M$28:$M$34,$AR128)*$AS128*其他调用!X127/$E$4</f>
        <v>0</v>
      </c>
      <c r="AW128" s="16">
        <f>求节点(H$28:H$34,$M$28:$M$34,$AR128)*$AS128*其他调用!Y127/$E$4</f>
        <v>0</v>
      </c>
      <c r="AX128" s="16">
        <f>求节点(I$28:I$34,$M$28:$M$34,$AR128)*$AS128*其他调用!Z127/$E$4</f>
        <v>0</v>
      </c>
      <c r="AY128" s="16">
        <f>求节点(E$28:E$34,$N$28:$N$34,$AR128)*$AS128*其他调用!V127/$E$4</f>
        <v>0</v>
      </c>
      <c r="AZ128" s="16">
        <f>求节点(F$28:F$34,$N$28:$N$34,$AR128)*$AS128*其他调用!W127/$E$4</f>
        <v>0</v>
      </c>
      <c r="BA128" s="16">
        <f>求节点(G$28:G$34,$N$28:$N$34,$AR128)*$AS128*其他调用!X127/$E$4</f>
        <v>0</v>
      </c>
      <c r="BB128" s="16">
        <f>求节点(H$28:H$34,$N$28:$N$34,$AR128)*$AS128*其他调用!Y127/$E$4</f>
        <v>0</v>
      </c>
      <c r="BC128" s="16">
        <f>求节点(I$28:I$34,$N$28:$N$34,$AR128)*$AS128*其他调用!Z127/$E$4</f>
        <v>0</v>
      </c>
      <c r="BD128" s="16">
        <f>求节点(E$28:E$34,$O$28:$O$34,$AR128)*$AS128*其他调用!V127/$E$4</f>
        <v>0</v>
      </c>
      <c r="BE128" s="16">
        <f>求节点(F$28:F$34,$O$28:$O$34,$AR128)*$AS128*其他调用!W127/$E$4</f>
        <v>0</v>
      </c>
      <c r="BF128" s="16">
        <f>求节点(G$28:G$34,$O$28:$O$34,$AR128)*$AS128*其他调用!X127/$E$4</f>
        <v>0</v>
      </c>
      <c r="BG128" s="16">
        <f>求节点(H$28:H$34,$O$28:$O$34,$AR128)*$AS128*其他调用!Y127/$E$4</f>
        <v>0</v>
      </c>
      <c r="BH128" s="16">
        <f>求节点(I$28:I$34,$O$28:$O$34,$AR128)*$AS128*其他调用!Z127/$E$4</f>
        <v>0</v>
      </c>
      <c r="BK128" s="16">
        <v>124</v>
      </c>
      <c r="BL128" s="16">
        <f>SUM(AT$5:AT128)</f>
        <v>0</v>
      </c>
      <c r="BM128" s="16">
        <f>SUM(AU$5:AU128)</f>
        <v>0</v>
      </c>
      <c r="BN128" s="16">
        <f>SUM(AV$5:AV128)</f>
        <v>0</v>
      </c>
      <c r="BO128" s="16">
        <f>SUM(AW$5:AW128)</f>
        <v>0</v>
      </c>
      <c r="BP128" s="16">
        <f>SUM(AX$5:AX128)</f>
        <v>0</v>
      </c>
      <c r="BQ128" s="16">
        <f>SUM(AY$5:AY128)</f>
        <v>0</v>
      </c>
      <c r="BR128" s="16">
        <f>SUM(AZ$5:AZ128)</f>
        <v>0</v>
      </c>
      <c r="BS128" s="16">
        <f>SUM(BA$5:BA128)</f>
        <v>0</v>
      </c>
      <c r="BT128" s="16">
        <f>SUM(BB$5:BB128)</f>
        <v>0</v>
      </c>
      <c r="BU128" s="16">
        <f>SUM(BC$5:BC128)</f>
        <v>0</v>
      </c>
      <c r="BV128" s="16">
        <f>SUM(BD$5:BD128)</f>
        <v>0</v>
      </c>
      <c r="BW128" s="16">
        <f>SUM(BE$5:BE128)</f>
        <v>0</v>
      </c>
      <c r="BX128" s="16">
        <f>SUM(BF$5:BF128)</f>
        <v>0</v>
      </c>
      <c r="BY128" s="16">
        <f>SUM(BG$5:BG128)</f>
        <v>0</v>
      </c>
      <c r="BZ128" s="16">
        <f>SUM(BH$5:BH128)</f>
        <v>0</v>
      </c>
      <c r="CC128" s="16">
        <v>124</v>
      </c>
      <c r="CD128" s="16">
        <f t="shared" si="56"/>
        <v>0</v>
      </c>
      <c r="CE128" s="16">
        <f t="shared" si="57"/>
        <v>0</v>
      </c>
      <c r="CF128" s="16">
        <f t="shared" si="58"/>
        <v>0</v>
      </c>
      <c r="CG128" s="16">
        <f t="shared" si="59"/>
        <v>0</v>
      </c>
      <c r="CH128" s="16">
        <f t="shared" si="60"/>
        <v>0</v>
      </c>
      <c r="CI128" s="16">
        <f t="shared" si="61"/>
        <v>0</v>
      </c>
      <c r="CJ128" s="16">
        <f t="shared" si="62"/>
        <v>0</v>
      </c>
      <c r="CK128" s="16">
        <f t="shared" si="63"/>
        <v>0</v>
      </c>
      <c r="CL128" s="16">
        <f t="shared" si="64"/>
        <v>0</v>
      </c>
      <c r="CM128" s="16">
        <f t="shared" si="65"/>
        <v>0</v>
      </c>
      <c r="CN128" s="16">
        <f t="shared" si="66"/>
        <v>0</v>
      </c>
      <c r="CO128" s="16">
        <f t="shared" si="67"/>
        <v>0</v>
      </c>
      <c r="CP128" s="16">
        <f t="shared" si="68"/>
        <v>0</v>
      </c>
      <c r="CQ128" s="16">
        <f t="shared" si="69"/>
        <v>0</v>
      </c>
      <c r="CR128" s="16">
        <f t="shared" si="70"/>
        <v>0</v>
      </c>
      <c r="CV128" s="16">
        <v>124</v>
      </c>
      <c r="CW128" s="35">
        <f t="shared" si="54"/>
        <v>0.13200000000000001</v>
      </c>
      <c r="CX128" s="16">
        <f>其他调用!V127/$E$4*求节点(E$28:E$34,$P$28:$P$34,$CV128)*$CW128</f>
        <v>164.82605764075799</v>
      </c>
      <c r="CY128" s="16">
        <f>其他调用!W127/$E$4*求节点(F$28:F$34,$P$28:$P$34,$CV128)*$CW128</f>
        <v>209.34053091925787</v>
      </c>
      <c r="CZ128" s="16">
        <f>其他调用!X127/$E$4*求节点(G$28:G$34,$P$28:$P$34,$CV128)*$CW128</f>
        <v>226.52757910614318</v>
      </c>
      <c r="DA128" s="16">
        <f>其他调用!Y127/$E$4*求节点(H$28:H$34,$P$28:$P$34,$CV128)*$CW128</f>
        <v>184.8741550188239</v>
      </c>
      <c r="DB128" s="16">
        <f>其他调用!Z127/$E$4*求节点(I$28:I$34,$P$28:$P$34,$CV128)*$CW128</f>
        <v>101.32254633589935</v>
      </c>
      <c r="DC128" s="16">
        <f>SUM(CX$5:CX128)</f>
        <v>2434.1085785521004</v>
      </c>
      <c r="DD128" s="16">
        <f>SUM(CY$5:CY128)</f>
        <v>3014.0800623456134</v>
      </c>
      <c r="DE128" s="16">
        <f>SUM(CZ$5:CZ128)</f>
        <v>3278.9467794003135</v>
      </c>
      <c r="DF128" s="16">
        <f>SUM(DA$5:DA128)</f>
        <v>2656.429024033032</v>
      </c>
      <c r="DG128" s="16">
        <f>SUM(DB$5:DB128)</f>
        <v>1433.6214209235709</v>
      </c>
    </row>
    <row r="129" spans="24:111">
      <c r="X129" s="16">
        <v>125</v>
      </c>
      <c r="Y129" s="45">
        <f t="shared" si="52"/>
        <v>700</v>
      </c>
      <c r="Z129" s="24">
        <f t="shared" si="53"/>
        <v>6.8000000000000005E-2</v>
      </c>
      <c r="AA129" s="16">
        <f>$Y129*$Z129*其他调用!V128</f>
        <v>849377.25847061386</v>
      </c>
      <c r="AB129" s="16">
        <f>$Y129*$Z129*其他调用!W128</f>
        <v>1043806.5822912491</v>
      </c>
      <c r="AC129" s="16">
        <f>$Y129*$Z129*其他调用!X128</f>
        <v>1164167.1642022412</v>
      </c>
      <c r="AD129" s="16">
        <f>$Y129*$Z129*其他调用!Y128</f>
        <v>943422.96174843912</v>
      </c>
      <c r="AE129" s="16">
        <f>$Y129*$Z129*其他调用!Z128</f>
        <v>461375.32221490185</v>
      </c>
      <c r="AH129" s="16">
        <v>125</v>
      </c>
      <c r="AI129" s="16">
        <f>SUM(AA$5:AA129)</f>
        <v>12220145.006631313</v>
      </c>
      <c r="AJ129" s="16">
        <f>SUM(AB$5:AB129)</f>
        <v>15110019.867512219</v>
      </c>
      <c r="AK129" s="16">
        <f>SUM(AC$5:AC129)</f>
        <v>16431922.753147181</v>
      </c>
      <c r="AL129" s="16">
        <f>SUM(AD$5:AD129)</f>
        <v>13288376.800458487</v>
      </c>
      <c r="AM129" s="16">
        <f>SUM(AE$5:AE129)</f>
        <v>7118327.8107180893</v>
      </c>
      <c r="AR129" s="16">
        <v>125</v>
      </c>
      <c r="AS129" s="24">
        <f t="shared" si="55"/>
        <v>6.8000000000000005E-2</v>
      </c>
      <c r="AT129" s="16">
        <f>求节点(E$28:E$34,$M$28:$M$34,$AR129)*$AS129*其他调用!V128/$E$4</f>
        <v>0</v>
      </c>
      <c r="AU129" s="16">
        <f>求节点(F$28:F$34,$M$28:$M$34,$AR129)*$AS129*其他调用!W128/$E$4</f>
        <v>0</v>
      </c>
      <c r="AV129" s="16">
        <f>求节点(G$28:G$34,$M$28:$M$34,$AR129)*$AS129*其他调用!X128/$E$4</f>
        <v>0</v>
      </c>
      <c r="AW129" s="16">
        <f>求节点(H$28:H$34,$M$28:$M$34,$AR129)*$AS129*其他调用!Y128/$E$4</f>
        <v>0</v>
      </c>
      <c r="AX129" s="16">
        <f>求节点(I$28:I$34,$M$28:$M$34,$AR129)*$AS129*其他调用!Z128/$E$4</f>
        <v>0</v>
      </c>
      <c r="AY129" s="16">
        <f>求节点(E$28:E$34,$N$28:$N$34,$AR129)*$AS129*其他调用!V128/$E$4</f>
        <v>0</v>
      </c>
      <c r="AZ129" s="16">
        <f>求节点(F$28:F$34,$N$28:$N$34,$AR129)*$AS129*其他调用!W128/$E$4</f>
        <v>0</v>
      </c>
      <c r="BA129" s="16">
        <f>求节点(G$28:G$34,$N$28:$N$34,$AR129)*$AS129*其他调用!X128/$E$4</f>
        <v>0</v>
      </c>
      <c r="BB129" s="16">
        <f>求节点(H$28:H$34,$N$28:$N$34,$AR129)*$AS129*其他调用!Y128/$E$4</f>
        <v>0</v>
      </c>
      <c r="BC129" s="16">
        <f>求节点(I$28:I$34,$N$28:$N$34,$AR129)*$AS129*其他调用!Z128/$E$4</f>
        <v>0</v>
      </c>
      <c r="BD129" s="16">
        <f>求节点(E$28:E$34,$O$28:$O$34,$AR129)*$AS129*其他调用!V128/$E$4</f>
        <v>0</v>
      </c>
      <c r="BE129" s="16">
        <f>求节点(F$28:F$34,$O$28:$O$34,$AR129)*$AS129*其他调用!W128/$E$4</f>
        <v>0</v>
      </c>
      <c r="BF129" s="16">
        <f>求节点(G$28:G$34,$O$28:$O$34,$AR129)*$AS129*其他调用!X128/$E$4</f>
        <v>0</v>
      </c>
      <c r="BG129" s="16">
        <f>求节点(H$28:H$34,$O$28:$O$34,$AR129)*$AS129*其他调用!Y128/$E$4</f>
        <v>0</v>
      </c>
      <c r="BH129" s="16">
        <f>求节点(I$28:I$34,$O$28:$O$34,$AR129)*$AS129*其他调用!Z128/$E$4</f>
        <v>0</v>
      </c>
      <c r="BK129" s="16">
        <v>125</v>
      </c>
      <c r="BL129" s="16">
        <f>SUM(AT$5:AT129)</f>
        <v>0</v>
      </c>
      <c r="BM129" s="16">
        <f>SUM(AU$5:AU129)</f>
        <v>0</v>
      </c>
      <c r="BN129" s="16">
        <f>SUM(AV$5:AV129)</f>
        <v>0</v>
      </c>
      <c r="BO129" s="16">
        <f>SUM(AW$5:AW129)</f>
        <v>0</v>
      </c>
      <c r="BP129" s="16">
        <f>SUM(AX$5:AX129)</f>
        <v>0</v>
      </c>
      <c r="BQ129" s="16">
        <f>SUM(AY$5:AY129)</f>
        <v>0</v>
      </c>
      <c r="BR129" s="16">
        <f>SUM(AZ$5:AZ129)</f>
        <v>0</v>
      </c>
      <c r="BS129" s="16">
        <f>SUM(BA$5:BA129)</f>
        <v>0</v>
      </c>
      <c r="BT129" s="16">
        <f>SUM(BB$5:BB129)</f>
        <v>0</v>
      </c>
      <c r="BU129" s="16">
        <f>SUM(BC$5:BC129)</f>
        <v>0</v>
      </c>
      <c r="BV129" s="16">
        <f>SUM(BD$5:BD129)</f>
        <v>0</v>
      </c>
      <c r="BW129" s="16">
        <f>SUM(BE$5:BE129)</f>
        <v>0</v>
      </c>
      <c r="BX129" s="16">
        <f>SUM(BF$5:BF129)</f>
        <v>0</v>
      </c>
      <c r="BY129" s="16">
        <f>SUM(BG$5:BG129)</f>
        <v>0</v>
      </c>
      <c r="BZ129" s="16">
        <f>SUM(BH$5:BH129)</f>
        <v>0</v>
      </c>
      <c r="CC129" s="16">
        <v>125</v>
      </c>
      <c r="CD129" s="16">
        <f t="shared" si="56"/>
        <v>0</v>
      </c>
      <c r="CE129" s="16">
        <f t="shared" si="57"/>
        <v>0</v>
      </c>
      <c r="CF129" s="16">
        <f t="shared" si="58"/>
        <v>0</v>
      </c>
      <c r="CG129" s="16">
        <f t="shared" si="59"/>
        <v>0</v>
      </c>
      <c r="CH129" s="16">
        <f t="shared" si="60"/>
        <v>0</v>
      </c>
      <c r="CI129" s="16">
        <f t="shared" si="61"/>
        <v>0</v>
      </c>
      <c r="CJ129" s="16">
        <f t="shared" si="62"/>
        <v>0</v>
      </c>
      <c r="CK129" s="16">
        <f t="shared" si="63"/>
        <v>0</v>
      </c>
      <c r="CL129" s="16">
        <f t="shared" si="64"/>
        <v>0</v>
      </c>
      <c r="CM129" s="16">
        <f t="shared" si="65"/>
        <v>0</v>
      </c>
      <c r="CN129" s="16">
        <f t="shared" si="66"/>
        <v>0</v>
      </c>
      <c r="CO129" s="16">
        <f t="shared" si="67"/>
        <v>0</v>
      </c>
      <c r="CP129" s="16">
        <f t="shared" si="68"/>
        <v>0</v>
      </c>
      <c r="CQ129" s="16">
        <f t="shared" si="69"/>
        <v>0</v>
      </c>
      <c r="CR129" s="16">
        <f t="shared" si="70"/>
        <v>0</v>
      </c>
      <c r="CV129" s="16">
        <v>125</v>
      </c>
      <c r="CW129" s="35">
        <f t="shared" si="54"/>
        <v>0.13200000000000001</v>
      </c>
      <c r="CX129" s="16">
        <f>其他调用!V128/$E$4*求节点(E$28:E$34,$P$28:$P$34,$CV129)*$CW129</f>
        <v>176.65619451384617</v>
      </c>
      <c r="CY129" s="16">
        <f>其他调用!W128/$E$4*求节点(F$28:F$34,$P$28:$P$34,$CV129)*$CW129</f>
        <v>217.09422614881018</v>
      </c>
      <c r="CZ129" s="16">
        <f>其他调用!X128/$E$4*求节点(G$28:G$34,$P$28:$P$34,$CV129)*$CW129</f>
        <v>242.1272043193737</v>
      </c>
      <c r="DA129" s="16">
        <f>其他调用!Y128/$E$4*求节点(H$28:H$34,$P$28:$P$34,$CV129)*$CW129</f>
        <v>196.21612019557872</v>
      </c>
      <c r="DB129" s="16">
        <f>其他调用!Z128/$E$4*求节点(I$28:I$34,$P$28:$P$34,$CV129)*$CW129</f>
        <v>95.958312813603541</v>
      </c>
      <c r="DC129" s="16">
        <f>SUM(CX$5:CX129)</f>
        <v>2610.7647730659464</v>
      </c>
      <c r="DD129" s="16">
        <f>SUM(CY$5:CY129)</f>
        <v>3231.1742884944238</v>
      </c>
      <c r="DE129" s="16">
        <f>SUM(CZ$5:CZ129)</f>
        <v>3521.073983719687</v>
      </c>
      <c r="DF129" s="16">
        <f>SUM(DA$5:DA129)</f>
        <v>2852.6451442286107</v>
      </c>
      <c r="DG129" s="16">
        <f>SUM(DB$5:DB129)</f>
        <v>1529.5797337371744</v>
      </c>
    </row>
    <row r="130" spans="24:111">
      <c r="X130" s="16">
        <v>126</v>
      </c>
      <c r="Y130" s="45">
        <f t="shared" si="52"/>
        <v>700</v>
      </c>
      <c r="Z130" s="24">
        <f t="shared" si="53"/>
        <v>6.8000000000000005E-2</v>
      </c>
      <c r="AA130" s="16">
        <f>$Y130*$Z130*其他调用!V129</f>
        <v>910340.0053106104</v>
      </c>
      <c r="AB130" s="16">
        <f>$Y130*$Z130*其他调用!W129</f>
        <v>1149868.2282052999</v>
      </c>
      <c r="AC130" s="16">
        <f>$Y130*$Z130*其他调用!X129</f>
        <v>1238589.407044284</v>
      </c>
      <c r="AD130" s="16">
        <f>$Y130*$Z130*其他调用!Y129</f>
        <v>933435.65177203715</v>
      </c>
      <c r="AE130" s="16">
        <f>$Y130*$Z130*其他调用!Z129</f>
        <v>491839.48814538075</v>
      </c>
      <c r="AH130" s="16">
        <v>126</v>
      </c>
      <c r="AI130" s="16">
        <f>SUM(AA$5:AA130)</f>
        <v>13130485.011941923</v>
      </c>
      <c r="AJ130" s="16">
        <f>SUM(AB$5:AB130)</f>
        <v>16259888.09571752</v>
      </c>
      <c r="AK130" s="16">
        <f>SUM(AC$5:AC130)</f>
        <v>17670512.160191465</v>
      </c>
      <c r="AL130" s="16">
        <f>SUM(AD$5:AD130)</f>
        <v>14221812.452230524</v>
      </c>
      <c r="AM130" s="16">
        <f>SUM(AE$5:AE130)</f>
        <v>7610167.2988634706</v>
      </c>
      <c r="AR130" s="16">
        <v>126</v>
      </c>
      <c r="AS130" s="24">
        <f t="shared" si="55"/>
        <v>6.8000000000000005E-2</v>
      </c>
      <c r="AT130" s="16">
        <f>求节点(E$28:E$34,$M$28:$M$34,$AR130)*$AS130*其他调用!V129/$E$4</f>
        <v>0</v>
      </c>
      <c r="AU130" s="16">
        <f>求节点(F$28:F$34,$M$28:$M$34,$AR130)*$AS130*其他调用!W129/$E$4</f>
        <v>0</v>
      </c>
      <c r="AV130" s="16">
        <f>求节点(G$28:G$34,$M$28:$M$34,$AR130)*$AS130*其他调用!X129/$E$4</f>
        <v>0</v>
      </c>
      <c r="AW130" s="16">
        <f>求节点(H$28:H$34,$M$28:$M$34,$AR130)*$AS130*其他调用!Y129/$E$4</f>
        <v>0</v>
      </c>
      <c r="AX130" s="16">
        <f>求节点(I$28:I$34,$M$28:$M$34,$AR130)*$AS130*其他调用!Z129/$E$4</f>
        <v>0</v>
      </c>
      <c r="AY130" s="16">
        <f>求节点(E$28:E$34,$N$28:$N$34,$AR130)*$AS130*其他调用!V129/$E$4</f>
        <v>0</v>
      </c>
      <c r="AZ130" s="16">
        <f>求节点(F$28:F$34,$N$28:$N$34,$AR130)*$AS130*其他调用!W129/$E$4</f>
        <v>0</v>
      </c>
      <c r="BA130" s="16">
        <f>求节点(G$28:G$34,$N$28:$N$34,$AR130)*$AS130*其他调用!X129/$E$4</f>
        <v>0</v>
      </c>
      <c r="BB130" s="16">
        <f>求节点(H$28:H$34,$N$28:$N$34,$AR130)*$AS130*其他调用!Y129/$E$4</f>
        <v>0</v>
      </c>
      <c r="BC130" s="16">
        <f>求节点(I$28:I$34,$N$28:$N$34,$AR130)*$AS130*其他调用!Z129/$E$4</f>
        <v>0</v>
      </c>
      <c r="BD130" s="16">
        <f>求节点(E$28:E$34,$O$28:$O$34,$AR130)*$AS130*其他调用!V129/$E$4</f>
        <v>0</v>
      </c>
      <c r="BE130" s="16">
        <f>求节点(F$28:F$34,$O$28:$O$34,$AR130)*$AS130*其他调用!W129/$E$4</f>
        <v>0</v>
      </c>
      <c r="BF130" s="16">
        <f>求节点(G$28:G$34,$O$28:$O$34,$AR130)*$AS130*其他调用!X129/$E$4</f>
        <v>0</v>
      </c>
      <c r="BG130" s="16">
        <f>求节点(H$28:H$34,$O$28:$O$34,$AR130)*$AS130*其他调用!Y129/$E$4</f>
        <v>0</v>
      </c>
      <c r="BH130" s="16">
        <f>求节点(I$28:I$34,$O$28:$O$34,$AR130)*$AS130*其他调用!Z129/$E$4</f>
        <v>0</v>
      </c>
      <c r="BK130" s="16">
        <v>126</v>
      </c>
      <c r="BL130" s="16">
        <f>SUM(AT$5:AT130)</f>
        <v>0</v>
      </c>
      <c r="BM130" s="16">
        <f>SUM(AU$5:AU130)</f>
        <v>0</v>
      </c>
      <c r="BN130" s="16">
        <f>SUM(AV$5:AV130)</f>
        <v>0</v>
      </c>
      <c r="BO130" s="16">
        <f>SUM(AW$5:AW130)</f>
        <v>0</v>
      </c>
      <c r="BP130" s="16">
        <f>SUM(AX$5:AX130)</f>
        <v>0</v>
      </c>
      <c r="BQ130" s="16">
        <f>SUM(AY$5:AY130)</f>
        <v>0</v>
      </c>
      <c r="BR130" s="16">
        <f>SUM(AZ$5:AZ130)</f>
        <v>0</v>
      </c>
      <c r="BS130" s="16">
        <f>SUM(BA$5:BA130)</f>
        <v>0</v>
      </c>
      <c r="BT130" s="16">
        <f>SUM(BB$5:BB130)</f>
        <v>0</v>
      </c>
      <c r="BU130" s="16">
        <f>SUM(BC$5:BC130)</f>
        <v>0</v>
      </c>
      <c r="BV130" s="16">
        <f>SUM(BD$5:BD130)</f>
        <v>0</v>
      </c>
      <c r="BW130" s="16">
        <f>SUM(BE$5:BE130)</f>
        <v>0</v>
      </c>
      <c r="BX130" s="16">
        <f>SUM(BF$5:BF130)</f>
        <v>0</v>
      </c>
      <c r="BY130" s="16">
        <f>SUM(BG$5:BG130)</f>
        <v>0</v>
      </c>
      <c r="BZ130" s="16">
        <f>SUM(BH$5:BH130)</f>
        <v>0</v>
      </c>
      <c r="CC130" s="16">
        <v>126</v>
      </c>
      <c r="CD130" s="16">
        <f t="shared" si="56"/>
        <v>0</v>
      </c>
      <c r="CE130" s="16">
        <f t="shared" si="57"/>
        <v>0</v>
      </c>
      <c r="CF130" s="16">
        <f t="shared" si="58"/>
        <v>0</v>
      </c>
      <c r="CG130" s="16">
        <f t="shared" si="59"/>
        <v>0</v>
      </c>
      <c r="CH130" s="16">
        <f t="shared" si="60"/>
        <v>0</v>
      </c>
      <c r="CI130" s="16">
        <f t="shared" si="61"/>
        <v>0</v>
      </c>
      <c r="CJ130" s="16">
        <f t="shared" si="62"/>
        <v>0</v>
      </c>
      <c r="CK130" s="16">
        <f t="shared" si="63"/>
        <v>0</v>
      </c>
      <c r="CL130" s="16">
        <f t="shared" si="64"/>
        <v>0</v>
      </c>
      <c r="CM130" s="16">
        <f t="shared" si="65"/>
        <v>0</v>
      </c>
      <c r="CN130" s="16">
        <f t="shared" si="66"/>
        <v>0</v>
      </c>
      <c r="CO130" s="16">
        <f t="shared" si="67"/>
        <v>0</v>
      </c>
      <c r="CP130" s="16">
        <f t="shared" si="68"/>
        <v>0</v>
      </c>
      <c r="CQ130" s="16">
        <f t="shared" si="69"/>
        <v>0</v>
      </c>
      <c r="CR130" s="16">
        <f t="shared" si="70"/>
        <v>0</v>
      </c>
      <c r="CV130" s="16">
        <v>126</v>
      </c>
      <c r="CW130" s="35">
        <f t="shared" si="54"/>
        <v>0.13200000000000001</v>
      </c>
      <c r="CX130" s="16">
        <f>其他调用!V129/$E$4*求节点(E$28:E$34,$P$28:$P$34,$CV130)*$CW130</f>
        <v>189.33542127258497</v>
      </c>
      <c r="CY130" s="16">
        <f>其他调用!W129/$E$4*求节点(F$28:F$34,$P$28:$P$34,$CV130)*$CW130</f>
        <v>239.15326595026195</v>
      </c>
      <c r="CZ130" s="16">
        <f>其他调用!X129/$E$4*求节点(G$28:G$34,$P$28:$P$34,$CV130)*$CW130</f>
        <v>257.60578003652125</v>
      </c>
      <c r="DA130" s="16">
        <f>其他调用!Y129/$E$4*求节点(H$28:H$34,$P$28:$P$34,$CV130)*$CW130</f>
        <v>194.13892757443631</v>
      </c>
      <c r="DB130" s="16">
        <f>其他调用!Z129/$E$4*求节点(I$28:I$34,$P$28:$P$34,$CV130)*$CW130</f>
        <v>102.2943473243544</v>
      </c>
      <c r="DC130" s="16">
        <f>SUM(CX$5:CX130)</f>
        <v>2800.1001943385313</v>
      </c>
      <c r="DD130" s="16">
        <f>SUM(CY$5:CY130)</f>
        <v>3470.3275544446856</v>
      </c>
      <c r="DE130" s="16">
        <f>SUM(CZ$5:CZ130)</f>
        <v>3778.6797637562081</v>
      </c>
      <c r="DF130" s="16">
        <f>SUM(DA$5:DA130)</f>
        <v>3046.784071803047</v>
      </c>
      <c r="DG130" s="16">
        <f>SUM(DB$5:DB130)</f>
        <v>1631.8740810615288</v>
      </c>
    </row>
    <row r="131" spans="24:111">
      <c r="X131" s="16">
        <v>127</v>
      </c>
      <c r="Y131" s="45">
        <f t="shared" si="52"/>
        <v>700</v>
      </c>
      <c r="Z131" s="24">
        <f t="shared" si="53"/>
        <v>6.8000000000000005E-2</v>
      </c>
      <c r="AA131" s="16">
        <f>$Y131*$Z131*其他调用!V130</f>
        <v>975678.25957706035</v>
      </c>
      <c r="AB131" s="16">
        <f>$Y131*$Z131*其他调用!W130</f>
        <v>1208642.6544480296</v>
      </c>
      <c r="AC131" s="16">
        <f>$Y131*$Z131*其他调用!X130</f>
        <v>1224707.6430568499</v>
      </c>
      <c r="AD131" s="16">
        <f>$Y131*$Z131*其他调用!Y130</f>
        <v>963661.82796694548</v>
      </c>
      <c r="AE131" s="16">
        <f>$Y131*$Z131*其他调用!Z130</f>
        <v>537347.25733708148</v>
      </c>
      <c r="AH131" s="16">
        <v>127</v>
      </c>
      <c r="AI131" s="16">
        <f>SUM(AA$5:AA131)</f>
        <v>14106163.271518983</v>
      </c>
      <c r="AJ131" s="16">
        <f>SUM(AB$5:AB131)</f>
        <v>17468530.750165548</v>
      </c>
      <c r="AK131" s="16">
        <f>SUM(AC$5:AC131)</f>
        <v>18895219.803248316</v>
      </c>
      <c r="AL131" s="16">
        <f>SUM(AD$5:AD131)</f>
        <v>15185474.28019747</v>
      </c>
      <c r="AM131" s="16">
        <f>SUM(AE$5:AE131)</f>
        <v>8147514.5562005518</v>
      </c>
      <c r="AR131" s="16">
        <v>127</v>
      </c>
      <c r="AS131" s="24">
        <f t="shared" si="55"/>
        <v>6.8000000000000005E-2</v>
      </c>
      <c r="AT131" s="16">
        <f>求节点(E$28:E$34,$M$28:$M$34,$AR131)*$AS131*其他调用!V130/$E$4</f>
        <v>0</v>
      </c>
      <c r="AU131" s="16">
        <f>求节点(F$28:F$34,$M$28:$M$34,$AR131)*$AS131*其他调用!W130/$E$4</f>
        <v>0</v>
      </c>
      <c r="AV131" s="16">
        <f>求节点(G$28:G$34,$M$28:$M$34,$AR131)*$AS131*其他调用!X130/$E$4</f>
        <v>0</v>
      </c>
      <c r="AW131" s="16">
        <f>求节点(H$28:H$34,$M$28:$M$34,$AR131)*$AS131*其他调用!Y130/$E$4</f>
        <v>0</v>
      </c>
      <c r="AX131" s="16">
        <f>求节点(I$28:I$34,$M$28:$M$34,$AR131)*$AS131*其他调用!Z130/$E$4</f>
        <v>0</v>
      </c>
      <c r="AY131" s="16">
        <f>求节点(E$28:E$34,$N$28:$N$34,$AR131)*$AS131*其他调用!V130/$E$4</f>
        <v>0</v>
      </c>
      <c r="AZ131" s="16">
        <f>求节点(F$28:F$34,$N$28:$N$34,$AR131)*$AS131*其他调用!W130/$E$4</f>
        <v>0</v>
      </c>
      <c r="BA131" s="16">
        <f>求节点(G$28:G$34,$N$28:$N$34,$AR131)*$AS131*其他调用!X130/$E$4</f>
        <v>0</v>
      </c>
      <c r="BB131" s="16">
        <f>求节点(H$28:H$34,$N$28:$N$34,$AR131)*$AS131*其他调用!Y130/$E$4</f>
        <v>0</v>
      </c>
      <c r="BC131" s="16">
        <f>求节点(I$28:I$34,$N$28:$N$34,$AR131)*$AS131*其他调用!Z130/$E$4</f>
        <v>0</v>
      </c>
      <c r="BD131" s="16">
        <f>求节点(E$28:E$34,$O$28:$O$34,$AR131)*$AS131*其他调用!V130/$E$4</f>
        <v>0</v>
      </c>
      <c r="BE131" s="16">
        <f>求节点(F$28:F$34,$O$28:$O$34,$AR131)*$AS131*其他调用!W130/$E$4</f>
        <v>0</v>
      </c>
      <c r="BF131" s="16">
        <f>求节点(G$28:G$34,$O$28:$O$34,$AR131)*$AS131*其他调用!X130/$E$4</f>
        <v>0</v>
      </c>
      <c r="BG131" s="16">
        <f>求节点(H$28:H$34,$O$28:$O$34,$AR131)*$AS131*其他调用!Y130/$E$4</f>
        <v>0</v>
      </c>
      <c r="BH131" s="16">
        <f>求节点(I$28:I$34,$O$28:$O$34,$AR131)*$AS131*其他调用!Z130/$E$4</f>
        <v>0</v>
      </c>
      <c r="BK131" s="16">
        <v>127</v>
      </c>
      <c r="BL131" s="16">
        <f>SUM(AT$5:AT131)</f>
        <v>0</v>
      </c>
      <c r="BM131" s="16">
        <f>SUM(AU$5:AU131)</f>
        <v>0</v>
      </c>
      <c r="BN131" s="16">
        <f>SUM(AV$5:AV131)</f>
        <v>0</v>
      </c>
      <c r="BO131" s="16">
        <f>SUM(AW$5:AW131)</f>
        <v>0</v>
      </c>
      <c r="BP131" s="16">
        <f>SUM(AX$5:AX131)</f>
        <v>0</v>
      </c>
      <c r="BQ131" s="16">
        <f>SUM(AY$5:AY131)</f>
        <v>0</v>
      </c>
      <c r="BR131" s="16">
        <f>SUM(AZ$5:AZ131)</f>
        <v>0</v>
      </c>
      <c r="BS131" s="16">
        <f>SUM(BA$5:BA131)</f>
        <v>0</v>
      </c>
      <c r="BT131" s="16">
        <f>SUM(BB$5:BB131)</f>
        <v>0</v>
      </c>
      <c r="BU131" s="16">
        <f>SUM(BC$5:BC131)</f>
        <v>0</v>
      </c>
      <c r="BV131" s="16">
        <f>SUM(BD$5:BD131)</f>
        <v>0</v>
      </c>
      <c r="BW131" s="16">
        <f>SUM(BE$5:BE131)</f>
        <v>0</v>
      </c>
      <c r="BX131" s="16">
        <f>SUM(BF$5:BF131)</f>
        <v>0</v>
      </c>
      <c r="BY131" s="16">
        <f>SUM(BG$5:BG131)</f>
        <v>0</v>
      </c>
      <c r="BZ131" s="16">
        <f>SUM(BH$5:BH131)</f>
        <v>0</v>
      </c>
      <c r="CC131" s="16">
        <v>127</v>
      </c>
      <c r="CD131" s="16">
        <f t="shared" si="56"/>
        <v>0</v>
      </c>
      <c r="CE131" s="16">
        <f t="shared" si="57"/>
        <v>0</v>
      </c>
      <c r="CF131" s="16">
        <f t="shared" si="58"/>
        <v>0</v>
      </c>
      <c r="CG131" s="16">
        <f t="shared" si="59"/>
        <v>0</v>
      </c>
      <c r="CH131" s="16">
        <f t="shared" si="60"/>
        <v>0</v>
      </c>
      <c r="CI131" s="16">
        <f t="shared" si="61"/>
        <v>0</v>
      </c>
      <c r="CJ131" s="16">
        <f t="shared" si="62"/>
        <v>0</v>
      </c>
      <c r="CK131" s="16">
        <f t="shared" si="63"/>
        <v>0</v>
      </c>
      <c r="CL131" s="16">
        <f t="shared" si="64"/>
        <v>0</v>
      </c>
      <c r="CM131" s="16">
        <f t="shared" si="65"/>
        <v>0</v>
      </c>
      <c r="CN131" s="16">
        <f t="shared" si="66"/>
        <v>0</v>
      </c>
      <c r="CO131" s="16">
        <f t="shared" si="67"/>
        <v>0</v>
      </c>
      <c r="CP131" s="16">
        <f t="shared" si="68"/>
        <v>0</v>
      </c>
      <c r="CQ131" s="16">
        <f t="shared" si="69"/>
        <v>0</v>
      </c>
      <c r="CR131" s="16">
        <f t="shared" si="70"/>
        <v>0</v>
      </c>
      <c r="CV131" s="16">
        <v>127</v>
      </c>
      <c r="CW131" s="35">
        <f t="shared" si="54"/>
        <v>0.13200000000000001</v>
      </c>
      <c r="CX131" s="16">
        <f>其他调用!V130/$E$4*求节点(E$28:E$34,$P$28:$P$34,$CV131)*$CW131</f>
        <v>202.92468003808611</v>
      </c>
      <c r="CY131" s="16">
        <f>其他调用!W130/$E$4*求节点(F$28:F$34,$P$28:$P$34,$CV131)*$CW131</f>
        <v>251.37735880326665</v>
      </c>
      <c r="CZ131" s="16">
        <f>其他调用!X130/$E$4*求节点(G$28:G$34,$P$28:$P$34,$CV131)*$CW131</f>
        <v>254.71860643409272</v>
      </c>
      <c r="DA131" s="16">
        <f>其他调用!Y130/$E$4*求节点(H$28:H$34,$P$28:$P$34,$CV131)*$CW131</f>
        <v>200.42546422001598</v>
      </c>
      <c r="DB131" s="16">
        <f>其他调用!Z130/$E$4*求节点(I$28:I$34,$P$28:$P$34,$CV131)*$CW131</f>
        <v>111.75919847977114</v>
      </c>
      <c r="DC131" s="16">
        <f>SUM(CX$5:CX131)</f>
        <v>3003.0248743766174</v>
      </c>
      <c r="DD131" s="16">
        <f>SUM(CY$5:CY131)</f>
        <v>3721.7049132479524</v>
      </c>
      <c r="DE131" s="16">
        <f>SUM(CZ$5:CZ131)</f>
        <v>4033.3983701903007</v>
      </c>
      <c r="DF131" s="16">
        <f>SUM(DA$5:DA131)</f>
        <v>3247.2095360230628</v>
      </c>
      <c r="DG131" s="16">
        <f>SUM(DB$5:DB131)</f>
        <v>1743.6332795413</v>
      </c>
    </row>
    <row r="132" spans="24:111">
      <c r="X132" s="16">
        <v>128</v>
      </c>
      <c r="Y132" s="45">
        <f t="shared" si="52"/>
        <v>700</v>
      </c>
      <c r="Z132" s="24">
        <f t="shared" si="53"/>
        <v>6.8000000000000005E-2</v>
      </c>
      <c r="AA132" s="16">
        <f>$Y132*$Z132*其他调用!V131</f>
        <v>1045706.0665883156</v>
      </c>
      <c r="AB132" s="16">
        <f>$Y132*$Z132*其他调用!W131</f>
        <v>1204428.1197502411</v>
      </c>
      <c r="AC132" s="16">
        <f>$Y132*$Z132*其他调用!X131</f>
        <v>1287663.2665199693</v>
      </c>
      <c r="AD132" s="16">
        <f>$Y132*$Z132*其他调用!Y131</f>
        <v>1057499.5794124492</v>
      </c>
      <c r="AE132" s="16">
        <f>$Y132*$Z132*其他调用!Z131</f>
        <v>584294.78730466811</v>
      </c>
      <c r="AH132" s="16">
        <v>128</v>
      </c>
      <c r="AI132" s="16">
        <f>SUM(AA$5:AA132)</f>
        <v>15151869.338107299</v>
      </c>
      <c r="AJ132" s="16">
        <f>SUM(AB$5:AB132)</f>
        <v>18672958.869915791</v>
      </c>
      <c r="AK132" s="16">
        <f>SUM(AC$5:AC132)</f>
        <v>20182883.069768287</v>
      </c>
      <c r="AL132" s="16">
        <f>SUM(AD$5:AD132)</f>
        <v>16242973.859609919</v>
      </c>
      <c r="AM132" s="16">
        <f>SUM(AE$5:AE132)</f>
        <v>8731809.3435052205</v>
      </c>
      <c r="AR132" s="16">
        <v>128</v>
      </c>
      <c r="AS132" s="24">
        <f t="shared" si="55"/>
        <v>6.8000000000000005E-2</v>
      </c>
      <c r="AT132" s="16">
        <f>求节点(E$28:E$34,$M$28:$M$34,$AR132)*$AS132*其他调用!V131/$E$4</f>
        <v>0</v>
      </c>
      <c r="AU132" s="16">
        <f>求节点(F$28:F$34,$M$28:$M$34,$AR132)*$AS132*其他调用!W131/$E$4</f>
        <v>0</v>
      </c>
      <c r="AV132" s="16">
        <f>求节点(G$28:G$34,$M$28:$M$34,$AR132)*$AS132*其他调用!X131/$E$4</f>
        <v>0</v>
      </c>
      <c r="AW132" s="16">
        <f>求节点(H$28:H$34,$M$28:$M$34,$AR132)*$AS132*其他调用!Y131/$E$4</f>
        <v>0</v>
      </c>
      <c r="AX132" s="16">
        <f>求节点(I$28:I$34,$M$28:$M$34,$AR132)*$AS132*其他调用!Z131/$E$4</f>
        <v>0</v>
      </c>
      <c r="AY132" s="16">
        <f>求节点(E$28:E$34,$N$28:$N$34,$AR132)*$AS132*其他调用!V131/$E$4</f>
        <v>0</v>
      </c>
      <c r="AZ132" s="16">
        <f>求节点(F$28:F$34,$N$28:$N$34,$AR132)*$AS132*其他调用!W131/$E$4</f>
        <v>0</v>
      </c>
      <c r="BA132" s="16">
        <f>求节点(G$28:G$34,$N$28:$N$34,$AR132)*$AS132*其他调用!X131/$E$4</f>
        <v>0</v>
      </c>
      <c r="BB132" s="16">
        <f>求节点(H$28:H$34,$N$28:$N$34,$AR132)*$AS132*其他调用!Y131/$E$4</f>
        <v>0</v>
      </c>
      <c r="BC132" s="16">
        <f>求节点(I$28:I$34,$N$28:$N$34,$AR132)*$AS132*其他调用!Z131/$E$4</f>
        <v>0</v>
      </c>
      <c r="BD132" s="16">
        <f>求节点(E$28:E$34,$O$28:$O$34,$AR132)*$AS132*其他调用!V131/$E$4</f>
        <v>0</v>
      </c>
      <c r="BE132" s="16">
        <f>求节点(F$28:F$34,$O$28:$O$34,$AR132)*$AS132*其他调用!W131/$E$4</f>
        <v>0</v>
      </c>
      <c r="BF132" s="16">
        <f>求节点(G$28:G$34,$O$28:$O$34,$AR132)*$AS132*其他调用!X131/$E$4</f>
        <v>0</v>
      </c>
      <c r="BG132" s="16">
        <f>求节点(H$28:H$34,$O$28:$O$34,$AR132)*$AS132*其他调用!Y131/$E$4</f>
        <v>0</v>
      </c>
      <c r="BH132" s="16">
        <f>求节点(I$28:I$34,$O$28:$O$34,$AR132)*$AS132*其他调用!Z131/$E$4</f>
        <v>0</v>
      </c>
      <c r="BK132" s="16">
        <v>128</v>
      </c>
      <c r="BL132" s="16">
        <f>SUM(AT$5:AT132)</f>
        <v>0</v>
      </c>
      <c r="BM132" s="16">
        <f>SUM(AU$5:AU132)</f>
        <v>0</v>
      </c>
      <c r="BN132" s="16">
        <f>SUM(AV$5:AV132)</f>
        <v>0</v>
      </c>
      <c r="BO132" s="16">
        <f>SUM(AW$5:AW132)</f>
        <v>0</v>
      </c>
      <c r="BP132" s="16">
        <f>SUM(AX$5:AX132)</f>
        <v>0</v>
      </c>
      <c r="BQ132" s="16">
        <f>SUM(AY$5:AY132)</f>
        <v>0</v>
      </c>
      <c r="BR132" s="16">
        <f>SUM(AZ$5:AZ132)</f>
        <v>0</v>
      </c>
      <c r="BS132" s="16">
        <f>SUM(BA$5:BA132)</f>
        <v>0</v>
      </c>
      <c r="BT132" s="16">
        <f>SUM(BB$5:BB132)</f>
        <v>0</v>
      </c>
      <c r="BU132" s="16">
        <f>SUM(BC$5:BC132)</f>
        <v>0</v>
      </c>
      <c r="BV132" s="16">
        <f>SUM(BD$5:BD132)</f>
        <v>0</v>
      </c>
      <c r="BW132" s="16">
        <f>SUM(BE$5:BE132)</f>
        <v>0</v>
      </c>
      <c r="BX132" s="16">
        <f>SUM(BF$5:BF132)</f>
        <v>0</v>
      </c>
      <c r="BY132" s="16">
        <f>SUM(BG$5:BG132)</f>
        <v>0</v>
      </c>
      <c r="BZ132" s="16">
        <f>SUM(BH$5:BH132)</f>
        <v>0</v>
      </c>
      <c r="CC132" s="16">
        <v>128</v>
      </c>
      <c r="CD132" s="16">
        <f t="shared" si="56"/>
        <v>0</v>
      </c>
      <c r="CE132" s="16">
        <f t="shared" si="57"/>
        <v>0</v>
      </c>
      <c r="CF132" s="16">
        <f t="shared" si="58"/>
        <v>0</v>
      </c>
      <c r="CG132" s="16">
        <f t="shared" si="59"/>
        <v>0</v>
      </c>
      <c r="CH132" s="16">
        <f t="shared" si="60"/>
        <v>0</v>
      </c>
      <c r="CI132" s="16">
        <f t="shared" si="61"/>
        <v>0</v>
      </c>
      <c r="CJ132" s="16">
        <f t="shared" si="62"/>
        <v>0</v>
      </c>
      <c r="CK132" s="16">
        <f t="shared" si="63"/>
        <v>0</v>
      </c>
      <c r="CL132" s="16">
        <f t="shared" si="64"/>
        <v>0</v>
      </c>
      <c r="CM132" s="16">
        <f t="shared" si="65"/>
        <v>0</v>
      </c>
      <c r="CN132" s="16">
        <f t="shared" si="66"/>
        <v>0</v>
      </c>
      <c r="CO132" s="16">
        <f t="shared" si="67"/>
        <v>0</v>
      </c>
      <c r="CP132" s="16">
        <f t="shared" si="68"/>
        <v>0</v>
      </c>
      <c r="CQ132" s="16">
        <f t="shared" si="69"/>
        <v>0</v>
      </c>
      <c r="CR132" s="16">
        <f t="shared" si="70"/>
        <v>0</v>
      </c>
      <c r="CV132" s="16">
        <v>128</v>
      </c>
      <c r="CW132" s="35">
        <f t="shared" si="54"/>
        <v>0.13200000000000001</v>
      </c>
      <c r="CX132" s="16">
        <f>其他调用!V131/$E$4*求节点(E$28:E$34,$P$28:$P$34,$CV132)*$CW132</f>
        <v>217.4892869584942</v>
      </c>
      <c r="CY132" s="16">
        <f>其他调用!W131/$E$4*求节点(F$28:F$34,$P$28:$P$34,$CV132)*$CW132</f>
        <v>250.50080641864255</v>
      </c>
      <c r="CZ132" s="16">
        <f>其他调用!X131/$E$4*求节点(G$28:G$34,$P$28:$P$34,$CV132)*$CW132</f>
        <v>267.81231803671631</v>
      </c>
      <c r="DA132" s="16">
        <f>其他调用!Y131/$E$4*求节点(H$28:H$34,$P$28:$P$34,$CV132)*$CW132</f>
        <v>219.94213941561443</v>
      </c>
      <c r="DB132" s="16">
        <f>其他调用!Z131/$E$4*求节点(I$28:I$34,$P$28:$P$34,$CV132)*$CW132</f>
        <v>121.52349567891207</v>
      </c>
      <c r="DC132" s="16">
        <f>SUM(CX$5:CX132)</f>
        <v>3220.5141613351116</v>
      </c>
      <c r="DD132" s="16">
        <f>SUM(CY$5:CY132)</f>
        <v>3972.2057196665951</v>
      </c>
      <c r="DE132" s="16">
        <f>SUM(CZ$5:CZ132)</f>
        <v>4301.2106882270173</v>
      </c>
      <c r="DF132" s="16">
        <f>SUM(DA$5:DA132)</f>
        <v>3467.1516754386771</v>
      </c>
      <c r="DG132" s="16">
        <f>SUM(DB$5:DB132)</f>
        <v>1865.156775220212</v>
      </c>
    </row>
    <row r="133" spans="24:111">
      <c r="X133" s="16">
        <v>129</v>
      </c>
      <c r="Y133" s="45">
        <f t="shared" si="52"/>
        <v>700</v>
      </c>
      <c r="Z133" s="24">
        <f t="shared" si="53"/>
        <v>6.8000000000000005E-2</v>
      </c>
      <c r="AA133" s="16">
        <f>$Y133*$Z133*其他调用!V132</f>
        <v>1120760.0117825686</v>
      </c>
      <c r="AB133" s="16">
        <f>$Y133*$Z133*其他调用!W132</f>
        <v>1381836.1836577028</v>
      </c>
      <c r="AC133" s="16">
        <f>$Y133*$Z133*其他调用!X132</f>
        <v>1530777.1569586543</v>
      </c>
      <c r="AD133" s="16">
        <f>$Y133*$Z133*其他调用!Y132</f>
        <v>1263269.3083699683</v>
      </c>
      <c r="AE133" s="16">
        <f>$Y133*$Z133*其他调用!Z132</f>
        <v>669688.74681846274</v>
      </c>
      <c r="AH133" s="16">
        <v>129</v>
      </c>
      <c r="AI133" s="16">
        <f>SUM(AA$5:AA133)</f>
        <v>16272629.349889867</v>
      </c>
      <c r="AJ133" s="16">
        <f>SUM(AB$5:AB133)</f>
        <v>20054795.053573493</v>
      </c>
      <c r="AK133" s="16">
        <f>SUM(AC$5:AC133)</f>
        <v>21713660.226726942</v>
      </c>
      <c r="AL133" s="16">
        <f>SUM(AD$5:AD133)</f>
        <v>17506243.167979889</v>
      </c>
      <c r="AM133" s="16">
        <f>SUM(AE$5:AE133)</f>
        <v>9401498.0903236829</v>
      </c>
      <c r="AR133" s="16">
        <v>129</v>
      </c>
      <c r="AS133" s="24">
        <f t="shared" ref="AS133:AS164" si="71">$E$50</f>
        <v>6.8000000000000005E-2</v>
      </c>
      <c r="AT133" s="16">
        <f>求节点(E$28:E$34,$M$28:$M$34,$AR133)*$AS133*其他调用!V132/$E$4</f>
        <v>0</v>
      </c>
      <c r="AU133" s="16">
        <f>求节点(F$28:F$34,$M$28:$M$34,$AR133)*$AS133*其他调用!W132/$E$4</f>
        <v>0</v>
      </c>
      <c r="AV133" s="16">
        <f>求节点(G$28:G$34,$M$28:$M$34,$AR133)*$AS133*其他调用!X132/$E$4</f>
        <v>0</v>
      </c>
      <c r="AW133" s="16">
        <f>求节点(H$28:H$34,$M$28:$M$34,$AR133)*$AS133*其他调用!Y132/$E$4</f>
        <v>0</v>
      </c>
      <c r="AX133" s="16">
        <f>求节点(I$28:I$34,$M$28:$M$34,$AR133)*$AS133*其他调用!Z132/$E$4</f>
        <v>0</v>
      </c>
      <c r="AY133" s="16">
        <f>求节点(E$28:E$34,$N$28:$N$34,$AR133)*$AS133*其他调用!V132/$E$4</f>
        <v>0</v>
      </c>
      <c r="AZ133" s="16">
        <f>求节点(F$28:F$34,$N$28:$N$34,$AR133)*$AS133*其他调用!W132/$E$4</f>
        <v>0</v>
      </c>
      <c r="BA133" s="16">
        <f>求节点(G$28:G$34,$N$28:$N$34,$AR133)*$AS133*其他调用!X132/$E$4</f>
        <v>0</v>
      </c>
      <c r="BB133" s="16">
        <f>求节点(H$28:H$34,$N$28:$N$34,$AR133)*$AS133*其他调用!Y132/$E$4</f>
        <v>0</v>
      </c>
      <c r="BC133" s="16">
        <f>求节点(I$28:I$34,$N$28:$N$34,$AR133)*$AS133*其他调用!Z132/$E$4</f>
        <v>0</v>
      </c>
      <c r="BD133" s="16">
        <f>求节点(E$28:E$34,$O$28:$O$34,$AR133)*$AS133*其他调用!V132/$E$4</f>
        <v>0</v>
      </c>
      <c r="BE133" s="16">
        <f>求节点(F$28:F$34,$O$28:$O$34,$AR133)*$AS133*其他调用!W132/$E$4</f>
        <v>0</v>
      </c>
      <c r="BF133" s="16">
        <f>求节点(G$28:G$34,$O$28:$O$34,$AR133)*$AS133*其他调用!X132/$E$4</f>
        <v>0</v>
      </c>
      <c r="BG133" s="16">
        <f>求节点(H$28:H$34,$O$28:$O$34,$AR133)*$AS133*其他调用!Y132/$E$4</f>
        <v>0</v>
      </c>
      <c r="BH133" s="16">
        <f>求节点(I$28:I$34,$O$28:$O$34,$AR133)*$AS133*其他调用!Z132/$E$4</f>
        <v>0</v>
      </c>
      <c r="BK133" s="16">
        <v>129</v>
      </c>
      <c r="BL133" s="16">
        <f>SUM(AT$5:AT133)</f>
        <v>0</v>
      </c>
      <c r="BM133" s="16">
        <f>SUM(AU$5:AU133)</f>
        <v>0</v>
      </c>
      <c r="BN133" s="16">
        <f>SUM(AV$5:AV133)</f>
        <v>0</v>
      </c>
      <c r="BO133" s="16">
        <f>SUM(AW$5:AW133)</f>
        <v>0</v>
      </c>
      <c r="BP133" s="16">
        <f>SUM(AX$5:AX133)</f>
        <v>0</v>
      </c>
      <c r="BQ133" s="16">
        <f>SUM(AY$5:AY133)</f>
        <v>0</v>
      </c>
      <c r="BR133" s="16">
        <f>SUM(AZ$5:AZ133)</f>
        <v>0</v>
      </c>
      <c r="BS133" s="16">
        <f>SUM(BA$5:BA133)</f>
        <v>0</v>
      </c>
      <c r="BT133" s="16">
        <f>SUM(BB$5:BB133)</f>
        <v>0</v>
      </c>
      <c r="BU133" s="16">
        <f>SUM(BC$5:BC133)</f>
        <v>0</v>
      </c>
      <c r="BV133" s="16">
        <f>SUM(BD$5:BD133)</f>
        <v>0</v>
      </c>
      <c r="BW133" s="16">
        <f>SUM(BE$5:BE133)</f>
        <v>0</v>
      </c>
      <c r="BX133" s="16">
        <f>SUM(BF$5:BF133)</f>
        <v>0</v>
      </c>
      <c r="BY133" s="16">
        <f>SUM(BG$5:BG133)</f>
        <v>0</v>
      </c>
      <c r="BZ133" s="16">
        <f>SUM(BH$5:BH133)</f>
        <v>0</v>
      </c>
      <c r="CC133" s="16">
        <v>129</v>
      </c>
      <c r="CD133" s="16">
        <f t="shared" ref="CD133:CD164" si="72">(BL133*$E$64+BQ133*$F$64+BV133*$G$64)/$F$6</f>
        <v>0</v>
      </c>
      <c r="CE133" s="16">
        <f t="shared" ref="CE133:CE164" si="73">(BM133*$E$64+BR133*$F$64+BW133*$G$64)/$F$6</f>
        <v>0</v>
      </c>
      <c r="CF133" s="16">
        <f t="shared" ref="CF133:CF164" si="74">(BN133*$E$64+BS133*$F$64+BX133*$G$64)/$F$6</f>
        <v>0</v>
      </c>
      <c r="CG133" s="16">
        <f t="shared" ref="CG133:CG164" si="75">(BO133*$E$64+BT133*$F$64+BY133*$G$64)/$F$6</f>
        <v>0</v>
      </c>
      <c r="CH133" s="16">
        <f t="shared" ref="CH133:CH164" si="76">(BP133*$E$64+BU133*$F$64+BZ133*$G$64)/$F$6</f>
        <v>0</v>
      </c>
      <c r="CI133" s="16">
        <f t="shared" ref="CI133:CI164" si="77">(BL133*$E$65+BQ133*$F$65+BV133*$G$65)/$F$7</f>
        <v>0</v>
      </c>
      <c r="CJ133" s="16">
        <f t="shared" ref="CJ133:CJ164" si="78">(BM133*$E$65+BR133*$F$65+BW133*$G$65)/$F$7</f>
        <v>0</v>
      </c>
      <c r="CK133" s="16">
        <f t="shared" ref="CK133:CK164" si="79">(BN133*$E$65+BS133*$F$65+BX133*$G$65)/$F$7</f>
        <v>0</v>
      </c>
      <c r="CL133" s="16">
        <f t="shared" ref="CL133:CL164" si="80">(BO133*$E$65+BT133*$F$65+BY133*$G$65)/$F$7</f>
        <v>0</v>
      </c>
      <c r="CM133" s="16">
        <f t="shared" ref="CM133:CM164" si="81">(BP133*$E$65+BU133*$F$65+BZ133*$G$65)/$F$7</f>
        <v>0</v>
      </c>
      <c r="CN133" s="16">
        <f t="shared" ref="CN133:CN164" si="82">(BL133*$E$66+BQ133*$F$66+BV133*$G$66)/$F$8</f>
        <v>0</v>
      </c>
      <c r="CO133" s="16">
        <f t="shared" ref="CO133:CO164" si="83">(BM133*$E$66+BR133*$F$66+BW133*$G$66)/$F$8</f>
        <v>0</v>
      </c>
      <c r="CP133" s="16">
        <f t="shared" ref="CP133:CP164" si="84">(BN133*$E$66+BS133*$F$66+BX133*$G$66)/$F$8</f>
        <v>0</v>
      </c>
      <c r="CQ133" s="16">
        <f t="shared" ref="CQ133:CQ164" si="85">(BO133*$E$66+BT133*$F$66+BY133*$G$66)/$F$8</f>
        <v>0</v>
      </c>
      <c r="CR133" s="16">
        <f t="shared" ref="CR133:CR164" si="86">(BP133*$E$66+BU133*$F$66+BZ133*$G$66)/$F$8</f>
        <v>0</v>
      </c>
      <c r="CV133" s="16">
        <v>129</v>
      </c>
      <c r="CW133" s="35">
        <f t="shared" si="54"/>
        <v>0.13200000000000001</v>
      </c>
      <c r="CX133" s="16">
        <f>其他调用!V132/$E$4*求节点(E$28:E$34,$P$28:$P$34,$CV133)*$CW133</f>
        <v>233.09924614805524</v>
      </c>
      <c r="CY133" s="16">
        <f>其他调用!W132/$E$4*求节点(F$28:F$34,$P$28:$P$34,$CV133)*$CW133</f>
        <v>287.39870206326174</v>
      </c>
      <c r="CZ133" s="16">
        <f>其他调用!X132/$E$4*求节点(G$28:G$34,$P$28:$P$34,$CV133)*$CW133</f>
        <v>318.37592130022432</v>
      </c>
      <c r="DA133" s="16">
        <f>其他调用!Y132/$E$4*求节点(H$28:H$34,$P$28:$P$34,$CV133)*$CW133</f>
        <v>262.738784724006</v>
      </c>
      <c r="DB133" s="16">
        <f>其他调用!Z132/$E$4*求节点(I$28:I$34,$P$28:$P$34,$CV133)*$CW133</f>
        <v>139.28400406518449</v>
      </c>
      <c r="DC133" s="16">
        <f>SUM(CX$5:CX133)</f>
        <v>3453.6134074831666</v>
      </c>
      <c r="DD133" s="16">
        <f>SUM(CY$5:CY133)</f>
        <v>4259.6044217298568</v>
      </c>
      <c r="DE133" s="16">
        <f>SUM(CZ$5:CZ133)</f>
        <v>4619.5866095272413</v>
      </c>
      <c r="DF133" s="16">
        <f>SUM(DA$5:DA133)</f>
        <v>3729.8904601626832</v>
      </c>
      <c r="DG133" s="16">
        <f>SUM(DB$5:DB133)</f>
        <v>2004.4407792853965</v>
      </c>
    </row>
    <row r="134" spans="24:111">
      <c r="X134" s="16">
        <v>130</v>
      </c>
      <c r="Y134" s="45">
        <f t="shared" ref="Y134:Y164" si="87">IF($X134&lt;=$E$28,($J$29-$Y$5)/($E$28)*($X134-1)+$Y$5,求节点($E$28:$E$34,$J$28:$J$34,$X134))</f>
        <v>700</v>
      </c>
      <c r="Z134" s="24">
        <f t="shared" ref="Z134:Z164" si="88">$E$50</f>
        <v>6.8000000000000005E-2</v>
      </c>
      <c r="AA134" s="16">
        <f>$Y134*$Z134*其他调用!V133</f>
        <v>1201200.8385004024</v>
      </c>
      <c r="AB134" s="16">
        <f>$Y134*$Z134*其他调用!W133</f>
        <v>1507138.0884167298</v>
      </c>
      <c r="AC134" s="16">
        <f>$Y134*$Z134*其他调用!X133</f>
        <v>1657452.6475851622</v>
      </c>
      <c r="AD134" s="16">
        <f>$Y134*$Z134*其他调用!Y133</f>
        <v>1346194.8659022141</v>
      </c>
      <c r="AE134" s="16">
        <f>$Y134*$Z134*其他调用!Z133</f>
        <v>731416.2757872279</v>
      </c>
      <c r="AH134" s="16">
        <v>130</v>
      </c>
      <c r="AI134" s="16">
        <f>SUM(AA$5:AA134)</f>
        <v>17473830.18839027</v>
      </c>
      <c r="AJ134" s="16">
        <f>SUM(AB$5:AB134)</f>
        <v>21561933.141990222</v>
      </c>
      <c r="AK134" s="16">
        <f>SUM(AC$5:AC134)</f>
        <v>23371112.874312103</v>
      </c>
      <c r="AL134" s="16">
        <f>SUM(AD$5:AD134)</f>
        <v>18852438.033882104</v>
      </c>
      <c r="AM134" s="16">
        <f>SUM(AE$5:AE134)</f>
        <v>10132914.366110912</v>
      </c>
      <c r="AR134" s="16">
        <v>130</v>
      </c>
      <c r="AS134" s="24">
        <f t="shared" si="71"/>
        <v>6.8000000000000005E-2</v>
      </c>
      <c r="AT134" s="16">
        <f>求节点(E$28:E$34,$M$28:$M$34,$AR134)*$AS134*其他调用!V133/$E$4</f>
        <v>0</v>
      </c>
      <c r="AU134" s="16">
        <f>求节点(F$28:F$34,$M$28:$M$34,$AR134)*$AS134*其他调用!W133/$E$4</f>
        <v>0</v>
      </c>
      <c r="AV134" s="16">
        <f>求节点(G$28:G$34,$M$28:$M$34,$AR134)*$AS134*其他调用!X133/$E$4</f>
        <v>0</v>
      </c>
      <c r="AW134" s="16">
        <f>求节点(H$28:H$34,$M$28:$M$34,$AR134)*$AS134*其他调用!Y133/$E$4</f>
        <v>0</v>
      </c>
      <c r="AX134" s="16">
        <f>求节点(I$28:I$34,$M$28:$M$34,$AR134)*$AS134*其他调用!Z133/$E$4</f>
        <v>0</v>
      </c>
      <c r="AY134" s="16">
        <f>求节点(E$28:E$34,$N$28:$N$34,$AR134)*$AS134*其他调用!V133/$E$4</f>
        <v>0</v>
      </c>
      <c r="AZ134" s="16">
        <f>求节点(F$28:F$34,$N$28:$N$34,$AR134)*$AS134*其他调用!W133/$E$4</f>
        <v>0</v>
      </c>
      <c r="BA134" s="16">
        <f>求节点(G$28:G$34,$N$28:$N$34,$AR134)*$AS134*其他调用!X133/$E$4</f>
        <v>0</v>
      </c>
      <c r="BB134" s="16">
        <f>求节点(H$28:H$34,$N$28:$N$34,$AR134)*$AS134*其他调用!Y133/$E$4</f>
        <v>0</v>
      </c>
      <c r="BC134" s="16">
        <f>求节点(I$28:I$34,$N$28:$N$34,$AR134)*$AS134*其他调用!Z133/$E$4</f>
        <v>0</v>
      </c>
      <c r="BD134" s="16">
        <f>求节点(E$28:E$34,$O$28:$O$34,$AR134)*$AS134*其他调用!V133/$E$4</f>
        <v>0</v>
      </c>
      <c r="BE134" s="16">
        <f>求节点(F$28:F$34,$O$28:$O$34,$AR134)*$AS134*其他调用!W133/$E$4</f>
        <v>0</v>
      </c>
      <c r="BF134" s="16">
        <f>求节点(G$28:G$34,$O$28:$O$34,$AR134)*$AS134*其他调用!X133/$E$4</f>
        <v>0</v>
      </c>
      <c r="BG134" s="16">
        <f>求节点(H$28:H$34,$O$28:$O$34,$AR134)*$AS134*其他调用!Y133/$E$4</f>
        <v>0</v>
      </c>
      <c r="BH134" s="16">
        <f>求节点(I$28:I$34,$O$28:$O$34,$AR134)*$AS134*其他调用!Z133/$E$4</f>
        <v>0</v>
      </c>
      <c r="BK134" s="16">
        <v>130</v>
      </c>
      <c r="BL134" s="16">
        <f>SUM(AT$5:AT134)</f>
        <v>0</v>
      </c>
      <c r="BM134" s="16">
        <f>SUM(AU$5:AU134)</f>
        <v>0</v>
      </c>
      <c r="BN134" s="16">
        <f>SUM(AV$5:AV134)</f>
        <v>0</v>
      </c>
      <c r="BO134" s="16">
        <f>SUM(AW$5:AW134)</f>
        <v>0</v>
      </c>
      <c r="BP134" s="16">
        <f>SUM(AX$5:AX134)</f>
        <v>0</v>
      </c>
      <c r="BQ134" s="16">
        <f>SUM(AY$5:AY134)</f>
        <v>0</v>
      </c>
      <c r="BR134" s="16">
        <f>SUM(AZ$5:AZ134)</f>
        <v>0</v>
      </c>
      <c r="BS134" s="16">
        <f>SUM(BA$5:BA134)</f>
        <v>0</v>
      </c>
      <c r="BT134" s="16">
        <f>SUM(BB$5:BB134)</f>
        <v>0</v>
      </c>
      <c r="BU134" s="16">
        <f>SUM(BC$5:BC134)</f>
        <v>0</v>
      </c>
      <c r="BV134" s="16">
        <f>SUM(BD$5:BD134)</f>
        <v>0</v>
      </c>
      <c r="BW134" s="16">
        <f>SUM(BE$5:BE134)</f>
        <v>0</v>
      </c>
      <c r="BX134" s="16">
        <f>SUM(BF$5:BF134)</f>
        <v>0</v>
      </c>
      <c r="BY134" s="16">
        <f>SUM(BG$5:BG134)</f>
        <v>0</v>
      </c>
      <c r="BZ134" s="16">
        <f>SUM(BH$5:BH134)</f>
        <v>0</v>
      </c>
      <c r="CC134" s="16">
        <v>130</v>
      </c>
      <c r="CD134" s="16">
        <f t="shared" si="72"/>
        <v>0</v>
      </c>
      <c r="CE134" s="16">
        <f t="shared" si="73"/>
        <v>0</v>
      </c>
      <c r="CF134" s="16">
        <f t="shared" si="74"/>
        <v>0</v>
      </c>
      <c r="CG134" s="16">
        <f t="shared" si="75"/>
        <v>0</v>
      </c>
      <c r="CH134" s="16">
        <f t="shared" si="76"/>
        <v>0</v>
      </c>
      <c r="CI134" s="16">
        <f t="shared" si="77"/>
        <v>0</v>
      </c>
      <c r="CJ134" s="16">
        <f t="shared" si="78"/>
        <v>0</v>
      </c>
      <c r="CK134" s="16">
        <f t="shared" si="79"/>
        <v>0</v>
      </c>
      <c r="CL134" s="16">
        <f t="shared" si="80"/>
        <v>0</v>
      </c>
      <c r="CM134" s="16">
        <f t="shared" si="81"/>
        <v>0</v>
      </c>
      <c r="CN134" s="16">
        <f t="shared" si="82"/>
        <v>0</v>
      </c>
      <c r="CO134" s="16">
        <f t="shared" si="83"/>
        <v>0</v>
      </c>
      <c r="CP134" s="16">
        <f t="shared" si="84"/>
        <v>0</v>
      </c>
      <c r="CQ134" s="16">
        <f t="shared" si="85"/>
        <v>0</v>
      </c>
      <c r="CR134" s="16">
        <f t="shared" si="86"/>
        <v>0</v>
      </c>
      <c r="CV134" s="16">
        <v>130</v>
      </c>
      <c r="CW134" s="35">
        <f t="shared" ref="CW134:CW164" si="89">$E$49</f>
        <v>0.13200000000000001</v>
      </c>
      <c r="CX134" s="16">
        <f>其他调用!V133/$E$4*求节点(E$28:E$34,$P$28:$P$34,$CV134)*$CW134</f>
        <v>249.82958615869711</v>
      </c>
      <c r="CY134" s="16">
        <f>其他调用!W133/$E$4*求节点(F$28:F$34,$P$28:$P$34,$CV134)*$CW134</f>
        <v>313.45939233877363</v>
      </c>
      <c r="CZ134" s="16">
        <f>其他调用!X133/$E$4*求节点(G$28:G$34,$P$28:$P$34,$CV134)*$CW134</f>
        <v>344.72229435069545</v>
      </c>
      <c r="DA134" s="16">
        <f>其他调用!Y133/$E$4*求节点(H$28:H$34,$P$28:$P$34,$CV134)*$CW134</f>
        <v>279.9859069838638</v>
      </c>
      <c r="DB134" s="16">
        <f>其他调用!Z133/$E$4*求节点(I$28:I$34,$P$28:$P$34,$CV134)*$CW134</f>
        <v>152.12229265322597</v>
      </c>
      <c r="DC134" s="16">
        <f>SUM(CX$5:CX134)</f>
        <v>3703.4429936418637</v>
      </c>
      <c r="DD134" s="16">
        <f>SUM(CY$5:CY134)</f>
        <v>4573.0638140686306</v>
      </c>
      <c r="DE134" s="16">
        <f>SUM(CZ$5:CZ134)</f>
        <v>4964.3089038779372</v>
      </c>
      <c r="DF134" s="16">
        <f>SUM(DA$5:DA134)</f>
        <v>4009.8763671465472</v>
      </c>
      <c r="DG134" s="16">
        <f>SUM(DB$5:DB134)</f>
        <v>2156.5630719386227</v>
      </c>
    </row>
    <row r="135" spans="24:111">
      <c r="X135" s="16">
        <v>131</v>
      </c>
      <c r="Y135" s="45">
        <f t="shared" si="87"/>
        <v>700</v>
      </c>
      <c r="Z135" s="24">
        <f t="shared" si="88"/>
        <v>6.8000000000000005E-2</v>
      </c>
      <c r="AA135" s="16">
        <f>$Y135*$Z135*其他调用!V134</f>
        <v>1287415.1818810808</v>
      </c>
      <c r="AB135" s="16">
        <f>$Y135*$Z135*其他调用!W134</f>
        <v>1600387.2534025426</v>
      </c>
      <c r="AC135" s="16">
        <f>$Y135*$Z135*其他调用!X134</f>
        <v>1746010.2132395231</v>
      </c>
      <c r="AD135" s="16">
        <f>$Y135*$Z135*其他调用!Y134</f>
        <v>1437955.5827423641</v>
      </c>
      <c r="AE135" s="16">
        <f>$Y135*$Z135*其他调用!Z134</f>
        <v>739161.61477452761</v>
      </c>
      <c r="AH135" s="16">
        <v>131</v>
      </c>
      <c r="AI135" s="16">
        <f>SUM(AA$5:AA135)</f>
        <v>18761245.370271351</v>
      </c>
      <c r="AJ135" s="16">
        <f>SUM(AB$5:AB135)</f>
        <v>23162320.395392764</v>
      </c>
      <c r="AK135" s="16">
        <f>SUM(AC$5:AC135)</f>
        <v>25117123.087551627</v>
      </c>
      <c r="AL135" s="16">
        <f>SUM(AD$5:AD135)</f>
        <v>20290393.616624467</v>
      </c>
      <c r="AM135" s="16">
        <f>SUM(AE$5:AE135)</f>
        <v>10872075.980885439</v>
      </c>
      <c r="AR135" s="16">
        <v>131</v>
      </c>
      <c r="AS135" s="24">
        <f t="shared" si="71"/>
        <v>6.8000000000000005E-2</v>
      </c>
      <c r="AT135" s="16">
        <f>求节点(E$28:E$34,$M$28:$M$34,$AR135)*$AS135*其他调用!V134/$E$4</f>
        <v>0</v>
      </c>
      <c r="AU135" s="16">
        <f>求节点(F$28:F$34,$M$28:$M$34,$AR135)*$AS135*其他调用!W134/$E$4</f>
        <v>0</v>
      </c>
      <c r="AV135" s="16">
        <f>求节点(G$28:G$34,$M$28:$M$34,$AR135)*$AS135*其他调用!X134/$E$4</f>
        <v>0</v>
      </c>
      <c r="AW135" s="16">
        <f>求节点(H$28:H$34,$M$28:$M$34,$AR135)*$AS135*其他调用!Y134/$E$4</f>
        <v>0</v>
      </c>
      <c r="AX135" s="16">
        <f>求节点(I$28:I$34,$M$28:$M$34,$AR135)*$AS135*其他调用!Z134/$E$4</f>
        <v>0</v>
      </c>
      <c r="AY135" s="16">
        <f>求节点(E$28:E$34,$N$28:$N$34,$AR135)*$AS135*其他调用!V134/$E$4</f>
        <v>0</v>
      </c>
      <c r="AZ135" s="16">
        <f>求节点(F$28:F$34,$N$28:$N$34,$AR135)*$AS135*其他调用!W134/$E$4</f>
        <v>0</v>
      </c>
      <c r="BA135" s="16">
        <f>求节点(G$28:G$34,$N$28:$N$34,$AR135)*$AS135*其他调用!X134/$E$4</f>
        <v>0</v>
      </c>
      <c r="BB135" s="16">
        <f>求节点(H$28:H$34,$N$28:$N$34,$AR135)*$AS135*其他调用!Y134/$E$4</f>
        <v>0</v>
      </c>
      <c r="BC135" s="16">
        <f>求节点(I$28:I$34,$N$28:$N$34,$AR135)*$AS135*其他调用!Z134/$E$4</f>
        <v>0</v>
      </c>
      <c r="BD135" s="16">
        <f>求节点(E$28:E$34,$O$28:$O$34,$AR135)*$AS135*其他调用!V134/$E$4</f>
        <v>0</v>
      </c>
      <c r="BE135" s="16">
        <f>求节点(F$28:F$34,$O$28:$O$34,$AR135)*$AS135*其他调用!W134/$E$4</f>
        <v>0</v>
      </c>
      <c r="BF135" s="16">
        <f>求节点(G$28:G$34,$O$28:$O$34,$AR135)*$AS135*其他调用!X134/$E$4</f>
        <v>0</v>
      </c>
      <c r="BG135" s="16">
        <f>求节点(H$28:H$34,$O$28:$O$34,$AR135)*$AS135*其他调用!Y134/$E$4</f>
        <v>0</v>
      </c>
      <c r="BH135" s="16">
        <f>求节点(I$28:I$34,$O$28:$O$34,$AR135)*$AS135*其他调用!Z134/$E$4</f>
        <v>0</v>
      </c>
      <c r="BK135" s="16">
        <v>131</v>
      </c>
      <c r="BL135" s="16">
        <f>SUM(AT$5:AT135)</f>
        <v>0</v>
      </c>
      <c r="BM135" s="16">
        <f>SUM(AU$5:AU135)</f>
        <v>0</v>
      </c>
      <c r="BN135" s="16">
        <f>SUM(AV$5:AV135)</f>
        <v>0</v>
      </c>
      <c r="BO135" s="16">
        <f>SUM(AW$5:AW135)</f>
        <v>0</v>
      </c>
      <c r="BP135" s="16">
        <f>SUM(AX$5:AX135)</f>
        <v>0</v>
      </c>
      <c r="BQ135" s="16">
        <f>SUM(AY$5:AY135)</f>
        <v>0</v>
      </c>
      <c r="BR135" s="16">
        <f>SUM(AZ$5:AZ135)</f>
        <v>0</v>
      </c>
      <c r="BS135" s="16">
        <f>SUM(BA$5:BA135)</f>
        <v>0</v>
      </c>
      <c r="BT135" s="16">
        <f>SUM(BB$5:BB135)</f>
        <v>0</v>
      </c>
      <c r="BU135" s="16">
        <f>SUM(BC$5:BC135)</f>
        <v>0</v>
      </c>
      <c r="BV135" s="16">
        <f>SUM(BD$5:BD135)</f>
        <v>0</v>
      </c>
      <c r="BW135" s="16">
        <f>SUM(BE$5:BE135)</f>
        <v>0</v>
      </c>
      <c r="BX135" s="16">
        <f>SUM(BF$5:BF135)</f>
        <v>0</v>
      </c>
      <c r="BY135" s="16">
        <f>SUM(BG$5:BG135)</f>
        <v>0</v>
      </c>
      <c r="BZ135" s="16">
        <f>SUM(BH$5:BH135)</f>
        <v>0</v>
      </c>
      <c r="CC135" s="16">
        <v>131</v>
      </c>
      <c r="CD135" s="16">
        <f t="shared" si="72"/>
        <v>0</v>
      </c>
      <c r="CE135" s="16">
        <f t="shared" si="73"/>
        <v>0</v>
      </c>
      <c r="CF135" s="16">
        <f t="shared" si="74"/>
        <v>0</v>
      </c>
      <c r="CG135" s="16">
        <f t="shared" si="75"/>
        <v>0</v>
      </c>
      <c r="CH135" s="16">
        <f t="shared" si="76"/>
        <v>0</v>
      </c>
      <c r="CI135" s="16">
        <f t="shared" si="77"/>
        <v>0</v>
      </c>
      <c r="CJ135" s="16">
        <f t="shared" si="78"/>
        <v>0</v>
      </c>
      <c r="CK135" s="16">
        <f t="shared" si="79"/>
        <v>0</v>
      </c>
      <c r="CL135" s="16">
        <f t="shared" si="80"/>
        <v>0</v>
      </c>
      <c r="CM135" s="16">
        <f t="shared" si="81"/>
        <v>0</v>
      </c>
      <c r="CN135" s="16">
        <f t="shared" si="82"/>
        <v>0</v>
      </c>
      <c r="CO135" s="16">
        <f t="shared" si="83"/>
        <v>0</v>
      </c>
      <c r="CP135" s="16">
        <f t="shared" si="84"/>
        <v>0</v>
      </c>
      <c r="CQ135" s="16">
        <f t="shared" si="85"/>
        <v>0</v>
      </c>
      <c r="CR135" s="16">
        <f t="shared" si="86"/>
        <v>0</v>
      </c>
      <c r="CV135" s="16">
        <v>131</v>
      </c>
      <c r="CW135" s="35">
        <f t="shared" si="89"/>
        <v>0.13200000000000001</v>
      </c>
      <c r="CX135" s="16">
        <f>其他调用!V134/$E$4*求节点(E$28:E$34,$P$28:$P$34,$CV135)*$CW135</f>
        <v>267.76072060131725</v>
      </c>
      <c r="CY135" s="16">
        <f>其他调用!W134/$E$4*求节点(F$28:F$34,$P$28:$P$34,$CV135)*$CW135</f>
        <v>332.85365144296583</v>
      </c>
      <c r="CZ135" s="16">
        <f>其他调用!X134/$E$4*求节点(G$28:G$34,$P$28:$P$34,$CV135)*$CW135</f>
        <v>363.14077964435461</v>
      </c>
      <c r="DA135" s="16">
        <f>其他调用!Y134/$E$4*求节点(H$28:H$34,$P$28:$P$34,$CV135)*$CW135</f>
        <v>299.07059388969338</v>
      </c>
      <c r="DB135" s="16">
        <f>其他调用!Z134/$E$4*求节点(I$28:I$34,$P$28:$P$34,$CV135)*$CW135</f>
        <v>153.73319298881978</v>
      </c>
      <c r="DC135" s="16">
        <f>SUM(CX$5:CX135)</f>
        <v>3971.2037142431809</v>
      </c>
      <c r="DD135" s="16">
        <f>SUM(CY$5:CY135)</f>
        <v>4905.9174655115967</v>
      </c>
      <c r="DE135" s="16">
        <f>SUM(CZ$5:CZ135)</f>
        <v>5327.4496835222917</v>
      </c>
      <c r="DF135" s="16">
        <f>SUM(DA$5:DA135)</f>
        <v>4308.9469610362403</v>
      </c>
      <c r="DG135" s="16">
        <f>SUM(DB$5:DB135)</f>
        <v>2310.2962649274423</v>
      </c>
    </row>
    <row r="136" spans="24:111">
      <c r="X136" s="16">
        <v>132</v>
      </c>
      <c r="Y136" s="45">
        <f t="shared" si="87"/>
        <v>700</v>
      </c>
      <c r="Z136" s="24">
        <f t="shared" si="88"/>
        <v>6.8000000000000005E-2</v>
      </c>
      <c r="AA136" s="16">
        <f>$Y136*$Z136*其他调用!V135</f>
        <v>1379817.4272064562</v>
      </c>
      <c r="AB136" s="16">
        <f>$Y136*$Z136*其他调用!W135</f>
        <v>1722058.0970653303</v>
      </c>
      <c r="AC136" s="16">
        <f>$Y136*$Z136*其他调用!X135</f>
        <v>1909646.3374483394</v>
      </c>
      <c r="AD136" s="16">
        <f>$Y136*$Z136*其他调用!Y135</f>
        <v>1470751.7848658096</v>
      </c>
      <c r="AE136" s="16">
        <f>$Y136*$Z136*其他调用!Z135</f>
        <v>763917.14471648738</v>
      </c>
      <c r="AH136" s="16">
        <v>132</v>
      </c>
      <c r="AI136" s="16">
        <f>SUM(AA$5:AA136)</f>
        <v>20141062.797477808</v>
      </c>
      <c r="AJ136" s="16">
        <f>SUM(AB$5:AB136)</f>
        <v>24884378.492458094</v>
      </c>
      <c r="AK136" s="16">
        <f>SUM(AC$5:AC136)</f>
        <v>27026769.424999967</v>
      </c>
      <c r="AL136" s="16">
        <f>SUM(AD$5:AD136)</f>
        <v>21761145.401490279</v>
      </c>
      <c r="AM136" s="16">
        <f>SUM(AE$5:AE136)</f>
        <v>11635993.125601927</v>
      </c>
      <c r="AR136" s="16">
        <v>132</v>
      </c>
      <c r="AS136" s="24">
        <f t="shared" si="71"/>
        <v>6.8000000000000005E-2</v>
      </c>
      <c r="AT136" s="16">
        <f>求节点(E$28:E$34,$M$28:$M$34,$AR136)*$AS136*其他调用!V135/$E$4</f>
        <v>0</v>
      </c>
      <c r="AU136" s="16">
        <f>求节点(F$28:F$34,$M$28:$M$34,$AR136)*$AS136*其他调用!W135/$E$4</f>
        <v>0</v>
      </c>
      <c r="AV136" s="16">
        <f>求节点(G$28:G$34,$M$28:$M$34,$AR136)*$AS136*其他调用!X135/$E$4</f>
        <v>0</v>
      </c>
      <c r="AW136" s="16">
        <f>求节点(H$28:H$34,$M$28:$M$34,$AR136)*$AS136*其他调用!Y135/$E$4</f>
        <v>0</v>
      </c>
      <c r="AX136" s="16">
        <f>求节点(I$28:I$34,$M$28:$M$34,$AR136)*$AS136*其他调用!Z135/$E$4</f>
        <v>0</v>
      </c>
      <c r="AY136" s="16">
        <f>求节点(E$28:E$34,$N$28:$N$34,$AR136)*$AS136*其他调用!V135/$E$4</f>
        <v>0</v>
      </c>
      <c r="AZ136" s="16">
        <f>求节点(F$28:F$34,$N$28:$N$34,$AR136)*$AS136*其他调用!W135/$E$4</f>
        <v>0</v>
      </c>
      <c r="BA136" s="16">
        <f>求节点(G$28:G$34,$N$28:$N$34,$AR136)*$AS136*其他调用!X135/$E$4</f>
        <v>0</v>
      </c>
      <c r="BB136" s="16">
        <f>求节点(H$28:H$34,$N$28:$N$34,$AR136)*$AS136*其他调用!Y135/$E$4</f>
        <v>0</v>
      </c>
      <c r="BC136" s="16">
        <f>求节点(I$28:I$34,$N$28:$N$34,$AR136)*$AS136*其他调用!Z135/$E$4</f>
        <v>0</v>
      </c>
      <c r="BD136" s="16">
        <f>求节点(E$28:E$34,$O$28:$O$34,$AR136)*$AS136*其他调用!V135/$E$4</f>
        <v>0</v>
      </c>
      <c r="BE136" s="16">
        <f>求节点(F$28:F$34,$O$28:$O$34,$AR136)*$AS136*其他调用!W135/$E$4</f>
        <v>0</v>
      </c>
      <c r="BF136" s="16">
        <f>求节点(G$28:G$34,$O$28:$O$34,$AR136)*$AS136*其他调用!X135/$E$4</f>
        <v>0</v>
      </c>
      <c r="BG136" s="16">
        <f>求节点(H$28:H$34,$O$28:$O$34,$AR136)*$AS136*其他调用!Y135/$E$4</f>
        <v>0</v>
      </c>
      <c r="BH136" s="16">
        <f>求节点(I$28:I$34,$O$28:$O$34,$AR136)*$AS136*其他调用!Z135/$E$4</f>
        <v>0</v>
      </c>
      <c r="BK136" s="16">
        <v>132</v>
      </c>
      <c r="BL136" s="16">
        <f>SUM(AT$5:AT136)</f>
        <v>0</v>
      </c>
      <c r="BM136" s="16">
        <f>SUM(AU$5:AU136)</f>
        <v>0</v>
      </c>
      <c r="BN136" s="16">
        <f>SUM(AV$5:AV136)</f>
        <v>0</v>
      </c>
      <c r="BO136" s="16">
        <f>SUM(AW$5:AW136)</f>
        <v>0</v>
      </c>
      <c r="BP136" s="16">
        <f>SUM(AX$5:AX136)</f>
        <v>0</v>
      </c>
      <c r="BQ136" s="16">
        <f>SUM(AY$5:AY136)</f>
        <v>0</v>
      </c>
      <c r="BR136" s="16">
        <f>SUM(AZ$5:AZ136)</f>
        <v>0</v>
      </c>
      <c r="BS136" s="16">
        <f>SUM(BA$5:BA136)</f>
        <v>0</v>
      </c>
      <c r="BT136" s="16">
        <f>SUM(BB$5:BB136)</f>
        <v>0</v>
      </c>
      <c r="BU136" s="16">
        <f>SUM(BC$5:BC136)</f>
        <v>0</v>
      </c>
      <c r="BV136" s="16">
        <f>SUM(BD$5:BD136)</f>
        <v>0</v>
      </c>
      <c r="BW136" s="16">
        <f>SUM(BE$5:BE136)</f>
        <v>0</v>
      </c>
      <c r="BX136" s="16">
        <f>SUM(BF$5:BF136)</f>
        <v>0</v>
      </c>
      <c r="BY136" s="16">
        <f>SUM(BG$5:BG136)</f>
        <v>0</v>
      </c>
      <c r="BZ136" s="16">
        <f>SUM(BH$5:BH136)</f>
        <v>0</v>
      </c>
      <c r="CC136" s="16">
        <v>132</v>
      </c>
      <c r="CD136" s="16">
        <f t="shared" si="72"/>
        <v>0</v>
      </c>
      <c r="CE136" s="16">
        <f t="shared" si="73"/>
        <v>0</v>
      </c>
      <c r="CF136" s="16">
        <f t="shared" si="74"/>
        <v>0</v>
      </c>
      <c r="CG136" s="16">
        <f t="shared" si="75"/>
        <v>0</v>
      </c>
      <c r="CH136" s="16">
        <f t="shared" si="76"/>
        <v>0</v>
      </c>
      <c r="CI136" s="16">
        <f t="shared" si="77"/>
        <v>0</v>
      </c>
      <c r="CJ136" s="16">
        <f t="shared" si="78"/>
        <v>0</v>
      </c>
      <c r="CK136" s="16">
        <f t="shared" si="79"/>
        <v>0</v>
      </c>
      <c r="CL136" s="16">
        <f t="shared" si="80"/>
        <v>0</v>
      </c>
      <c r="CM136" s="16">
        <f t="shared" si="81"/>
        <v>0</v>
      </c>
      <c r="CN136" s="16">
        <f t="shared" si="82"/>
        <v>0</v>
      </c>
      <c r="CO136" s="16">
        <f t="shared" si="83"/>
        <v>0</v>
      </c>
      <c r="CP136" s="16">
        <f t="shared" si="84"/>
        <v>0</v>
      </c>
      <c r="CQ136" s="16">
        <f t="shared" si="85"/>
        <v>0</v>
      </c>
      <c r="CR136" s="16">
        <f t="shared" si="86"/>
        <v>0</v>
      </c>
      <c r="CV136" s="16">
        <v>132</v>
      </c>
      <c r="CW136" s="35">
        <f t="shared" si="89"/>
        <v>0.13200000000000001</v>
      </c>
      <c r="CX136" s="16">
        <f>其他调用!V135/$E$4*求节点(E$28:E$34,$P$28:$P$34,$CV136)*$CW136</f>
        <v>286.97883465008226</v>
      </c>
      <c r="CY136" s="16">
        <f>其他调用!W135/$E$4*求节点(F$28:F$34,$P$28:$P$34,$CV136)*$CW136</f>
        <v>358.15914203669684</v>
      </c>
      <c r="CZ136" s="16">
        <f>其他调用!X135/$E$4*求节点(G$28:G$34,$P$28:$P$34,$CV136)*$CW136</f>
        <v>397.1743432928269</v>
      </c>
      <c r="DA136" s="16">
        <f>其他调用!Y135/$E$4*求节点(H$28:H$34,$P$28:$P$34,$CV136)*$CW136</f>
        <v>305.89165273469564</v>
      </c>
      <c r="DB136" s="16">
        <f>其他调用!Z135/$E$4*求节点(I$28:I$34,$P$28:$P$34,$CV136)*$CW136</f>
        <v>158.88192715742071</v>
      </c>
      <c r="DC136" s="16">
        <f>SUM(CX$5:CX136)</f>
        <v>4258.1825488932627</v>
      </c>
      <c r="DD136" s="16">
        <f>SUM(CY$5:CY136)</f>
        <v>5264.0766075482934</v>
      </c>
      <c r="DE136" s="16">
        <f>SUM(CZ$5:CZ136)</f>
        <v>5724.6240268151187</v>
      </c>
      <c r="DF136" s="16">
        <f>SUM(DA$5:DA136)</f>
        <v>4614.8386137709358</v>
      </c>
      <c r="DG136" s="16">
        <f>SUM(DB$5:DB136)</f>
        <v>2469.178192084863</v>
      </c>
    </row>
    <row r="137" spans="24:111">
      <c r="X137" s="16">
        <v>133</v>
      </c>
      <c r="Y137" s="45">
        <f t="shared" si="87"/>
        <v>700</v>
      </c>
      <c r="Z137" s="24">
        <f t="shared" si="88"/>
        <v>6.8000000000000005E-2</v>
      </c>
      <c r="AA137" s="16">
        <f>$Y137*$Z137*其他调用!V136</f>
        <v>1478851.7016250216</v>
      </c>
      <c r="AB137" s="16">
        <f>$Y137*$Z137*其他调用!W136</f>
        <v>1846948.6945117838</v>
      </c>
      <c r="AC137" s="16">
        <f>$Y137*$Z137*其他调用!X136</f>
        <v>1911314.1150753691</v>
      </c>
      <c r="AD137" s="16">
        <f>$Y137*$Z137*其他调用!Y136</f>
        <v>1485660.4610672907</v>
      </c>
      <c r="AE137" s="16">
        <f>$Y137*$Z137*其他调用!Z136</f>
        <v>806208.27661493176</v>
      </c>
      <c r="AH137" s="16">
        <v>133</v>
      </c>
      <c r="AI137" s="16">
        <f>SUM(AA$5:AA137)</f>
        <v>21619914.499102831</v>
      </c>
      <c r="AJ137" s="16">
        <f>SUM(AB$5:AB137)</f>
        <v>26731327.186969876</v>
      </c>
      <c r="AK137" s="16">
        <f>SUM(AC$5:AC137)</f>
        <v>28938083.540075336</v>
      </c>
      <c r="AL137" s="16">
        <f>SUM(AD$5:AD137)</f>
        <v>23246805.862557568</v>
      </c>
      <c r="AM137" s="16">
        <f>SUM(AE$5:AE137)</f>
        <v>12442201.402216859</v>
      </c>
      <c r="AR137" s="16">
        <v>133</v>
      </c>
      <c r="AS137" s="24">
        <f t="shared" si="71"/>
        <v>6.8000000000000005E-2</v>
      </c>
      <c r="AT137" s="16">
        <f>求节点(E$28:E$34,$M$28:$M$34,$AR137)*$AS137*其他调用!V136/$E$4</f>
        <v>0</v>
      </c>
      <c r="AU137" s="16">
        <f>求节点(F$28:F$34,$M$28:$M$34,$AR137)*$AS137*其他调用!W136/$E$4</f>
        <v>0</v>
      </c>
      <c r="AV137" s="16">
        <f>求节点(G$28:G$34,$M$28:$M$34,$AR137)*$AS137*其他调用!X136/$E$4</f>
        <v>0</v>
      </c>
      <c r="AW137" s="16">
        <f>求节点(H$28:H$34,$M$28:$M$34,$AR137)*$AS137*其他调用!Y136/$E$4</f>
        <v>0</v>
      </c>
      <c r="AX137" s="16">
        <f>求节点(I$28:I$34,$M$28:$M$34,$AR137)*$AS137*其他调用!Z136/$E$4</f>
        <v>0</v>
      </c>
      <c r="AY137" s="16">
        <f>求节点(E$28:E$34,$N$28:$N$34,$AR137)*$AS137*其他调用!V136/$E$4</f>
        <v>0</v>
      </c>
      <c r="AZ137" s="16">
        <f>求节点(F$28:F$34,$N$28:$N$34,$AR137)*$AS137*其他调用!W136/$E$4</f>
        <v>0</v>
      </c>
      <c r="BA137" s="16">
        <f>求节点(G$28:G$34,$N$28:$N$34,$AR137)*$AS137*其他调用!X136/$E$4</f>
        <v>0</v>
      </c>
      <c r="BB137" s="16">
        <f>求节点(H$28:H$34,$N$28:$N$34,$AR137)*$AS137*其他调用!Y136/$E$4</f>
        <v>0</v>
      </c>
      <c r="BC137" s="16">
        <f>求节点(I$28:I$34,$N$28:$N$34,$AR137)*$AS137*其他调用!Z136/$E$4</f>
        <v>0</v>
      </c>
      <c r="BD137" s="16">
        <f>求节点(E$28:E$34,$O$28:$O$34,$AR137)*$AS137*其他调用!V136/$E$4</f>
        <v>0</v>
      </c>
      <c r="BE137" s="16">
        <f>求节点(F$28:F$34,$O$28:$O$34,$AR137)*$AS137*其他调用!W136/$E$4</f>
        <v>0</v>
      </c>
      <c r="BF137" s="16">
        <f>求节点(G$28:G$34,$O$28:$O$34,$AR137)*$AS137*其他调用!X136/$E$4</f>
        <v>0</v>
      </c>
      <c r="BG137" s="16">
        <f>求节点(H$28:H$34,$O$28:$O$34,$AR137)*$AS137*其他调用!Y136/$E$4</f>
        <v>0</v>
      </c>
      <c r="BH137" s="16">
        <f>求节点(I$28:I$34,$O$28:$O$34,$AR137)*$AS137*其他调用!Z136/$E$4</f>
        <v>0</v>
      </c>
      <c r="BK137" s="16">
        <v>133</v>
      </c>
      <c r="BL137" s="16">
        <f>SUM(AT$5:AT137)</f>
        <v>0</v>
      </c>
      <c r="BM137" s="16">
        <f>SUM(AU$5:AU137)</f>
        <v>0</v>
      </c>
      <c r="BN137" s="16">
        <f>SUM(AV$5:AV137)</f>
        <v>0</v>
      </c>
      <c r="BO137" s="16">
        <f>SUM(AW$5:AW137)</f>
        <v>0</v>
      </c>
      <c r="BP137" s="16">
        <f>SUM(AX$5:AX137)</f>
        <v>0</v>
      </c>
      <c r="BQ137" s="16">
        <f>SUM(AY$5:AY137)</f>
        <v>0</v>
      </c>
      <c r="BR137" s="16">
        <f>SUM(AZ$5:AZ137)</f>
        <v>0</v>
      </c>
      <c r="BS137" s="16">
        <f>SUM(BA$5:BA137)</f>
        <v>0</v>
      </c>
      <c r="BT137" s="16">
        <f>SUM(BB$5:BB137)</f>
        <v>0</v>
      </c>
      <c r="BU137" s="16">
        <f>SUM(BC$5:BC137)</f>
        <v>0</v>
      </c>
      <c r="BV137" s="16">
        <f>SUM(BD$5:BD137)</f>
        <v>0</v>
      </c>
      <c r="BW137" s="16">
        <f>SUM(BE$5:BE137)</f>
        <v>0</v>
      </c>
      <c r="BX137" s="16">
        <f>SUM(BF$5:BF137)</f>
        <v>0</v>
      </c>
      <c r="BY137" s="16">
        <f>SUM(BG$5:BG137)</f>
        <v>0</v>
      </c>
      <c r="BZ137" s="16">
        <f>SUM(BH$5:BH137)</f>
        <v>0</v>
      </c>
      <c r="CC137" s="16">
        <v>133</v>
      </c>
      <c r="CD137" s="16">
        <f t="shared" si="72"/>
        <v>0</v>
      </c>
      <c r="CE137" s="16">
        <f t="shared" si="73"/>
        <v>0</v>
      </c>
      <c r="CF137" s="16">
        <f t="shared" si="74"/>
        <v>0</v>
      </c>
      <c r="CG137" s="16">
        <f t="shared" si="75"/>
        <v>0</v>
      </c>
      <c r="CH137" s="16">
        <f t="shared" si="76"/>
        <v>0</v>
      </c>
      <c r="CI137" s="16">
        <f t="shared" si="77"/>
        <v>0</v>
      </c>
      <c r="CJ137" s="16">
        <f t="shared" si="78"/>
        <v>0</v>
      </c>
      <c r="CK137" s="16">
        <f t="shared" si="79"/>
        <v>0</v>
      </c>
      <c r="CL137" s="16">
        <f t="shared" si="80"/>
        <v>0</v>
      </c>
      <c r="CM137" s="16">
        <f t="shared" si="81"/>
        <v>0</v>
      </c>
      <c r="CN137" s="16">
        <f t="shared" si="82"/>
        <v>0</v>
      </c>
      <c r="CO137" s="16">
        <f t="shared" si="83"/>
        <v>0</v>
      </c>
      <c r="CP137" s="16">
        <f t="shared" si="84"/>
        <v>0</v>
      </c>
      <c r="CQ137" s="16">
        <f t="shared" si="85"/>
        <v>0</v>
      </c>
      <c r="CR137" s="16">
        <f t="shared" si="86"/>
        <v>0</v>
      </c>
      <c r="CV137" s="16">
        <v>133</v>
      </c>
      <c r="CW137" s="35">
        <f t="shared" si="89"/>
        <v>0.13200000000000001</v>
      </c>
      <c r="CX137" s="16">
        <f>其他调用!V136/$E$4*求节点(E$28:E$34,$P$28:$P$34,$CV137)*$CW137</f>
        <v>307.57629928755705</v>
      </c>
      <c r="CY137" s="16">
        <f>其他调用!W136/$E$4*求节点(F$28:F$34,$P$28:$P$34,$CV137)*$CW137</f>
        <v>384.13428730392144</v>
      </c>
      <c r="CZ137" s="16">
        <f>其他调用!X136/$E$4*求节点(G$28:G$34,$P$28:$P$34,$CV137)*$CW137</f>
        <v>397.52121300937301</v>
      </c>
      <c r="DA137" s="16">
        <f>其他调用!Y136/$E$4*求节点(H$28:H$34,$P$28:$P$34,$CV137)*$CW137</f>
        <v>308.99240681861716</v>
      </c>
      <c r="DB137" s="16">
        <f>其他调用!Z136/$E$4*求节点(I$28:I$34,$P$28:$P$34,$CV137)*$CW137</f>
        <v>167.67777181697113</v>
      </c>
      <c r="DC137" s="16">
        <f>SUM(CX$5:CX137)</f>
        <v>4565.7588481808198</v>
      </c>
      <c r="DD137" s="16">
        <f>SUM(CY$5:CY137)</f>
        <v>5648.2108948522146</v>
      </c>
      <c r="DE137" s="16">
        <f>SUM(CZ$5:CZ137)</f>
        <v>6122.1452398244919</v>
      </c>
      <c r="DF137" s="16">
        <f>SUM(DA$5:DA137)</f>
        <v>4923.8310205895532</v>
      </c>
      <c r="DG137" s="16">
        <f>SUM(DB$5:DB137)</f>
        <v>2636.855963901834</v>
      </c>
    </row>
    <row r="138" spans="24:111">
      <c r="X138" s="16">
        <v>134</v>
      </c>
      <c r="Y138" s="45">
        <f t="shared" si="87"/>
        <v>700</v>
      </c>
      <c r="Z138" s="24">
        <f t="shared" si="88"/>
        <v>6.8000000000000005E-2</v>
      </c>
      <c r="AA138" s="16">
        <f>$Y138*$Z138*其他调用!V137</f>
        <v>1584994.0088283021</v>
      </c>
      <c r="AB138" s="16">
        <f>$Y138*$Z138*其他调用!W137</f>
        <v>1877485.3496386395</v>
      </c>
      <c r="AC138" s="16">
        <f>$Y138*$Z138*其他调用!X137</f>
        <v>1977620.0298126668</v>
      </c>
      <c r="AD138" s="16">
        <f>$Y138*$Z138*其他调用!Y137</f>
        <v>1605324.51469247</v>
      </c>
      <c r="AE138" s="16">
        <f>$Y138*$Z138*其他调用!Z137</f>
        <v>881719.86261369463</v>
      </c>
      <c r="AH138" s="16">
        <v>134</v>
      </c>
      <c r="AI138" s="16">
        <f>SUM(AA$5:AA138)</f>
        <v>23204908.507931132</v>
      </c>
      <c r="AJ138" s="16">
        <f>SUM(AB$5:AB138)</f>
        <v>28608812.536608517</v>
      </c>
      <c r="AK138" s="16">
        <f>SUM(AC$5:AC138)</f>
        <v>30915703.569888003</v>
      </c>
      <c r="AL138" s="16">
        <f>SUM(AD$5:AD138)</f>
        <v>24852130.377250038</v>
      </c>
      <c r="AM138" s="16">
        <f>SUM(AE$5:AE138)</f>
        <v>13323921.264830554</v>
      </c>
      <c r="AR138" s="16">
        <v>134</v>
      </c>
      <c r="AS138" s="24">
        <f t="shared" si="71"/>
        <v>6.8000000000000005E-2</v>
      </c>
      <c r="AT138" s="16">
        <f>求节点(E$28:E$34,$M$28:$M$34,$AR138)*$AS138*其他调用!V137/$E$4</f>
        <v>0</v>
      </c>
      <c r="AU138" s="16">
        <f>求节点(F$28:F$34,$M$28:$M$34,$AR138)*$AS138*其他调用!W137/$E$4</f>
        <v>0</v>
      </c>
      <c r="AV138" s="16">
        <f>求节点(G$28:G$34,$M$28:$M$34,$AR138)*$AS138*其他调用!X137/$E$4</f>
        <v>0</v>
      </c>
      <c r="AW138" s="16">
        <f>求节点(H$28:H$34,$M$28:$M$34,$AR138)*$AS138*其他调用!Y137/$E$4</f>
        <v>0</v>
      </c>
      <c r="AX138" s="16">
        <f>求节点(I$28:I$34,$M$28:$M$34,$AR138)*$AS138*其他调用!Z137/$E$4</f>
        <v>0</v>
      </c>
      <c r="AY138" s="16">
        <f>求节点(E$28:E$34,$N$28:$N$34,$AR138)*$AS138*其他调用!V137/$E$4</f>
        <v>0</v>
      </c>
      <c r="AZ138" s="16">
        <f>求节点(F$28:F$34,$N$28:$N$34,$AR138)*$AS138*其他调用!W137/$E$4</f>
        <v>0</v>
      </c>
      <c r="BA138" s="16">
        <f>求节点(G$28:G$34,$N$28:$N$34,$AR138)*$AS138*其他调用!X137/$E$4</f>
        <v>0</v>
      </c>
      <c r="BB138" s="16">
        <f>求节点(H$28:H$34,$N$28:$N$34,$AR138)*$AS138*其他调用!Y137/$E$4</f>
        <v>0</v>
      </c>
      <c r="BC138" s="16">
        <f>求节点(I$28:I$34,$N$28:$N$34,$AR138)*$AS138*其他调用!Z137/$E$4</f>
        <v>0</v>
      </c>
      <c r="BD138" s="16">
        <f>求节点(E$28:E$34,$O$28:$O$34,$AR138)*$AS138*其他调用!V137/$E$4</f>
        <v>0</v>
      </c>
      <c r="BE138" s="16">
        <f>求节点(F$28:F$34,$O$28:$O$34,$AR138)*$AS138*其他调用!W137/$E$4</f>
        <v>0</v>
      </c>
      <c r="BF138" s="16">
        <f>求节点(G$28:G$34,$O$28:$O$34,$AR138)*$AS138*其他调用!X137/$E$4</f>
        <v>0</v>
      </c>
      <c r="BG138" s="16">
        <f>求节点(H$28:H$34,$O$28:$O$34,$AR138)*$AS138*其他调用!Y137/$E$4</f>
        <v>0</v>
      </c>
      <c r="BH138" s="16">
        <f>求节点(I$28:I$34,$O$28:$O$34,$AR138)*$AS138*其他调用!Z137/$E$4</f>
        <v>0</v>
      </c>
      <c r="BK138" s="16">
        <v>134</v>
      </c>
      <c r="BL138" s="16">
        <f>SUM(AT$5:AT138)</f>
        <v>0</v>
      </c>
      <c r="BM138" s="16">
        <f>SUM(AU$5:AU138)</f>
        <v>0</v>
      </c>
      <c r="BN138" s="16">
        <f>SUM(AV$5:AV138)</f>
        <v>0</v>
      </c>
      <c r="BO138" s="16">
        <f>SUM(AW$5:AW138)</f>
        <v>0</v>
      </c>
      <c r="BP138" s="16">
        <f>SUM(AX$5:AX138)</f>
        <v>0</v>
      </c>
      <c r="BQ138" s="16">
        <f>SUM(AY$5:AY138)</f>
        <v>0</v>
      </c>
      <c r="BR138" s="16">
        <f>SUM(AZ$5:AZ138)</f>
        <v>0</v>
      </c>
      <c r="BS138" s="16">
        <f>SUM(BA$5:BA138)</f>
        <v>0</v>
      </c>
      <c r="BT138" s="16">
        <f>SUM(BB$5:BB138)</f>
        <v>0</v>
      </c>
      <c r="BU138" s="16">
        <f>SUM(BC$5:BC138)</f>
        <v>0</v>
      </c>
      <c r="BV138" s="16">
        <f>SUM(BD$5:BD138)</f>
        <v>0</v>
      </c>
      <c r="BW138" s="16">
        <f>SUM(BE$5:BE138)</f>
        <v>0</v>
      </c>
      <c r="BX138" s="16">
        <f>SUM(BF$5:BF138)</f>
        <v>0</v>
      </c>
      <c r="BY138" s="16">
        <f>SUM(BG$5:BG138)</f>
        <v>0</v>
      </c>
      <c r="BZ138" s="16">
        <f>SUM(BH$5:BH138)</f>
        <v>0</v>
      </c>
      <c r="CC138" s="16">
        <v>134</v>
      </c>
      <c r="CD138" s="16">
        <f t="shared" si="72"/>
        <v>0</v>
      </c>
      <c r="CE138" s="16">
        <f t="shared" si="73"/>
        <v>0</v>
      </c>
      <c r="CF138" s="16">
        <f t="shared" si="74"/>
        <v>0</v>
      </c>
      <c r="CG138" s="16">
        <f t="shared" si="75"/>
        <v>0</v>
      </c>
      <c r="CH138" s="16">
        <f t="shared" si="76"/>
        <v>0</v>
      </c>
      <c r="CI138" s="16">
        <f t="shared" si="77"/>
        <v>0</v>
      </c>
      <c r="CJ138" s="16">
        <f t="shared" si="78"/>
        <v>0</v>
      </c>
      <c r="CK138" s="16">
        <f t="shared" si="79"/>
        <v>0</v>
      </c>
      <c r="CL138" s="16">
        <f t="shared" si="80"/>
        <v>0</v>
      </c>
      <c r="CM138" s="16">
        <f t="shared" si="81"/>
        <v>0</v>
      </c>
      <c r="CN138" s="16">
        <f t="shared" si="82"/>
        <v>0</v>
      </c>
      <c r="CO138" s="16">
        <f t="shared" si="83"/>
        <v>0</v>
      </c>
      <c r="CP138" s="16">
        <f t="shared" si="84"/>
        <v>0</v>
      </c>
      <c r="CQ138" s="16">
        <f t="shared" si="85"/>
        <v>0</v>
      </c>
      <c r="CR138" s="16">
        <f t="shared" si="86"/>
        <v>0</v>
      </c>
      <c r="CV138" s="16">
        <v>134</v>
      </c>
      <c r="CW138" s="35">
        <f t="shared" si="89"/>
        <v>0.13200000000000001</v>
      </c>
      <c r="CX138" s="16">
        <f>其他调用!V137/$E$4*求节点(E$28:E$34,$P$28:$P$34,$CV138)*$CW138</f>
        <v>329.65211528151661</v>
      </c>
      <c r="CY138" s="16">
        <f>其他调用!W137/$E$4*求节点(F$28:F$34,$P$28:$P$34,$CV138)*$CW138</f>
        <v>390.48539834921286</v>
      </c>
      <c r="CZ138" s="16">
        <f>其他调用!X137/$E$4*求节点(G$28:G$34,$P$28:$P$34,$CV138)*$CW138</f>
        <v>411.31172888960924</v>
      </c>
      <c r="DA138" s="16">
        <f>其他调用!Y137/$E$4*求节点(H$28:H$34,$P$28:$P$34,$CV138)*$CW138</f>
        <v>333.88051881208935</v>
      </c>
      <c r="DB138" s="16">
        <f>其他调用!Z137/$E$4*求节点(I$28:I$34,$P$28:$P$34,$CV138)*$CW138</f>
        <v>183.38291260242809</v>
      </c>
      <c r="DC138" s="16">
        <f>SUM(CX$5:CX138)</f>
        <v>4895.4109634623364</v>
      </c>
      <c r="DD138" s="16">
        <f>SUM(CY$5:CY138)</f>
        <v>6038.6962932014276</v>
      </c>
      <c r="DE138" s="16">
        <f>SUM(CZ$5:CZ138)</f>
        <v>6533.4569687141011</v>
      </c>
      <c r="DF138" s="16">
        <f>SUM(DA$5:DA138)</f>
        <v>5257.7115394016428</v>
      </c>
      <c r="DG138" s="16">
        <f>SUM(DB$5:DB138)</f>
        <v>2820.238876504262</v>
      </c>
    </row>
    <row r="139" spans="24:111">
      <c r="X139" s="16">
        <v>135</v>
      </c>
      <c r="Y139" s="45">
        <f t="shared" si="87"/>
        <v>700</v>
      </c>
      <c r="Z139" s="24">
        <f t="shared" si="88"/>
        <v>6.8000000000000005E-2</v>
      </c>
      <c r="AA139" s="16">
        <f>$Y139*$Z139*其他调用!V138</f>
        <v>1698754.5169412249</v>
      </c>
      <c r="AB139" s="16">
        <f>$Y139*$Z139*其他调用!W138</f>
        <v>2058022.4001057099</v>
      </c>
      <c r="AC139" s="16">
        <f>$Y139*$Z139*其他调用!X138</f>
        <v>2219534.1294091539</v>
      </c>
      <c r="AD139" s="16">
        <f>$Y139*$Z139*其他调用!Y138</f>
        <v>1832586.3716493864</v>
      </c>
      <c r="AE139" s="16">
        <f>$Y139*$Z139*其他调用!Z138</f>
        <v>999516.69887141709</v>
      </c>
      <c r="AH139" s="16">
        <v>135</v>
      </c>
      <c r="AI139" s="16">
        <f>SUM(AA$5:AA139)</f>
        <v>24903663.024872355</v>
      </c>
      <c r="AJ139" s="16">
        <f>SUM(AB$5:AB139)</f>
        <v>30666834.936714228</v>
      </c>
      <c r="AK139" s="16">
        <f>SUM(AC$5:AC139)</f>
        <v>33135237.699297156</v>
      </c>
      <c r="AL139" s="16">
        <f>SUM(AD$5:AD139)</f>
        <v>26684716.748899423</v>
      </c>
      <c r="AM139" s="16">
        <f>SUM(AE$5:AE139)</f>
        <v>14323437.963701971</v>
      </c>
      <c r="AR139" s="16">
        <v>135</v>
      </c>
      <c r="AS139" s="24">
        <f t="shared" si="71"/>
        <v>6.8000000000000005E-2</v>
      </c>
      <c r="AT139" s="16">
        <f>求节点(E$28:E$34,$M$28:$M$34,$AR139)*$AS139*其他调用!V138/$E$4</f>
        <v>0</v>
      </c>
      <c r="AU139" s="16">
        <f>求节点(F$28:F$34,$M$28:$M$34,$AR139)*$AS139*其他调用!W138/$E$4</f>
        <v>0</v>
      </c>
      <c r="AV139" s="16">
        <f>求节点(G$28:G$34,$M$28:$M$34,$AR139)*$AS139*其他调用!X138/$E$4</f>
        <v>0</v>
      </c>
      <c r="AW139" s="16">
        <f>求节点(H$28:H$34,$M$28:$M$34,$AR139)*$AS139*其他调用!Y138/$E$4</f>
        <v>0</v>
      </c>
      <c r="AX139" s="16">
        <f>求节点(I$28:I$34,$M$28:$M$34,$AR139)*$AS139*其他调用!Z138/$E$4</f>
        <v>0</v>
      </c>
      <c r="AY139" s="16">
        <f>求节点(E$28:E$34,$N$28:$N$34,$AR139)*$AS139*其他调用!V138/$E$4</f>
        <v>0</v>
      </c>
      <c r="AZ139" s="16">
        <f>求节点(F$28:F$34,$N$28:$N$34,$AR139)*$AS139*其他调用!W138/$E$4</f>
        <v>0</v>
      </c>
      <c r="BA139" s="16">
        <f>求节点(G$28:G$34,$N$28:$N$34,$AR139)*$AS139*其他调用!X138/$E$4</f>
        <v>0</v>
      </c>
      <c r="BB139" s="16">
        <f>求节点(H$28:H$34,$N$28:$N$34,$AR139)*$AS139*其他调用!Y138/$E$4</f>
        <v>0</v>
      </c>
      <c r="BC139" s="16">
        <f>求节点(I$28:I$34,$N$28:$N$34,$AR139)*$AS139*其他调用!Z138/$E$4</f>
        <v>0</v>
      </c>
      <c r="BD139" s="16">
        <f>求节点(E$28:E$34,$O$28:$O$34,$AR139)*$AS139*其他调用!V138/$E$4</f>
        <v>0</v>
      </c>
      <c r="BE139" s="16">
        <f>求节点(F$28:F$34,$O$28:$O$34,$AR139)*$AS139*其他调用!W138/$E$4</f>
        <v>0</v>
      </c>
      <c r="BF139" s="16">
        <f>求节点(G$28:G$34,$O$28:$O$34,$AR139)*$AS139*其他调用!X138/$E$4</f>
        <v>0</v>
      </c>
      <c r="BG139" s="16">
        <f>求节点(H$28:H$34,$O$28:$O$34,$AR139)*$AS139*其他调用!Y138/$E$4</f>
        <v>0</v>
      </c>
      <c r="BH139" s="16">
        <f>求节点(I$28:I$34,$O$28:$O$34,$AR139)*$AS139*其他调用!Z138/$E$4</f>
        <v>0</v>
      </c>
      <c r="BK139" s="16">
        <v>135</v>
      </c>
      <c r="BL139" s="16">
        <f>SUM(AT$5:AT139)</f>
        <v>0</v>
      </c>
      <c r="BM139" s="16">
        <f>SUM(AU$5:AU139)</f>
        <v>0</v>
      </c>
      <c r="BN139" s="16">
        <f>SUM(AV$5:AV139)</f>
        <v>0</v>
      </c>
      <c r="BO139" s="16">
        <f>SUM(AW$5:AW139)</f>
        <v>0</v>
      </c>
      <c r="BP139" s="16">
        <f>SUM(AX$5:AX139)</f>
        <v>0</v>
      </c>
      <c r="BQ139" s="16">
        <f>SUM(AY$5:AY139)</f>
        <v>0</v>
      </c>
      <c r="BR139" s="16">
        <f>SUM(AZ$5:AZ139)</f>
        <v>0</v>
      </c>
      <c r="BS139" s="16">
        <f>SUM(BA$5:BA139)</f>
        <v>0</v>
      </c>
      <c r="BT139" s="16">
        <f>SUM(BB$5:BB139)</f>
        <v>0</v>
      </c>
      <c r="BU139" s="16">
        <f>SUM(BC$5:BC139)</f>
        <v>0</v>
      </c>
      <c r="BV139" s="16">
        <f>SUM(BD$5:BD139)</f>
        <v>0</v>
      </c>
      <c r="BW139" s="16">
        <f>SUM(BE$5:BE139)</f>
        <v>0</v>
      </c>
      <c r="BX139" s="16">
        <f>SUM(BF$5:BF139)</f>
        <v>0</v>
      </c>
      <c r="BY139" s="16">
        <f>SUM(BG$5:BG139)</f>
        <v>0</v>
      </c>
      <c r="BZ139" s="16">
        <f>SUM(BH$5:BH139)</f>
        <v>0</v>
      </c>
      <c r="CC139" s="16">
        <v>135</v>
      </c>
      <c r="CD139" s="16">
        <f t="shared" si="72"/>
        <v>0</v>
      </c>
      <c r="CE139" s="16">
        <f t="shared" si="73"/>
        <v>0</v>
      </c>
      <c r="CF139" s="16">
        <f t="shared" si="74"/>
        <v>0</v>
      </c>
      <c r="CG139" s="16">
        <f t="shared" si="75"/>
        <v>0</v>
      </c>
      <c r="CH139" s="16">
        <f t="shared" si="76"/>
        <v>0</v>
      </c>
      <c r="CI139" s="16">
        <f t="shared" si="77"/>
        <v>0</v>
      </c>
      <c r="CJ139" s="16">
        <f t="shared" si="78"/>
        <v>0</v>
      </c>
      <c r="CK139" s="16">
        <f t="shared" si="79"/>
        <v>0</v>
      </c>
      <c r="CL139" s="16">
        <f t="shared" si="80"/>
        <v>0</v>
      </c>
      <c r="CM139" s="16">
        <f t="shared" si="81"/>
        <v>0</v>
      </c>
      <c r="CN139" s="16">
        <f t="shared" si="82"/>
        <v>0</v>
      </c>
      <c r="CO139" s="16">
        <f t="shared" si="83"/>
        <v>0</v>
      </c>
      <c r="CP139" s="16">
        <f t="shared" si="84"/>
        <v>0</v>
      </c>
      <c r="CQ139" s="16">
        <f t="shared" si="85"/>
        <v>0</v>
      </c>
      <c r="CR139" s="16">
        <f t="shared" si="86"/>
        <v>0</v>
      </c>
      <c r="CV139" s="16">
        <v>135</v>
      </c>
      <c r="CW139" s="35">
        <f t="shared" si="89"/>
        <v>0.13200000000000001</v>
      </c>
      <c r="CX139" s="16">
        <f>其他调用!V138/$E$4*求节点(E$28:E$34,$P$28:$P$34,$CV139)*$CW139</f>
        <v>353.31238902769172</v>
      </c>
      <c r="CY139" s="16">
        <f>其他调用!W138/$E$4*求节点(F$28:F$34,$P$28:$P$34,$CV139)*$CW139</f>
        <v>428.03407061022114</v>
      </c>
      <c r="CZ139" s="16">
        <f>其他调用!X138/$E$4*求节点(G$28:G$34,$P$28:$P$34,$CV139)*$CW139</f>
        <v>461.62579582249214</v>
      </c>
      <c r="DA139" s="16">
        <f>其他调用!Y138/$E$4*求节点(H$28:H$34,$P$28:$P$34,$CV139)*$CW139</f>
        <v>381.14716553212031</v>
      </c>
      <c r="DB139" s="16">
        <f>其他调用!Z138/$E$4*求节点(I$28:I$34,$P$28:$P$34,$CV139)*$CW139</f>
        <v>207.88267476527369</v>
      </c>
      <c r="DC139" s="16">
        <f>SUM(CX$5:CX139)</f>
        <v>5248.7233524900284</v>
      </c>
      <c r="DD139" s="16">
        <f>SUM(CY$5:CY139)</f>
        <v>6466.7303638116491</v>
      </c>
      <c r="DE139" s="16">
        <f>SUM(CZ$5:CZ139)</f>
        <v>6995.0827645365935</v>
      </c>
      <c r="DF139" s="16">
        <f>SUM(DA$5:DA139)</f>
        <v>5638.858704933763</v>
      </c>
      <c r="DG139" s="16">
        <f>SUM(DB$5:DB139)</f>
        <v>3028.1215512695358</v>
      </c>
    </row>
    <row r="140" spans="24:111">
      <c r="X140" s="16">
        <v>136</v>
      </c>
      <c r="Y140" s="45">
        <f t="shared" si="87"/>
        <v>700</v>
      </c>
      <c r="Z140" s="24">
        <f t="shared" si="88"/>
        <v>6.8000000000000005E-2</v>
      </c>
      <c r="AA140" s="16">
        <f>$Y140*$Z140*其他调用!V139</f>
        <v>1820680.0106212208</v>
      </c>
      <c r="AB140" s="16">
        <f>$Y140*$Z140*其他调用!W139</f>
        <v>2266435.8012389611</v>
      </c>
      <c r="AC140" s="16">
        <f>$Y140*$Z140*其他调用!X139</f>
        <v>2547692.0994750941</v>
      </c>
      <c r="AD140" s="16">
        <f>$Y140*$Z140*其他调用!Y139</f>
        <v>2050153.5748369948</v>
      </c>
      <c r="AE140" s="16">
        <f>$Y140*$Z140*其他调用!Z139</f>
        <v>1103322.2798047764</v>
      </c>
      <c r="AH140" s="16">
        <v>136</v>
      </c>
      <c r="AI140" s="16">
        <f>SUM(AA$5:AA140)</f>
        <v>26724343.035493575</v>
      </c>
      <c r="AJ140" s="16">
        <f>SUM(AB$5:AB140)</f>
        <v>32933270.73795319</v>
      </c>
      <c r="AK140" s="16">
        <f>SUM(AC$5:AC140)</f>
        <v>35682929.798772253</v>
      </c>
      <c r="AL140" s="16">
        <f>SUM(AD$5:AD140)</f>
        <v>28734870.323736418</v>
      </c>
      <c r="AM140" s="16">
        <f>SUM(AE$5:AE140)</f>
        <v>15426760.243506748</v>
      </c>
      <c r="AR140" s="16">
        <v>136</v>
      </c>
      <c r="AS140" s="24">
        <f t="shared" si="71"/>
        <v>6.8000000000000005E-2</v>
      </c>
      <c r="AT140" s="16">
        <f>求节点(E$28:E$34,$M$28:$M$34,$AR140)*$AS140*其他调用!V139/$E$4</f>
        <v>0</v>
      </c>
      <c r="AU140" s="16">
        <f>求节点(F$28:F$34,$M$28:$M$34,$AR140)*$AS140*其他调用!W139/$E$4</f>
        <v>0</v>
      </c>
      <c r="AV140" s="16">
        <f>求节点(G$28:G$34,$M$28:$M$34,$AR140)*$AS140*其他调用!X139/$E$4</f>
        <v>0</v>
      </c>
      <c r="AW140" s="16">
        <f>求节点(H$28:H$34,$M$28:$M$34,$AR140)*$AS140*其他调用!Y139/$E$4</f>
        <v>0</v>
      </c>
      <c r="AX140" s="16">
        <f>求节点(I$28:I$34,$M$28:$M$34,$AR140)*$AS140*其他调用!Z139/$E$4</f>
        <v>0</v>
      </c>
      <c r="AY140" s="16">
        <f>求节点(E$28:E$34,$N$28:$N$34,$AR140)*$AS140*其他调用!V139/$E$4</f>
        <v>0</v>
      </c>
      <c r="AZ140" s="16">
        <f>求节点(F$28:F$34,$N$28:$N$34,$AR140)*$AS140*其他调用!W139/$E$4</f>
        <v>0</v>
      </c>
      <c r="BA140" s="16">
        <f>求节点(G$28:G$34,$N$28:$N$34,$AR140)*$AS140*其他调用!X139/$E$4</f>
        <v>0</v>
      </c>
      <c r="BB140" s="16">
        <f>求节点(H$28:H$34,$N$28:$N$34,$AR140)*$AS140*其他调用!Y139/$E$4</f>
        <v>0</v>
      </c>
      <c r="BC140" s="16">
        <f>求节点(I$28:I$34,$N$28:$N$34,$AR140)*$AS140*其他调用!Z139/$E$4</f>
        <v>0</v>
      </c>
      <c r="BD140" s="16">
        <f>求节点(E$28:E$34,$O$28:$O$34,$AR140)*$AS140*其他调用!V139/$E$4</f>
        <v>0</v>
      </c>
      <c r="BE140" s="16">
        <f>求节点(F$28:F$34,$O$28:$O$34,$AR140)*$AS140*其他调用!W139/$E$4</f>
        <v>0</v>
      </c>
      <c r="BF140" s="16">
        <f>求节点(G$28:G$34,$O$28:$O$34,$AR140)*$AS140*其他调用!X139/$E$4</f>
        <v>0</v>
      </c>
      <c r="BG140" s="16">
        <f>求节点(H$28:H$34,$O$28:$O$34,$AR140)*$AS140*其他调用!Y139/$E$4</f>
        <v>0</v>
      </c>
      <c r="BH140" s="16">
        <f>求节点(I$28:I$34,$O$28:$O$34,$AR140)*$AS140*其他调用!Z139/$E$4</f>
        <v>0</v>
      </c>
      <c r="BK140" s="16">
        <v>136</v>
      </c>
      <c r="BL140" s="16">
        <f>SUM(AT$5:AT140)</f>
        <v>0</v>
      </c>
      <c r="BM140" s="16">
        <f>SUM(AU$5:AU140)</f>
        <v>0</v>
      </c>
      <c r="BN140" s="16">
        <f>SUM(AV$5:AV140)</f>
        <v>0</v>
      </c>
      <c r="BO140" s="16">
        <f>SUM(AW$5:AW140)</f>
        <v>0</v>
      </c>
      <c r="BP140" s="16">
        <f>SUM(AX$5:AX140)</f>
        <v>0</v>
      </c>
      <c r="BQ140" s="16">
        <f>SUM(AY$5:AY140)</f>
        <v>0</v>
      </c>
      <c r="BR140" s="16">
        <f>SUM(AZ$5:AZ140)</f>
        <v>0</v>
      </c>
      <c r="BS140" s="16">
        <f>SUM(BA$5:BA140)</f>
        <v>0</v>
      </c>
      <c r="BT140" s="16">
        <f>SUM(BB$5:BB140)</f>
        <v>0</v>
      </c>
      <c r="BU140" s="16">
        <f>SUM(BC$5:BC140)</f>
        <v>0</v>
      </c>
      <c r="BV140" s="16">
        <f>SUM(BD$5:BD140)</f>
        <v>0</v>
      </c>
      <c r="BW140" s="16">
        <f>SUM(BE$5:BE140)</f>
        <v>0</v>
      </c>
      <c r="BX140" s="16">
        <f>SUM(BF$5:BF140)</f>
        <v>0</v>
      </c>
      <c r="BY140" s="16">
        <f>SUM(BG$5:BG140)</f>
        <v>0</v>
      </c>
      <c r="BZ140" s="16">
        <f>SUM(BH$5:BH140)</f>
        <v>0</v>
      </c>
      <c r="CC140" s="16">
        <v>136</v>
      </c>
      <c r="CD140" s="16">
        <f t="shared" si="72"/>
        <v>0</v>
      </c>
      <c r="CE140" s="16">
        <f t="shared" si="73"/>
        <v>0</v>
      </c>
      <c r="CF140" s="16">
        <f t="shared" si="74"/>
        <v>0</v>
      </c>
      <c r="CG140" s="16">
        <f t="shared" si="75"/>
        <v>0</v>
      </c>
      <c r="CH140" s="16">
        <f t="shared" si="76"/>
        <v>0</v>
      </c>
      <c r="CI140" s="16">
        <f t="shared" si="77"/>
        <v>0</v>
      </c>
      <c r="CJ140" s="16">
        <f t="shared" si="78"/>
        <v>0</v>
      </c>
      <c r="CK140" s="16">
        <f t="shared" si="79"/>
        <v>0</v>
      </c>
      <c r="CL140" s="16">
        <f t="shared" si="80"/>
        <v>0</v>
      </c>
      <c r="CM140" s="16">
        <f t="shared" si="81"/>
        <v>0</v>
      </c>
      <c r="CN140" s="16">
        <f t="shared" si="82"/>
        <v>0</v>
      </c>
      <c r="CO140" s="16">
        <f t="shared" si="83"/>
        <v>0</v>
      </c>
      <c r="CP140" s="16">
        <f t="shared" si="84"/>
        <v>0</v>
      </c>
      <c r="CQ140" s="16">
        <f t="shared" si="85"/>
        <v>0</v>
      </c>
      <c r="CR140" s="16">
        <f t="shared" si="86"/>
        <v>0</v>
      </c>
      <c r="CV140" s="16">
        <v>136</v>
      </c>
      <c r="CW140" s="35">
        <f t="shared" si="89"/>
        <v>0.13200000000000001</v>
      </c>
      <c r="CX140" s="16">
        <f>其他调用!V139/$E$4*求节点(E$28:E$34,$P$28:$P$34,$CV140)*$CW140</f>
        <v>378.67084254516993</v>
      </c>
      <c r="CY140" s="16">
        <f>其他调用!W139/$E$4*求节点(F$28:F$34,$P$28:$P$34,$CV140)*$CW140</f>
        <v>471.38055529969984</v>
      </c>
      <c r="CZ140" s="16">
        <f>其他调用!X139/$E$4*求节点(G$28:G$34,$P$28:$P$34,$CV140)*$CW140</f>
        <v>529.87713833620649</v>
      </c>
      <c r="DA140" s="16">
        <f>其他调用!Y139/$E$4*求节点(H$28:H$34,$P$28:$P$34,$CV140)*$CW140</f>
        <v>426.39748720349263</v>
      </c>
      <c r="DB140" s="16">
        <f>其他调用!Z139/$E$4*求节点(I$28:I$34,$P$28:$P$34,$CV140)*$CW140</f>
        <v>229.47249096780013</v>
      </c>
      <c r="DC140" s="16">
        <f>SUM(CX$5:CX140)</f>
        <v>5627.3941950351982</v>
      </c>
      <c r="DD140" s="16">
        <f>SUM(CY$5:CY140)</f>
        <v>6938.1109191113492</v>
      </c>
      <c r="DE140" s="16">
        <f>SUM(CZ$5:CZ140)</f>
        <v>7524.9599028727998</v>
      </c>
      <c r="DF140" s="16">
        <f>SUM(DA$5:DA140)</f>
        <v>6065.2561921372553</v>
      </c>
      <c r="DG140" s="16">
        <f>SUM(DB$5:DB140)</f>
        <v>3257.594042237336</v>
      </c>
    </row>
    <row r="141" spans="24:111">
      <c r="X141" s="16">
        <v>137</v>
      </c>
      <c r="Y141" s="45">
        <f t="shared" si="87"/>
        <v>700</v>
      </c>
      <c r="Z141" s="24">
        <f t="shared" si="88"/>
        <v>6.8000000000000005E-2</v>
      </c>
      <c r="AA141" s="16">
        <f>$Y141*$Z141*其他调用!V140</f>
        <v>1951356.5191541263</v>
      </c>
      <c r="AB141" s="16">
        <f>$Y141*$Z141*其他调用!W140</f>
        <v>2447786.6009449633</v>
      </c>
      <c r="AC141" s="16">
        <f>$Y141*$Z141*其他调用!X140</f>
        <v>2647203.601455769</v>
      </c>
      <c r="AD141" s="16">
        <f>$Y141*$Z141*其他调用!Y140</f>
        <v>2158622.8084964273</v>
      </c>
      <c r="AE141" s="16">
        <f>$Y141*$Z141*其他调用!Z140</f>
        <v>1147299.4955610086</v>
      </c>
      <c r="AH141" s="16">
        <v>137</v>
      </c>
      <c r="AI141" s="16">
        <f>SUM(AA$5:AA141)</f>
        <v>28675699.554647703</v>
      </c>
      <c r="AJ141" s="16">
        <f>SUM(AB$5:AB141)</f>
        <v>35381057.338898152</v>
      </c>
      <c r="AK141" s="16">
        <f>SUM(AC$5:AC141)</f>
        <v>38330133.400228024</v>
      </c>
      <c r="AL141" s="16">
        <f>SUM(AD$5:AD141)</f>
        <v>30893493.132232845</v>
      </c>
      <c r="AM141" s="16">
        <f>SUM(AE$5:AE141)</f>
        <v>16574059.739067758</v>
      </c>
      <c r="AR141" s="16">
        <v>137</v>
      </c>
      <c r="AS141" s="24">
        <f t="shared" si="71"/>
        <v>6.8000000000000005E-2</v>
      </c>
      <c r="AT141" s="16">
        <f>求节点(E$28:E$34,$M$28:$M$34,$AR141)*$AS141*其他调用!V140/$E$4</f>
        <v>0</v>
      </c>
      <c r="AU141" s="16">
        <f>求节点(F$28:F$34,$M$28:$M$34,$AR141)*$AS141*其他调用!W140/$E$4</f>
        <v>0</v>
      </c>
      <c r="AV141" s="16">
        <f>求节点(G$28:G$34,$M$28:$M$34,$AR141)*$AS141*其他调用!X140/$E$4</f>
        <v>0</v>
      </c>
      <c r="AW141" s="16">
        <f>求节点(H$28:H$34,$M$28:$M$34,$AR141)*$AS141*其他调用!Y140/$E$4</f>
        <v>0</v>
      </c>
      <c r="AX141" s="16">
        <f>求节点(I$28:I$34,$M$28:$M$34,$AR141)*$AS141*其他调用!Z140/$E$4</f>
        <v>0</v>
      </c>
      <c r="AY141" s="16">
        <f>求节点(E$28:E$34,$N$28:$N$34,$AR141)*$AS141*其他调用!V140/$E$4</f>
        <v>0</v>
      </c>
      <c r="AZ141" s="16">
        <f>求节点(F$28:F$34,$N$28:$N$34,$AR141)*$AS141*其他调用!W140/$E$4</f>
        <v>0</v>
      </c>
      <c r="BA141" s="16">
        <f>求节点(G$28:G$34,$N$28:$N$34,$AR141)*$AS141*其他调用!X140/$E$4</f>
        <v>0</v>
      </c>
      <c r="BB141" s="16">
        <f>求节点(H$28:H$34,$N$28:$N$34,$AR141)*$AS141*其他调用!Y140/$E$4</f>
        <v>0</v>
      </c>
      <c r="BC141" s="16">
        <f>求节点(I$28:I$34,$N$28:$N$34,$AR141)*$AS141*其他调用!Z140/$E$4</f>
        <v>0</v>
      </c>
      <c r="BD141" s="16">
        <f>求节点(E$28:E$34,$O$28:$O$34,$AR141)*$AS141*其他调用!V140/$E$4</f>
        <v>0</v>
      </c>
      <c r="BE141" s="16">
        <f>求节点(F$28:F$34,$O$28:$O$34,$AR141)*$AS141*其他调用!W140/$E$4</f>
        <v>0</v>
      </c>
      <c r="BF141" s="16">
        <f>求节点(G$28:G$34,$O$28:$O$34,$AR141)*$AS141*其他调用!X140/$E$4</f>
        <v>0</v>
      </c>
      <c r="BG141" s="16">
        <f>求节点(H$28:H$34,$O$28:$O$34,$AR141)*$AS141*其他调用!Y140/$E$4</f>
        <v>0</v>
      </c>
      <c r="BH141" s="16">
        <f>求节点(I$28:I$34,$O$28:$O$34,$AR141)*$AS141*其他调用!Z140/$E$4</f>
        <v>0</v>
      </c>
      <c r="BK141" s="16">
        <v>137</v>
      </c>
      <c r="BL141" s="16">
        <f>SUM(AT$5:AT141)</f>
        <v>0</v>
      </c>
      <c r="BM141" s="16">
        <f>SUM(AU$5:AU141)</f>
        <v>0</v>
      </c>
      <c r="BN141" s="16">
        <f>SUM(AV$5:AV141)</f>
        <v>0</v>
      </c>
      <c r="BO141" s="16">
        <f>SUM(AW$5:AW141)</f>
        <v>0</v>
      </c>
      <c r="BP141" s="16">
        <f>SUM(AX$5:AX141)</f>
        <v>0</v>
      </c>
      <c r="BQ141" s="16">
        <f>SUM(AY$5:AY141)</f>
        <v>0</v>
      </c>
      <c r="BR141" s="16">
        <f>SUM(AZ$5:AZ141)</f>
        <v>0</v>
      </c>
      <c r="BS141" s="16">
        <f>SUM(BA$5:BA141)</f>
        <v>0</v>
      </c>
      <c r="BT141" s="16">
        <f>SUM(BB$5:BB141)</f>
        <v>0</v>
      </c>
      <c r="BU141" s="16">
        <f>SUM(BC$5:BC141)</f>
        <v>0</v>
      </c>
      <c r="BV141" s="16">
        <f>SUM(BD$5:BD141)</f>
        <v>0</v>
      </c>
      <c r="BW141" s="16">
        <f>SUM(BE$5:BE141)</f>
        <v>0</v>
      </c>
      <c r="BX141" s="16">
        <f>SUM(BF$5:BF141)</f>
        <v>0</v>
      </c>
      <c r="BY141" s="16">
        <f>SUM(BG$5:BG141)</f>
        <v>0</v>
      </c>
      <c r="BZ141" s="16">
        <f>SUM(BH$5:BH141)</f>
        <v>0</v>
      </c>
      <c r="CC141" s="16">
        <v>137</v>
      </c>
      <c r="CD141" s="16">
        <f t="shared" si="72"/>
        <v>0</v>
      </c>
      <c r="CE141" s="16">
        <f t="shared" si="73"/>
        <v>0</v>
      </c>
      <c r="CF141" s="16">
        <f t="shared" si="74"/>
        <v>0</v>
      </c>
      <c r="CG141" s="16">
        <f t="shared" si="75"/>
        <v>0</v>
      </c>
      <c r="CH141" s="16">
        <f t="shared" si="76"/>
        <v>0</v>
      </c>
      <c r="CI141" s="16">
        <f t="shared" si="77"/>
        <v>0</v>
      </c>
      <c r="CJ141" s="16">
        <f t="shared" si="78"/>
        <v>0</v>
      </c>
      <c r="CK141" s="16">
        <f t="shared" si="79"/>
        <v>0</v>
      </c>
      <c r="CL141" s="16">
        <f t="shared" si="80"/>
        <v>0</v>
      </c>
      <c r="CM141" s="16">
        <f t="shared" si="81"/>
        <v>0</v>
      </c>
      <c r="CN141" s="16">
        <f t="shared" si="82"/>
        <v>0</v>
      </c>
      <c r="CO141" s="16">
        <f t="shared" si="83"/>
        <v>0</v>
      </c>
      <c r="CP141" s="16">
        <f t="shared" si="84"/>
        <v>0</v>
      </c>
      <c r="CQ141" s="16">
        <f t="shared" si="85"/>
        <v>0</v>
      </c>
      <c r="CR141" s="16">
        <f t="shared" si="86"/>
        <v>0</v>
      </c>
      <c r="CV141" s="16">
        <v>137</v>
      </c>
      <c r="CW141" s="35">
        <f t="shared" si="89"/>
        <v>0.13200000000000001</v>
      </c>
      <c r="CX141" s="16">
        <f>其他调用!V140/$E$4*求节点(E$28:E$34,$P$28:$P$34,$CV141)*$CW141</f>
        <v>405.84936007617335</v>
      </c>
      <c r="CY141" s="16">
        <f>其他调用!W140/$E$4*求节点(F$28:F$34,$P$28:$P$34,$CV141)*$CW141</f>
        <v>509.09847372594822</v>
      </c>
      <c r="CZ141" s="16">
        <f>其他调用!X140/$E$4*求节点(G$28:G$34,$P$28:$P$34,$CV141)*$CW141</f>
        <v>550.57385828596875</v>
      </c>
      <c r="DA141" s="16">
        <f>其他调用!Y140/$E$4*求节点(H$28:H$34,$P$28:$P$34,$CV141)*$CW141</f>
        <v>448.95726479232411</v>
      </c>
      <c r="DB141" s="16">
        <f>其他调用!Z140/$E$4*求节点(I$28:I$34,$P$28:$P$34,$CV141)*$CW141</f>
        <v>238.61901273222657</v>
      </c>
      <c r="DC141" s="16">
        <f>SUM(CX$5:CX141)</f>
        <v>6033.2435551113713</v>
      </c>
      <c r="DD141" s="16">
        <f>SUM(CY$5:CY141)</f>
        <v>7447.2093928372979</v>
      </c>
      <c r="DE141" s="16">
        <f>SUM(CZ$5:CZ141)</f>
        <v>8075.5337611587684</v>
      </c>
      <c r="DF141" s="16">
        <f>SUM(DA$5:DA141)</f>
        <v>6514.2134569295795</v>
      </c>
      <c r="DG141" s="16">
        <f>SUM(DB$5:DB141)</f>
        <v>3496.2130549695626</v>
      </c>
    </row>
    <row r="142" spans="24:111">
      <c r="X142" s="16">
        <v>138</v>
      </c>
      <c r="Y142" s="45">
        <f t="shared" si="87"/>
        <v>700</v>
      </c>
      <c r="Z142" s="24">
        <f t="shared" si="88"/>
        <v>6.8000000000000005E-2</v>
      </c>
      <c r="AA142" s="16">
        <f>$Y142*$Z142*其他调用!V141</f>
        <v>2091412.1331766313</v>
      </c>
      <c r="AB142" s="16">
        <f>$Y142*$Z142*其他调用!W141</f>
        <v>2581034.4462938639</v>
      </c>
      <c r="AC142" s="16">
        <f>$Y142*$Z142*其他调用!X141</f>
        <v>2827743.3959025647</v>
      </c>
      <c r="AD142" s="16">
        <f>$Y142*$Z142*其他调用!Y141</f>
        <v>2275815.072986979</v>
      </c>
      <c r="AE142" s="16">
        <f>$Y142*$Z142*其他调用!Z141</f>
        <v>1140148.6480800221</v>
      </c>
      <c r="AH142" s="16">
        <v>138</v>
      </c>
      <c r="AI142" s="16">
        <f>SUM(AA$5:AA142)</f>
        <v>30767111.687824335</v>
      </c>
      <c r="AJ142" s="16">
        <f>SUM(AB$5:AB142)</f>
        <v>37962091.785192013</v>
      </c>
      <c r="AK142" s="16">
        <f>SUM(AC$5:AC142)</f>
        <v>41157876.79613059</v>
      </c>
      <c r="AL142" s="16">
        <f>SUM(AD$5:AD142)</f>
        <v>33169308.205219824</v>
      </c>
      <c r="AM142" s="16">
        <f>SUM(AE$5:AE142)</f>
        <v>17714208.387147781</v>
      </c>
      <c r="AR142" s="16">
        <v>138</v>
      </c>
      <c r="AS142" s="24">
        <f t="shared" si="71"/>
        <v>6.8000000000000005E-2</v>
      </c>
      <c r="AT142" s="16">
        <f>求节点(E$28:E$34,$M$28:$M$34,$AR142)*$AS142*其他调用!V141/$E$4</f>
        <v>0</v>
      </c>
      <c r="AU142" s="16">
        <f>求节点(F$28:F$34,$M$28:$M$34,$AR142)*$AS142*其他调用!W141/$E$4</f>
        <v>0</v>
      </c>
      <c r="AV142" s="16">
        <f>求节点(G$28:G$34,$M$28:$M$34,$AR142)*$AS142*其他调用!X141/$E$4</f>
        <v>0</v>
      </c>
      <c r="AW142" s="16">
        <f>求节点(H$28:H$34,$M$28:$M$34,$AR142)*$AS142*其他调用!Y141/$E$4</f>
        <v>0</v>
      </c>
      <c r="AX142" s="16">
        <f>求节点(I$28:I$34,$M$28:$M$34,$AR142)*$AS142*其他调用!Z141/$E$4</f>
        <v>0</v>
      </c>
      <c r="AY142" s="16">
        <f>求节点(E$28:E$34,$N$28:$N$34,$AR142)*$AS142*其他调用!V141/$E$4</f>
        <v>0</v>
      </c>
      <c r="AZ142" s="16">
        <f>求节点(F$28:F$34,$N$28:$N$34,$AR142)*$AS142*其他调用!W141/$E$4</f>
        <v>0</v>
      </c>
      <c r="BA142" s="16">
        <f>求节点(G$28:G$34,$N$28:$N$34,$AR142)*$AS142*其他调用!X141/$E$4</f>
        <v>0</v>
      </c>
      <c r="BB142" s="16">
        <f>求节点(H$28:H$34,$N$28:$N$34,$AR142)*$AS142*其他调用!Y141/$E$4</f>
        <v>0</v>
      </c>
      <c r="BC142" s="16">
        <f>求节点(I$28:I$34,$N$28:$N$34,$AR142)*$AS142*其他调用!Z141/$E$4</f>
        <v>0</v>
      </c>
      <c r="BD142" s="16">
        <f>求节点(E$28:E$34,$O$28:$O$34,$AR142)*$AS142*其他调用!V141/$E$4</f>
        <v>0</v>
      </c>
      <c r="BE142" s="16">
        <f>求节点(F$28:F$34,$O$28:$O$34,$AR142)*$AS142*其他调用!W141/$E$4</f>
        <v>0</v>
      </c>
      <c r="BF142" s="16">
        <f>求节点(G$28:G$34,$O$28:$O$34,$AR142)*$AS142*其他调用!X141/$E$4</f>
        <v>0</v>
      </c>
      <c r="BG142" s="16">
        <f>求节点(H$28:H$34,$O$28:$O$34,$AR142)*$AS142*其他调用!Y141/$E$4</f>
        <v>0</v>
      </c>
      <c r="BH142" s="16">
        <f>求节点(I$28:I$34,$O$28:$O$34,$AR142)*$AS142*其他调用!Z141/$E$4</f>
        <v>0</v>
      </c>
      <c r="BK142" s="16">
        <v>138</v>
      </c>
      <c r="BL142" s="16">
        <f>SUM(AT$5:AT142)</f>
        <v>0</v>
      </c>
      <c r="BM142" s="16">
        <f>SUM(AU$5:AU142)</f>
        <v>0</v>
      </c>
      <c r="BN142" s="16">
        <f>SUM(AV$5:AV142)</f>
        <v>0</v>
      </c>
      <c r="BO142" s="16">
        <f>SUM(AW$5:AW142)</f>
        <v>0</v>
      </c>
      <c r="BP142" s="16">
        <f>SUM(AX$5:AX142)</f>
        <v>0</v>
      </c>
      <c r="BQ142" s="16">
        <f>SUM(AY$5:AY142)</f>
        <v>0</v>
      </c>
      <c r="BR142" s="16">
        <f>SUM(AZ$5:AZ142)</f>
        <v>0</v>
      </c>
      <c r="BS142" s="16">
        <f>SUM(BA$5:BA142)</f>
        <v>0</v>
      </c>
      <c r="BT142" s="16">
        <f>SUM(BB$5:BB142)</f>
        <v>0</v>
      </c>
      <c r="BU142" s="16">
        <f>SUM(BC$5:BC142)</f>
        <v>0</v>
      </c>
      <c r="BV142" s="16">
        <f>SUM(BD$5:BD142)</f>
        <v>0</v>
      </c>
      <c r="BW142" s="16">
        <f>SUM(BE$5:BE142)</f>
        <v>0</v>
      </c>
      <c r="BX142" s="16">
        <f>SUM(BF$5:BF142)</f>
        <v>0</v>
      </c>
      <c r="BY142" s="16">
        <f>SUM(BG$5:BG142)</f>
        <v>0</v>
      </c>
      <c r="BZ142" s="16">
        <f>SUM(BH$5:BH142)</f>
        <v>0</v>
      </c>
      <c r="CC142" s="16">
        <v>138</v>
      </c>
      <c r="CD142" s="16">
        <f t="shared" si="72"/>
        <v>0</v>
      </c>
      <c r="CE142" s="16">
        <f t="shared" si="73"/>
        <v>0</v>
      </c>
      <c r="CF142" s="16">
        <f t="shared" si="74"/>
        <v>0</v>
      </c>
      <c r="CG142" s="16">
        <f t="shared" si="75"/>
        <v>0</v>
      </c>
      <c r="CH142" s="16">
        <f t="shared" si="76"/>
        <v>0</v>
      </c>
      <c r="CI142" s="16">
        <f t="shared" si="77"/>
        <v>0</v>
      </c>
      <c r="CJ142" s="16">
        <f t="shared" si="78"/>
        <v>0</v>
      </c>
      <c r="CK142" s="16">
        <f t="shared" si="79"/>
        <v>0</v>
      </c>
      <c r="CL142" s="16">
        <f t="shared" si="80"/>
        <v>0</v>
      </c>
      <c r="CM142" s="16">
        <f t="shared" si="81"/>
        <v>0</v>
      </c>
      <c r="CN142" s="16">
        <f t="shared" si="82"/>
        <v>0</v>
      </c>
      <c r="CO142" s="16">
        <f t="shared" si="83"/>
        <v>0</v>
      </c>
      <c r="CP142" s="16">
        <f t="shared" si="84"/>
        <v>0</v>
      </c>
      <c r="CQ142" s="16">
        <f t="shared" si="85"/>
        <v>0</v>
      </c>
      <c r="CR142" s="16">
        <f t="shared" si="86"/>
        <v>0</v>
      </c>
      <c r="CV142" s="16">
        <v>138</v>
      </c>
      <c r="CW142" s="35">
        <f t="shared" si="89"/>
        <v>0.13200000000000001</v>
      </c>
      <c r="CX142" s="16">
        <f>其他调用!V141/$E$4*求节点(E$28:E$34,$P$28:$P$34,$CV142)*$CW142</f>
        <v>434.97857391698841</v>
      </c>
      <c r="CY142" s="16">
        <f>其他调用!W141/$E$4*求节点(F$28:F$34,$P$28:$P$34,$CV142)*$CW142</f>
        <v>536.81178609893391</v>
      </c>
      <c r="CZ142" s="16">
        <f>其他调用!X141/$E$4*求节点(G$28:G$34,$P$28:$P$34,$CV142)*$CW142</f>
        <v>588.12310124864268</v>
      </c>
      <c r="DA142" s="16">
        <f>其他调用!Y141/$E$4*求节点(H$28:H$34,$P$28:$P$34,$CV142)*$CW142</f>
        <v>473.33128618846831</v>
      </c>
      <c r="DB142" s="16">
        <f>其他调用!Z141/$E$4*求节点(I$28:I$34,$P$28:$P$34,$CV142)*$CW142</f>
        <v>237.13175663849196</v>
      </c>
      <c r="DC142" s="16">
        <f>SUM(CX$5:CX142)</f>
        <v>6468.2221290283596</v>
      </c>
      <c r="DD142" s="16">
        <f>SUM(CY$5:CY142)</f>
        <v>7984.021178936232</v>
      </c>
      <c r="DE142" s="16">
        <f>SUM(CZ$5:CZ142)</f>
        <v>8663.6568624074116</v>
      </c>
      <c r="DF142" s="16">
        <f>SUM(DA$5:DA142)</f>
        <v>6987.5447431180473</v>
      </c>
      <c r="DG142" s="16">
        <f>SUM(DB$5:DB142)</f>
        <v>3733.3448116080544</v>
      </c>
    </row>
    <row r="143" spans="24:111">
      <c r="X143" s="16">
        <v>139</v>
      </c>
      <c r="Y143" s="45">
        <f t="shared" si="87"/>
        <v>700</v>
      </c>
      <c r="Z143" s="24">
        <f t="shared" si="88"/>
        <v>6.8000000000000005E-2</v>
      </c>
      <c r="AA143" s="16">
        <f>$Y143*$Z143*其他调用!V142</f>
        <v>2241520.0235651373</v>
      </c>
      <c r="AB143" s="16">
        <f>$Y143*$Z143*其他调用!W142</f>
        <v>2785784.0307623441</v>
      </c>
      <c r="AC143" s="16">
        <f>$Y143*$Z143*其他调用!X142</f>
        <v>3006432.8314853194</v>
      </c>
      <c r="AD143" s="16">
        <f>$Y143*$Z143*其他调用!Y142</f>
        <v>2275788.8034317046</v>
      </c>
      <c r="AE143" s="16">
        <f>$Y143*$Z143*其他调用!Z142</f>
        <v>1224455.9849317747</v>
      </c>
      <c r="AH143" s="16">
        <v>139</v>
      </c>
      <c r="AI143" s="16">
        <f>SUM(AA$5:AA143)</f>
        <v>33008631.711389471</v>
      </c>
      <c r="AJ143" s="16">
        <f>SUM(AB$5:AB143)</f>
        <v>40747875.815954357</v>
      </c>
      <c r="AK143" s="16">
        <f>SUM(AC$5:AC143)</f>
        <v>44164309.627615906</v>
      </c>
      <c r="AL143" s="16">
        <f>SUM(AD$5:AD143)</f>
        <v>35445097.008651525</v>
      </c>
      <c r="AM143" s="16">
        <f>SUM(AE$5:AE143)</f>
        <v>18938664.372079555</v>
      </c>
      <c r="AR143" s="16">
        <v>139</v>
      </c>
      <c r="AS143" s="24">
        <f t="shared" si="71"/>
        <v>6.8000000000000005E-2</v>
      </c>
      <c r="AT143" s="16">
        <f>求节点(E$28:E$34,$M$28:$M$34,$AR143)*$AS143*其他调用!V142/$E$4</f>
        <v>0</v>
      </c>
      <c r="AU143" s="16">
        <f>求节点(F$28:F$34,$M$28:$M$34,$AR143)*$AS143*其他调用!W142/$E$4</f>
        <v>0</v>
      </c>
      <c r="AV143" s="16">
        <f>求节点(G$28:G$34,$M$28:$M$34,$AR143)*$AS143*其他调用!X142/$E$4</f>
        <v>0</v>
      </c>
      <c r="AW143" s="16">
        <f>求节点(H$28:H$34,$M$28:$M$34,$AR143)*$AS143*其他调用!Y142/$E$4</f>
        <v>0</v>
      </c>
      <c r="AX143" s="16">
        <f>求节点(I$28:I$34,$M$28:$M$34,$AR143)*$AS143*其他调用!Z142/$E$4</f>
        <v>0</v>
      </c>
      <c r="AY143" s="16">
        <f>求节点(E$28:E$34,$N$28:$N$34,$AR143)*$AS143*其他调用!V142/$E$4</f>
        <v>0</v>
      </c>
      <c r="AZ143" s="16">
        <f>求节点(F$28:F$34,$N$28:$N$34,$AR143)*$AS143*其他调用!W142/$E$4</f>
        <v>0</v>
      </c>
      <c r="BA143" s="16">
        <f>求节点(G$28:G$34,$N$28:$N$34,$AR143)*$AS143*其他调用!X142/$E$4</f>
        <v>0</v>
      </c>
      <c r="BB143" s="16">
        <f>求节点(H$28:H$34,$N$28:$N$34,$AR143)*$AS143*其他调用!Y142/$E$4</f>
        <v>0</v>
      </c>
      <c r="BC143" s="16">
        <f>求节点(I$28:I$34,$N$28:$N$34,$AR143)*$AS143*其他调用!Z142/$E$4</f>
        <v>0</v>
      </c>
      <c r="BD143" s="16">
        <f>求节点(E$28:E$34,$O$28:$O$34,$AR143)*$AS143*其他调用!V142/$E$4</f>
        <v>0</v>
      </c>
      <c r="BE143" s="16">
        <f>求节点(F$28:F$34,$O$28:$O$34,$AR143)*$AS143*其他调用!W142/$E$4</f>
        <v>0</v>
      </c>
      <c r="BF143" s="16">
        <f>求节点(G$28:G$34,$O$28:$O$34,$AR143)*$AS143*其他调用!X142/$E$4</f>
        <v>0</v>
      </c>
      <c r="BG143" s="16">
        <f>求节点(H$28:H$34,$O$28:$O$34,$AR143)*$AS143*其他调用!Y142/$E$4</f>
        <v>0</v>
      </c>
      <c r="BH143" s="16">
        <f>求节点(I$28:I$34,$O$28:$O$34,$AR143)*$AS143*其他调用!Z142/$E$4</f>
        <v>0</v>
      </c>
      <c r="BK143" s="16">
        <v>139</v>
      </c>
      <c r="BL143" s="16">
        <f>SUM(AT$5:AT143)</f>
        <v>0</v>
      </c>
      <c r="BM143" s="16">
        <f>SUM(AU$5:AU143)</f>
        <v>0</v>
      </c>
      <c r="BN143" s="16">
        <f>SUM(AV$5:AV143)</f>
        <v>0</v>
      </c>
      <c r="BO143" s="16">
        <f>SUM(AW$5:AW143)</f>
        <v>0</v>
      </c>
      <c r="BP143" s="16">
        <f>SUM(AX$5:AX143)</f>
        <v>0</v>
      </c>
      <c r="BQ143" s="16">
        <f>SUM(AY$5:AY143)</f>
        <v>0</v>
      </c>
      <c r="BR143" s="16">
        <f>SUM(AZ$5:AZ143)</f>
        <v>0</v>
      </c>
      <c r="BS143" s="16">
        <f>SUM(BA$5:BA143)</f>
        <v>0</v>
      </c>
      <c r="BT143" s="16">
        <f>SUM(BB$5:BB143)</f>
        <v>0</v>
      </c>
      <c r="BU143" s="16">
        <f>SUM(BC$5:BC143)</f>
        <v>0</v>
      </c>
      <c r="BV143" s="16">
        <f>SUM(BD$5:BD143)</f>
        <v>0</v>
      </c>
      <c r="BW143" s="16">
        <f>SUM(BE$5:BE143)</f>
        <v>0</v>
      </c>
      <c r="BX143" s="16">
        <f>SUM(BF$5:BF143)</f>
        <v>0</v>
      </c>
      <c r="BY143" s="16">
        <f>SUM(BG$5:BG143)</f>
        <v>0</v>
      </c>
      <c r="BZ143" s="16">
        <f>SUM(BH$5:BH143)</f>
        <v>0</v>
      </c>
      <c r="CC143" s="16">
        <v>139</v>
      </c>
      <c r="CD143" s="16">
        <f t="shared" si="72"/>
        <v>0</v>
      </c>
      <c r="CE143" s="16">
        <f t="shared" si="73"/>
        <v>0</v>
      </c>
      <c r="CF143" s="16">
        <f t="shared" si="74"/>
        <v>0</v>
      </c>
      <c r="CG143" s="16">
        <f t="shared" si="75"/>
        <v>0</v>
      </c>
      <c r="CH143" s="16">
        <f t="shared" si="76"/>
        <v>0</v>
      </c>
      <c r="CI143" s="16">
        <f t="shared" si="77"/>
        <v>0</v>
      </c>
      <c r="CJ143" s="16">
        <f t="shared" si="78"/>
        <v>0</v>
      </c>
      <c r="CK143" s="16">
        <f t="shared" si="79"/>
        <v>0</v>
      </c>
      <c r="CL143" s="16">
        <f t="shared" si="80"/>
        <v>0</v>
      </c>
      <c r="CM143" s="16">
        <f t="shared" si="81"/>
        <v>0</v>
      </c>
      <c r="CN143" s="16">
        <f t="shared" si="82"/>
        <v>0</v>
      </c>
      <c r="CO143" s="16">
        <f t="shared" si="83"/>
        <v>0</v>
      </c>
      <c r="CP143" s="16">
        <f t="shared" si="84"/>
        <v>0</v>
      </c>
      <c r="CQ143" s="16">
        <f t="shared" si="85"/>
        <v>0</v>
      </c>
      <c r="CR143" s="16">
        <f t="shared" si="86"/>
        <v>0</v>
      </c>
      <c r="CV143" s="16">
        <v>139</v>
      </c>
      <c r="CW143" s="35">
        <f t="shared" si="89"/>
        <v>0.13200000000000001</v>
      </c>
      <c r="CX143" s="16">
        <f>其他调用!V142/$E$4*求节点(E$28:E$34,$P$28:$P$34,$CV143)*$CW143</f>
        <v>466.19849229611049</v>
      </c>
      <c r="CY143" s="16">
        <f>其他调用!W142/$E$4*求节点(F$28:F$34,$P$28:$P$34,$CV143)*$CW143</f>
        <v>579.39625849889092</v>
      </c>
      <c r="CZ143" s="16">
        <f>其他调用!X142/$E$4*求节点(G$28:G$34,$P$28:$P$34,$CV143)*$CW143</f>
        <v>625.28750066606437</v>
      </c>
      <c r="DA143" s="16">
        <f>其他调用!Y142/$E$4*求节点(H$28:H$34,$P$28:$P$34,$CV143)*$CW143</f>
        <v>473.32582256247639</v>
      </c>
      <c r="DB143" s="16">
        <f>其他调用!Z142/$E$4*求节点(I$28:I$34,$P$28:$P$34,$CV143)*$CW143</f>
        <v>254.66626577362541</v>
      </c>
      <c r="DC143" s="16">
        <f>SUM(CX$5:CX143)</f>
        <v>6934.4206213244697</v>
      </c>
      <c r="DD143" s="16">
        <f>SUM(CY$5:CY143)</f>
        <v>8563.4174374351223</v>
      </c>
      <c r="DE143" s="16">
        <f>SUM(CZ$5:CZ143)</f>
        <v>9288.9443630734768</v>
      </c>
      <c r="DF143" s="16">
        <f>SUM(DA$5:DA143)</f>
        <v>7460.8705656805241</v>
      </c>
      <c r="DG143" s="16">
        <f>SUM(DB$5:DB143)</f>
        <v>3988.01107738168</v>
      </c>
    </row>
    <row r="144" spans="24:111">
      <c r="X144" s="16">
        <v>140</v>
      </c>
      <c r="Y144" s="45">
        <f t="shared" si="87"/>
        <v>700</v>
      </c>
      <c r="Z144" s="24">
        <f t="shared" si="88"/>
        <v>6.8000000000000005E-2</v>
      </c>
      <c r="AA144" s="16">
        <f>$Y144*$Z144*其他调用!V143</f>
        <v>2402401.6770007992</v>
      </c>
      <c r="AB144" s="16">
        <f>$Y144*$Z144*其他调用!W143</f>
        <v>2945330.2173158666</v>
      </c>
      <c r="AC144" s="16">
        <f>$Y144*$Z144*其他调用!X143</f>
        <v>3009796.4060962014</v>
      </c>
      <c r="AD144" s="16">
        <f>$Y144*$Z144*其他调用!Y143</f>
        <v>2412844.2104305741</v>
      </c>
      <c r="AE144" s="16">
        <f>$Y144*$Z144*其他调用!Z143</f>
        <v>1331594.5240713605</v>
      </c>
      <c r="AH144" s="16">
        <v>140</v>
      </c>
      <c r="AI144" s="16">
        <f>SUM(AA$5:AA144)</f>
        <v>35411033.388390273</v>
      </c>
      <c r="AJ144" s="16">
        <f>SUM(AB$5:AB144)</f>
        <v>43693206.033270225</v>
      </c>
      <c r="AK144" s="16">
        <f>SUM(AC$5:AC144)</f>
        <v>47174106.033712104</v>
      </c>
      <c r="AL144" s="16">
        <f>SUM(AD$5:AD144)</f>
        <v>37857941.219082102</v>
      </c>
      <c r="AM144" s="16">
        <f>SUM(AE$5:AE144)</f>
        <v>20270258.896150917</v>
      </c>
      <c r="AR144" s="16">
        <v>140</v>
      </c>
      <c r="AS144" s="24">
        <f t="shared" si="71"/>
        <v>6.8000000000000005E-2</v>
      </c>
      <c r="AT144" s="16">
        <f>求节点(E$28:E$34,$M$28:$M$34,$AR144)*$AS144*其他调用!V143/$E$4</f>
        <v>0</v>
      </c>
      <c r="AU144" s="16">
        <f>求节点(F$28:F$34,$M$28:$M$34,$AR144)*$AS144*其他调用!W143/$E$4</f>
        <v>0</v>
      </c>
      <c r="AV144" s="16">
        <f>求节点(G$28:G$34,$M$28:$M$34,$AR144)*$AS144*其他调用!X143/$E$4</f>
        <v>0</v>
      </c>
      <c r="AW144" s="16">
        <f>求节点(H$28:H$34,$M$28:$M$34,$AR144)*$AS144*其他调用!Y143/$E$4</f>
        <v>0</v>
      </c>
      <c r="AX144" s="16">
        <f>求节点(I$28:I$34,$M$28:$M$34,$AR144)*$AS144*其他调用!Z143/$E$4</f>
        <v>0</v>
      </c>
      <c r="AY144" s="16">
        <f>求节点(E$28:E$34,$N$28:$N$34,$AR144)*$AS144*其他调用!V143/$E$4</f>
        <v>0</v>
      </c>
      <c r="AZ144" s="16">
        <f>求节点(F$28:F$34,$N$28:$N$34,$AR144)*$AS144*其他调用!W143/$E$4</f>
        <v>0</v>
      </c>
      <c r="BA144" s="16">
        <f>求节点(G$28:G$34,$N$28:$N$34,$AR144)*$AS144*其他调用!X143/$E$4</f>
        <v>0</v>
      </c>
      <c r="BB144" s="16">
        <f>求节点(H$28:H$34,$N$28:$N$34,$AR144)*$AS144*其他调用!Y143/$E$4</f>
        <v>0</v>
      </c>
      <c r="BC144" s="16">
        <f>求节点(I$28:I$34,$N$28:$N$34,$AR144)*$AS144*其他调用!Z143/$E$4</f>
        <v>0</v>
      </c>
      <c r="BD144" s="16">
        <f>求节点(E$28:E$34,$O$28:$O$34,$AR144)*$AS144*其他调用!V143/$E$4</f>
        <v>0</v>
      </c>
      <c r="BE144" s="16">
        <f>求节点(F$28:F$34,$O$28:$O$34,$AR144)*$AS144*其他调用!W143/$E$4</f>
        <v>0</v>
      </c>
      <c r="BF144" s="16">
        <f>求节点(G$28:G$34,$O$28:$O$34,$AR144)*$AS144*其他调用!X143/$E$4</f>
        <v>0</v>
      </c>
      <c r="BG144" s="16">
        <f>求节点(H$28:H$34,$O$28:$O$34,$AR144)*$AS144*其他调用!Y143/$E$4</f>
        <v>0</v>
      </c>
      <c r="BH144" s="16">
        <f>求节点(I$28:I$34,$O$28:$O$34,$AR144)*$AS144*其他调用!Z143/$E$4</f>
        <v>0</v>
      </c>
      <c r="BK144" s="16">
        <v>140</v>
      </c>
      <c r="BL144" s="16">
        <f>SUM(AT$5:AT144)</f>
        <v>0</v>
      </c>
      <c r="BM144" s="16">
        <f>SUM(AU$5:AU144)</f>
        <v>0</v>
      </c>
      <c r="BN144" s="16">
        <f>SUM(AV$5:AV144)</f>
        <v>0</v>
      </c>
      <c r="BO144" s="16">
        <f>SUM(AW$5:AW144)</f>
        <v>0</v>
      </c>
      <c r="BP144" s="16">
        <f>SUM(AX$5:AX144)</f>
        <v>0</v>
      </c>
      <c r="BQ144" s="16">
        <f>SUM(AY$5:AY144)</f>
        <v>0</v>
      </c>
      <c r="BR144" s="16">
        <f>SUM(AZ$5:AZ144)</f>
        <v>0</v>
      </c>
      <c r="BS144" s="16">
        <f>SUM(BA$5:BA144)</f>
        <v>0</v>
      </c>
      <c r="BT144" s="16">
        <f>SUM(BB$5:BB144)</f>
        <v>0</v>
      </c>
      <c r="BU144" s="16">
        <f>SUM(BC$5:BC144)</f>
        <v>0</v>
      </c>
      <c r="BV144" s="16">
        <f>SUM(BD$5:BD144)</f>
        <v>0</v>
      </c>
      <c r="BW144" s="16">
        <f>SUM(BE$5:BE144)</f>
        <v>0</v>
      </c>
      <c r="BX144" s="16">
        <f>SUM(BF$5:BF144)</f>
        <v>0</v>
      </c>
      <c r="BY144" s="16">
        <f>SUM(BG$5:BG144)</f>
        <v>0</v>
      </c>
      <c r="BZ144" s="16">
        <f>SUM(BH$5:BH144)</f>
        <v>0</v>
      </c>
      <c r="CC144" s="16">
        <v>140</v>
      </c>
      <c r="CD144" s="16">
        <f t="shared" si="72"/>
        <v>0</v>
      </c>
      <c r="CE144" s="16">
        <f t="shared" si="73"/>
        <v>0</v>
      </c>
      <c r="CF144" s="16">
        <f t="shared" si="74"/>
        <v>0</v>
      </c>
      <c r="CG144" s="16">
        <f t="shared" si="75"/>
        <v>0</v>
      </c>
      <c r="CH144" s="16">
        <f t="shared" si="76"/>
        <v>0</v>
      </c>
      <c r="CI144" s="16">
        <f t="shared" si="77"/>
        <v>0</v>
      </c>
      <c r="CJ144" s="16">
        <f t="shared" si="78"/>
        <v>0</v>
      </c>
      <c r="CK144" s="16">
        <f t="shared" si="79"/>
        <v>0</v>
      </c>
      <c r="CL144" s="16">
        <f t="shared" si="80"/>
        <v>0</v>
      </c>
      <c r="CM144" s="16">
        <f t="shared" si="81"/>
        <v>0</v>
      </c>
      <c r="CN144" s="16">
        <f t="shared" si="82"/>
        <v>0</v>
      </c>
      <c r="CO144" s="16">
        <f t="shared" si="83"/>
        <v>0</v>
      </c>
      <c r="CP144" s="16">
        <f t="shared" si="84"/>
        <v>0</v>
      </c>
      <c r="CQ144" s="16">
        <f t="shared" si="85"/>
        <v>0</v>
      </c>
      <c r="CR144" s="16">
        <f t="shared" si="86"/>
        <v>0</v>
      </c>
      <c r="CV144" s="16">
        <v>140</v>
      </c>
      <c r="CW144" s="35">
        <f t="shared" si="89"/>
        <v>0.13200000000000001</v>
      </c>
      <c r="CX144" s="16">
        <f>其他调用!V143/$E$4*求节点(E$28:E$34,$P$28:$P$34,$CV144)*$CW144</f>
        <v>499.65917231739309</v>
      </c>
      <c r="CY144" s="16">
        <f>其他调用!W143/$E$4*求节点(F$28:F$34,$P$28:$P$34,$CV144)*$CW144</f>
        <v>612.57918385351013</v>
      </c>
      <c r="CZ144" s="16">
        <f>其他调用!X143/$E$4*求节点(G$28:G$34,$P$28:$P$34,$CV144)*$CW144</f>
        <v>625.98706765446195</v>
      </c>
      <c r="DA144" s="16">
        <f>其他调用!Y143/$E$4*求节点(H$28:H$34,$P$28:$P$34,$CV144)*$CW144</f>
        <v>501.83104376602273</v>
      </c>
      <c r="DB144" s="16">
        <f>其他调用!Z143/$E$4*求节点(I$28:I$34,$P$28:$P$34,$CV144)*$CW144</f>
        <v>276.94928126694259</v>
      </c>
      <c r="DC144" s="16">
        <f>SUM(CX$5:CX144)</f>
        <v>7434.079793641863</v>
      </c>
      <c r="DD144" s="16">
        <f>SUM(CY$5:CY144)</f>
        <v>9175.996621288632</v>
      </c>
      <c r="DE144" s="16">
        <f>SUM(CZ$5:CZ144)</f>
        <v>9914.9314307279383</v>
      </c>
      <c r="DF144" s="16">
        <f>SUM(DA$5:DA144)</f>
        <v>7962.7016094465471</v>
      </c>
      <c r="DG144" s="16">
        <f>SUM(DB$5:DB144)</f>
        <v>4264.9603586486228</v>
      </c>
    </row>
    <row r="145" spans="24:111">
      <c r="X145" s="16">
        <v>141</v>
      </c>
      <c r="Y145" s="45">
        <f t="shared" si="87"/>
        <v>700</v>
      </c>
      <c r="Z145" s="24">
        <f t="shared" si="88"/>
        <v>6.8000000000000005E-2</v>
      </c>
      <c r="AA145" s="16">
        <f>$Y145*$Z145*其他调用!V144</f>
        <v>2574830.3637621007</v>
      </c>
      <c r="AB145" s="16">
        <f>$Y145*$Z145*其他调用!W144</f>
        <v>3054428.4272066997</v>
      </c>
      <c r="AC145" s="16">
        <f>$Y145*$Z145*其他调用!X144</f>
        <v>3256682.2976234509</v>
      </c>
      <c r="AD145" s="16">
        <f>$Y145*$Z145*其他调用!Y144</f>
        <v>2711655.0803268668</v>
      </c>
      <c r="AE145" s="16">
        <f>$Y145*$Z145*其他调用!Z144</f>
        <v>1458143.4153773608</v>
      </c>
      <c r="AH145" s="16">
        <v>141</v>
      </c>
      <c r="AI145" s="16">
        <f>SUM(AA$5:AA145)</f>
        <v>37985863.752152376</v>
      </c>
      <c r="AJ145" s="16">
        <f>SUM(AB$5:AB145)</f>
        <v>46747634.460476927</v>
      </c>
      <c r="AK145" s="16">
        <f>SUM(AC$5:AC145)</f>
        <v>50430788.331335552</v>
      </c>
      <c r="AL145" s="16">
        <f>SUM(AD$5:AD145)</f>
        <v>40569596.299408972</v>
      </c>
      <c r="AM145" s="16">
        <f>SUM(AE$5:AE145)</f>
        <v>21728402.311528277</v>
      </c>
      <c r="AR145" s="16">
        <v>141</v>
      </c>
      <c r="AS145" s="24">
        <f t="shared" si="71"/>
        <v>6.8000000000000005E-2</v>
      </c>
      <c r="AT145" s="16">
        <f>求节点(E$28:E$34,$M$28:$M$34,$AR145)*$AS145*其他调用!V144/$E$4</f>
        <v>0</v>
      </c>
      <c r="AU145" s="16">
        <f>求节点(F$28:F$34,$M$28:$M$34,$AR145)*$AS145*其他调用!W144/$E$4</f>
        <v>0</v>
      </c>
      <c r="AV145" s="16">
        <f>求节点(G$28:G$34,$M$28:$M$34,$AR145)*$AS145*其他调用!X144/$E$4</f>
        <v>0</v>
      </c>
      <c r="AW145" s="16">
        <f>求节点(H$28:H$34,$M$28:$M$34,$AR145)*$AS145*其他调用!Y144/$E$4</f>
        <v>0</v>
      </c>
      <c r="AX145" s="16">
        <f>求节点(I$28:I$34,$M$28:$M$34,$AR145)*$AS145*其他调用!Z144/$E$4</f>
        <v>0</v>
      </c>
      <c r="AY145" s="16">
        <f>求节点(E$28:E$34,$N$28:$N$34,$AR145)*$AS145*其他调用!V144/$E$4</f>
        <v>0</v>
      </c>
      <c r="AZ145" s="16">
        <f>求节点(F$28:F$34,$N$28:$N$34,$AR145)*$AS145*其他调用!W144/$E$4</f>
        <v>0</v>
      </c>
      <c r="BA145" s="16">
        <f>求节点(G$28:G$34,$N$28:$N$34,$AR145)*$AS145*其他调用!X144/$E$4</f>
        <v>0</v>
      </c>
      <c r="BB145" s="16">
        <f>求节点(H$28:H$34,$N$28:$N$34,$AR145)*$AS145*其他调用!Y144/$E$4</f>
        <v>0</v>
      </c>
      <c r="BC145" s="16">
        <f>求节点(I$28:I$34,$N$28:$N$34,$AR145)*$AS145*其他调用!Z144/$E$4</f>
        <v>0</v>
      </c>
      <c r="BD145" s="16">
        <f>求节点(E$28:E$34,$O$28:$O$34,$AR145)*$AS145*其他调用!V144/$E$4</f>
        <v>0</v>
      </c>
      <c r="BE145" s="16">
        <f>求节点(F$28:F$34,$O$28:$O$34,$AR145)*$AS145*其他调用!W144/$E$4</f>
        <v>0</v>
      </c>
      <c r="BF145" s="16">
        <f>求节点(G$28:G$34,$O$28:$O$34,$AR145)*$AS145*其他调用!X144/$E$4</f>
        <v>0</v>
      </c>
      <c r="BG145" s="16">
        <f>求节点(H$28:H$34,$O$28:$O$34,$AR145)*$AS145*其他调用!Y144/$E$4</f>
        <v>0</v>
      </c>
      <c r="BH145" s="16">
        <f>求节点(I$28:I$34,$O$28:$O$34,$AR145)*$AS145*其他调用!Z144/$E$4</f>
        <v>0</v>
      </c>
      <c r="BK145" s="16">
        <v>141</v>
      </c>
      <c r="BL145" s="16">
        <f>SUM(AT$5:AT145)</f>
        <v>0</v>
      </c>
      <c r="BM145" s="16">
        <f>SUM(AU$5:AU145)</f>
        <v>0</v>
      </c>
      <c r="BN145" s="16">
        <f>SUM(AV$5:AV145)</f>
        <v>0</v>
      </c>
      <c r="BO145" s="16">
        <f>SUM(AW$5:AW145)</f>
        <v>0</v>
      </c>
      <c r="BP145" s="16">
        <f>SUM(AX$5:AX145)</f>
        <v>0</v>
      </c>
      <c r="BQ145" s="16">
        <f>SUM(AY$5:AY145)</f>
        <v>0</v>
      </c>
      <c r="BR145" s="16">
        <f>SUM(AZ$5:AZ145)</f>
        <v>0</v>
      </c>
      <c r="BS145" s="16">
        <f>SUM(BA$5:BA145)</f>
        <v>0</v>
      </c>
      <c r="BT145" s="16">
        <f>SUM(BB$5:BB145)</f>
        <v>0</v>
      </c>
      <c r="BU145" s="16">
        <f>SUM(BC$5:BC145)</f>
        <v>0</v>
      </c>
      <c r="BV145" s="16">
        <f>SUM(BD$5:BD145)</f>
        <v>0</v>
      </c>
      <c r="BW145" s="16">
        <f>SUM(BE$5:BE145)</f>
        <v>0</v>
      </c>
      <c r="BX145" s="16">
        <f>SUM(BF$5:BF145)</f>
        <v>0</v>
      </c>
      <c r="BY145" s="16">
        <f>SUM(BG$5:BG145)</f>
        <v>0</v>
      </c>
      <c r="BZ145" s="16">
        <f>SUM(BH$5:BH145)</f>
        <v>0</v>
      </c>
      <c r="CC145" s="16">
        <v>141</v>
      </c>
      <c r="CD145" s="16">
        <f t="shared" si="72"/>
        <v>0</v>
      </c>
      <c r="CE145" s="16">
        <f t="shared" si="73"/>
        <v>0</v>
      </c>
      <c r="CF145" s="16">
        <f t="shared" si="74"/>
        <v>0</v>
      </c>
      <c r="CG145" s="16">
        <f t="shared" si="75"/>
        <v>0</v>
      </c>
      <c r="CH145" s="16">
        <f t="shared" si="76"/>
        <v>0</v>
      </c>
      <c r="CI145" s="16">
        <f t="shared" si="77"/>
        <v>0</v>
      </c>
      <c r="CJ145" s="16">
        <f t="shared" si="78"/>
        <v>0</v>
      </c>
      <c r="CK145" s="16">
        <f t="shared" si="79"/>
        <v>0</v>
      </c>
      <c r="CL145" s="16">
        <f t="shared" si="80"/>
        <v>0</v>
      </c>
      <c r="CM145" s="16">
        <f t="shared" si="81"/>
        <v>0</v>
      </c>
      <c r="CN145" s="16">
        <f t="shared" si="82"/>
        <v>0</v>
      </c>
      <c r="CO145" s="16">
        <f t="shared" si="83"/>
        <v>0</v>
      </c>
      <c r="CP145" s="16">
        <f t="shared" si="84"/>
        <v>0</v>
      </c>
      <c r="CQ145" s="16">
        <f t="shared" si="85"/>
        <v>0</v>
      </c>
      <c r="CR145" s="16">
        <f t="shared" si="86"/>
        <v>0</v>
      </c>
      <c r="CV145" s="16">
        <v>141</v>
      </c>
      <c r="CW145" s="35">
        <f t="shared" si="89"/>
        <v>0.13200000000000001</v>
      </c>
      <c r="CX145" s="16">
        <f>其他调用!V144/$E$4*求节点(E$28:E$34,$P$28:$P$34,$CV145)*$CW145</f>
        <v>535.52144120262176</v>
      </c>
      <c r="CY145" s="16">
        <f>其他调用!W144/$E$4*求节点(F$28:F$34,$P$28:$P$34,$CV145)*$CW145</f>
        <v>635.2697779274439</v>
      </c>
      <c r="CZ145" s="16">
        <f>其他调用!X144/$E$4*求节点(G$28:G$34,$P$28:$P$34,$CV145)*$CW145</f>
        <v>677.33518374941514</v>
      </c>
      <c r="DA145" s="16">
        <f>其他调用!Y144/$E$4*求节点(H$28:H$34,$P$28:$P$34,$CV145)*$CW145</f>
        <v>563.97868267302488</v>
      </c>
      <c r="DB145" s="16">
        <f>其他调用!Z144/$E$4*求节点(I$28:I$34,$P$28:$P$34,$CV145)*$CW145</f>
        <v>303.26932378646791</v>
      </c>
      <c r="DC145" s="16">
        <f>SUM(CX$5:CX145)</f>
        <v>7969.6012348444847</v>
      </c>
      <c r="DD145" s="16">
        <f>SUM(CY$5:CY145)</f>
        <v>9811.266399216076</v>
      </c>
      <c r="DE145" s="16">
        <f>SUM(CZ$5:CZ145)</f>
        <v>10592.266614477354</v>
      </c>
      <c r="DF145" s="16">
        <f>SUM(DA$5:DA145)</f>
        <v>8526.6802921195722</v>
      </c>
      <c r="DG145" s="16">
        <f>SUM(DB$5:DB145)</f>
        <v>4568.2296824350906</v>
      </c>
    </row>
    <row r="146" spans="24:111">
      <c r="X146" s="16">
        <v>142</v>
      </c>
      <c r="Y146" s="45">
        <f t="shared" si="87"/>
        <v>700</v>
      </c>
      <c r="Z146" s="24">
        <f t="shared" si="88"/>
        <v>6.8000000000000005E-2</v>
      </c>
      <c r="AA146" s="16">
        <f>$Y146*$Z146*其他调用!V145</f>
        <v>2759634.8544129841</v>
      </c>
      <c r="AB146" s="16">
        <f>$Y146*$Z146*其他调用!W145</f>
        <v>3396852.5399155631</v>
      </c>
      <c r="AC146" s="16">
        <f>$Y146*$Z146*其他调用!X145</f>
        <v>3803938.8752657236</v>
      </c>
      <c r="AD146" s="16">
        <f>$Y146*$Z146*其他调用!Y145</f>
        <v>3050817.6048222878</v>
      </c>
      <c r="AE146" s="16">
        <f>$Y146*$Z146*其他调用!Z145</f>
        <v>1635377.2189757272</v>
      </c>
      <c r="AH146" s="16">
        <v>142</v>
      </c>
      <c r="AI146" s="16">
        <f>SUM(AA$5:AA146)</f>
        <v>40745498.606565356</v>
      </c>
      <c r="AJ146" s="16">
        <f>SUM(AB$5:AB146)</f>
        <v>50144487.000392489</v>
      </c>
      <c r="AK146" s="16">
        <f>SUM(AC$5:AC146)</f>
        <v>54234727.206601277</v>
      </c>
      <c r="AL146" s="16">
        <f>SUM(AD$5:AD146)</f>
        <v>43620413.904231258</v>
      </c>
      <c r="AM146" s="16">
        <f>SUM(AE$5:AE146)</f>
        <v>23363779.530504003</v>
      </c>
      <c r="AR146" s="16">
        <v>142</v>
      </c>
      <c r="AS146" s="24">
        <f t="shared" si="71"/>
        <v>6.8000000000000005E-2</v>
      </c>
      <c r="AT146" s="16">
        <f>求节点(E$28:E$34,$M$28:$M$34,$AR146)*$AS146*其他调用!V145/$E$4</f>
        <v>0</v>
      </c>
      <c r="AU146" s="16">
        <f>求节点(F$28:F$34,$M$28:$M$34,$AR146)*$AS146*其他调用!W145/$E$4</f>
        <v>0</v>
      </c>
      <c r="AV146" s="16">
        <f>求节点(G$28:G$34,$M$28:$M$34,$AR146)*$AS146*其他调用!X145/$E$4</f>
        <v>0</v>
      </c>
      <c r="AW146" s="16">
        <f>求节点(H$28:H$34,$M$28:$M$34,$AR146)*$AS146*其他调用!Y145/$E$4</f>
        <v>0</v>
      </c>
      <c r="AX146" s="16">
        <f>求节点(I$28:I$34,$M$28:$M$34,$AR146)*$AS146*其他调用!Z145/$E$4</f>
        <v>0</v>
      </c>
      <c r="AY146" s="16">
        <f>求节点(E$28:E$34,$N$28:$N$34,$AR146)*$AS146*其他调用!V145/$E$4</f>
        <v>0</v>
      </c>
      <c r="AZ146" s="16">
        <f>求节点(F$28:F$34,$N$28:$N$34,$AR146)*$AS146*其他调用!W145/$E$4</f>
        <v>0</v>
      </c>
      <c r="BA146" s="16">
        <f>求节点(G$28:G$34,$N$28:$N$34,$AR146)*$AS146*其他调用!X145/$E$4</f>
        <v>0</v>
      </c>
      <c r="BB146" s="16">
        <f>求节点(H$28:H$34,$N$28:$N$34,$AR146)*$AS146*其他调用!Y145/$E$4</f>
        <v>0</v>
      </c>
      <c r="BC146" s="16">
        <f>求节点(I$28:I$34,$N$28:$N$34,$AR146)*$AS146*其他调用!Z145/$E$4</f>
        <v>0</v>
      </c>
      <c r="BD146" s="16">
        <f>求节点(E$28:E$34,$O$28:$O$34,$AR146)*$AS146*其他调用!V145/$E$4</f>
        <v>0</v>
      </c>
      <c r="BE146" s="16">
        <f>求节点(F$28:F$34,$O$28:$O$34,$AR146)*$AS146*其他调用!W145/$E$4</f>
        <v>0</v>
      </c>
      <c r="BF146" s="16">
        <f>求节点(G$28:G$34,$O$28:$O$34,$AR146)*$AS146*其他调用!X145/$E$4</f>
        <v>0</v>
      </c>
      <c r="BG146" s="16">
        <f>求节点(H$28:H$34,$O$28:$O$34,$AR146)*$AS146*其他调用!Y145/$E$4</f>
        <v>0</v>
      </c>
      <c r="BH146" s="16">
        <f>求节点(I$28:I$34,$O$28:$O$34,$AR146)*$AS146*其他调用!Z145/$E$4</f>
        <v>0</v>
      </c>
      <c r="BK146" s="16">
        <v>142</v>
      </c>
      <c r="BL146" s="16">
        <f>SUM(AT$5:AT146)</f>
        <v>0</v>
      </c>
      <c r="BM146" s="16">
        <f>SUM(AU$5:AU146)</f>
        <v>0</v>
      </c>
      <c r="BN146" s="16">
        <f>SUM(AV$5:AV146)</f>
        <v>0</v>
      </c>
      <c r="BO146" s="16">
        <f>SUM(AW$5:AW146)</f>
        <v>0</v>
      </c>
      <c r="BP146" s="16">
        <f>SUM(AX$5:AX146)</f>
        <v>0</v>
      </c>
      <c r="BQ146" s="16">
        <f>SUM(AY$5:AY146)</f>
        <v>0</v>
      </c>
      <c r="BR146" s="16">
        <f>SUM(AZ$5:AZ146)</f>
        <v>0</v>
      </c>
      <c r="BS146" s="16">
        <f>SUM(BA$5:BA146)</f>
        <v>0</v>
      </c>
      <c r="BT146" s="16">
        <f>SUM(BB$5:BB146)</f>
        <v>0</v>
      </c>
      <c r="BU146" s="16">
        <f>SUM(BC$5:BC146)</f>
        <v>0</v>
      </c>
      <c r="BV146" s="16">
        <f>SUM(BD$5:BD146)</f>
        <v>0</v>
      </c>
      <c r="BW146" s="16">
        <f>SUM(BE$5:BE146)</f>
        <v>0</v>
      </c>
      <c r="BX146" s="16">
        <f>SUM(BF$5:BF146)</f>
        <v>0</v>
      </c>
      <c r="BY146" s="16">
        <f>SUM(BG$5:BG146)</f>
        <v>0</v>
      </c>
      <c r="BZ146" s="16">
        <f>SUM(BH$5:BH146)</f>
        <v>0</v>
      </c>
      <c r="CC146" s="16">
        <v>142</v>
      </c>
      <c r="CD146" s="16">
        <f t="shared" si="72"/>
        <v>0</v>
      </c>
      <c r="CE146" s="16">
        <f t="shared" si="73"/>
        <v>0</v>
      </c>
      <c r="CF146" s="16">
        <f t="shared" si="74"/>
        <v>0</v>
      </c>
      <c r="CG146" s="16">
        <f t="shared" si="75"/>
        <v>0</v>
      </c>
      <c r="CH146" s="16">
        <f t="shared" si="76"/>
        <v>0</v>
      </c>
      <c r="CI146" s="16">
        <f t="shared" si="77"/>
        <v>0</v>
      </c>
      <c r="CJ146" s="16">
        <f t="shared" si="78"/>
        <v>0</v>
      </c>
      <c r="CK146" s="16">
        <f t="shared" si="79"/>
        <v>0</v>
      </c>
      <c r="CL146" s="16">
        <f t="shared" si="80"/>
        <v>0</v>
      </c>
      <c r="CM146" s="16">
        <f t="shared" si="81"/>
        <v>0</v>
      </c>
      <c r="CN146" s="16">
        <f t="shared" si="82"/>
        <v>0</v>
      </c>
      <c r="CO146" s="16">
        <f t="shared" si="83"/>
        <v>0</v>
      </c>
      <c r="CP146" s="16">
        <f t="shared" si="84"/>
        <v>0</v>
      </c>
      <c r="CQ146" s="16">
        <f t="shared" si="85"/>
        <v>0</v>
      </c>
      <c r="CR146" s="16">
        <f t="shared" si="86"/>
        <v>0</v>
      </c>
      <c r="CV146" s="16">
        <v>142</v>
      </c>
      <c r="CW146" s="35">
        <f t="shared" si="89"/>
        <v>0.13200000000000001</v>
      </c>
      <c r="CX146" s="16">
        <f>其他调用!V145/$E$4*求节点(E$28:E$34,$P$28:$P$34,$CV146)*$CW146</f>
        <v>573.95766930017953</v>
      </c>
      <c r="CY146" s="16">
        <f>其他调用!W145/$E$4*求节点(F$28:F$34,$P$28:$P$34,$CV146)*$CW146</f>
        <v>706.48823834378311</v>
      </c>
      <c r="CZ146" s="16">
        <f>其他调用!X145/$E$4*求节点(G$28:G$34,$P$28:$P$34,$CV146)*$CW146</f>
        <v>791.15535430946773</v>
      </c>
      <c r="DA146" s="16">
        <f>其他调用!Y145/$E$4*求节点(H$28:H$34,$P$28:$P$34,$CV146)*$CW146</f>
        <v>634.51878755757662</v>
      </c>
      <c r="DB146" s="16">
        <f>其他调用!Z145/$E$4*求节点(I$28:I$34,$P$28:$P$34,$CV146)*$CW146</f>
        <v>340.13097621553987</v>
      </c>
      <c r="DC146" s="16">
        <f>SUM(CX$5:CX146)</f>
        <v>8543.5589041446638</v>
      </c>
      <c r="DD146" s="16">
        <f>SUM(CY$5:CY146)</f>
        <v>10517.754637559859</v>
      </c>
      <c r="DE146" s="16">
        <f>SUM(CZ$5:CZ146)</f>
        <v>11383.421968786821</v>
      </c>
      <c r="DF146" s="16">
        <f>SUM(DA$5:DA146)</f>
        <v>9161.1990796771497</v>
      </c>
      <c r="DG146" s="16">
        <f>SUM(DB$5:DB146)</f>
        <v>4908.3606586506303</v>
      </c>
    </row>
    <row r="147" spans="24:111">
      <c r="X147" s="16">
        <v>143</v>
      </c>
      <c r="Y147" s="45">
        <f t="shared" si="87"/>
        <v>700</v>
      </c>
      <c r="Z147" s="24">
        <f t="shared" si="88"/>
        <v>6.8000000000000005E-2</v>
      </c>
      <c r="AA147" s="16">
        <f>$Y147*$Z147*其他调用!V146</f>
        <v>2957703.4032500433</v>
      </c>
      <c r="AB147" s="16">
        <f>$Y147*$Z147*其他调用!W146</f>
        <v>3704982.7958921287</v>
      </c>
      <c r="AC147" s="16">
        <f>$Y147*$Z147*其他调用!X146</f>
        <v>4017013.2128744894</v>
      </c>
      <c r="AD147" s="16">
        <f>$Y147*$Z147*其他调用!Y146</f>
        <v>3267181.7050920213</v>
      </c>
      <c r="AE147" s="16">
        <f>$Y147*$Z147*其他调用!Z146</f>
        <v>1776505.6897996317</v>
      </c>
      <c r="AH147" s="16">
        <v>143</v>
      </c>
      <c r="AI147" s="16">
        <f>SUM(AA$5:AA147)</f>
        <v>43703202.009815402</v>
      </c>
      <c r="AJ147" s="16">
        <f>SUM(AB$5:AB147)</f>
        <v>53849469.796284616</v>
      </c>
      <c r="AK147" s="16">
        <f>SUM(AC$5:AC147)</f>
        <v>58251740.419475764</v>
      </c>
      <c r="AL147" s="16">
        <f>SUM(AD$5:AD147)</f>
        <v>46887595.609323278</v>
      </c>
      <c r="AM147" s="16">
        <f>SUM(AE$5:AE147)</f>
        <v>25140285.220303636</v>
      </c>
      <c r="AR147" s="16">
        <v>143</v>
      </c>
      <c r="AS147" s="24">
        <f t="shared" si="71"/>
        <v>6.8000000000000005E-2</v>
      </c>
      <c r="AT147" s="16">
        <f>求节点(E$28:E$34,$M$28:$M$34,$AR147)*$AS147*其他调用!V146/$E$4</f>
        <v>0</v>
      </c>
      <c r="AU147" s="16">
        <f>求节点(F$28:F$34,$M$28:$M$34,$AR147)*$AS147*其他调用!W146/$E$4</f>
        <v>0</v>
      </c>
      <c r="AV147" s="16">
        <f>求节点(G$28:G$34,$M$28:$M$34,$AR147)*$AS147*其他调用!X146/$E$4</f>
        <v>0</v>
      </c>
      <c r="AW147" s="16">
        <f>求节点(H$28:H$34,$M$28:$M$34,$AR147)*$AS147*其他调用!Y146/$E$4</f>
        <v>0</v>
      </c>
      <c r="AX147" s="16">
        <f>求节点(I$28:I$34,$M$28:$M$34,$AR147)*$AS147*其他调用!Z146/$E$4</f>
        <v>0</v>
      </c>
      <c r="AY147" s="16">
        <f>求节点(E$28:E$34,$N$28:$N$34,$AR147)*$AS147*其他调用!V146/$E$4</f>
        <v>0</v>
      </c>
      <c r="AZ147" s="16">
        <f>求节点(F$28:F$34,$N$28:$N$34,$AR147)*$AS147*其他调用!W146/$E$4</f>
        <v>0</v>
      </c>
      <c r="BA147" s="16">
        <f>求节点(G$28:G$34,$N$28:$N$34,$AR147)*$AS147*其他调用!X146/$E$4</f>
        <v>0</v>
      </c>
      <c r="BB147" s="16">
        <f>求节点(H$28:H$34,$N$28:$N$34,$AR147)*$AS147*其他调用!Y146/$E$4</f>
        <v>0</v>
      </c>
      <c r="BC147" s="16">
        <f>求节点(I$28:I$34,$N$28:$N$34,$AR147)*$AS147*其他调用!Z146/$E$4</f>
        <v>0</v>
      </c>
      <c r="BD147" s="16">
        <f>求节点(E$28:E$34,$O$28:$O$34,$AR147)*$AS147*其他调用!V146/$E$4</f>
        <v>0</v>
      </c>
      <c r="BE147" s="16">
        <f>求节点(F$28:F$34,$O$28:$O$34,$AR147)*$AS147*其他调用!W146/$E$4</f>
        <v>0</v>
      </c>
      <c r="BF147" s="16">
        <f>求节点(G$28:G$34,$O$28:$O$34,$AR147)*$AS147*其他调用!X146/$E$4</f>
        <v>0</v>
      </c>
      <c r="BG147" s="16">
        <f>求节点(H$28:H$34,$O$28:$O$34,$AR147)*$AS147*其他调用!Y146/$E$4</f>
        <v>0</v>
      </c>
      <c r="BH147" s="16">
        <f>求节点(I$28:I$34,$O$28:$O$34,$AR147)*$AS147*其他调用!Z146/$E$4</f>
        <v>0</v>
      </c>
      <c r="BK147" s="16">
        <v>143</v>
      </c>
      <c r="BL147" s="16">
        <f>SUM(AT$5:AT147)</f>
        <v>0</v>
      </c>
      <c r="BM147" s="16">
        <f>SUM(AU$5:AU147)</f>
        <v>0</v>
      </c>
      <c r="BN147" s="16">
        <f>SUM(AV$5:AV147)</f>
        <v>0</v>
      </c>
      <c r="BO147" s="16">
        <f>SUM(AW$5:AW147)</f>
        <v>0</v>
      </c>
      <c r="BP147" s="16">
        <f>SUM(AX$5:AX147)</f>
        <v>0</v>
      </c>
      <c r="BQ147" s="16">
        <f>SUM(AY$5:AY147)</f>
        <v>0</v>
      </c>
      <c r="BR147" s="16">
        <f>SUM(AZ$5:AZ147)</f>
        <v>0</v>
      </c>
      <c r="BS147" s="16">
        <f>SUM(BA$5:BA147)</f>
        <v>0</v>
      </c>
      <c r="BT147" s="16">
        <f>SUM(BB$5:BB147)</f>
        <v>0</v>
      </c>
      <c r="BU147" s="16">
        <f>SUM(BC$5:BC147)</f>
        <v>0</v>
      </c>
      <c r="BV147" s="16">
        <f>SUM(BD$5:BD147)</f>
        <v>0</v>
      </c>
      <c r="BW147" s="16">
        <f>SUM(BE$5:BE147)</f>
        <v>0</v>
      </c>
      <c r="BX147" s="16">
        <f>SUM(BF$5:BF147)</f>
        <v>0</v>
      </c>
      <c r="BY147" s="16">
        <f>SUM(BG$5:BG147)</f>
        <v>0</v>
      </c>
      <c r="BZ147" s="16">
        <f>SUM(BH$5:BH147)</f>
        <v>0</v>
      </c>
      <c r="CC147" s="16">
        <v>143</v>
      </c>
      <c r="CD147" s="16">
        <f t="shared" si="72"/>
        <v>0</v>
      </c>
      <c r="CE147" s="16">
        <f t="shared" si="73"/>
        <v>0</v>
      </c>
      <c r="CF147" s="16">
        <f t="shared" si="74"/>
        <v>0</v>
      </c>
      <c r="CG147" s="16">
        <f t="shared" si="75"/>
        <v>0</v>
      </c>
      <c r="CH147" s="16">
        <f t="shared" si="76"/>
        <v>0</v>
      </c>
      <c r="CI147" s="16">
        <f t="shared" si="77"/>
        <v>0</v>
      </c>
      <c r="CJ147" s="16">
        <f t="shared" si="78"/>
        <v>0</v>
      </c>
      <c r="CK147" s="16">
        <f t="shared" si="79"/>
        <v>0</v>
      </c>
      <c r="CL147" s="16">
        <f t="shared" si="80"/>
        <v>0</v>
      </c>
      <c r="CM147" s="16">
        <f t="shared" si="81"/>
        <v>0</v>
      </c>
      <c r="CN147" s="16">
        <f t="shared" si="82"/>
        <v>0</v>
      </c>
      <c r="CO147" s="16">
        <f t="shared" si="83"/>
        <v>0</v>
      </c>
      <c r="CP147" s="16">
        <f t="shared" si="84"/>
        <v>0</v>
      </c>
      <c r="CQ147" s="16">
        <f t="shared" si="85"/>
        <v>0</v>
      </c>
      <c r="CR147" s="16">
        <f t="shared" si="86"/>
        <v>0</v>
      </c>
      <c r="CV147" s="16">
        <v>143</v>
      </c>
      <c r="CW147" s="35">
        <f t="shared" si="89"/>
        <v>0.13200000000000001</v>
      </c>
      <c r="CX147" s="16">
        <f>其他调用!V146/$E$4*求节点(E$28:E$34,$P$28:$P$34,$CV147)*$CW147</f>
        <v>615.1525985751141</v>
      </c>
      <c r="CY147" s="16">
        <f>其他调用!W146/$E$4*求节点(F$28:F$34,$P$28:$P$34,$CV147)*$CW147</f>
        <v>770.57415292714427</v>
      </c>
      <c r="CZ147" s="16">
        <f>其他调用!X146/$E$4*求节点(G$28:G$34,$P$28:$P$34,$CV147)*$CW147</f>
        <v>835.47123545078671</v>
      </c>
      <c r="DA147" s="16">
        <f>其他调用!Y146/$E$4*求节点(H$28:H$34,$P$28:$P$34,$CV147)*$CW147</f>
        <v>679.51888404224815</v>
      </c>
      <c r="DB147" s="16">
        <f>其他调用!Z146/$E$4*求节点(I$28:I$34,$P$28:$P$34,$CV147)*$CW147</f>
        <v>369.48332623983936</v>
      </c>
      <c r="DC147" s="16">
        <f>SUM(CX$5:CX147)</f>
        <v>9158.7115027197779</v>
      </c>
      <c r="DD147" s="16">
        <f>SUM(CY$5:CY147)</f>
        <v>11288.328790487003</v>
      </c>
      <c r="DE147" s="16">
        <f>SUM(CZ$5:CZ147)</f>
        <v>12218.893204237607</v>
      </c>
      <c r="DF147" s="16">
        <f>SUM(DA$5:DA147)</f>
        <v>9840.7179637193985</v>
      </c>
      <c r="DG147" s="16">
        <f>SUM(DB$5:DB147)</f>
        <v>5277.84398489047</v>
      </c>
    </row>
    <row r="148" spans="24:111">
      <c r="X148" s="16">
        <v>144</v>
      </c>
      <c r="Y148" s="45">
        <f t="shared" si="87"/>
        <v>700</v>
      </c>
      <c r="Z148" s="24">
        <f t="shared" si="88"/>
        <v>6.8000000000000005E-2</v>
      </c>
      <c r="AA148" s="16">
        <f>$Y148*$Z148*其他调用!V147</f>
        <v>3169988.0176565931</v>
      </c>
      <c r="AB148" s="16">
        <f>$Y148*$Z148*其他调用!W147</f>
        <v>3906576.0812289086</v>
      </c>
      <c r="AC148" s="16">
        <f>$Y148*$Z148*其他调用!X147</f>
        <v>4292244.4491960704</v>
      </c>
      <c r="AD148" s="16">
        <f>$Y148*$Z148*其他调用!Y147</f>
        <v>3487579.4501050333</v>
      </c>
      <c r="AE148" s="16">
        <f>$Y148*$Z148*其他调用!Z147</f>
        <v>1771906.1621707999</v>
      </c>
      <c r="AH148" s="16">
        <v>144</v>
      </c>
      <c r="AI148" s="16">
        <f>SUM(AA$5:AA148)</f>
        <v>46873190.027471997</v>
      </c>
      <c r="AJ148" s="16">
        <f>SUM(AB$5:AB148)</f>
        <v>57756045.877513528</v>
      </c>
      <c r="AK148" s="16">
        <f>SUM(AC$5:AC148)</f>
        <v>62543984.868671834</v>
      </c>
      <c r="AL148" s="16">
        <f>SUM(AD$5:AD148)</f>
        <v>50375175.059428312</v>
      </c>
      <c r="AM148" s="16">
        <f>SUM(AE$5:AE148)</f>
        <v>26912191.382474437</v>
      </c>
      <c r="AR148" s="16">
        <v>144</v>
      </c>
      <c r="AS148" s="24">
        <f t="shared" si="71"/>
        <v>6.8000000000000005E-2</v>
      </c>
      <c r="AT148" s="16">
        <f>求节点(E$28:E$34,$M$28:$M$34,$AR148)*$AS148*其他调用!V147/$E$4</f>
        <v>0</v>
      </c>
      <c r="AU148" s="16">
        <f>求节点(F$28:F$34,$M$28:$M$34,$AR148)*$AS148*其他调用!W147/$E$4</f>
        <v>0</v>
      </c>
      <c r="AV148" s="16">
        <f>求节点(G$28:G$34,$M$28:$M$34,$AR148)*$AS148*其他调用!X147/$E$4</f>
        <v>0</v>
      </c>
      <c r="AW148" s="16">
        <f>求节点(H$28:H$34,$M$28:$M$34,$AR148)*$AS148*其他调用!Y147/$E$4</f>
        <v>0</v>
      </c>
      <c r="AX148" s="16">
        <f>求节点(I$28:I$34,$M$28:$M$34,$AR148)*$AS148*其他调用!Z147/$E$4</f>
        <v>0</v>
      </c>
      <c r="AY148" s="16">
        <f>求节点(E$28:E$34,$N$28:$N$34,$AR148)*$AS148*其他调用!V147/$E$4</f>
        <v>0</v>
      </c>
      <c r="AZ148" s="16">
        <f>求节点(F$28:F$34,$N$28:$N$34,$AR148)*$AS148*其他调用!W147/$E$4</f>
        <v>0</v>
      </c>
      <c r="BA148" s="16">
        <f>求节点(G$28:G$34,$N$28:$N$34,$AR148)*$AS148*其他调用!X147/$E$4</f>
        <v>0</v>
      </c>
      <c r="BB148" s="16">
        <f>求节点(H$28:H$34,$N$28:$N$34,$AR148)*$AS148*其他调用!Y147/$E$4</f>
        <v>0</v>
      </c>
      <c r="BC148" s="16">
        <f>求节点(I$28:I$34,$N$28:$N$34,$AR148)*$AS148*其他调用!Z147/$E$4</f>
        <v>0</v>
      </c>
      <c r="BD148" s="16">
        <f>求节点(E$28:E$34,$O$28:$O$34,$AR148)*$AS148*其他调用!V147/$E$4</f>
        <v>0</v>
      </c>
      <c r="BE148" s="16">
        <f>求节点(F$28:F$34,$O$28:$O$34,$AR148)*$AS148*其他调用!W147/$E$4</f>
        <v>0</v>
      </c>
      <c r="BF148" s="16">
        <f>求节点(G$28:G$34,$O$28:$O$34,$AR148)*$AS148*其他调用!X147/$E$4</f>
        <v>0</v>
      </c>
      <c r="BG148" s="16">
        <f>求节点(H$28:H$34,$O$28:$O$34,$AR148)*$AS148*其他调用!Y147/$E$4</f>
        <v>0</v>
      </c>
      <c r="BH148" s="16">
        <f>求节点(I$28:I$34,$O$28:$O$34,$AR148)*$AS148*其他调用!Z147/$E$4</f>
        <v>0</v>
      </c>
      <c r="BK148" s="16">
        <v>144</v>
      </c>
      <c r="BL148" s="16">
        <f>SUM(AT$5:AT148)</f>
        <v>0</v>
      </c>
      <c r="BM148" s="16">
        <f>SUM(AU$5:AU148)</f>
        <v>0</v>
      </c>
      <c r="BN148" s="16">
        <f>SUM(AV$5:AV148)</f>
        <v>0</v>
      </c>
      <c r="BO148" s="16">
        <f>SUM(AW$5:AW148)</f>
        <v>0</v>
      </c>
      <c r="BP148" s="16">
        <f>SUM(AX$5:AX148)</f>
        <v>0</v>
      </c>
      <c r="BQ148" s="16">
        <f>SUM(AY$5:AY148)</f>
        <v>0</v>
      </c>
      <c r="BR148" s="16">
        <f>SUM(AZ$5:AZ148)</f>
        <v>0</v>
      </c>
      <c r="BS148" s="16">
        <f>SUM(BA$5:BA148)</f>
        <v>0</v>
      </c>
      <c r="BT148" s="16">
        <f>SUM(BB$5:BB148)</f>
        <v>0</v>
      </c>
      <c r="BU148" s="16">
        <f>SUM(BC$5:BC148)</f>
        <v>0</v>
      </c>
      <c r="BV148" s="16">
        <f>SUM(BD$5:BD148)</f>
        <v>0</v>
      </c>
      <c r="BW148" s="16">
        <f>SUM(BE$5:BE148)</f>
        <v>0</v>
      </c>
      <c r="BX148" s="16">
        <f>SUM(BF$5:BF148)</f>
        <v>0</v>
      </c>
      <c r="BY148" s="16">
        <f>SUM(BG$5:BG148)</f>
        <v>0</v>
      </c>
      <c r="BZ148" s="16">
        <f>SUM(BH$5:BH148)</f>
        <v>0</v>
      </c>
      <c r="CC148" s="16">
        <v>144</v>
      </c>
      <c r="CD148" s="16">
        <f t="shared" si="72"/>
        <v>0</v>
      </c>
      <c r="CE148" s="16">
        <f t="shared" si="73"/>
        <v>0</v>
      </c>
      <c r="CF148" s="16">
        <f t="shared" si="74"/>
        <v>0</v>
      </c>
      <c r="CG148" s="16">
        <f t="shared" si="75"/>
        <v>0</v>
      </c>
      <c r="CH148" s="16">
        <f t="shared" si="76"/>
        <v>0</v>
      </c>
      <c r="CI148" s="16">
        <f t="shared" si="77"/>
        <v>0</v>
      </c>
      <c r="CJ148" s="16">
        <f t="shared" si="78"/>
        <v>0</v>
      </c>
      <c r="CK148" s="16">
        <f t="shared" si="79"/>
        <v>0</v>
      </c>
      <c r="CL148" s="16">
        <f t="shared" si="80"/>
        <v>0</v>
      </c>
      <c r="CM148" s="16">
        <f t="shared" si="81"/>
        <v>0</v>
      </c>
      <c r="CN148" s="16">
        <f t="shared" si="82"/>
        <v>0</v>
      </c>
      <c r="CO148" s="16">
        <f t="shared" si="83"/>
        <v>0</v>
      </c>
      <c r="CP148" s="16">
        <f t="shared" si="84"/>
        <v>0</v>
      </c>
      <c r="CQ148" s="16">
        <f t="shared" si="85"/>
        <v>0</v>
      </c>
      <c r="CR148" s="16">
        <f t="shared" si="86"/>
        <v>0</v>
      </c>
      <c r="CV148" s="16">
        <v>144</v>
      </c>
      <c r="CW148" s="35">
        <f t="shared" si="89"/>
        <v>0.13200000000000001</v>
      </c>
      <c r="CX148" s="16">
        <f>其他调用!V147/$E$4*求节点(E$28:E$34,$P$28:$P$34,$CV148)*$CW148</f>
        <v>659.30423056303096</v>
      </c>
      <c r="CY148" s="16">
        <f>其他调用!W147/$E$4*求节点(F$28:F$34,$P$28:$P$34,$CV148)*$CW148</f>
        <v>812.5021681547521</v>
      </c>
      <c r="CZ148" s="16">
        <f>其他调用!X147/$E$4*求节点(G$28:G$34,$P$28:$P$34,$CV148)*$CW148</f>
        <v>892.71470687061128</v>
      </c>
      <c r="DA148" s="16">
        <f>其他调用!Y147/$E$4*求节点(H$28:H$34,$P$28:$P$34,$CV148)*$CW148</f>
        <v>725.35791084117284</v>
      </c>
      <c r="DB148" s="16">
        <f>其他调用!Z147/$E$4*求节点(I$28:I$34,$P$28:$P$34,$CV148)*$CW148</f>
        <v>368.52670179602774</v>
      </c>
      <c r="DC148" s="16">
        <f>SUM(CX$5:CX148)</f>
        <v>9818.0157332828094</v>
      </c>
      <c r="DD148" s="16">
        <f>SUM(CY$5:CY148)</f>
        <v>12100.830958641754</v>
      </c>
      <c r="DE148" s="16">
        <f>SUM(CZ$5:CZ148)</f>
        <v>13111.607911108218</v>
      </c>
      <c r="DF148" s="16">
        <f>SUM(DA$5:DA148)</f>
        <v>10566.075874560571</v>
      </c>
      <c r="DG148" s="16">
        <f>SUM(DB$5:DB148)</f>
        <v>5646.3706866864977</v>
      </c>
    </row>
    <row r="149" spans="24:111">
      <c r="X149" s="16">
        <v>145</v>
      </c>
      <c r="Y149" s="45">
        <f t="shared" si="87"/>
        <v>700</v>
      </c>
      <c r="Z149" s="24">
        <f t="shared" si="88"/>
        <v>6.8000000000000005E-2</v>
      </c>
      <c r="AA149" s="16">
        <f>$Y149*$Z149*其他调用!V148</f>
        <v>3397509.033882461</v>
      </c>
      <c r="AB149" s="16">
        <f>$Y149*$Z149*其他调用!W148</f>
        <v>4275635.0808669338</v>
      </c>
      <c r="AC149" s="16">
        <f>$Y149*$Z149*其他调用!X148</f>
        <v>4615054.8142095031</v>
      </c>
      <c r="AD149" s="16">
        <f>$Y149*$Z149*其他调用!Y148</f>
        <v>3550869.3438261449</v>
      </c>
      <c r="AE149" s="16">
        <f>$Y149*$Z149*其他调用!Z148</f>
        <v>1861199.5032159733</v>
      </c>
      <c r="AH149" s="16">
        <v>145</v>
      </c>
      <c r="AI149" s="16">
        <f>SUM(AA$5:AA149)</f>
        <v>50270699.061354458</v>
      </c>
      <c r="AJ149" s="16">
        <f>SUM(AB$5:AB149)</f>
        <v>62031680.958380461</v>
      </c>
      <c r="AK149" s="16">
        <f>SUM(AC$5:AC149)</f>
        <v>67159039.68288134</v>
      </c>
      <c r="AL149" s="16">
        <f>SUM(AD$5:AD149)</f>
        <v>53926044.403254457</v>
      </c>
      <c r="AM149" s="16">
        <f>SUM(AE$5:AE149)</f>
        <v>28773390.88569041</v>
      </c>
      <c r="AR149" s="16">
        <v>145</v>
      </c>
      <c r="AS149" s="24">
        <f t="shared" si="71"/>
        <v>6.8000000000000005E-2</v>
      </c>
      <c r="AT149" s="16">
        <f>求节点(E$28:E$34,$M$28:$M$34,$AR149)*$AS149*其他调用!V148/$E$4</f>
        <v>0</v>
      </c>
      <c r="AU149" s="16">
        <f>求节点(F$28:F$34,$M$28:$M$34,$AR149)*$AS149*其他调用!W148/$E$4</f>
        <v>0</v>
      </c>
      <c r="AV149" s="16">
        <f>求节点(G$28:G$34,$M$28:$M$34,$AR149)*$AS149*其他调用!X148/$E$4</f>
        <v>0</v>
      </c>
      <c r="AW149" s="16">
        <f>求节点(H$28:H$34,$M$28:$M$34,$AR149)*$AS149*其他调用!Y148/$E$4</f>
        <v>0</v>
      </c>
      <c r="AX149" s="16">
        <f>求节点(I$28:I$34,$M$28:$M$34,$AR149)*$AS149*其他调用!Z148/$E$4</f>
        <v>0</v>
      </c>
      <c r="AY149" s="16">
        <f>求节点(E$28:E$34,$N$28:$N$34,$AR149)*$AS149*其他调用!V148/$E$4</f>
        <v>0</v>
      </c>
      <c r="AZ149" s="16">
        <f>求节点(F$28:F$34,$N$28:$N$34,$AR149)*$AS149*其他调用!W148/$E$4</f>
        <v>0</v>
      </c>
      <c r="BA149" s="16">
        <f>求节点(G$28:G$34,$N$28:$N$34,$AR149)*$AS149*其他调用!X148/$E$4</f>
        <v>0</v>
      </c>
      <c r="BB149" s="16">
        <f>求节点(H$28:H$34,$N$28:$N$34,$AR149)*$AS149*其他调用!Y148/$E$4</f>
        <v>0</v>
      </c>
      <c r="BC149" s="16">
        <f>求节点(I$28:I$34,$N$28:$N$34,$AR149)*$AS149*其他调用!Z148/$E$4</f>
        <v>0</v>
      </c>
      <c r="BD149" s="16">
        <f>求节点(E$28:E$34,$O$28:$O$34,$AR149)*$AS149*其他调用!V148/$E$4</f>
        <v>0</v>
      </c>
      <c r="BE149" s="16">
        <f>求节点(F$28:F$34,$O$28:$O$34,$AR149)*$AS149*其他调用!W148/$E$4</f>
        <v>0</v>
      </c>
      <c r="BF149" s="16">
        <f>求节点(G$28:G$34,$O$28:$O$34,$AR149)*$AS149*其他调用!X148/$E$4</f>
        <v>0</v>
      </c>
      <c r="BG149" s="16">
        <f>求节点(H$28:H$34,$O$28:$O$34,$AR149)*$AS149*其他调用!Y148/$E$4</f>
        <v>0</v>
      </c>
      <c r="BH149" s="16">
        <f>求节点(I$28:I$34,$O$28:$O$34,$AR149)*$AS149*其他调用!Z148/$E$4</f>
        <v>0</v>
      </c>
      <c r="BK149" s="16">
        <v>145</v>
      </c>
      <c r="BL149" s="16">
        <f>SUM(AT$5:AT149)</f>
        <v>0</v>
      </c>
      <c r="BM149" s="16">
        <f>SUM(AU$5:AU149)</f>
        <v>0</v>
      </c>
      <c r="BN149" s="16">
        <f>SUM(AV$5:AV149)</f>
        <v>0</v>
      </c>
      <c r="BO149" s="16">
        <f>SUM(AW$5:AW149)</f>
        <v>0</v>
      </c>
      <c r="BP149" s="16">
        <f>SUM(AX$5:AX149)</f>
        <v>0</v>
      </c>
      <c r="BQ149" s="16">
        <f>SUM(AY$5:AY149)</f>
        <v>0</v>
      </c>
      <c r="BR149" s="16">
        <f>SUM(AZ$5:AZ149)</f>
        <v>0</v>
      </c>
      <c r="BS149" s="16">
        <f>SUM(BA$5:BA149)</f>
        <v>0</v>
      </c>
      <c r="BT149" s="16">
        <f>SUM(BB$5:BB149)</f>
        <v>0</v>
      </c>
      <c r="BU149" s="16">
        <f>SUM(BC$5:BC149)</f>
        <v>0</v>
      </c>
      <c r="BV149" s="16">
        <f>SUM(BD$5:BD149)</f>
        <v>0</v>
      </c>
      <c r="BW149" s="16">
        <f>SUM(BE$5:BE149)</f>
        <v>0</v>
      </c>
      <c r="BX149" s="16">
        <f>SUM(BF$5:BF149)</f>
        <v>0</v>
      </c>
      <c r="BY149" s="16">
        <f>SUM(BG$5:BG149)</f>
        <v>0</v>
      </c>
      <c r="BZ149" s="16">
        <f>SUM(BH$5:BH149)</f>
        <v>0</v>
      </c>
      <c r="CC149" s="16">
        <v>145</v>
      </c>
      <c r="CD149" s="16">
        <f t="shared" si="72"/>
        <v>0</v>
      </c>
      <c r="CE149" s="16">
        <f t="shared" si="73"/>
        <v>0</v>
      </c>
      <c r="CF149" s="16">
        <f t="shared" si="74"/>
        <v>0</v>
      </c>
      <c r="CG149" s="16">
        <f t="shared" si="75"/>
        <v>0</v>
      </c>
      <c r="CH149" s="16">
        <f t="shared" si="76"/>
        <v>0</v>
      </c>
      <c r="CI149" s="16">
        <f t="shared" si="77"/>
        <v>0</v>
      </c>
      <c r="CJ149" s="16">
        <f t="shared" si="78"/>
        <v>0</v>
      </c>
      <c r="CK149" s="16">
        <f t="shared" si="79"/>
        <v>0</v>
      </c>
      <c r="CL149" s="16">
        <f t="shared" si="80"/>
        <v>0</v>
      </c>
      <c r="CM149" s="16">
        <f t="shared" si="81"/>
        <v>0</v>
      </c>
      <c r="CN149" s="16">
        <f t="shared" si="82"/>
        <v>0</v>
      </c>
      <c r="CO149" s="16">
        <f t="shared" si="83"/>
        <v>0</v>
      </c>
      <c r="CP149" s="16">
        <f t="shared" si="84"/>
        <v>0</v>
      </c>
      <c r="CQ149" s="16">
        <f t="shared" si="85"/>
        <v>0</v>
      </c>
      <c r="CR149" s="16">
        <f t="shared" si="86"/>
        <v>0</v>
      </c>
      <c r="CV149" s="16">
        <v>145</v>
      </c>
      <c r="CW149" s="35">
        <f t="shared" si="89"/>
        <v>0.13200000000000001</v>
      </c>
      <c r="CX149" s="16">
        <f>其他调用!V148/$E$4*求节点(E$28:E$34,$P$28:$P$34,$CV149)*$CW149</f>
        <v>706.62477805538572</v>
      </c>
      <c r="CY149" s="16">
        <f>其他调用!W148/$E$4*求节点(F$28:F$34,$P$28:$P$34,$CV149)*$CW149</f>
        <v>889.26023740719847</v>
      </c>
      <c r="CZ149" s="16">
        <f>其他调用!X148/$E$4*求节点(G$28:G$34,$P$28:$P$34,$CV149)*$CW149</f>
        <v>959.85383740911925</v>
      </c>
      <c r="DA149" s="16">
        <f>其他调用!Y148/$E$4*求节点(H$28:H$34,$P$28:$P$34,$CV149)*$CW149</f>
        <v>738.52114503947121</v>
      </c>
      <c r="DB149" s="16">
        <f>其他调用!Z148/$E$4*求节点(I$28:I$34,$P$28:$P$34,$CV149)*$CW149</f>
        <v>387.09821600500283</v>
      </c>
      <c r="DC149" s="16">
        <f>SUM(CX$5:CX149)</f>
        <v>10524.640511338195</v>
      </c>
      <c r="DD149" s="16">
        <f>SUM(CY$5:CY149)</f>
        <v>12990.091196048954</v>
      </c>
      <c r="DE149" s="16">
        <f>SUM(CZ$5:CZ149)</f>
        <v>14071.461748517337</v>
      </c>
      <c r="DF149" s="16">
        <f>SUM(DA$5:DA149)</f>
        <v>11304.597019600042</v>
      </c>
      <c r="DG149" s="16">
        <f>SUM(DB$5:DB149)</f>
        <v>6033.4689026915003</v>
      </c>
    </row>
    <row r="150" spans="24:111">
      <c r="X150" s="16">
        <v>146</v>
      </c>
      <c r="Y150" s="45">
        <f t="shared" si="87"/>
        <v>700</v>
      </c>
      <c r="Z150" s="24">
        <f t="shared" si="88"/>
        <v>6.8000000000000005E-2</v>
      </c>
      <c r="AA150" s="16">
        <f>$Y150*$Z150*其他调用!V149</f>
        <v>3641360.0212424416</v>
      </c>
      <c r="AB150" s="16">
        <f>$Y150*$Z150*其他调用!W149</f>
        <v>4478002.8202715656</v>
      </c>
      <c r="AC150" s="16">
        <f>$Y150*$Z150*其他调用!X149</f>
        <v>4629363.0008357223</v>
      </c>
      <c r="AD150" s="16">
        <f>$Y150*$Z150*其他调用!Y149</f>
        <v>3640115.6661632149</v>
      </c>
      <c r="AE150" s="16">
        <f>$Y150*$Z150*其他调用!Z149</f>
        <v>1951736.5358497656</v>
      </c>
      <c r="AH150" s="16">
        <v>146</v>
      </c>
      <c r="AI150" s="16">
        <f>SUM(AA$5:AA150)</f>
        <v>53912059.082596898</v>
      </c>
      <c r="AJ150" s="16">
        <f>SUM(AB$5:AB150)</f>
        <v>66509683.778652027</v>
      </c>
      <c r="AK150" s="16">
        <f>SUM(AC$5:AC150)</f>
        <v>71788402.683717057</v>
      </c>
      <c r="AL150" s="16">
        <f>SUM(AD$5:AD150)</f>
        <v>57566160.06941767</v>
      </c>
      <c r="AM150" s="16">
        <f>SUM(AE$5:AE150)</f>
        <v>30725127.421540175</v>
      </c>
      <c r="AR150" s="16">
        <v>146</v>
      </c>
      <c r="AS150" s="24">
        <f t="shared" si="71"/>
        <v>6.8000000000000005E-2</v>
      </c>
      <c r="AT150" s="16">
        <f>求节点(E$28:E$34,$M$28:$M$34,$AR150)*$AS150*其他调用!V149/$E$4</f>
        <v>0</v>
      </c>
      <c r="AU150" s="16">
        <f>求节点(F$28:F$34,$M$28:$M$34,$AR150)*$AS150*其他调用!W149/$E$4</f>
        <v>0</v>
      </c>
      <c r="AV150" s="16">
        <f>求节点(G$28:G$34,$M$28:$M$34,$AR150)*$AS150*其他调用!X149/$E$4</f>
        <v>0</v>
      </c>
      <c r="AW150" s="16">
        <f>求节点(H$28:H$34,$M$28:$M$34,$AR150)*$AS150*其他调用!Y149/$E$4</f>
        <v>0</v>
      </c>
      <c r="AX150" s="16">
        <f>求节点(I$28:I$34,$M$28:$M$34,$AR150)*$AS150*其他调用!Z149/$E$4</f>
        <v>0</v>
      </c>
      <c r="AY150" s="16">
        <f>求节点(E$28:E$34,$N$28:$N$34,$AR150)*$AS150*其他调用!V149/$E$4</f>
        <v>0</v>
      </c>
      <c r="AZ150" s="16">
        <f>求节点(F$28:F$34,$N$28:$N$34,$AR150)*$AS150*其他调用!W149/$E$4</f>
        <v>0</v>
      </c>
      <c r="BA150" s="16">
        <f>求节点(G$28:G$34,$N$28:$N$34,$AR150)*$AS150*其他调用!X149/$E$4</f>
        <v>0</v>
      </c>
      <c r="BB150" s="16">
        <f>求节点(H$28:H$34,$N$28:$N$34,$AR150)*$AS150*其他调用!Y149/$E$4</f>
        <v>0</v>
      </c>
      <c r="BC150" s="16">
        <f>求节点(I$28:I$34,$N$28:$N$34,$AR150)*$AS150*其他调用!Z149/$E$4</f>
        <v>0</v>
      </c>
      <c r="BD150" s="16">
        <f>求节点(E$28:E$34,$O$28:$O$34,$AR150)*$AS150*其他调用!V149/$E$4</f>
        <v>0</v>
      </c>
      <c r="BE150" s="16">
        <f>求节点(F$28:F$34,$O$28:$O$34,$AR150)*$AS150*其他调用!W149/$E$4</f>
        <v>0</v>
      </c>
      <c r="BF150" s="16">
        <f>求节点(G$28:G$34,$O$28:$O$34,$AR150)*$AS150*其他调用!X149/$E$4</f>
        <v>0</v>
      </c>
      <c r="BG150" s="16">
        <f>求节点(H$28:H$34,$O$28:$O$34,$AR150)*$AS150*其他调用!Y149/$E$4</f>
        <v>0</v>
      </c>
      <c r="BH150" s="16">
        <f>求节点(I$28:I$34,$O$28:$O$34,$AR150)*$AS150*其他调用!Z149/$E$4</f>
        <v>0</v>
      </c>
      <c r="BK150" s="16">
        <v>146</v>
      </c>
      <c r="BL150" s="16">
        <f>SUM(AT$5:AT150)</f>
        <v>0</v>
      </c>
      <c r="BM150" s="16">
        <f>SUM(AU$5:AU150)</f>
        <v>0</v>
      </c>
      <c r="BN150" s="16">
        <f>SUM(AV$5:AV150)</f>
        <v>0</v>
      </c>
      <c r="BO150" s="16">
        <f>SUM(AW$5:AW150)</f>
        <v>0</v>
      </c>
      <c r="BP150" s="16">
        <f>SUM(AX$5:AX150)</f>
        <v>0</v>
      </c>
      <c r="BQ150" s="16">
        <f>SUM(AY$5:AY150)</f>
        <v>0</v>
      </c>
      <c r="BR150" s="16">
        <f>SUM(AZ$5:AZ150)</f>
        <v>0</v>
      </c>
      <c r="BS150" s="16">
        <f>SUM(BA$5:BA150)</f>
        <v>0</v>
      </c>
      <c r="BT150" s="16">
        <f>SUM(BB$5:BB150)</f>
        <v>0</v>
      </c>
      <c r="BU150" s="16">
        <f>SUM(BC$5:BC150)</f>
        <v>0</v>
      </c>
      <c r="BV150" s="16">
        <f>SUM(BD$5:BD150)</f>
        <v>0</v>
      </c>
      <c r="BW150" s="16">
        <f>SUM(BE$5:BE150)</f>
        <v>0</v>
      </c>
      <c r="BX150" s="16">
        <f>SUM(BF$5:BF150)</f>
        <v>0</v>
      </c>
      <c r="BY150" s="16">
        <f>SUM(BG$5:BG150)</f>
        <v>0</v>
      </c>
      <c r="BZ150" s="16">
        <f>SUM(BH$5:BH150)</f>
        <v>0</v>
      </c>
      <c r="CC150" s="16">
        <v>146</v>
      </c>
      <c r="CD150" s="16">
        <f t="shared" si="72"/>
        <v>0</v>
      </c>
      <c r="CE150" s="16">
        <f t="shared" si="73"/>
        <v>0</v>
      </c>
      <c r="CF150" s="16">
        <f t="shared" si="74"/>
        <v>0</v>
      </c>
      <c r="CG150" s="16">
        <f t="shared" si="75"/>
        <v>0</v>
      </c>
      <c r="CH150" s="16">
        <f t="shared" si="76"/>
        <v>0</v>
      </c>
      <c r="CI150" s="16">
        <f t="shared" si="77"/>
        <v>0</v>
      </c>
      <c r="CJ150" s="16">
        <f t="shared" si="78"/>
        <v>0</v>
      </c>
      <c r="CK150" s="16">
        <f t="shared" si="79"/>
        <v>0</v>
      </c>
      <c r="CL150" s="16">
        <f t="shared" si="80"/>
        <v>0</v>
      </c>
      <c r="CM150" s="16">
        <f t="shared" si="81"/>
        <v>0</v>
      </c>
      <c r="CN150" s="16">
        <f t="shared" si="82"/>
        <v>0</v>
      </c>
      <c r="CO150" s="16">
        <f t="shared" si="83"/>
        <v>0</v>
      </c>
      <c r="CP150" s="16">
        <f t="shared" si="84"/>
        <v>0</v>
      </c>
      <c r="CQ150" s="16">
        <f t="shared" si="85"/>
        <v>0</v>
      </c>
      <c r="CR150" s="16">
        <f t="shared" si="86"/>
        <v>0</v>
      </c>
      <c r="CV150" s="16">
        <v>146</v>
      </c>
      <c r="CW150" s="35">
        <f t="shared" si="89"/>
        <v>0.13200000000000001</v>
      </c>
      <c r="CX150" s="16">
        <f>其他调用!V149/$E$4*求节点(E$28:E$34,$P$28:$P$34,$CV150)*$CW150</f>
        <v>757.34168509033987</v>
      </c>
      <c r="CY150" s="16">
        <f>其他调用!W149/$E$4*求节点(F$28:F$34,$P$28:$P$34,$CV150)*$CW150</f>
        <v>931.34932606488439</v>
      </c>
      <c r="CZ150" s="16">
        <f>其他调用!X149/$E$4*求节点(G$28:G$34,$P$28:$P$34,$CV150)*$CW150</f>
        <v>962.82969975364813</v>
      </c>
      <c r="DA150" s="16">
        <f>其他调用!Y149/$E$4*求节点(H$28:H$34,$P$28:$P$34,$CV150)*$CW150</f>
        <v>757.08288014739139</v>
      </c>
      <c r="DB150" s="16">
        <f>其他调用!Z149/$E$4*求节点(I$28:I$34,$P$28:$P$34,$CV150)*$CW150</f>
        <v>405.9283971620311</v>
      </c>
      <c r="DC150" s="16">
        <f>SUM(CX$5:CX150)</f>
        <v>11281.982196428535</v>
      </c>
      <c r="DD150" s="16">
        <f>SUM(CY$5:CY150)</f>
        <v>13921.440522113839</v>
      </c>
      <c r="DE150" s="16">
        <f>SUM(CZ$5:CZ150)</f>
        <v>15034.291448270986</v>
      </c>
      <c r="DF150" s="16">
        <f>SUM(DA$5:DA150)</f>
        <v>12061.679899747433</v>
      </c>
      <c r="DG150" s="16">
        <f>SUM(DB$5:DB150)</f>
        <v>6439.397299853531</v>
      </c>
    </row>
    <row r="151" spans="24:111">
      <c r="X151" s="16">
        <v>147</v>
      </c>
      <c r="Y151" s="45">
        <f t="shared" si="87"/>
        <v>700</v>
      </c>
      <c r="Z151" s="24">
        <f t="shared" si="88"/>
        <v>6.8000000000000005E-2</v>
      </c>
      <c r="AA151" s="16">
        <f>$Y151*$Z151*其他调用!V150</f>
        <v>3902713.0383082414</v>
      </c>
      <c r="AB151" s="16">
        <f>$Y151*$Z151*其他调用!W150</f>
        <v>4577579.1550089316</v>
      </c>
      <c r="AC151" s="16">
        <f>$Y151*$Z151*其他调用!X150</f>
        <v>4840885.9046811871</v>
      </c>
      <c r="AD151" s="16">
        <f>$Y151*$Z151*其他调用!Y150</f>
        <v>3843007.2539085685</v>
      </c>
      <c r="AE151" s="16">
        <f>$Y151*$Z151*其他调用!Z150</f>
        <v>2108303.9791395226</v>
      </c>
      <c r="AH151" s="16">
        <v>147</v>
      </c>
      <c r="AI151" s="16">
        <f>SUM(AA$5:AA151)</f>
        <v>57814772.120905139</v>
      </c>
      <c r="AJ151" s="16">
        <f>SUM(AB$5:AB151)</f>
        <v>71087262.933660954</v>
      </c>
      <c r="AK151" s="16">
        <f>SUM(AC$5:AC151)</f>
        <v>76629288.588398248</v>
      </c>
      <c r="AL151" s="16">
        <f>SUM(AD$5:AD151)</f>
        <v>61409167.323326237</v>
      </c>
      <c r="AM151" s="16">
        <f>SUM(AE$5:AE151)</f>
        <v>32833431.400679696</v>
      </c>
      <c r="AR151" s="16">
        <v>147</v>
      </c>
      <c r="AS151" s="24">
        <f t="shared" si="71"/>
        <v>6.8000000000000005E-2</v>
      </c>
      <c r="AT151" s="16">
        <f>求节点(E$28:E$34,$M$28:$M$34,$AR151)*$AS151*其他调用!V150/$E$4</f>
        <v>0</v>
      </c>
      <c r="AU151" s="16">
        <f>求节点(F$28:F$34,$M$28:$M$34,$AR151)*$AS151*其他调用!W150/$E$4</f>
        <v>0</v>
      </c>
      <c r="AV151" s="16">
        <f>求节点(G$28:G$34,$M$28:$M$34,$AR151)*$AS151*其他调用!X150/$E$4</f>
        <v>0</v>
      </c>
      <c r="AW151" s="16">
        <f>求节点(H$28:H$34,$M$28:$M$34,$AR151)*$AS151*其他调用!Y150/$E$4</f>
        <v>0</v>
      </c>
      <c r="AX151" s="16">
        <f>求节点(I$28:I$34,$M$28:$M$34,$AR151)*$AS151*其他调用!Z150/$E$4</f>
        <v>0</v>
      </c>
      <c r="AY151" s="16">
        <f>求节点(E$28:E$34,$N$28:$N$34,$AR151)*$AS151*其他调用!V150/$E$4</f>
        <v>0</v>
      </c>
      <c r="AZ151" s="16">
        <f>求节点(F$28:F$34,$N$28:$N$34,$AR151)*$AS151*其他调用!W150/$E$4</f>
        <v>0</v>
      </c>
      <c r="BA151" s="16">
        <f>求节点(G$28:G$34,$N$28:$N$34,$AR151)*$AS151*其他调用!X150/$E$4</f>
        <v>0</v>
      </c>
      <c r="BB151" s="16">
        <f>求节点(H$28:H$34,$N$28:$N$34,$AR151)*$AS151*其他调用!Y150/$E$4</f>
        <v>0</v>
      </c>
      <c r="BC151" s="16">
        <f>求节点(I$28:I$34,$N$28:$N$34,$AR151)*$AS151*其他调用!Z150/$E$4</f>
        <v>0</v>
      </c>
      <c r="BD151" s="16">
        <f>求节点(E$28:E$34,$O$28:$O$34,$AR151)*$AS151*其他调用!V150/$E$4</f>
        <v>0</v>
      </c>
      <c r="BE151" s="16">
        <f>求节点(F$28:F$34,$O$28:$O$34,$AR151)*$AS151*其他调用!W150/$E$4</f>
        <v>0</v>
      </c>
      <c r="BF151" s="16">
        <f>求节点(G$28:G$34,$O$28:$O$34,$AR151)*$AS151*其他调用!X150/$E$4</f>
        <v>0</v>
      </c>
      <c r="BG151" s="16">
        <f>求节点(H$28:H$34,$O$28:$O$34,$AR151)*$AS151*其他调用!Y150/$E$4</f>
        <v>0</v>
      </c>
      <c r="BH151" s="16">
        <f>求节点(I$28:I$34,$O$28:$O$34,$AR151)*$AS151*其他调用!Z150/$E$4</f>
        <v>0</v>
      </c>
      <c r="BK151" s="16">
        <v>147</v>
      </c>
      <c r="BL151" s="16">
        <f>SUM(AT$5:AT151)</f>
        <v>0</v>
      </c>
      <c r="BM151" s="16">
        <f>SUM(AU$5:AU151)</f>
        <v>0</v>
      </c>
      <c r="BN151" s="16">
        <f>SUM(AV$5:AV151)</f>
        <v>0</v>
      </c>
      <c r="BO151" s="16">
        <f>SUM(AW$5:AW151)</f>
        <v>0</v>
      </c>
      <c r="BP151" s="16">
        <f>SUM(AX$5:AX151)</f>
        <v>0</v>
      </c>
      <c r="BQ151" s="16">
        <f>SUM(AY$5:AY151)</f>
        <v>0</v>
      </c>
      <c r="BR151" s="16">
        <f>SUM(AZ$5:AZ151)</f>
        <v>0</v>
      </c>
      <c r="BS151" s="16">
        <f>SUM(BA$5:BA151)</f>
        <v>0</v>
      </c>
      <c r="BT151" s="16">
        <f>SUM(BB$5:BB151)</f>
        <v>0</v>
      </c>
      <c r="BU151" s="16">
        <f>SUM(BC$5:BC151)</f>
        <v>0</v>
      </c>
      <c r="BV151" s="16">
        <f>SUM(BD$5:BD151)</f>
        <v>0</v>
      </c>
      <c r="BW151" s="16">
        <f>SUM(BE$5:BE151)</f>
        <v>0</v>
      </c>
      <c r="BX151" s="16">
        <f>SUM(BF$5:BF151)</f>
        <v>0</v>
      </c>
      <c r="BY151" s="16">
        <f>SUM(BG$5:BG151)</f>
        <v>0</v>
      </c>
      <c r="BZ151" s="16">
        <f>SUM(BH$5:BH151)</f>
        <v>0</v>
      </c>
      <c r="CC151" s="16">
        <v>147</v>
      </c>
      <c r="CD151" s="16">
        <f t="shared" si="72"/>
        <v>0</v>
      </c>
      <c r="CE151" s="16">
        <f t="shared" si="73"/>
        <v>0</v>
      </c>
      <c r="CF151" s="16">
        <f t="shared" si="74"/>
        <v>0</v>
      </c>
      <c r="CG151" s="16">
        <f t="shared" si="75"/>
        <v>0</v>
      </c>
      <c r="CH151" s="16">
        <f t="shared" si="76"/>
        <v>0</v>
      </c>
      <c r="CI151" s="16">
        <f t="shared" si="77"/>
        <v>0</v>
      </c>
      <c r="CJ151" s="16">
        <f t="shared" si="78"/>
        <v>0</v>
      </c>
      <c r="CK151" s="16">
        <f t="shared" si="79"/>
        <v>0</v>
      </c>
      <c r="CL151" s="16">
        <f t="shared" si="80"/>
        <v>0</v>
      </c>
      <c r="CM151" s="16">
        <f t="shared" si="81"/>
        <v>0</v>
      </c>
      <c r="CN151" s="16">
        <f t="shared" si="82"/>
        <v>0</v>
      </c>
      <c r="CO151" s="16">
        <f t="shared" si="83"/>
        <v>0</v>
      </c>
      <c r="CP151" s="16">
        <f t="shared" si="84"/>
        <v>0</v>
      </c>
      <c r="CQ151" s="16">
        <f t="shared" si="85"/>
        <v>0</v>
      </c>
      <c r="CR151" s="16">
        <f t="shared" si="86"/>
        <v>0</v>
      </c>
      <c r="CV151" s="16">
        <v>147</v>
      </c>
      <c r="CW151" s="35">
        <f t="shared" si="89"/>
        <v>0.13200000000000001</v>
      </c>
      <c r="CX151" s="16">
        <f>其他调用!V150/$E$4*求节点(E$28:E$34,$P$28:$P$34,$CV151)*$CW151</f>
        <v>811.69872015234444</v>
      </c>
      <c r="CY151" s="16">
        <f>其他调用!W150/$E$4*求节点(F$28:F$34,$P$28:$P$34,$CV151)*$CW151</f>
        <v>952.05953013841224</v>
      </c>
      <c r="CZ151" s="16">
        <f>其他调用!X150/$E$4*求节点(G$28:G$34,$P$28:$P$34,$CV151)*$CW151</f>
        <v>1006.8229087467174</v>
      </c>
      <c r="DA151" s="16">
        <f>其他调用!Y150/$E$4*求节点(H$28:H$34,$P$28:$P$34,$CV151)*$CW151</f>
        <v>799.28092045577375</v>
      </c>
      <c r="DB151" s="16">
        <f>其他调用!Z150/$E$4*求节点(I$28:I$34,$P$28:$P$34,$CV151)*$CW151</f>
        <v>438.49179398069907</v>
      </c>
      <c r="DC151" s="16">
        <f>SUM(CX$5:CX151)</f>
        <v>12093.680916580879</v>
      </c>
      <c r="DD151" s="16">
        <f>SUM(CY$5:CY151)</f>
        <v>14873.500052252251</v>
      </c>
      <c r="DE151" s="16">
        <f>SUM(CZ$5:CZ151)</f>
        <v>16041.114357017703</v>
      </c>
      <c r="DF151" s="16">
        <f>SUM(DA$5:DA151)</f>
        <v>12860.960820203207</v>
      </c>
      <c r="DG151" s="16">
        <f>SUM(DB$5:DB151)</f>
        <v>6877.8890938342302</v>
      </c>
    </row>
    <row r="152" spans="24:111">
      <c r="X152" s="16">
        <v>148</v>
      </c>
      <c r="Y152" s="45">
        <f t="shared" si="87"/>
        <v>700</v>
      </c>
      <c r="Z152" s="24">
        <f t="shared" si="88"/>
        <v>6.8000000000000005E-2</v>
      </c>
      <c r="AA152" s="16">
        <f>$Y152*$Z152*其他调用!V151</f>
        <v>4182824.2663532626</v>
      </c>
      <c r="AB152" s="16">
        <f>$Y152*$Z152*其他调用!W151</f>
        <v>5143791.7691630181</v>
      </c>
      <c r="AC152" s="16">
        <f>$Y152*$Z152*其他调用!X151</f>
        <v>5595139.619693161</v>
      </c>
      <c r="AD152" s="16">
        <f>$Y152*$Z152*其他调用!Y151</f>
        <v>4584904.3302357187</v>
      </c>
      <c r="AE152" s="16">
        <f>$Y152*$Z152*其他调用!Z151</f>
        <v>2391047.9936603433</v>
      </c>
      <c r="AH152" s="16">
        <v>148</v>
      </c>
      <c r="AI152" s="16">
        <f>SUM(AA$5:AA152)</f>
        <v>61997596.387258403</v>
      </c>
      <c r="AJ152" s="16">
        <f>SUM(AB$5:AB152)</f>
        <v>76231054.702823967</v>
      </c>
      <c r="AK152" s="16">
        <f>SUM(AC$5:AC152)</f>
        <v>82224428.208091408</v>
      </c>
      <c r="AL152" s="16">
        <f>SUM(AD$5:AD152)</f>
        <v>65994071.653561957</v>
      </c>
      <c r="AM152" s="16">
        <f>SUM(AE$5:AE152)</f>
        <v>35224479.394340038</v>
      </c>
      <c r="AR152" s="16">
        <v>148</v>
      </c>
      <c r="AS152" s="24">
        <f t="shared" si="71"/>
        <v>6.8000000000000005E-2</v>
      </c>
      <c r="AT152" s="16">
        <f>求节点(E$28:E$34,$M$28:$M$34,$AR152)*$AS152*其他调用!V151/$E$4</f>
        <v>0</v>
      </c>
      <c r="AU152" s="16">
        <f>求节点(F$28:F$34,$M$28:$M$34,$AR152)*$AS152*其他调用!W151/$E$4</f>
        <v>0</v>
      </c>
      <c r="AV152" s="16">
        <f>求节点(G$28:G$34,$M$28:$M$34,$AR152)*$AS152*其他调用!X151/$E$4</f>
        <v>0</v>
      </c>
      <c r="AW152" s="16">
        <f>求节点(H$28:H$34,$M$28:$M$34,$AR152)*$AS152*其他调用!Y151/$E$4</f>
        <v>0</v>
      </c>
      <c r="AX152" s="16">
        <f>求节点(I$28:I$34,$M$28:$M$34,$AR152)*$AS152*其他调用!Z151/$E$4</f>
        <v>0</v>
      </c>
      <c r="AY152" s="16">
        <f>求节点(E$28:E$34,$N$28:$N$34,$AR152)*$AS152*其他调用!V151/$E$4</f>
        <v>0</v>
      </c>
      <c r="AZ152" s="16">
        <f>求节点(F$28:F$34,$N$28:$N$34,$AR152)*$AS152*其他调用!W151/$E$4</f>
        <v>0</v>
      </c>
      <c r="BA152" s="16">
        <f>求节点(G$28:G$34,$N$28:$N$34,$AR152)*$AS152*其他调用!X151/$E$4</f>
        <v>0</v>
      </c>
      <c r="BB152" s="16">
        <f>求节点(H$28:H$34,$N$28:$N$34,$AR152)*$AS152*其他调用!Y151/$E$4</f>
        <v>0</v>
      </c>
      <c r="BC152" s="16">
        <f>求节点(I$28:I$34,$N$28:$N$34,$AR152)*$AS152*其他调用!Z151/$E$4</f>
        <v>0</v>
      </c>
      <c r="BD152" s="16">
        <f>求节点(E$28:E$34,$O$28:$O$34,$AR152)*$AS152*其他调用!V151/$E$4</f>
        <v>0</v>
      </c>
      <c r="BE152" s="16">
        <f>求节点(F$28:F$34,$O$28:$O$34,$AR152)*$AS152*其他调用!W151/$E$4</f>
        <v>0</v>
      </c>
      <c r="BF152" s="16">
        <f>求节点(G$28:G$34,$O$28:$O$34,$AR152)*$AS152*其他调用!X151/$E$4</f>
        <v>0</v>
      </c>
      <c r="BG152" s="16">
        <f>求节点(H$28:H$34,$O$28:$O$34,$AR152)*$AS152*其他调用!Y151/$E$4</f>
        <v>0</v>
      </c>
      <c r="BH152" s="16">
        <f>求节点(I$28:I$34,$O$28:$O$34,$AR152)*$AS152*其他调用!Z151/$E$4</f>
        <v>0</v>
      </c>
      <c r="BK152" s="16">
        <v>148</v>
      </c>
      <c r="BL152" s="16">
        <f>SUM(AT$5:AT152)</f>
        <v>0</v>
      </c>
      <c r="BM152" s="16">
        <f>SUM(AU$5:AU152)</f>
        <v>0</v>
      </c>
      <c r="BN152" s="16">
        <f>SUM(AV$5:AV152)</f>
        <v>0</v>
      </c>
      <c r="BO152" s="16">
        <f>SUM(AW$5:AW152)</f>
        <v>0</v>
      </c>
      <c r="BP152" s="16">
        <f>SUM(AX$5:AX152)</f>
        <v>0</v>
      </c>
      <c r="BQ152" s="16">
        <f>SUM(AY$5:AY152)</f>
        <v>0</v>
      </c>
      <c r="BR152" s="16">
        <f>SUM(AZ$5:AZ152)</f>
        <v>0</v>
      </c>
      <c r="BS152" s="16">
        <f>SUM(BA$5:BA152)</f>
        <v>0</v>
      </c>
      <c r="BT152" s="16">
        <f>SUM(BB$5:BB152)</f>
        <v>0</v>
      </c>
      <c r="BU152" s="16">
        <f>SUM(BC$5:BC152)</f>
        <v>0</v>
      </c>
      <c r="BV152" s="16">
        <f>SUM(BD$5:BD152)</f>
        <v>0</v>
      </c>
      <c r="BW152" s="16">
        <f>SUM(BE$5:BE152)</f>
        <v>0</v>
      </c>
      <c r="BX152" s="16">
        <f>SUM(BF$5:BF152)</f>
        <v>0</v>
      </c>
      <c r="BY152" s="16">
        <f>SUM(BG$5:BG152)</f>
        <v>0</v>
      </c>
      <c r="BZ152" s="16">
        <f>SUM(BH$5:BH152)</f>
        <v>0</v>
      </c>
      <c r="CC152" s="16">
        <v>148</v>
      </c>
      <c r="CD152" s="16">
        <f t="shared" si="72"/>
        <v>0</v>
      </c>
      <c r="CE152" s="16">
        <f t="shared" si="73"/>
        <v>0</v>
      </c>
      <c r="CF152" s="16">
        <f t="shared" si="74"/>
        <v>0</v>
      </c>
      <c r="CG152" s="16">
        <f t="shared" si="75"/>
        <v>0</v>
      </c>
      <c r="CH152" s="16">
        <f t="shared" si="76"/>
        <v>0</v>
      </c>
      <c r="CI152" s="16">
        <f t="shared" si="77"/>
        <v>0</v>
      </c>
      <c r="CJ152" s="16">
        <f t="shared" si="78"/>
        <v>0</v>
      </c>
      <c r="CK152" s="16">
        <f t="shared" si="79"/>
        <v>0</v>
      </c>
      <c r="CL152" s="16">
        <f t="shared" si="80"/>
        <v>0</v>
      </c>
      <c r="CM152" s="16">
        <f t="shared" si="81"/>
        <v>0</v>
      </c>
      <c r="CN152" s="16">
        <f t="shared" si="82"/>
        <v>0</v>
      </c>
      <c r="CO152" s="16">
        <f t="shared" si="83"/>
        <v>0</v>
      </c>
      <c r="CP152" s="16">
        <f t="shared" si="84"/>
        <v>0</v>
      </c>
      <c r="CQ152" s="16">
        <f t="shared" si="85"/>
        <v>0</v>
      </c>
      <c r="CR152" s="16">
        <f t="shared" si="86"/>
        <v>0</v>
      </c>
      <c r="CV152" s="16">
        <v>148</v>
      </c>
      <c r="CW152" s="35">
        <f t="shared" si="89"/>
        <v>0.13200000000000001</v>
      </c>
      <c r="CX152" s="16">
        <f>其他调用!V151/$E$4*求节点(E$28:E$34,$P$28:$P$34,$CV152)*$CW152</f>
        <v>869.95714783397682</v>
      </c>
      <c r="CY152" s="16">
        <f>其他调用!W151/$E$4*求节点(F$28:F$34,$P$28:$P$34,$CV152)*$CW152</f>
        <v>1069.8222377040731</v>
      </c>
      <c r="CZ152" s="16">
        <f>其他调用!X151/$E$4*求节点(G$28:G$34,$P$28:$P$34,$CV152)*$CW152</f>
        <v>1163.6950049361826</v>
      </c>
      <c r="DA152" s="16">
        <f>其他调用!Y151/$E$4*求节点(H$28:H$34,$P$28:$P$34,$CV152)*$CW152</f>
        <v>953.58304347339538</v>
      </c>
      <c r="DB152" s="16">
        <f>其他调用!Z151/$E$4*求节点(I$28:I$34,$P$28:$P$34,$CV152)*$CW152</f>
        <v>497.29779700078564</v>
      </c>
      <c r="DC152" s="16">
        <f>SUM(CX$5:CX152)</f>
        <v>12963.638064414856</v>
      </c>
      <c r="DD152" s="16">
        <f>SUM(CY$5:CY152)</f>
        <v>15943.322289956324</v>
      </c>
      <c r="DE152" s="16">
        <f>SUM(CZ$5:CZ152)</f>
        <v>17204.809361953885</v>
      </c>
      <c r="DF152" s="16">
        <f>SUM(DA$5:DA152)</f>
        <v>13814.543863676603</v>
      </c>
      <c r="DG152" s="16">
        <f>SUM(DB$5:DB152)</f>
        <v>7375.1868908350161</v>
      </c>
    </row>
    <row r="153" spans="24:111">
      <c r="X153" s="16">
        <v>149</v>
      </c>
      <c r="Y153" s="45">
        <f t="shared" si="87"/>
        <v>700</v>
      </c>
      <c r="Z153" s="24">
        <f t="shared" si="88"/>
        <v>6.8000000000000005E-2</v>
      </c>
      <c r="AA153" s="16">
        <f>$Y153*$Z153*其他调用!V152</f>
        <v>4483040.0471302858</v>
      </c>
      <c r="AB153" s="16">
        <f>$Y153*$Z153*其他调用!W152</f>
        <v>5532479.9581740517</v>
      </c>
      <c r="AC153" s="16">
        <f>$Y153*$Z153*其他调用!X152</f>
        <v>6026755.4135586545</v>
      </c>
      <c r="AD153" s="16">
        <f>$Y153*$Z153*其他调用!Y152</f>
        <v>4819093.2263913685</v>
      </c>
      <c r="AE153" s="16">
        <f>$Y153*$Z153*其他调用!Z152</f>
        <v>2578654.7802035739</v>
      </c>
      <c r="AH153" s="16">
        <v>149</v>
      </c>
      <c r="AI153" s="16">
        <f>SUM(AA$5:AA153)</f>
        <v>66480636.43438869</v>
      </c>
      <c r="AJ153" s="16">
        <f>SUM(AB$5:AB153)</f>
        <v>81763534.660998017</v>
      </c>
      <c r="AK153" s="16">
        <f>SUM(AC$5:AC153)</f>
        <v>88251183.62165007</v>
      </c>
      <c r="AL153" s="16">
        <f>SUM(AD$5:AD153)</f>
        <v>70813164.879953325</v>
      </c>
      <c r="AM153" s="16">
        <f>SUM(AE$5:AE153)</f>
        <v>37803134.174543612</v>
      </c>
      <c r="AR153" s="16">
        <v>149</v>
      </c>
      <c r="AS153" s="24">
        <f t="shared" si="71"/>
        <v>6.8000000000000005E-2</v>
      </c>
      <c r="AT153" s="16">
        <f>求节点(E$28:E$34,$M$28:$M$34,$AR153)*$AS153*其他调用!V152/$E$4</f>
        <v>0</v>
      </c>
      <c r="AU153" s="16">
        <f>求节点(F$28:F$34,$M$28:$M$34,$AR153)*$AS153*其他调用!W152/$E$4</f>
        <v>0</v>
      </c>
      <c r="AV153" s="16">
        <f>求节点(G$28:G$34,$M$28:$M$34,$AR153)*$AS153*其他调用!X152/$E$4</f>
        <v>0</v>
      </c>
      <c r="AW153" s="16">
        <f>求节点(H$28:H$34,$M$28:$M$34,$AR153)*$AS153*其他调用!Y152/$E$4</f>
        <v>0</v>
      </c>
      <c r="AX153" s="16">
        <f>求节点(I$28:I$34,$M$28:$M$34,$AR153)*$AS153*其他调用!Z152/$E$4</f>
        <v>0</v>
      </c>
      <c r="AY153" s="16">
        <f>求节点(E$28:E$34,$N$28:$N$34,$AR153)*$AS153*其他调用!V152/$E$4</f>
        <v>0</v>
      </c>
      <c r="AZ153" s="16">
        <f>求节点(F$28:F$34,$N$28:$N$34,$AR153)*$AS153*其他调用!W152/$E$4</f>
        <v>0</v>
      </c>
      <c r="BA153" s="16">
        <f>求节点(G$28:G$34,$N$28:$N$34,$AR153)*$AS153*其他调用!X152/$E$4</f>
        <v>0</v>
      </c>
      <c r="BB153" s="16">
        <f>求节点(H$28:H$34,$N$28:$N$34,$AR153)*$AS153*其他调用!Y152/$E$4</f>
        <v>0</v>
      </c>
      <c r="BC153" s="16">
        <f>求节点(I$28:I$34,$N$28:$N$34,$AR153)*$AS153*其他调用!Z152/$E$4</f>
        <v>0</v>
      </c>
      <c r="BD153" s="16">
        <f>求节点(E$28:E$34,$O$28:$O$34,$AR153)*$AS153*其他调用!V152/$E$4</f>
        <v>0</v>
      </c>
      <c r="BE153" s="16">
        <f>求节点(F$28:F$34,$O$28:$O$34,$AR153)*$AS153*其他调用!W152/$E$4</f>
        <v>0</v>
      </c>
      <c r="BF153" s="16">
        <f>求节点(G$28:G$34,$O$28:$O$34,$AR153)*$AS153*其他调用!X152/$E$4</f>
        <v>0</v>
      </c>
      <c r="BG153" s="16">
        <f>求节点(H$28:H$34,$O$28:$O$34,$AR153)*$AS153*其他调用!Y152/$E$4</f>
        <v>0</v>
      </c>
      <c r="BH153" s="16">
        <f>求节点(I$28:I$34,$O$28:$O$34,$AR153)*$AS153*其他调用!Z152/$E$4</f>
        <v>0</v>
      </c>
      <c r="BK153" s="16">
        <v>149</v>
      </c>
      <c r="BL153" s="16">
        <f>SUM(AT$5:AT153)</f>
        <v>0</v>
      </c>
      <c r="BM153" s="16">
        <f>SUM(AU$5:AU153)</f>
        <v>0</v>
      </c>
      <c r="BN153" s="16">
        <f>SUM(AV$5:AV153)</f>
        <v>0</v>
      </c>
      <c r="BO153" s="16">
        <f>SUM(AW$5:AW153)</f>
        <v>0</v>
      </c>
      <c r="BP153" s="16">
        <f>SUM(AX$5:AX153)</f>
        <v>0</v>
      </c>
      <c r="BQ153" s="16">
        <f>SUM(AY$5:AY153)</f>
        <v>0</v>
      </c>
      <c r="BR153" s="16">
        <f>SUM(AZ$5:AZ153)</f>
        <v>0</v>
      </c>
      <c r="BS153" s="16">
        <f>SUM(BA$5:BA153)</f>
        <v>0</v>
      </c>
      <c r="BT153" s="16">
        <f>SUM(BB$5:BB153)</f>
        <v>0</v>
      </c>
      <c r="BU153" s="16">
        <f>SUM(BC$5:BC153)</f>
        <v>0</v>
      </c>
      <c r="BV153" s="16">
        <f>SUM(BD$5:BD153)</f>
        <v>0</v>
      </c>
      <c r="BW153" s="16">
        <f>SUM(BE$5:BE153)</f>
        <v>0</v>
      </c>
      <c r="BX153" s="16">
        <f>SUM(BF$5:BF153)</f>
        <v>0</v>
      </c>
      <c r="BY153" s="16">
        <f>SUM(BG$5:BG153)</f>
        <v>0</v>
      </c>
      <c r="BZ153" s="16">
        <f>SUM(BH$5:BH153)</f>
        <v>0</v>
      </c>
      <c r="CC153" s="16">
        <v>149</v>
      </c>
      <c r="CD153" s="16">
        <f t="shared" si="72"/>
        <v>0</v>
      </c>
      <c r="CE153" s="16">
        <f t="shared" si="73"/>
        <v>0</v>
      </c>
      <c r="CF153" s="16">
        <f t="shared" si="74"/>
        <v>0</v>
      </c>
      <c r="CG153" s="16">
        <f t="shared" si="75"/>
        <v>0</v>
      </c>
      <c r="CH153" s="16">
        <f t="shared" si="76"/>
        <v>0</v>
      </c>
      <c r="CI153" s="16">
        <f t="shared" si="77"/>
        <v>0</v>
      </c>
      <c r="CJ153" s="16">
        <f t="shared" si="78"/>
        <v>0</v>
      </c>
      <c r="CK153" s="16">
        <f t="shared" si="79"/>
        <v>0</v>
      </c>
      <c r="CL153" s="16">
        <f t="shared" si="80"/>
        <v>0</v>
      </c>
      <c r="CM153" s="16">
        <f t="shared" si="81"/>
        <v>0</v>
      </c>
      <c r="CN153" s="16">
        <f t="shared" si="82"/>
        <v>0</v>
      </c>
      <c r="CO153" s="16">
        <f t="shared" si="83"/>
        <v>0</v>
      </c>
      <c r="CP153" s="16">
        <f t="shared" si="84"/>
        <v>0</v>
      </c>
      <c r="CQ153" s="16">
        <f t="shared" si="85"/>
        <v>0</v>
      </c>
      <c r="CR153" s="16">
        <f t="shared" si="86"/>
        <v>0</v>
      </c>
      <c r="CV153" s="16">
        <v>149</v>
      </c>
      <c r="CW153" s="35">
        <f t="shared" si="89"/>
        <v>0.13200000000000001</v>
      </c>
      <c r="CX153" s="16">
        <f>其他调用!V152/$E$4*求节点(E$28:E$34,$P$28:$P$34,$CV153)*$CW153</f>
        <v>932.39698459222325</v>
      </c>
      <c r="CY153" s="16">
        <f>其他调用!W152/$E$4*求节点(F$28:F$34,$P$28:$P$34,$CV153)*$CW153</f>
        <v>1150.6628484437629</v>
      </c>
      <c r="CZ153" s="16">
        <f>其他调用!X152/$E$4*求节点(G$28:G$34,$P$28:$P$34,$CV153)*$CW153</f>
        <v>1253.4638360132494</v>
      </c>
      <c r="DA153" s="16">
        <f>其他调用!Y152/$E$4*求节点(H$28:H$34,$P$28:$P$34,$CV153)*$CW153</f>
        <v>1002.2903979259358</v>
      </c>
      <c r="DB153" s="16">
        <f>其他调用!Z152/$E$4*求节点(I$28:I$34,$P$28:$P$34,$CV153)*$CW153</f>
        <v>536.31685554654166</v>
      </c>
      <c r="DC153" s="16">
        <f>SUM(CX$5:CX153)</f>
        <v>13896.03504900708</v>
      </c>
      <c r="DD153" s="16">
        <f>SUM(CY$5:CY153)</f>
        <v>17093.985138400087</v>
      </c>
      <c r="DE153" s="16">
        <f>SUM(CZ$5:CZ153)</f>
        <v>18458.273197967133</v>
      </c>
      <c r="DF153" s="16">
        <f>SUM(DA$5:DA153)</f>
        <v>14816.834261602538</v>
      </c>
      <c r="DG153" s="16">
        <f>SUM(DB$5:DB153)</f>
        <v>7911.5037463815579</v>
      </c>
    </row>
    <row r="154" spans="24:111">
      <c r="X154" s="16">
        <v>150</v>
      </c>
      <c r="Y154" s="45">
        <f t="shared" si="87"/>
        <v>700</v>
      </c>
      <c r="Z154" s="24">
        <f t="shared" si="88"/>
        <v>6.8000000000000005E-2</v>
      </c>
      <c r="AA154" s="16">
        <f>$Y154*$Z154*其他调用!V153</f>
        <v>4804803.3540015873</v>
      </c>
      <c r="AB154" s="16">
        <f>$Y154*$Z154*其他调用!W153</f>
        <v>5910064.8037921982</v>
      </c>
      <c r="AC154" s="16">
        <f>$Y154*$Z154*其他调用!X153</f>
        <v>6394053.0280620353</v>
      </c>
      <c r="AD154" s="16">
        <f>$Y154*$Z154*其他调用!Y153</f>
        <v>5168203.9135287842</v>
      </c>
      <c r="AE154" s="16">
        <f>$Y154*$Z154*其他调用!Z153</f>
        <v>2878340.5824473067</v>
      </c>
      <c r="AH154" s="16">
        <v>150</v>
      </c>
      <c r="AI154" s="16">
        <f>SUM(AA$5:AA154)</f>
        <v>71285439.788390279</v>
      </c>
      <c r="AJ154" s="16">
        <f>SUM(AB$5:AB154)</f>
        <v>87673599.46479021</v>
      </c>
      <c r="AK154" s="16">
        <f>SUM(AC$5:AC154)</f>
        <v>94645236.649712101</v>
      </c>
      <c r="AL154" s="16">
        <f>SUM(AD$5:AD154)</f>
        <v>75981368.79348211</v>
      </c>
      <c r="AM154" s="16">
        <f>SUM(AE$5:AE154)</f>
        <v>40681474.756990917</v>
      </c>
      <c r="AR154" s="16">
        <v>150</v>
      </c>
      <c r="AS154" s="24">
        <f t="shared" si="71"/>
        <v>6.8000000000000005E-2</v>
      </c>
      <c r="AT154" s="16">
        <f>求节点(E$28:E$34,$M$28:$M$34,$AR154)*$AS154*其他调用!V153/$E$4</f>
        <v>0</v>
      </c>
      <c r="AU154" s="16">
        <f>求节点(F$28:F$34,$M$28:$M$34,$AR154)*$AS154*其他调用!W153/$E$4</f>
        <v>0</v>
      </c>
      <c r="AV154" s="16">
        <f>求节点(G$28:G$34,$M$28:$M$34,$AR154)*$AS154*其他调用!X153/$E$4</f>
        <v>0</v>
      </c>
      <c r="AW154" s="16">
        <f>求节点(H$28:H$34,$M$28:$M$34,$AR154)*$AS154*其他调用!Y153/$E$4</f>
        <v>0</v>
      </c>
      <c r="AX154" s="16">
        <f>求节点(I$28:I$34,$M$28:$M$34,$AR154)*$AS154*其他调用!Z153/$E$4</f>
        <v>0</v>
      </c>
      <c r="AY154" s="16">
        <f>求节点(E$28:E$34,$N$28:$N$34,$AR154)*$AS154*其他调用!V153/$E$4</f>
        <v>0</v>
      </c>
      <c r="AZ154" s="16">
        <f>求节点(F$28:F$34,$N$28:$N$34,$AR154)*$AS154*其他调用!W153/$E$4</f>
        <v>0</v>
      </c>
      <c r="BA154" s="16">
        <f>求节点(G$28:G$34,$N$28:$N$34,$AR154)*$AS154*其他调用!X153/$E$4</f>
        <v>0</v>
      </c>
      <c r="BB154" s="16">
        <f>求节点(H$28:H$34,$N$28:$N$34,$AR154)*$AS154*其他调用!Y153/$E$4</f>
        <v>0</v>
      </c>
      <c r="BC154" s="16">
        <f>求节点(I$28:I$34,$N$28:$N$34,$AR154)*$AS154*其他调用!Z153/$E$4</f>
        <v>0</v>
      </c>
      <c r="BD154" s="16">
        <f>求节点(E$28:E$34,$O$28:$O$34,$AR154)*$AS154*其他调用!V153/$E$4</f>
        <v>0</v>
      </c>
      <c r="BE154" s="16">
        <f>求节点(F$28:F$34,$O$28:$O$34,$AR154)*$AS154*其他调用!W153/$E$4</f>
        <v>0</v>
      </c>
      <c r="BF154" s="16">
        <f>求节点(G$28:G$34,$O$28:$O$34,$AR154)*$AS154*其他调用!X153/$E$4</f>
        <v>0</v>
      </c>
      <c r="BG154" s="16">
        <f>求节点(H$28:H$34,$O$28:$O$34,$AR154)*$AS154*其他调用!Y153/$E$4</f>
        <v>0</v>
      </c>
      <c r="BH154" s="16">
        <f>求节点(I$28:I$34,$O$28:$O$34,$AR154)*$AS154*其他调用!Z153/$E$4</f>
        <v>0</v>
      </c>
      <c r="BK154" s="16">
        <v>150</v>
      </c>
      <c r="BL154" s="16">
        <f>SUM(AT$5:AT154)</f>
        <v>0</v>
      </c>
      <c r="BM154" s="16">
        <f>SUM(AU$5:AU154)</f>
        <v>0</v>
      </c>
      <c r="BN154" s="16">
        <f>SUM(AV$5:AV154)</f>
        <v>0</v>
      </c>
      <c r="BO154" s="16">
        <f>SUM(AW$5:AW154)</f>
        <v>0</v>
      </c>
      <c r="BP154" s="16">
        <f>SUM(AX$5:AX154)</f>
        <v>0</v>
      </c>
      <c r="BQ154" s="16">
        <f>SUM(AY$5:AY154)</f>
        <v>0</v>
      </c>
      <c r="BR154" s="16">
        <f>SUM(AZ$5:AZ154)</f>
        <v>0</v>
      </c>
      <c r="BS154" s="16">
        <f>SUM(BA$5:BA154)</f>
        <v>0</v>
      </c>
      <c r="BT154" s="16">
        <f>SUM(BB$5:BB154)</f>
        <v>0</v>
      </c>
      <c r="BU154" s="16">
        <f>SUM(BC$5:BC154)</f>
        <v>0</v>
      </c>
      <c r="BV154" s="16">
        <f>SUM(BD$5:BD154)</f>
        <v>0</v>
      </c>
      <c r="BW154" s="16">
        <f>SUM(BE$5:BE154)</f>
        <v>0</v>
      </c>
      <c r="BX154" s="16">
        <f>SUM(BF$5:BF154)</f>
        <v>0</v>
      </c>
      <c r="BY154" s="16">
        <f>SUM(BG$5:BG154)</f>
        <v>0</v>
      </c>
      <c r="BZ154" s="16">
        <f>SUM(BH$5:BH154)</f>
        <v>0</v>
      </c>
      <c r="CC154" s="16">
        <v>150</v>
      </c>
      <c r="CD154" s="16">
        <f t="shared" si="72"/>
        <v>0</v>
      </c>
      <c r="CE154" s="16">
        <f t="shared" si="73"/>
        <v>0</v>
      </c>
      <c r="CF154" s="16">
        <f t="shared" si="74"/>
        <v>0</v>
      </c>
      <c r="CG154" s="16">
        <f t="shared" si="75"/>
        <v>0</v>
      </c>
      <c r="CH154" s="16">
        <f t="shared" si="76"/>
        <v>0</v>
      </c>
      <c r="CI154" s="16">
        <f t="shared" si="77"/>
        <v>0</v>
      </c>
      <c r="CJ154" s="16">
        <f t="shared" si="78"/>
        <v>0</v>
      </c>
      <c r="CK154" s="16">
        <f t="shared" si="79"/>
        <v>0</v>
      </c>
      <c r="CL154" s="16">
        <f t="shared" si="80"/>
        <v>0</v>
      </c>
      <c r="CM154" s="16">
        <f t="shared" si="81"/>
        <v>0</v>
      </c>
      <c r="CN154" s="16">
        <f t="shared" si="82"/>
        <v>0</v>
      </c>
      <c r="CO154" s="16">
        <f t="shared" si="83"/>
        <v>0</v>
      </c>
      <c r="CP154" s="16">
        <f t="shared" si="84"/>
        <v>0</v>
      </c>
      <c r="CQ154" s="16">
        <f t="shared" si="85"/>
        <v>0</v>
      </c>
      <c r="CR154" s="16">
        <f t="shared" si="86"/>
        <v>0</v>
      </c>
      <c r="CV154" s="16">
        <v>150</v>
      </c>
      <c r="CW154" s="35">
        <f t="shared" si="89"/>
        <v>0.13200000000000001</v>
      </c>
      <c r="CX154" s="16">
        <f>其他调用!V153/$E$4*求节点(E$28:E$34,$P$28:$P$34,$CV154)*$CW154</f>
        <v>999.31834463478378</v>
      </c>
      <c r="CY154" s="16">
        <f>其他调用!W153/$E$4*求节点(F$28:F$34,$P$28:$P$34,$CV154)*$CW154</f>
        <v>1229.1941503685453</v>
      </c>
      <c r="CZ154" s="16">
        <f>其他调用!X153/$E$4*求节点(G$28:G$34,$P$28:$P$34,$CV154)*$CW154</f>
        <v>1329.8555667608016</v>
      </c>
      <c r="DA154" s="16">
        <f>其他调用!Y153/$E$4*求节点(H$28:H$34,$P$28:$P$34,$CV154)*$CW154</f>
        <v>1074.8995534440119</v>
      </c>
      <c r="DB154" s="16">
        <f>其他调用!Z153/$E$4*求节点(I$28:I$34,$P$28:$P$34,$CV154)*$CW154</f>
        <v>598.64646567706586</v>
      </c>
      <c r="DC154" s="16">
        <f>SUM(CX$5:CX154)</f>
        <v>14895.353393641863</v>
      </c>
      <c r="DD154" s="16">
        <f>SUM(CY$5:CY154)</f>
        <v>18323.179288768632</v>
      </c>
      <c r="DE154" s="16">
        <f>SUM(CZ$5:CZ154)</f>
        <v>19788.128764727935</v>
      </c>
      <c r="DF154" s="16">
        <f>SUM(DA$5:DA154)</f>
        <v>15891.733815046551</v>
      </c>
      <c r="DG154" s="16">
        <f>SUM(DB$5:DB154)</f>
        <v>8510.1502120586229</v>
      </c>
    </row>
    <row r="155" spans="24:111">
      <c r="X155" s="16">
        <v>151</v>
      </c>
      <c r="Y155" s="45">
        <f t="shared" si="87"/>
        <v>700</v>
      </c>
      <c r="Z155" s="24">
        <f t="shared" si="88"/>
        <v>6.8000000000000005E-2</v>
      </c>
      <c r="AA155" s="16">
        <f>$Y155*$Z155*其他调用!V154</f>
        <v>5149660.7275242126</v>
      </c>
      <c r="AB155" s="16">
        <f>$Y155*$Z155*其他调用!W154</f>
        <v>6379051.0622536698</v>
      </c>
      <c r="AC155" s="16">
        <f>$Y155*$Z155*其他调用!X154</f>
        <v>6914843.4856504109</v>
      </c>
      <c r="AD155" s="16">
        <f>$Y155*$Z155*其他调用!Y154</f>
        <v>5886964.75701031</v>
      </c>
      <c r="AE155" s="16">
        <f>$Y155*$Z155*其他调用!Z154</f>
        <v>3629067.5649252879</v>
      </c>
      <c r="AH155" s="16">
        <v>151</v>
      </c>
      <c r="AI155" s="16">
        <f>SUM(AA$5:AA155)</f>
        <v>76435100.515914485</v>
      </c>
      <c r="AJ155" s="16">
        <f>SUM(AB$5:AB155)</f>
        <v>94052650.527043879</v>
      </c>
      <c r="AK155" s="16">
        <f>SUM(AC$5:AC155)</f>
        <v>101560080.13536251</v>
      </c>
      <c r="AL155" s="16">
        <f>SUM(AD$5:AD155)</f>
        <v>81868333.550492421</v>
      </c>
      <c r="AM155" s="16">
        <f>SUM(AE$5:AE155)</f>
        <v>44310542.321916208</v>
      </c>
      <c r="AR155" s="16">
        <v>151</v>
      </c>
      <c r="AS155" s="24">
        <f t="shared" si="71"/>
        <v>6.8000000000000005E-2</v>
      </c>
      <c r="AT155" s="16">
        <f>求节点(E$28:E$34,$M$28:$M$34,$AR155)*$AS155*其他调用!V154/$E$4</f>
        <v>0</v>
      </c>
      <c r="AU155" s="16">
        <f>求节点(F$28:F$34,$M$28:$M$34,$AR155)*$AS155*其他调用!W154/$E$4</f>
        <v>0</v>
      </c>
      <c r="AV155" s="16">
        <f>求节点(G$28:G$34,$M$28:$M$34,$AR155)*$AS155*其他调用!X154/$E$4</f>
        <v>0</v>
      </c>
      <c r="AW155" s="16">
        <f>求节点(H$28:H$34,$M$28:$M$34,$AR155)*$AS155*其他调用!Y154/$E$4</f>
        <v>0</v>
      </c>
      <c r="AX155" s="16">
        <f>求节点(I$28:I$34,$M$28:$M$34,$AR155)*$AS155*其他调用!Z154/$E$4</f>
        <v>0</v>
      </c>
      <c r="AY155" s="16">
        <f>求节点(E$28:E$34,$N$28:$N$34,$AR155)*$AS155*其他调用!V154/$E$4</f>
        <v>0</v>
      </c>
      <c r="AZ155" s="16">
        <f>求节点(F$28:F$34,$N$28:$N$34,$AR155)*$AS155*其他调用!W154/$E$4</f>
        <v>0</v>
      </c>
      <c r="BA155" s="16">
        <f>求节点(G$28:G$34,$N$28:$N$34,$AR155)*$AS155*其他调用!X154/$E$4</f>
        <v>0</v>
      </c>
      <c r="BB155" s="16">
        <f>求节点(H$28:H$34,$N$28:$N$34,$AR155)*$AS155*其他调用!Y154/$E$4</f>
        <v>0</v>
      </c>
      <c r="BC155" s="16">
        <f>求节点(I$28:I$34,$N$28:$N$34,$AR155)*$AS155*其他调用!Z154/$E$4</f>
        <v>0</v>
      </c>
      <c r="BD155" s="16">
        <f>求节点(E$28:E$34,$O$28:$O$34,$AR155)*$AS155*其他调用!V154/$E$4</f>
        <v>0</v>
      </c>
      <c r="BE155" s="16">
        <f>求节点(F$28:F$34,$O$28:$O$34,$AR155)*$AS155*其他调用!W154/$E$4</f>
        <v>0</v>
      </c>
      <c r="BF155" s="16">
        <f>求节点(G$28:G$34,$O$28:$O$34,$AR155)*$AS155*其他调用!X154/$E$4</f>
        <v>0</v>
      </c>
      <c r="BG155" s="16">
        <f>求节点(H$28:H$34,$O$28:$O$34,$AR155)*$AS155*其他调用!Y154/$E$4</f>
        <v>0</v>
      </c>
      <c r="BH155" s="16">
        <f>求节点(I$28:I$34,$O$28:$O$34,$AR155)*$AS155*其他调用!Z154/$E$4</f>
        <v>0</v>
      </c>
      <c r="BK155" s="16">
        <v>151</v>
      </c>
      <c r="BL155" s="16">
        <f>SUM(AT$5:AT155)</f>
        <v>0</v>
      </c>
      <c r="BM155" s="16">
        <f>SUM(AU$5:AU155)</f>
        <v>0</v>
      </c>
      <c r="BN155" s="16">
        <f>SUM(AV$5:AV155)</f>
        <v>0</v>
      </c>
      <c r="BO155" s="16">
        <f>SUM(AW$5:AW155)</f>
        <v>0</v>
      </c>
      <c r="BP155" s="16">
        <f>SUM(AX$5:AX155)</f>
        <v>0</v>
      </c>
      <c r="BQ155" s="16">
        <f>SUM(AY$5:AY155)</f>
        <v>0</v>
      </c>
      <c r="BR155" s="16">
        <f>SUM(AZ$5:AZ155)</f>
        <v>0</v>
      </c>
      <c r="BS155" s="16">
        <f>SUM(BA$5:BA155)</f>
        <v>0</v>
      </c>
      <c r="BT155" s="16">
        <f>SUM(BB$5:BB155)</f>
        <v>0</v>
      </c>
      <c r="BU155" s="16">
        <f>SUM(BC$5:BC155)</f>
        <v>0</v>
      </c>
      <c r="BV155" s="16">
        <f>SUM(BD$5:BD155)</f>
        <v>0</v>
      </c>
      <c r="BW155" s="16">
        <f>SUM(BE$5:BE155)</f>
        <v>0</v>
      </c>
      <c r="BX155" s="16">
        <f>SUM(BF$5:BF155)</f>
        <v>0</v>
      </c>
      <c r="BY155" s="16">
        <f>SUM(BG$5:BG155)</f>
        <v>0</v>
      </c>
      <c r="BZ155" s="16">
        <f>SUM(BH$5:BH155)</f>
        <v>0</v>
      </c>
      <c r="CC155" s="16">
        <v>151</v>
      </c>
      <c r="CD155" s="16">
        <f t="shared" si="72"/>
        <v>0</v>
      </c>
      <c r="CE155" s="16">
        <f t="shared" si="73"/>
        <v>0</v>
      </c>
      <c r="CF155" s="16">
        <f t="shared" si="74"/>
        <v>0</v>
      </c>
      <c r="CG155" s="16">
        <f t="shared" si="75"/>
        <v>0</v>
      </c>
      <c r="CH155" s="16">
        <f t="shared" si="76"/>
        <v>0</v>
      </c>
      <c r="CI155" s="16">
        <f t="shared" si="77"/>
        <v>0</v>
      </c>
      <c r="CJ155" s="16">
        <f t="shared" si="78"/>
        <v>0</v>
      </c>
      <c r="CK155" s="16">
        <f t="shared" si="79"/>
        <v>0</v>
      </c>
      <c r="CL155" s="16">
        <f t="shared" si="80"/>
        <v>0</v>
      </c>
      <c r="CM155" s="16">
        <f t="shared" si="81"/>
        <v>0</v>
      </c>
      <c r="CN155" s="16">
        <f t="shared" si="82"/>
        <v>0</v>
      </c>
      <c r="CO155" s="16">
        <f t="shared" si="83"/>
        <v>0</v>
      </c>
      <c r="CP155" s="16">
        <f t="shared" si="84"/>
        <v>0</v>
      </c>
      <c r="CQ155" s="16">
        <f t="shared" si="85"/>
        <v>0</v>
      </c>
      <c r="CR155" s="16">
        <f t="shared" si="86"/>
        <v>0</v>
      </c>
      <c r="CV155" s="16">
        <v>151</v>
      </c>
      <c r="CW155" s="35">
        <f t="shared" si="89"/>
        <v>0.13200000000000001</v>
      </c>
      <c r="CX155" s="16">
        <f>其他调用!V154/$E$4*求节点(E$28:E$34,$P$28:$P$34,$CV155)*$CW155</f>
        <v>1071.0428824052458</v>
      </c>
      <c r="CY155" s="16">
        <f>其他调用!W154/$E$4*求节点(F$28:F$34,$P$28:$P$34,$CV155)*$CW155</f>
        <v>1326.7354100065406</v>
      </c>
      <c r="CZ155" s="16">
        <f>其他调用!X154/$E$4*求节点(G$28:G$34,$P$28:$P$34,$CV155)*$CW155</f>
        <v>1438.1712291583838</v>
      </c>
      <c r="DA155" s="16">
        <f>其他调用!Y154/$E$4*求节点(H$28:H$34,$P$28:$P$34,$CV155)*$CW155</f>
        <v>1224.3897288739931</v>
      </c>
      <c r="DB155" s="16">
        <f>其他调用!Z154/$E$4*求节点(I$28:I$34,$P$28:$P$34,$CV155)*$CW155</f>
        <v>754.78506077227632</v>
      </c>
      <c r="DC155" s="16">
        <f>SUM(CX$5:CX155)</f>
        <v>15966.396276047108</v>
      </c>
      <c r="DD155" s="16">
        <f>SUM(CY$5:CY155)</f>
        <v>19649.914698775174</v>
      </c>
      <c r="DE155" s="16">
        <f>SUM(CZ$5:CZ155)</f>
        <v>21226.299993886318</v>
      </c>
      <c r="DF155" s="16">
        <f>SUM(DA$5:DA155)</f>
        <v>17116.123543920545</v>
      </c>
      <c r="DG155" s="16">
        <f>SUM(DB$5:DB155)</f>
        <v>9264.9352728308986</v>
      </c>
    </row>
    <row r="156" spans="24:111">
      <c r="X156" s="16">
        <v>152</v>
      </c>
      <c r="Y156" s="45">
        <f t="shared" si="87"/>
        <v>700</v>
      </c>
      <c r="Z156" s="24">
        <f t="shared" si="88"/>
        <v>6.8000000000000005E-2</v>
      </c>
      <c r="AA156" s="16">
        <f>$Y156*$Z156*其他调用!V155</f>
        <v>5519269.708825957</v>
      </c>
      <c r="AB156" s="16">
        <f>$Y156*$Z156*其他调用!W155</f>
        <v>6768089.2834653296</v>
      </c>
      <c r="AC156" s="16">
        <f>$Y156*$Z156*其他调用!X155</f>
        <v>7938331.4659735588</v>
      </c>
      <c r="AD156" s="16">
        <f>$Y156*$Z156*其他调用!Y155</f>
        <v>7112982.1824756172</v>
      </c>
      <c r="AE156" s="16">
        <f>$Y156*$Z156*其他调用!Z155</f>
        <v>24607360.71455352</v>
      </c>
      <c r="AH156" s="16">
        <v>152</v>
      </c>
      <c r="AI156" s="16">
        <f>SUM(AA$5:AA156)</f>
        <v>81954370.224740446</v>
      </c>
      <c r="AJ156" s="16">
        <f>SUM(AB$5:AB156)</f>
        <v>100820739.8105092</v>
      </c>
      <c r="AK156" s="16">
        <f>SUM(AC$5:AC156)</f>
        <v>109498411.60133606</v>
      </c>
      <c r="AL156" s="16">
        <f>SUM(AD$5:AD156)</f>
        <v>88981315.732968032</v>
      </c>
      <c r="AM156" s="16">
        <f>SUM(AE$5:AE156)</f>
        <v>68917903.036469728</v>
      </c>
      <c r="AR156" s="16">
        <v>152</v>
      </c>
      <c r="AS156" s="24">
        <f t="shared" si="71"/>
        <v>6.8000000000000005E-2</v>
      </c>
      <c r="AT156" s="16">
        <f>求节点(E$28:E$34,$M$28:$M$34,$AR156)*$AS156*其他调用!V155/$E$4</f>
        <v>0</v>
      </c>
      <c r="AU156" s="16">
        <f>求节点(F$28:F$34,$M$28:$M$34,$AR156)*$AS156*其他调用!W155/$E$4</f>
        <v>0</v>
      </c>
      <c r="AV156" s="16">
        <f>求节点(G$28:G$34,$M$28:$M$34,$AR156)*$AS156*其他调用!X155/$E$4</f>
        <v>0</v>
      </c>
      <c r="AW156" s="16">
        <f>求节点(H$28:H$34,$M$28:$M$34,$AR156)*$AS156*其他调用!Y155/$E$4</f>
        <v>0</v>
      </c>
      <c r="AX156" s="16">
        <f>求节点(I$28:I$34,$M$28:$M$34,$AR156)*$AS156*其他调用!Z155/$E$4</f>
        <v>0</v>
      </c>
      <c r="AY156" s="16">
        <f>求节点(E$28:E$34,$N$28:$N$34,$AR156)*$AS156*其他调用!V155/$E$4</f>
        <v>0</v>
      </c>
      <c r="AZ156" s="16">
        <f>求节点(F$28:F$34,$N$28:$N$34,$AR156)*$AS156*其他调用!W155/$E$4</f>
        <v>0</v>
      </c>
      <c r="BA156" s="16">
        <f>求节点(G$28:G$34,$N$28:$N$34,$AR156)*$AS156*其他调用!X155/$E$4</f>
        <v>0</v>
      </c>
      <c r="BB156" s="16">
        <f>求节点(H$28:H$34,$N$28:$N$34,$AR156)*$AS156*其他调用!Y155/$E$4</f>
        <v>0</v>
      </c>
      <c r="BC156" s="16">
        <f>求节点(I$28:I$34,$N$28:$N$34,$AR156)*$AS156*其他调用!Z155/$E$4</f>
        <v>0</v>
      </c>
      <c r="BD156" s="16">
        <f>求节点(E$28:E$34,$O$28:$O$34,$AR156)*$AS156*其他调用!V155/$E$4</f>
        <v>0</v>
      </c>
      <c r="BE156" s="16">
        <f>求节点(F$28:F$34,$O$28:$O$34,$AR156)*$AS156*其他调用!W155/$E$4</f>
        <v>0</v>
      </c>
      <c r="BF156" s="16">
        <f>求节点(G$28:G$34,$O$28:$O$34,$AR156)*$AS156*其他调用!X155/$E$4</f>
        <v>0</v>
      </c>
      <c r="BG156" s="16">
        <f>求节点(H$28:H$34,$O$28:$O$34,$AR156)*$AS156*其他调用!Y155/$E$4</f>
        <v>0</v>
      </c>
      <c r="BH156" s="16">
        <f>求节点(I$28:I$34,$O$28:$O$34,$AR156)*$AS156*其他调用!Z155/$E$4</f>
        <v>0</v>
      </c>
      <c r="BK156" s="16">
        <v>152</v>
      </c>
      <c r="BL156" s="16">
        <f>SUM(AT$5:AT156)</f>
        <v>0</v>
      </c>
      <c r="BM156" s="16">
        <f>SUM(AU$5:AU156)</f>
        <v>0</v>
      </c>
      <c r="BN156" s="16">
        <f>SUM(AV$5:AV156)</f>
        <v>0</v>
      </c>
      <c r="BO156" s="16">
        <f>SUM(AW$5:AW156)</f>
        <v>0</v>
      </c>
      <c r="BP156" s="16">
        <f>SUM(AX$5:AX156)</f>
        <v>0</v>
      </c>
      <c r="BQ156" s="16">
        <f>SUM(AY$5:AY156)</f>
        <v>0</v>
      </c>
      <c r="BR156" s="16">
        <f>SUM(AZ$5:AZ156)</f>
        <v>0</v>
      </c>
      <c r="BS156" s="16">
        <f>SUM(BA$5:BA156)</f>
        <v>0</v>
      </c>
      <c r="BT156" s="16">
        <f>SUM(BB$5:BB156)</f>
        <v>0</v>
      </c>
      <c r="BU156" s="16">
        <f>SUM(BC$5:BC156)</f>
        <v>0</v>
      </c>
      <c r="BV156" s="16">
        <f>SUM(BD$5:BD156)</f>
        <v>0</v>
      </c>
      <c r="BW156" s="16">
        <f>SUM(BE$5:BE156)</f>
        <v>0</v>
      </c>
      <c r="BX156" s="16">
        <f>SUM(BF$5:BF156)</f>
        <v>0</v>
      </c>
      <c r="BY156" s="16">
        <f>SUM(BG$5:BG156)</f>
        <v>0</v>
      </c>
      <c r="BZ156" s="16">
        <f>SUM(BH$5:BH156)</f>
        <v>0</v>
      </c>
      <c r="CC156" s="16">
        <v>152</v>
      </c>
      <c r="CD156" s="16">
        <f t="shared" si="72"/>
        <v>0</v>
      </c>
      <c r="CE156" s="16">
        <f t="shared" si="73"/>
        <v>0</v>
      </c>
      <c r="CF156" s="16">
        <f t="shared" si="74"/>
        <v>0</v>
      </c>
      <c r="CG156" s="16">
        <f t="shared" si="75"/>
        <v>0</v>
      </c>
      <c r="CH156" s="16">
        <f t="shared" si="76"/>
        <v>0</v>
      </c>
      <c r="CI156" s="16">
        <f t="shared" si="77"/>
        <v>0</v>
      </c>
      <c r="CJ156" s="16">
        <f t="shared" si="78"/>
        <v>0</v>
      </c>
      <c r="CK156" s="16">
        <f t="shared" si="79"/>
        <v>0</v>
      </c>
      <c r="CL156" s="16">
        <f t="shared" si="80"/>
        <v>0</v>
      </c>
      <c r="CM156" s="16">
        <f t="shared" si="81"/>
        <v>0</v>
      </c>
      <c r="CN156" s="16">
        <f t="shared" si="82"/>
        <v>0</v>
      </c>
      <c r="CO156" s="16">
        <f t="shared" si="83"/>
        <v>0</v>
      </c>
      <c r="CP156" s="16">
        <f t="shared" si="84"/>
        <v>0</v>
      </c>
      <c r="CQ156" s="16">
        <f t="shared" si="85"/>
        <v>0</v>
      </c>
      <c r="CR156" s="16">
        <f t="shared" si="86"/>
        <v>0</v>
      </c>
      <c r="CV156" s="16">
        <v>152</v>
      </c>
      <c r="CW156" s="35">
        <f t="shared" si="89"/>
        <v>0.13200000000000001</v>
      </c>
      <c r="CX156" s="16">
        <f>其他调用!V155/$E$4*求节点(E$28:E$34,$P$28:$P$34,$CV156)*$CW156</f>
        <v>1147.9153386003566</v>
      </c>
      <c r="CY156" s="16">
        <f>其他调用!W155/$E$4*求节点(F$28:F$34,$P$28:$P$34,$CV156)*$CW156</f>
        <v>1407.6488215610666</v>
      </c>
      <c r="CZ156" s="16">
        <f>其他调用!X155/$E$4*求节点(G$28:G$34,$P$28:$P$34,$CV156)*$CW156</f>
        <v>1651.0395275869378</v>
      </c>
      <c r="DA156" s="16">
        <f>其他调用!Y155/$E$4*求节点(H$28:H$34,$P$28:$P$34,$CV156)*$CW156</f>
        <v>1479.3807480358951</v>
      </c>
      <c r="DB156" s="16">
        <f>其他调用!Z155/$E$4*求节点(I$28:I$34,$P$28:$P$34,$CV156)*$CW156</f>
        <v>5117.9174595394925</v>
      </c>
      <c r="DC156" s="16">
        <f>SUM(CX$5:CX156)</f>
        <v>17114.311614647464</v>
      </c>
      <c r="DD156" s="16">
        <f>SUM(CY$5:CY156)</f>
        <v>21057.56352033624</v>
      </c>
      <c r="DE156" s="16">
        <f>SUM(CZ$5:CZ156)</f>
        <v>22877.339521473255</v>
      </c>
      <c r="DF156" s="16">
        <f>SUM(DA$5:DA156)</f>
        <v>18595.50429195644</v>
      </c>
      <c r="DG156" s="16">
        <f>SUM(DB$5:DB156)</f>
        <v>14382.852732370391</v>
      </c>
    </row>
    <row r="157" spans="24:111">
      <c r="X157" s="16">
        <v>153</v>
      </c>
      <c r="Y157" s="45">
        <f t="shared" si="87"/>
        <v>700</v>
      </c>
      <c r="Z157" s="24">
        <f t="shared" si="88"/>
        <v>6.8000000000000005E-2</v>
      </c>
      <c r="AA157" s="16">
        <f>$Y157*$Z157*其他调用!V156</f>
        <v>5915406.8065000866</v>
      </c>
      <c r="AB157" s="16">
        <f>$Y157*$Z157*其他调用!W156</f>
        <v>8088399.0233938741</v>
      </c>
      <c r="AC157" s="16">
        <f>$Y157*$Z157*其他调用!X156</f>
        <v>9215410.7522002012</v>
      </c>
      <c r="AD157" s="16">
        <f>$Y157*$Z157*其他调用!Y156</f>
        <v>29169225.510092873</v>
      </c>
      <c r="AE157" s="16">
        <f>$Y157*$Z157*其他调用!Z156</f>
        <v>49468534.699219994</v>
      </c>
      <c r="AH157" s="16">
        <v>153</v>
      </c>
      <c r="AI157" s="16">
        <f>SUM(AA$5:AA157)</f>
        <v>87869777.031240538</v>
      </c>
      <c r="AJ157" s="16">
        <f>SUM(AB$5:AB157)</f>
        <v>108909138.83390307</v>
      </c>
      <c r="AK157" s="16">
        <f>SUM(AC$5:AC157)</f>
        <v>118713822.35353626</v>
      </c>
      <c r="AL157" s="16">
        <f>SUM(AD$5:AD157)</f>
        <v>118150541.2430609</v>
      </c>
      <c r="AM157" s="16">
        <f>SUM(AE$5:AE157)</f>
        <v>118386437.73568973</v>
      </c>
      <c r="AR157" s="16">
        <v>153</v>
      </c>
      <c r="AS157" s="24">
        <f t="shared" si="71"/>
        <v>6.8000000000000005E-2</v>
      </c>
      <c r="AT157" s="16">
        <f>求节点(E$28:E$34,$M$28:$M$34,$AR157)*$AS157*其他调用!V156/$E$4</f>
        <v>0</v>
      </c>
      <c r="AU157" s="16">
        <f>求节点(F$28:F$34,$M$28:$M$34,$AR157)*$AS157*其他调用!W156/$E$4</f>
        <v>0</v>
      </c>
      <c r="AV157" s="16">
        <f>求节点(G$28:G$34,$M$28:$M$34,$AR157)*$AS157*其他调用!X156/$E$4</f>
        <v>0</v>
      </c>
      <c r="AW157" s="16">
        <f>求节点(H$28:H$34,$M$28:$M$34,$AR157)*$AS157*其他调用!Y156/$E$4</f>
        <v>0</v>
      </c>
      <c r="AX157" s="16">
        <f>求节点(I$28:I$34,$M$28:$M$34,$AR157)*$AS157*其他调用!Z156/$E$4</f>
        <v>0</v>
      </c>
      <c r="AY157" s="16">
        <f>求节点(E$28:E$34,$N$28:$N$34,$AR157)*$AS157*其他调用!V156/$E$4</f>
        <v>0</v>
      </c>
      <c r="AZ157" s="16">
        <f>求节点(F$28:F$34,$N$28:$N$34,$AR157)*$AS157*其他调用!W156/$E$4</f>
        <v>0</v>
      </c>
      <c r="BA157" s="16">
        <f>求节点(G$28:G$34,$N$28:$N$34,$AR157)*$AS157*其他调用!X156/$E$4</f>
        <v>0</v>
      </c>
      <c r="BB157" s="16">
        <f>求节点(H$28:H$34,$N$28:$N$34,$AR157)*$AS157*其他调用!Y156/$E$4</f>
        <v>0</v>
      </c>
      <c r="BC157" s="16">
        <f>求节点(I$28:I$34,$N$28:$N$34,$AR157)*$AS157*其他调用!Z156/$E$4</f>
        <v>0</v>
      </c>
      <c r="BD157" s="16">
        <f>求节点(E$28:E$34,$O$28:$O$34,$AR157)*$AS157*其他调用!V156/$E$4</f>
        <v>0</v>
      </c>
      <c r="BE157" s="16">
        <f>求节点(F$28:F$34,$O$28:$O$34,$AR157)*$AS157*其他调用!W156/$E$4</f>
        <v>0</v>
      </c>
      <c r="BF157" s="16">
        <f>求节点(G$28:G$34,$O$28:$O$34,$AR157)*$AS157*其他调用!X156/$E$4</f>
        <v>0</v>
      </c>
      <c r="BG157" s="16">
        <f>求节点(H$28:H$34,$O$28:$O$34,$AR157)*$AS157*其他调用!Y156/$E$4</f>
        <v>0</v>
      </c>
      <c r="BH157" s="16">
        <f>求节点(I$28:I$34,$O$28:$O$34,$AR157)*$AS157*其他调用!Z156/$E$4</f>
        <v>0</v>
      </c>
      <c r="BK157" s="16">
        <v>153</v>
      </c>
      <c r="BL157" s="16">
        <f>SUM(AT$5:AT157)</f>
        <v>0</v>
      </c>
      <c r="BM157" s="16">
        <f>SUM(AU$5:AU157)</f>
        <v>0</v>
      </c>
      <c r="BN157" s="16">
        <f>SUM(AV$5:AV157)</f>
        <v>0</v>
      </c>
      <c r="BO157" s="16">
        <f>SUM(AW$5:AW157)</f>
        <v>0</v>
      </c>
      <c r="BP157" s="16">
        <f>SUM(AX$5:AX157)</f>
        <v>0</v>
      </c>
      <c r="BQ157" s="16">
        <f>SUM(AY$5:AY157)</f>
        <v>0</v>
      </c>
      <c r="BR157" s="16">
        <f>SUM(AZ$5:AZ157)</f>
        <v>0</v>
      </c>
      <c r="BS157" s="16">
        <f>SUM(BA$5:BA157)</f>
        <v>0</v>
      </c>
      <c r="BT157" s="16">
        <f>SUM(BB$5:BB157)</f>
        <v>0</v>
      </c>
      <c r="BU157" s="16">
        <f>SUM(BC$5:BC157)</f>
        <v>0</v>
      </c>
      <c r="BV157" s="16">
        <f>SUM(BD$5:BD157)</f>
        <v>0</v>
      </c>
      <c r="BW157" s="16">
        <f>SUM(BE$5:BE157)</f>
        <v>0</v>
      </c>
      <c r="BX157" s="16">
        <f>SUM(BF$5:BF157)</f>
        <v>0</v>
      </c>
      <c r="BY157" s="16">
        <f>SUM(BG$5:BG157)</f>
        <v>0</v>
      </c>
      <c r="BZ157" s="16">
        <f>SUM(BH$5:BH157)</f>
        <v>0</v>
      </c>
      <c r="CC157" s="16">
        <v>153</v>
      </c>
      <c r="CD157" s="16">
        <f t="shared" si="72"/>
        <v>0</v>
      </c>
      <c r="CE157" s="16">
        <f t="shared" si="73"/>
        <v>0</v>
      </c>
      <c r="CF157" s="16">
        <f t="shared" si="74"/>
        <v>0</v>
      </c>
      <c r="CG157" s="16">
        <f t="shared" si="75"/>
        <v>0</v>
      </c>
      <c r="CH157" s="16">
        <f t="shared" si="76"/>
        <v>0</v>
      </c>
      <c r="CI157" s="16">
        <f t="shared" si="77"/>
        <v>0</v>
      </c>
      <c r="CJ157" s="16">
        <f t="shared" si="78"/>
        <v>0</v>
      </c>
      <c r="CK157" s="16">
        <f t="shared" si="79"/>
        <v>0</v>
      </c>
      <c r="CL157" s="16">
        <f t="shared" si="80"/>
        <v>0</v>
      </c>
      <c r="CM157" s="16">
        <f t="shared" si="81"/>
        <v>0</v>
      </c>
      <c r="CN157" s="16">
        <f t="shared" si="82"/>
        <v>0</v>
      </c>
      <c r="CO157" s="16">
        <f t="shared" si="83"/>
        <v>0</v>
      </c>
      <c r="CP157" s="16">
        <f t="shared" si="84"/>
        <v>0</v>
      </c>
      <c r="CQ157" s="16">
        <f t="shared" si="85"/>
        <v>0</v>
      </c>
      <c r="CR157" s="16">
        <f t="shared" si="86"/>
        <v>0</v>
      </c>
      <c r="CV157" s="16">
        <v>153</v>
      </c>
      <c r="CW157" s="35">
        <f t="shared" si="89"/>
        <v>0.13200000000000001</v>
      </c>
      <c r="CX157" s="16">
        <f>其他调用!V156/$E$4*求节点(E$28:E$34,$P$28:$P$34,$CV157)*$CW157</f>
        <v>1230.3051971502282</v>
      </c>
      <c r="CY157" s="16">
        <f>其他调用!W156/$E$4*求节点(F$28:F$34,$P$28:$P$34,$CV157)*$CW157</f>
        <v>1682.2510573865411</v>
      </c>
      <c r="CZ157" s="16">
        <f>其他调用!X156/$E$4*求节点(G$28:G$34,$P$28:$P$34,$CV157)*$CW157</f>
        <v>1916.6505556046639</v>
      </c>
      <c r="DA157" s="16">
        <f>其他调用!Y156/$E$4*求节点(H$28:H$34,$P$28:$P$34,$CV157)*$CW157</f>
        <v>6066.7086670151148</v>
      </c>
      <c r="DB157" s="16">
        <f>其他调用!Z156/$E$4*求节点(I$28:I$34,$P$28:$P$34,$CV157)*$CW157</f>
        <v>10288.623813493234</v>
      </c>
      <c r="DC157" s="16">
        <f>SUM(CX$5:CX157)</f>
        <v>18344.616811797692</v>
      </c>
      <c r="DD157" s="16">
        <f>SUM(CY$5:CY157)</f>
        <v>22739.81457772278</v>
      </c>
      <c r="DE157" s="16">
        <f>SUM(CZ$5:CZ157)</f>
        <v>24793.99007707792</v>
      </c>
      <c r="DF157" s="16">
        <f>SUM(DA$5:DA157)</f>
        <v>24662.212958971555</v>
      </c>
      <c r="DG157" s="16">
        <f>SUM(DB$5:DB157)</f>
        <v>24671.476545863625</v>
      </c>
    </row>
    <row r="158" spans="24:111">
      <c r="X158" s="16">
        <v>154</v>
      </c>
      <c r="Y158" s="45">
        <f t="shared" si="87"/>
        <v>700</v>
      </c>
      <c r="Z158" s="24">
        <f t="shared" si="88"/>
        <v>6.8000000000000005E-2</v>
      </c>
      <c r="AA158" s="16">
        <f>$Y158*$Z158*其他调用!V157</f>
        <v>6339976.0353131974</v>
      </c>
      <c r="AB158" s="16">
        <f>$Y158*$Z158*其他调用!W157</f>
        <v>8409961.4039478656</v>
      </c>
      <c r="AC158" s="16">
        <f>$Y158*$Z158*其他调用!X157</f>
        <v>27669220.932894241</v>
      </c>
      <c r="AD158" s="16">
        <f>$Y158*$Z158*其他调用!Y157</f>
        <v>48793929.257826433</v>
      </c>
      <c r="AE158" s="16">
        <f>$Y158*$Z158*其他调用!Z157</f>
        <v>48793929.257826433</v>
      </c>
      <c r="AH158" s="16">
        <v>154</v>
      </c>
      <c r="AI158" s="16">
        <f>SUM(AA$5:AA158)</f>
        <v>94209753.066553742</v>
      </c>
      <c r="AJ158" s="16">
        <f>SUM(AB$5:AB158)</f>
        <v>117319100.23785093</v>
      </c>
      <c r="AK158" s="16">
        <f>SUM(AC$5:AC158)</f>
        <v>146383043.28643051</v>
      </c>
      <c r="AL158" s="16">
        <f>SUM(AD$5:AD158)</f>
        <v>166944470.50088733</v>
      </c>
      <c r="AM158" s="16">
        <f>SUM(AE$5:AE158)</f>
        <v>167180366.99351615</v>
      </c>
      <c r="AR158" s="16">
        <v>154</v>
      </c>
      <c r="AS158" s="24">
        <f t="shared" si="71"/>
        <v>6.8000000000000005E-2</v>
      </c>
      <c r="AT158" s="16">
        <f>求节点(E$28:E$34,$M$28:$M$34,$AR158)*$AS158*其他调用!V157/$E$4</f>
        <v>0</v>
      </c>
      <c r="AU158" s="16">
        <f>求节点(F$28:F$34,$M$28:$M$34,$AR158)*$AS158*其他调用!W157/$E$4</f>
        <v>0</v>
      </c>
      <c r="AV158" s="16">
        <f>求节点(G$28:G$34,$M$28:$M$34,$AR158)*$AS158*其他调用!X157/$E$4</f>
        <v>0</v>
      </c>
      <c r="AW158" s="16">
        <f>求节点(H$28:H$34,$M$28:$M$34,$AR158)*$AS158*其他调用!Y157/$E$4</f>
        <v>0</v>
      </c>
      <c r="AX158" s="16">
        <f>求节点(I$28:I$34,$M$28:$M$34,$AR158)*$AS158*其他调用!Z157/$E$4</f>
        <v>0</v>
      </c>
      <c r="AY158" s="16">
        <f>求节点(E$28:E$34,$N$28:$N$34,$AR158)*$AS158*其他调用!V157/$E$4</f>
        <v>0</v>
      </c>
      <c r="AZ158" s="16">
        <f>求节点(F$28:F$34,$N$28:$N$34,$AR158)*$AS158*其他调用!W157/$E$4</f>
        <v>0</v>
      </c>
      <c r="BA158" s="16">
        <f>求节点(G$28:G$34,$N$28:$N$34,$AR158)*$AS158*其他调用!X157/$E$4</f>
        <v>0</v>
      </c>
      <c r="BB158" s="16">
        <f>求节点(H$28:H$34,$N$28:$N$34,$AR158)*$AS158*其他调用!Y157/$E$4</f>
        <v>0</v>
      </c>
      <c r="BC158" s="16">
        <f>求节点(I$28:I$34,$N$28:$N$34,$AR158)*$AS158*其他调用!Z157/$E$4</f>
        <v>0</v>
      </c>
      <c r="BD158" s="16">
        <f>求节点(E$28:E$34,$O$28:$O$34,$AR158)*$AS158*其他调用!V157/$E$4</f>
        <v>0</v>
      </c>
      <c r="BE158" s="16">
        <f>求节点(F$28:F$34,$O$28:$O$34,$AR158)*$AS158*其他调用!W157/$E$4</f>
        <v>0</v>
      </c>
      <c r="BF158" s="16">
        <f>求节点(G$28:G$34,$O$28:$O$34,$AR158)*$AS158*其他调用!X157/$E$4</f>
        <v>0</v>
      </c>
      <c r="BG158" s="16">
        <f>求节点(H$28:H$34,$O$28:$O$34,$AR158)*$AS158*其他调用!Y157/$E$4</f>
        <v>0</v>
      </c>
      <c r="BH158" s="16">
        <f>求节点(I$28:I$34,$O$28:$O$34,$AR158)*$AS158*其他调用!Z157/$E$4</f>
        <v>0</v>
      </c>
      <c r="BK158" s="16">
        <v>154</v>
      </c>
      <c r="BL158" s="16">
        <f>SUM(AT$5:AT158)</f>
        <v>0</v>
      </c>
      <c r="BM158" s="16">
        <f>SUM(AU$5:AU158)</f>
        <v>0</v>
      </c>
      <c r="BN158" s="16">
        <f>SUM(AV$5:AV158)</f>
        <v>0</v>
      </c>
      <c r="BO158" s="16">
        <f>SUM(AW$5:AW158)</f>
        <v>0</v>
      </c>
      <c r="BP158" s="16">
        <f>SUM(AX$5:AX158)</f>
        <v>0</v>
      </c>
      <c r="BQ158" s="16">
        <f>SUM(AY$5:AY158)</f>
        <v>0</v>
      </c>
      <c r="BR158" s="16">
        <f>SUM(AZ$5:AZ158)</f>
        <v>0</v>
      </c>
      <c r="BS158" s="16">
        <f>SUM(BA$5:BA158)</f>
        <v>0</v>
      </c>
      <c r="BT158" s="16">
        <f>SUM(BB$5:BB158)</f>
        <v>0</v>
      </c>
      <c r="BU158" s="16">
        <f>SUM(BC$5:BC158)</f>
        <v>0</v>
      </c>
      <c r="BV158" s="16">
        <f>SUM(BD$5:BD158)</f>
        <v>0</v>
      </c>
      <c r="BW158" s="16">
        <f>SUM(BE$5:BE158)</f>
        <v>0</v>
      </c>
      <c r="BX158" s="16">
        <f>SUM(BF$5:BF158)</f>
        <v>0</v>
      </c>
      <c r="BY158" s="16">
        <f>SUM(BG$5:BG158)</f>
        <v>0</v>
      </c>
      <c r="BZ158" s="16">
        <f>SUM(BH$5:BH158)</f>
        <v>0</v>
      </c>
      <c r="CC158" s="16">
        <v>154</v>
      </c>
      <c r="CD158" s="16">
        <f t="shared" si="72"/>
        <v>0</v>
      </c>
      <c r="CE158" s="16">
        <f t="shared" si="73"/>
        <v>0</v>
      </c>
      <c r="CF158" s="16">
        <f t="shared" si="74"/>
        <v>0</v>
      </c>
      <c r="CG158" s="16">
        <f t="shared" si="75"/>
        <v>0</v>
      </c>
      <c r="CH158" s="16">
        <f t="shared" si="76"/>
        <v>0</v>
      </c>
      <c r="CI158" s="16">
        <f t="shared" si="77"/>
        <v>0</v>
      </c>
      <c r="CJ158" s="16">
        <f t="shared" si="78"/>
        <v>0</v>
      </c>
      <c r="CK158" s="16">
        <f t="shared" si="79"/>
        <v>0</v>
      </c>
      <c r="CL158" s="16">
        <f t="shared" si="80"/>
        <v>0</v>
      </c>
      <c r="CM158" s="16">
        <f t="shared" si="81"/>
        <v>0</v>
      </c>
      <c r="CN158" s="16">
        <f t="shared" si="82"/>
        <v>0</v>
      </c>
      <c r="CO158" s="16">
        <f t="shared" si="83"/>
        <v>0</v>
      </c>
      <c r="CP158" s="16">
        <f t="shared" si="84"/>
        <v>0</v>
      </c>
      <c r="CQ158" s="16">
        <f t="shared" si="85"/>
        <v>0</v>
      </c>
      <c r="CR158" s="16">
        <f t="shared" si="86"/>
        <v>0</v>
      </c>
      <c r="CV158" s="16">
        <v>154</v>
      </c>
      <c r="CW158" s="35">
        <f t="shared" si="89"/>
        <v>0.13200000000000001</v>
      </c>
      <c r="CX158" s="16">
        <f>其他调用!V157/$E$4*求节点(E$28:E$34,$P$28:$P$34,$CV158)*$CW158</f>
        <v>1318.608461126064</v>
      </c>
      <c r="CY158" s="16">
        <f>其他调用!W157/$E$4*求节点(F$28:F$34,$P$28:$P$34,$CV158)*$CW158</f>
        <v>1749.130628132014</v>
      </c>
      <c r="CZ158" s="16">
        <f>其他调用!X157/$E$4*求节点(G$28:G$34,$P$28:$P$34,$CV158)*$CW158</f>
        <v>5754.7329251187602</v>
      </c>
      <c r="DA158" s="16">
        <f>其他调用!Y157/$E$4*求节点(H$28:H$34,$P$28:$P$34,$CV158)*$CW158</f>
        <v>10148.317219589951</v>
      </c>
      <c r="DB158" s="16">
        <f>其他调用!Z157/$E$4*求节点(I$28:I$34,$P$28:$P$34,$CV158)*$CW158</f>
        <v>10148.317219589951</v>
      </c>
      <c r="DC158" s="16">
        <f>SUM(CX$5:CX158)</f>
        <v>19663.225272923755</v>
      </c>
      <c r="DD158" s="16">
        <f>SUM(CY$5:CY158)</f>
        <v>24488.945205854794</v>
      </c>
      <c r="DE158" s="16">
        <f>SUM(CZ$5:CZ158)</f>
        <v>30548.723002196683</v>
      </c>
      <c r="DF158" s="16">
        <f>SUM(DA$5:DA158)</f>
        <v>34810.530178561508</v>
      </c>
      <c r="DG158" s="16">
        <f>SUM(DB$5:DB158)</f>
        <v>34819.793765453578</v>
      </c>
    </row>
    <row r="159" spans="24:111">
      <c r="X159" s="16">
        <v>155</v>
      </c>
      <c r="Y159" s="45">
        <f t="shared" si="87"/>
        <v>700</v>
      </c>
      <c r="Z159" s="24">
        <f t="shared" si="88"/>
        <v>6.8000000000000005E-2</v>
      </c>
      <c r="AA159" s="16">
        <f>$Y159*$Z159*其他调用!V158</f>
        <v>6795018.0677649332</v>
      </c>
      <c r="AB159" s="16">
        <f>$Y159*$Z159*其他调用!W158</f>
        <v>22679158.118309565</v>
      </c>
      <c r="AC159" s="16">
        <f>$Y159*$Z159*其他调用!X158</f>
        <v>45317985.183914632</v>
      </c>
      <c r="AD159" s="16">
        <f>$Y159*$Z159*其他调用!Y158</f>
        <v>50234080.354356997</v>
      </c>
      <c r="AE159" s="16">
        <f>$Y159*$Z159*其他调用!Z158</f>
        <v>50915666.875111163</v>
      </c>
      <c r="AH159" s="16">
        <v>155</v>
      </c>
      <c r="AI159" s="16">
        <f>SUM(AA$5:AA159)</f>
        <v>101004771.13431868</v>
      </c>
      <c r="AJ159" s="16">
        <f>SUM(AB$5:AB159)</f>
        <v>139998258.35616049</v>
      </c>
      <c r="AK159" s="16">
        <f>SUM(AC$5:AC159)</f>
        <v>191701028.47034514</v>
      </c>
      <c r="AL159" s="16">
        <f>SUM(AD$5:AD159)</f>
        <v>217178550.85524434</v>
      </c>
      <c r="AM159" s="16">
        <f>SUM(AE$5:AE159)</f>
        <v>218096033.86862731</v>
      </c>
      <c r="AR159" s="16">
        <v>155</v>
      </c>
      <c r="AS159" s="24">
        <f t="shared" si="71"/>
        <v>6.8000000000000005E-2</v>
      </c>
      <c r="AT159" s="16">
        <f>求节点(E$28:E$34,$M$28:$M$34,$AR159)*$AS159*其他调用!V158/$E$4</f>
        <v>0</v>
      </c>
      <c r="AU159" s="16">
        <f>求节点(F$28:F$34,$M$28:$M$34,$AR159)*$AS159*其他调用!W158/$E$4</f>
        <v>0</v>
      </c>
      <c r="AV159" s="16">
        <f>求节点(G$28:G$34,$M$28:$M$34,$AR159)*$AS159*其他调用!X158/$E$4</f>
        <v>0</v>
      </c>
      <c r="AW159" s="16">
        <f>求节点(H$28:H$34,$M$28:$M$34,$AR159)*$AS159*其他调用!Y158/$E$4</f>
        <v>0</v>
      </c>
      <c r="AX159" s="16">
        <f>求节点(I$28:I$34,$M$28:$M$34,$AR159)*$AS159*其他调用!Z158/$E$4</f>
        <v>0</v>
      </c>
      <c r="AY159" s="16">
        <f>求节点(E$28:E$34,$N$28:$N$34,$AR159)*$AS159*其他调用!V158/$E$4</f>
        <v>0</v>
      </c>
      <c r="AZ159" s="16">
        <f>求节点(F$28:F$34,$N$28:$N$34,$AR159)*$AS159*其他调用!W158/$E$4</f>
        <v>0</v>
      </c>
      <c r="BA159" s="16">
        <f>求节点(G$28:G$34,$N$28:$N$34,$AR159)*$AS159*其他调用!X158/$E$4</f>
        <v>0</v>
      </c>
      <c r="BB159" s="16">
        <f>求节点(H$28:H$34,$N$28:$N$34,$AR159)*$AS159*其他调用!Y158/$E$4</f>
        <v>0</v>
      </c>
      <c r="BC159" s="16">
        <f>求节点(I$28:I$34,$N$28:$N$34,$AR159)*$AS159*其他调用!Z158/$E$4</f>
        <v>0</v>
      </c>
      <c r="BD159" s="16">
        <f>求节点(E$28:E$34,$O$28:$O$34,$AR159)*$AS159*其他调用!V158/$E$4</f>
        <v>0</v>
      </c>
      <c r="BE159" s="16">
        <f>求节点(F$28:F$34,$O$28:$O$34,$AR159)*$AS159*其他调用!W158/$E$4</f>
        <v>0</v>
      </c>
      <c r="BF159" s="16">
        <f>求节点(G$28:G$34,$O$28:$O$34,$AR159)*$AS159*其他调用!X158/$E$4</f>
        <v>0</v>
      </c>
      <c r="BG159" s="16">
        <f>求节点(H$28:H$34,$O$28:$O$34,$AR159)*$AS159*其他调用!Y158/$E$4</f>
        <v>0</v>
      </c>
      <c r="BH159" s="16">
        <f>求节点(I$28:I$34,$O$28:$O$34,$AR159)*$AS159*其他调用!Z158/$E$4</f>
        <v>0</v>
      </c>
      <c r="BK159" s="16">
        <v>155</v>
      </c>
      <c r="BL159" s="16">
        <f>SUM(AT$5:AT159)</f>
        <v>0</v>
      </c>
      <c r="BM159" s="16">
        <f>SUM(AU$5:AU159)</f>
        <v>0</v>
      </c>
      <c r="BN159" s="16">
        <f>SUM(AV$5:AV159)</f>
        <v>0</v>
      </c>
      <c r="BO159" s="16">
        <f>SUM(AW$5:AW159)</f>
        <v>0</v>
      </c>
      <c r="BP159" s="16">
        <f>SUM(AX$5:AX159)</f>
        <v>0</v>
      </c>
      <c r="BQ159" s="16">
        <f>SUM(AY$5:AY159)</f>
        <v>0</v>
      </c>
      <c r="BR159" s="16">
        <f>SUM(AZ$5:AZ159)</f>
        <v>0</v>
      </c>
      <c r="BS159" s="16">
        <f>SUM(BA$5:BA159)</f>
        <v>0</v>
      </c>
      <c r="BT159" s="16">
        <f>SUM(BB$5:BB159)</f>
        <v>0</v>
      </c>
      <c r="BU159" s="16">
        <f>SUM(BC$5:BC159)</f>
        <v>0</v>
      </c>
      <c r="BV159" s="16">
        <f>SUM(BD$5:BD159)</f>
        <v>0</v>
      </c>
      <c r="BW159" s="16">
        <f>SUM(BE$5:BE159)</f>
        <v>0</v>
      </c>
      <c r="BX159" s="16">
        <f>SUM(BF$5:BF159)</f>
        <v>0</v>
      </c>
      <c r="BY159" s="16">
        <f>SUM(BG$5:BG159)</f>
        <v>0</v>
      </c>
      <c r="BZ159" s="16">
        <f>SUM(BH$5:BH159)</f>
        <v>0</v>
      </c>
      <c r="CC159" s="16">
        <v>155</v>
      </c>
      <c r="CD159" s="16">
        <f t="shared" si="72"/>
        <v>0</v>
      </c>
      <c r="CE159" s="16">
        <f t="shared" si="73"/>
        <v>0</v>
      </c>
      <c r="CF159" s="16">
        <f t="shared" si="74"/>
        <v>0</v>
      </c>
      <c r="CG159" s="16">
        <f t="shared" si="75"/>
        <v>0</v>
      </c>
      <c r="CH159" s="16">
        <f t="shared" si="76"/>
        <v>0</v>
      </c>
      <c r="CI159" s="16">
        <f t="shared" si="77"/>
        <v>0</v>
      </c>
      <c r="CJ159" s="16">
        <f t="shared" si="78"/>
        <v>0</v>
      </c>
      <c r="CK159" s="16">
        <f t="shared" si="79"/>
        <v>0</v>
      </c>
      <c r="CL159" s="16">
        <f t="shared" si="80"/>
        <v>0</v>
      </c>
      <c r="CM159" s="16">
        <f t="shared" si="81"/>
        <v>0</v>
      </c>
      <c r="CN159" s="16">
        <f t="shared" si="82"/>
        <v>0</v>
      </c>
      <c r="CO159" s="16">
        <f t="shared" si="83"/>
        <v>0</v>
      </c>
      <c r="CP159" s="16">
        <f t="shared" si="84"/>
        <v>0</v>
      </c>
      <c r="CQ159" s="16">
        <f t="shared" si="85"/>
        <v>0</v>
      </c>
      <c r="CR159" s="16">
        <f t="shared" si="86"/>
        <v>0</v>
      </c>
      <c r="CV159" s="16">
        <v>155</v>
      </c>
      <c r="CW159" s="35">
        <f t="shared" si="89"/>
        <v>0.13200000000000001</v>
      </c>
      <c r="CX159" s="16">
        <f>其他调用!V158/$E$4*求节点(E$28:E$34,$P$28:$P$34,$CV159)*$CW159</f>
        <v>1413.2495561107739</v>
      </c>
      <c r="CY159" s="16">
        <f>其他调用!W158/$E$4*求节点(F$28:F$34,$P$28:$P$34,$CV159)*$CW159</f>
        <v>4716.8837262870729</v>
      </c>
      <c r="CZ159" s="16">
        <f>其他调用!X158/$E$4*求节点(G$28:G$34,$P$28:$P$34,$CV159)*$CW159</f>
        <v>9425.3792714444298</v>
      </c>
      <c r="DA159" s="16">
        <f>其他调用!Y158/$E$4*求节点(H$28:H$34,$P$28:$P$34,$CV159)*$CW159</f>
        <v>10447.844443448199</v>
      </c>
      <c r="DB159" s="16">
        <f>其他调用!Z158/$E$4*求节点(I$28:I$34,$P$28:$P$34,$CV159)*$CW159</f>
        <v>10589.602984529422</v>
      </c>
      <c r="DC159" s="16">
        <f>SUM(CX$5:CX159)</f>
        <v>21076.474829034531</v>
      </c>
      <c r="DD159" s="16">
        <f>SUM(CY$5:CY159)</f>
        <v>29205.828932141867</v>
      </c>
      <c r="DE159" s="16">
        <f>SUM(CZ$5:CZ159)</f>
        <v>39974.102273641111</v>
      </c>
      <c r="DF159" s="16">
        <f>SUM(DA$5:DA159)</f>
        <v>45258.374622009709</v>
      </c>
      <c r="DG159" s="16">
        <f>SUM(DB$5:DB159)</f>
        <v>45409.396749983003</v>
      </c>
    </row>
    <row r="160" spans="24:111">
      <c r="X160" s="16">
        <v>156</v>
      </c>
      <c r="Y160" s="45">
        <f t="shared" si="87"/>
        <v>700</v>
      </c>
      <c r="Z160" s="24">
        <f t="shared" si="88"/>
        <v>6.8000000000000005E-2</v>
      </c>
      <c r="AA160" s="16">
        <f>$Y160*$Z160*其他调用!V159</f>
        <v>7282720.0424848832</v>
      </c>
      <c r="AB160" s="16">
        <f>$Y160*$Z160*其他调用!W159</f>
        <v>17819463.648475096</v>
      </c>
      <c r="AC160" s="16">
        <f>$Y160*$Z160*其他调用!X159</f>
        <v>24948804.687899631</v>
      </c>
      <c r="AD160" s="16">
        <f>$Y160*$Z160*其他调用!Y159</f>
        <v>28238756.954435818</v>
      </c>
      <c r="AE160" s="16">
        <f>$Y160*$Z160*其他调用!Z159</f>
        <v>28287677.834721223</v>
      </c>
      <c r="AH160" s="16">
        <v>156</v>
      </c>
      <c r="AI160" s="16">
        <f>SUM(AA$5:AA160)</f>
        <v>108287491.17680356</v>
      </c>
      <c r="AJ160" s="16">
        <f>SUM(AB$5:AB160)</f>
        <v>157817722.00463557</v>
      </c>
      <c r="AK160" s="16">
        <f>SUM(AC$5:AC160)</f>
        <v>216649833.15824476</v>
      </c>
      <c r="AL160" s="16">
        <f>SUM(AD$5:AD160)</f>
        <v>245417307.80968016</v>
      </c>
      <c r="AM160" s="16">
        <f>SUM(AE$5:AE160)</f>
        <v>246383711.70334852</v>
      </c>
      <c r="AR160" s="16">
        <v>156</v>
      </c>
      <c r="AS160" s="24">
        <f t="shared" si="71"/>
        <v>6.8000000000000005E-2</v>
      </c>
      <c r="AT160" s="16">
        <f>求节点(E$28:E$34,$M$28:$M$34,$AR160)*$AS160*其他调用!V159/$E$4</f>
        <v>0</v>
      </c>
      <c r="AU160" s="16">
        <f>求节点(F$28:F$34,$M$28:$M$34,$AR160)*$AS160*其他调用!W159/$E$4</f>
        <v>0</v>
      </c>
      <c r="AV160" s="16">
        <f>求节点(G$28:G$34,$M$28:$M$34,$AR160)*$AS160*其他调用!X159/$E$4</f>
        <v>0</v>
      </c>
      <c r="AW160" s="16">
        <f>求节点(H$28:H$34,$M$28:$M$34,$AR160)*$AS160*其他调用!Y159/$E$4</f>
        <v>0</v>
      </c>
      <c r="AX160" s="16">
        <f>求节点(I$28:I$34,$M$28:$M$34,$AR160)*$AS160*其他调用!Z159/$E$4</f>
        <v>0</v>
      </c>
      <c r="AY160" s="16">
        <f>求节点(E$28:E$34,$N$28:$N$34,$AR160)*$AS160*其他调用!V159/$E$4</f>
        <v>0</v>
      </c>
      <c r="AZ160" s="16">
        <f>求节点(F$28:F$34,$N$28:$N$34,$AR160)*$AS160*其他调用!W159/$E$4</f>
        <v>0</v>
      </c>
      <c r="BA160" s="16">
        <f>求节点(G$28:G$34,$N$28:$N$34,$AR160)*$AS160*其他调用!X159/$E$4</f>
        <v>0</v>
      </c>
      <c r="BB160" s="16">
        <f>求节点(H$28:H$34,$N$28:$N$34,$AR160)*$AS160*其他调用!Y159/$E$4</f>
        <v>0</v>
      </c>
      <c r="BC160" s="16">
        <f>求节点(I$28:I$34,$N$28:$N$34,$AR160)*$AS160*其他调用!Z159/$E$4</f>
        <v>0</v>
      </c>
      <c r="BD160" s="16">
        <f>求节点(E$28:E$34,$O$28:$O$34,$AR160)*$AS160*其他调用!V159/$E$4</f>
        <v>0</v>
      </c>
      <c r="BE160" s="16">
        <f>求节点(F$28:F$34,$O$28:$O$34,$AR160)*$AS160*其他调用!W159/$E$4</f>
        <v>0</v>
      </c>
      <c r="BF160" s="16">
        <f>求节点(G$28:G$34,$O$28:$O$34,$AR160)*$AS160*其他调用!X159/$E$4</f>
        <v>0</v>
      </c>
      <c r="BG160" s="16">
        <f>求节点(H$28:H$34,$O$28:$O$34,$AR160)*$AS160*其他调用!Y159/$E$4</f>
        <v>0</v>
      </c>
      <c r="BH160" s="16">
        <f>求节点(I$28:I$34,$O$28:$O$34,$AR160)*$AS160*其他调用!Z159/$E$4</f>
        <v>0</v>
      </c>
      <c r="BK160" s="16">
        <v>156</v>
      </c>
      <c r="BL160" s="16">
        <f>SUM(AT$5:AT160)</f>
        <v>0</v>
      </c>
      <c r="BM160" s="16">
        <f>SUM(AU$5:AU160)</f>
        <v>0</v>
      </c>
      <c r="BN160" s="16">
        <f>SUM(AV$5:AV160)</f>
        <v>0</v>
      </c>
      <c r="BO160" s="16">
        <f>SUM(AW$5:AW160)</f>
        <v>0</v>
      </c>
      <c r="BP160" s="16">
        <f>SUM(AX$5:AX160)</f>
        <v>0</v>
      </c>
      <c r="BQ160" s="16">
        <f>SUM(AY$5:AY160)</f>
        <v>0</v>
      </c>
      <c r="BR160" s="16">
        <f>SUM(AZ$5:AZ160)</f>
        <v>0</v>
      </c>
      <c r="BS160" s="16">
        <f>SUM(BA$5:BA160)</f>
        <v>0</v>
      </c>
      <c r="BT160" s="16">
        <f>SUM(BB$5:BB160)</f>
        <v>0</v>
      </c>
      <c r="BU160" s="16">
        <f>SUM(BC$5:BC160)</f>
        <v>0</v>
      </c>
      <c r="BV160" s="16">
        <f>SUM(BD$5:BD160)</f>
        <v>0</v>
      </c>
      <c r="BW160" s="16">
        <f>SUM(BE$5:BE160)</f>
        <v>0</v>
      </c>
      <c r="BX160" s="16">
        <f>SUM(BF$5:BF160)</f>
        <v>0</v>
      </c>
      <c r="BY160" s="16">
        <f>SUM(BG$5:BG160)</f>
        <v>0</v>
      </c>
      <c r="BZ160" s="16">
        <f>SUM(BH$5:BH160)</f>
        <v>0</v>
      </c>
      <c r="CC160" s="16">
        <v>156</v>
      </c>
      <c r="CD160" s="16">
        <f t="shared" si="72"/>
        <v>0</v>
      </c>
      <c r="CE160" s="16">
        <f t="shared" si="73"/>
        <v>0</v>
      </c>
      <c r="CF160" s="16">
        <f t="shared" si="74"/>
        <v>0</v>
      </c>
      <c r="CG160" s="16">
        <f t="shared" si="75"/>
        <v>0</v>
      </c>
      <c r="CH160" s="16">
        <f t="shared" si="76"/>
        <v>0</v>
      </c>
      <c r="CI160" s="16">
        <f t="shared" si="77"/>
        <v>0</v>
      </c>
      <c r="CJ160" s="16">
        <f t="shared" si="78"/>
        <v>0</v>
      </c>
      <c r="CK160" s="16">
        <f t="shared" si="79"/>
        <v>0</v>
      </c>
      <c r="CL160" s="16">
        <f t="shared" si="80"/>
        <v>0</v>
      </c>
      <c r="CM160" s="16">
        <f t="shared" si="81"/>
        <v>0</v>
      </c>
      <c r="CN160" s="16">
        <f t="shared" si="82"/>
        <v>0</v>
      </c>
      <c r="CO160" s="16">
        <f t="shared" si="83"/>
        <v>0</v>
      </c>
      <c r="CP160" s="16">
        <f t="shared" si="84"/>
        <v>0</v>
      </c>
      <c r="CQ160" s="16">
        <f t="shared" si="85"/>
        <v>0</v>
      </c>
      <c r="CR160" s="16">
        <f t="shared" si="86"/>
        <v>0</v>
      </c>
      <c r="CV160" s="16">
        <v>156</v>
      </c>
      <c r="CW160" s="35">
        <f t="shared" si="89"/>
        <v>0.13200000000000001</v>
      </c>
      <c r="CX160" s="16">
        <f>其他调用!V159/$E$4*求节点(E$28:E$34,$P$28:$P$34,$CV160)*$CW160</f>
        <v>1514.6833701806797</v>
      </c>
      <c r="CY160" s="16">
        <f>其他调用!W159/$E$4*求节点(F$28:F$34,$P$28:$P$34,$CV160)*$CW160</f>
        <v>3706.1489520988116</v>
      </c>
      <c r="CZ160" s="16">
        <f>其他调用!X159/$E$4*求节点(G$28:G$34,$P$28:$P$34,$CV160)*$CW160</f>
        <v>5188.9320674413093</v>
      </c>
      <c r="DA160" s="16">
        <f>其他调用!Y159/$E$4*求节点(H$28:H$34,$P$28:$P$34,$CV160)*$CW160</f>
        <v>5873.186845565433</v>
      </c>
      <c r="DB160" s="16">
        <f>其他调用!Z159/$E$4*求节点(I$28:I$34,$P$28:$P$34,$CV160)*$CW160</f>
        <v>5883.3615664651288</v>
      </c>
      <c r="DC160" s="16">
        <f>SUM(CX$5:CX160)</f>
        <v>22591.15819921521</v>
      </c>
      <c r="DD160" s="16">
        <f>SUM(CY$5:CY160)</f>
        <v>32911.977884240681</v>
      </c>
      <c r="DE160" s="16">
        <f>SUM(CZ$5:CZ160)</f>
        <v>45163.034341082421</v>
      </c>
      <c r="DF160" s="16">
        <f>SUM(DA$5:DA160)</f>
        <v>51131.561467575142</v>
      </c>
      <c r="DG160" s="16">
        <f>SUM(DB$5:DB160)</f>
        <v>51292.758316448133</v>
      </c>
    </row>
    <row r="161" spans="24:111">
      <c r="X161" s="16">
        <v>157</v>
      </c>
      <c r="Y161" s="45">
        <f t="shared" si="87"/>
        <v>700</v>
      </c>
      <c r="Z161" s="24">
        <f t="shared" si="88"/>
        <v>6.8000000000000005E-2</v>
      </c>
      <c r="AA161" s="16">
        <f>$Y161*$Z161*其他调用!V160</f>
        <v>7805426.0766164614</v>
      </c>
      <c r="AB161" s="16">
        <f>$Y161*$Z161*其他调用!W160</f>
        <v>11368772.763767472</v>
      </c>
      <c r="AC161" s="16">
        <f>$Y161*$Z161*其他调用!X160</f>
        <v>15595580.667430891</v>
      </c>
      <c r="AD161" s="16">
        <f>$Y161*$Z161*其他调用!Y160</f>
        <v>17652140.755443763</v>
      </c>
      <c r="AE161" s="16">
        <f>$Y161*$Z161*其他调用!Z160</f>
        <v>16921633.354404196</v>
      </c>
      <c r="AH161" s="16">
        <v>157</v>
      </c>
      <c r="AI161" s="16">
        <f>SUM(AA$5:AA161)</f>
        <v>116092917.25342003</v>
      </c>
      <c r="AJ161" s="16">
        <f>SUM(AB$5:AB161)</f>
        <v>169186494.76840305</v>
      </c>
      <c r="AK161" s="16">
        <f>SUM(AC$5:AC161)</f>
        <v>232245413.82567564</v>
      </c>
      <c r="AL161" s="16">
        <f>SUM(AD$5:AD161)</f>
        <v>263069448.56512392</v>
      </c>
      <c r="AM161" s="16">
        <f>SUM(AE$5:AE161)</f>
        <v>263305345.05775273</v>
      </c>
      <c r="AR161" s="16">
        <v>157</v>
      </c>
      <c r="AS161" s="24">
        <f t="shared" si="71"/>
        <v>6.8000000000000005E-2</v>
      </c>
      <c r="AT161" s="16">
        <f>求节点(E$28:E$34,$M$28:$M$34,$AR161)*$AS161*其他调用!V160/$E$4</f>
        <v>0</v>
      </c>
      <c r="AU161" s="16">
        <f>求节点(F$28:F$34,$M$28:$M$34,$AR161)*$AS161*其他调用!W160/$E$4</f>
        <v>0</v>
      </c>
      <c r="AV161" s="16">
        <f>求节点(G$28:G$34,$M$28:$M$34,$AR161)*$AS161*其他调用!X160/$E$4</f>
        <v>0</v>
      </c>
      <c r="AW161" s="16">
        <f>求节点(H$28:H$34,$M$28:$M$34,$AR161)*$AS161*其他调用!Y160/$E$4</f>
        <v>0</v>
      </c>
      <c r="AX161" s="16">
        <f>求节点(I$28:I$34,$M$28:$M$34,$AR161)*$AS161*其他调用!Z160/$E$4</f>
        <v>0</v>
      </c>
      <c r="AY161" s="16">
        <f>求节点(E$28:E$34,$N$28:$N$34,$AR161)*$AS161*其他调用!V160/$E$4</f>
        <v>0</v>
      </c>
      <c r="AZ161" s="16">
        <f>求节点(F$28:F$34,$N$28:$N$34,$AR161)*$AS161*其他调用!W160/$E$4</f>
        <v>0</v>
      </c>
      <c r="BA161" s="16">
        <f>求节点(G$28:G$34,$N$28:$N$34,$AR161)*$AS161*其他调用!X160/$E$4</f>
        <v>0</v>
      </c>
      <c r="BB161" s="16">
        <f>求节点(H$28:H$34,$N$28:$N$34,$AR161)*$AS161*其他调用!Y160/$E$4</f>
        <v>0</v>
      </c>
      <c r="BC161" s="16">
        <f>求节点(I$28:I$34,$N$28:$N$34,$AR161)*$AS161*其他调用!Z160/$E$4</f>
        <v>0</v>
      </c>
      <c r="BD161" s="16">
        <f>求节点(E$28:E$34,$O$28:$O$34,$AR161)*$AS161*其他调用!V160/$E$4</f>
        <v>0</v>
      </c>
      <c r="BE161" s="16">
        <f>求节点(F$28:F$34,$O$28:$O$34,$AR161)*$AS161*其他调用!W160/$E$4</f>
        <v>0</v>
      </c>
      <c r="BF161" s="16">
        <f>求节点(G$28:G$34,$O$28:$O$34,$AR161)*$AS161*其他调用!X160/$E$4</f>
        <v>0</v>
      </c>
      <c r="BG161" s="16">
        <f>求节点(H$28:H$34,$O$28:$O$34,$AR161)*$AS161*其他调用!Y160/$E$4</f>
        <v>0</v>
      </c>
      <c r="BH161" s="16">
        <f>求节点(I$28:I$34,$O$28:$O$34,$AR161)*$AS161*其他调用!Z160/$E$4</f>
        <v>0</v>
      </c>
      <c r="BK161" s="16">
        <v>157</v>
      </c>
      <c r="BL161" s="16">
        <f>SUM(AT$5:AT161)</f>
        <v>0</v>
      </c>
      <c r="BM161" s="16">
        <f>SUM(AU$5:AU161)</f>
        <v>0</v>
      </c>
      <c r="BN161" s="16">
        <f>SUM(AV$5:AV161)</f>
        <v>0</v>
      </c>
      <c r="BO161" s="16">
        <f>SUM(AW$5:AW161)</f>
        <v>0</v>
      </c>
      <c r="BP161" s="16">
        <f>SUM(AX$5:AX161)</f>
        <v>0</v>
      </c>
      <c r="BQ161" s="16">
        <f>SUM(AY$5:AY161)</f>
        <v>0</v>
      </c>
      <c r="BR161" s="16">
        <f>SUM(AZ$5:AZ161)</f>
        <v>0</v>
      </c>
      <c r="BS161" s="16">
        <f>SUM(BA$5:BA161)</f>
        <v>0</v>
      </c>
      <c r="BT161" s="16">
        <f>SUM(BB$5:BB161)</f>
        <v>0</v>
      </c>
      <c r="BU161" s="16">
        <f>SUM(BC$5:BC161)</f>
        <v>0</v>
      </c>
      <c r="BV161" s="16">
        <f>SUM(BD$5:BD161)</f>
        <v>0</v>
      </c>
      <c r="BW161" s="16">
        <f>SUM(BE$5:BE161)</f>
        <v>0</v>
      </c>
      <c r="BX161" s="16">
        <f>SUM(BF$5:BF161)</f>
        <v>0</v>
      </c>
      <c r="BY161" s="16">
        <f>SUM(BG$5:BG161)</f>
        <v>0</v>
      </c>
      <c r="BZ161" s="16">
        <f>SUM(BH$5:BH161)</f>
        <v>0</v>
      </c>
      <c r="CC161" s="16">
        <v>157</v>
      </c>
      <c r="CD161" s="16">
        <f t="shared" si="72"/>
        <v>0</v>
      </c>
      <c r="CE161" s="16">
        <f t="shared" si="73"/>
        <v>0</v>
      </c>
      <c r="CF161" s="16">
        <f t="shared" si="74"/>
        <v>0</v>
      </c>
      <c r="CG161" s="16">
        <f t="shared" si="75"/>
        <v>0</v>
      </c>
      <c r="CH161" s="16">
        <f t="shared" si="76"/>
        <v>0</v>
      </c>
      <c r="CI161" s="16">
        <f t="shared" si="77"/>
        <v>0</v>
      </c>
      <c r="CJ161" s="16">
        <f t="shared" si="78"/>
        <v>0</v>
      </c>
      <c r="CK161" s="16">
        <f t="shared" si="79"/>
        <v>0</v>
      </c>
      <c r="CL161" s="16">
        <f t="shared" si="80"/>
        <v>0</v>
      </c>
      <c r="CM161" s="16">
        <f t="shared" si="81"/>
        <v>0</v>
      </c>
      <c r="CN161" s="16">
        <f t="shared" si="82"/>
        <v>0</v>
      </c>
      <c r="CO161" s="16">
        <f t="shared" si="83"/>
        <v>0</v>
      </c>
      <c r="CP161" s="16">
        <f t="shared" si="84"/>
        <v>0</v>
      </c>
      <c r="CQ161" s="16">
        <f t="shared" si="85"/>
        <v>0</v>
      </c>
      <c r="CR161" s="16">
        <f t="shared" si="86"/>
        <v>0</v>
      </c>
      <c r="CV161" s="16">
        <v>157</v>
      </c>
      <c r="CW161" s="35">
        <f t="shared" si="89"/>
        <v>0.13200000000000001</v>
      </c>
      <c r="CX161" s="16">
        <f>其他调用!V160/$E$4*求节点(E$28:E$34,$P$28:$P$34,$CV161)*$CW161</f>
        <v>1623.3974403046841</v>
      </c>
      <c r="CY161" s="16">
        <f>其他调用!W160/$E$4*求节点(F$28:F$34,$P$28:$P$34,$CV161)*$CW161</f>
        <v>2364.5136630524785</v>
      </c>
      <c r="CZ161" s="16">
        <f>其他调用!X160/$E$4*求节点(G$28:G$34,$P$28:$P$34,$CV161)*$CW161</f>
        <v>3243.6186682261723</v>
      </c>
      <c r="DA161" s="16">
        <f>其他调用!Y160/$E$4*求节点(H$28:H$34,$P$28:$P$34,$CV161)*$CW161</f>
        <v>3671.3486024977578</v>
      </c>
      <c r="DB161" s="16">
        <f>其他调用!Z160/$E$4*求节点(I$28:I$34,$P$28:$P$34,$CV161)*$CW161</f>
        <v>3519.415340516839</v>
      </c>
      <c r="DC161" s="16">
        <f>SUM(CX$5:CX161)</f>
        <v>24214.555639519895</v>
      </c>
      <c r="DD161" s="16">
        <f>SUM(CY$5:CY161)</f>
        <v>35276.491547293161</v>
      </c>
      <c r="DE161" s="16">
        <f>SUM(CZ$5:CZ161)</f>
        <v>48406.653009308589</v>
      </c>
      <c r="DF161" s="16">
        <f>SUM(DA$5:DA161)</f>
        <v>54802.910070072903</v>
      </c>
      <c r="DG161" s="16">
        <f>SUM(DB$5:DB161)</f>
        <v>54812.173656964973</v>
      </c>
    </row>
    <row r="162" spans="24:111">
      <c r="X162" s="16">
        <v>158</v>
      </c>
      <c r="Y162" s="45">
        <f t="shared" si="87"/>
        <v>700</v>
      </c>
      <c r="Z162" s="24">
        <f t="shared" si="88"/>
        <v>6.8000000000000005E-2</v>
      </c>
      <c r="AA162" s="16">
        <f>$Y162*$Z162*其他调用!V161</f>
        <v>8365648.5327065466</v>
      </c>
      <c r="AB162" s="16">
        <f>$Y162*$Z162*其他调用!W161</f>
        <v>12184748.949811695</v>
      </c>
      <c r="AC162" s="16">
        <f>$Y162*$Z162*其他调用!X161</f>
        <v>16714929.492196875</v>
      </c>
      <c r="AD162" s="16">
        <f>$Y162*$Z162*其他调用!Y161</f>
        <v>18919096.018640459</v>
      </c>
      <c r="AE162" s="16">
        <f>$Y162*$Z162*其他调用!Z161</f>
        <v>18919096.018640459</v>
      </c>
      <c r="AH162" s="16">
        <v>158</v>
      </c>
      <c r="AI162" s="16">
        <f>SUM(AA$5:AA162)</f>
        <v>124458565.78612657</v>
      </c>
      <c r="AJ162" s="16">
        <f>SUM(AB$5:AB162)</f>
        <v>181371243.71821475</v>
      </c>
      <c r="AK162" s="16">
        <f>SUM(AC$5:AC162)</f>
        <v>248960343.31787252</v>
      </c>
      <c r="AL162" s="16">
        <f>SUM(AD$5:AD162)</f>
        <v>281988544.58376437</v>
      </c>
      <c r="AM162" s="16">
        <f>SUM(AE$5:AE162)</f>
        <v>282224441.07639319</v>
      </c>
      <c r="AR162" s="16">
        <v>158</v>
      </c>
      <c r="AS162" s="24">
        <f t="shared" si="71"/>
        <v>6.8000000000000005E-2</v>
      </c>
      <c r="AT162" s="16">
        <f>求节点(E$28:E$34,$M$28:$M$34,$AR162)*$AS162*其他调用!V161/$E$4</f>
        <v>0</v>
      </c>
      <c r="AU162" s="16">
        <f>求节点(F$28:F$34,$M$28:$M$34,$AR162)*$AS162*其他调用!W161/$E$4</f>
        <v>0</v>
      </c>
      <c r="AV162" s="16">
        <f>求节点(G$28:G$34,$M$28:$M$34,$AR162)*$AS162*其他调用!X161/$E$4</f>
        <v>0</v>
      </c>
      <c r="AW162" s="16">
        <f>求节点(H$28:H$34,$M$28:$M$34,$AR162)*$AS162*其他调用!Y161/$E$4</f>
        <v>0</v>
      </c>
      <c r="AX162" s="16">
        <f>求节点(I$28:I$34,$M$28:$M$34,$AR162)*$AS162*其他调用!Z161/$E$4</f>
        <v>0</v>
      </c>
      <c r="AY162" s="16">
        <f>求节点(E$28:E$34,$N$28:$N$34,$AR162)*$AS162*其他调用!V161/$E$4</f>
        <v>0</v>
      </c>
      <c r="AZ162" s="16">
        <f>求节点(F$28:F$34,$N$28:$N$34,$AR162)*$AS162*其他调用!W161/$E$4</f>
        <v>0</v>
      </c>
      <c r="BA162" s="16">
        <f>求节点(G$28:G$34,$N$28:$N$34,$AR162)*$AS162*其他调用!X161/$E$4</f>
        <v>0</v>
      </c>
      <c r="BB162" s="16">
        <f>求节点(H$28:H$34,$N$28:$N$34,$AR162)*$AS162*其他调用!Y161/$E$4</f>
        <v>0</v>
      </c>
      <c r="BC162" s="16">
        <f>求节点(I$28:I$34,$N$28:$N$34,$AR162)*$AS162*其他调用!Z161/$E$4</f>
        <v>0</v>
      </c>
      <c r="BD162" s="16">
        <f>求节点(E$28:E$34,$O$28:$O$34,$AR162)*$AS162*其他调用!V161/$E$4</f>
        <v>0</v>
      </c>
      <c r="BE162" s="16">
        <f>求节点(F$28:F$34,$O$28:$O$34,$AR162)*$AS162*其他调用!W161/$E$4</f>
        <v>0</v>
      </c>
      <c r="BF162" s="16">
        <f>求节点(G$28:G$34,$O$28:$O$34,$AR162)*$AS162*其他调用!X161/$E$4</f>
        <v>0</v>
      </c>
      <c r="BG162" s="16">
        <f>求节点(H$28:H$34,$O$28:$O$34,$AR162)*$AS162*其他调用!Y161/$E$4</f>
        <v>0</v>
      </c>
      <c r="BH162" s="16">
        <f>求节点(I$28:I$34,$O$28:$O$34,$AR162)*$AS162*其他调用!Z161/$E$4</f>
        <v>0</v>
      </c>
      <c r="BK162" s="16">
        <v>158</v>
      </c>
      <c r="BL162" s="16">
        <f>SUM(AT$5:AT162)</f>
        <v>0</v>
      </c>
      <c r="BM162" s="16">
        <f>SUM(AU$5:AU162)</f>
        <v>0</v>
      </c>
      <c r="BN162" s="16">
        <f>SUM(AV$5:AV162)</f>
        <v>0</v>
      </c>
      <c r="BO162" s="16">
        <f>SUM(AW$5:AW162)</f>
        <v>0</v>
      </c>
      <c r="BP162" s="16">
        <f>SUM(AX$5:AX162)</f>
        <v>0</v>
      </c>
      <c r="BQ162" s="16">
        <f>SUM(AY$5:AY162)</f>
        <v>0</v>
      </c>
      <c r="BR162" s="16">
        <f>SUM(AZ$5:AZ162)</f>
        <v>0</v>
      </c>
      <c r="BS162" s="16">
        <f>SUM(BA$5:BA162)</f>
        <v>0</v>
      </c>
      <c r="BT162" s="16">
        <f>SUM(BB$5:BB162)</f>
        <v>0</v>
      </c>
      <c r="BU162" s="16">
        <f>SUM(BC$5:BC162)</f>
        <v>0</v>
      </c>
      <c r="BV162" s="16">
        <f>SUM(BD$5:BD162)</f>
        <v>0</v>
      </c>
      <c r="BW162" s="16">
        <f>SUM(BE$5:BE162)</f>
        <v>0</v>
      </c>
      <c r="BX162" s="16">
        <f>SUM(BF$5:BF162)</f>
        <v>0</v>
      </c>
      <c r="BY162" s="16">
        <f>SUM(BG$5:BG162)</f>
        <v>0</v>
      </c>
      <c r="BZ162" s="16">
        <f>SUM(BH$5:BH162)</f>
        <v>0</v>
      </c>
      <c r="CC162" s="16">
        <v>158</v>
      </c>
      <c r="CD162" s="16">
        <f t="shared" si="72"/>
        <v>0</v>
      </c>
      <c r="CE162" s="16">
        <f t="shared" si="73"/>
        <v>0</v>
      </c>
      <c r="CF162" s="16">
        <f t="shared" si="74"/>
        <v>0</v>
      </c>
      <c r="CG162" s="16">
        <f t="shared" si="75"/>
        <v>0</v>
      </c>
      <c r="CH162" s="16">
        <f t="shared" si="76"/>
        <v>0</v>
      </c>
      <c r="CI162" s="16">
        <f t="shared" si="77"/>
        <v>0</v>
      </c>
      <c r="CJ162" s="16">
        <f t="shared" si="78"/>
        <v>0</v>
      </c>
      <c r="CK162" s="16">
        <f t="shared" si="79"/>
        <v>0</v>
      </c>
      <c r="CL162" s="16">
        <f t="shared" si="80"/>
        <v>0</v>
      </c>
      <c r="CM162" s="16">
        <f t="shared" si="81"/>
        <v>0</v>
      </c>
      <c r="CN162" s="16">
        <f t="shared" si="82"/>
        <v>0</v>
      </c>
      <c r="CO162" s="16">
        <f t="shared" si="83"/>
        <v>0</v>
      </c>
      <c r="CP162" s="16">
        <f t="shared" si="84"/>
        <v>0</v>
      </c>
      <c r="CQ162" s="16">
        <f t="shared" si="85"/>
        <v>0</v>
      </c>
      <c r="CR162" s="16">
        <f t="shared" si="86"/>
        <v>0</v>
      </c>
      <c r="CV162" s="16">
        <v>158</v>
      </c>
      <c r="CW162" s="35">
        <f t="shared" si="89"/>
        <v>0.13200000000000001</v>
      </c>
      <c r="CX162" s="16">
        <f>其他调用!V161/$E$4*求节点(E$28:E$34,$P$28:$P$34,$CV162)*$CW162</f>
        <v>1739.9142956679584</v>
      </c>
      <c r="CY162" s="16">
        <f>其他调用!W161/$E$4*求节点(F$28:F$34,$P$28:$P$34,$CV162)*$CW162</f>
        <v>2534.2229958641965</v>
      </c>
      <c r="CZ162" s="16">
        <f>其他调用!X161/$E$4*求节点(G$28:G$34,$P$28:$P$34,$CV162)*$CW162</f>
        <v>3476.4244111922071</v>
      </c>
      <c r="DA162" s="16">
        <f>其他调用!Y161/$E$4*求节点(H$28:H$34,$P$28:$P$34,$CV162)*$CW162</f>
        <v>3934.8540038769015</v>
      </c>
      <c r="DB162" s="16">
        <f>其他调用!Z161/$E$4*求节点(I$28:I$34,$P$28:$P$34,$CV162)*$CW162</f>
        <v>3934.8540038769015</v>
      </c>
      <c r="DC162" s="16">
        <f>SUM(CX$5:CX162)</f>
        <v>25954.469935187852</v>
      </c>
      <c r="DD162" s="16">
        <f>SUM(CY$5:CY162)</f>
        <v>37810.714543157359</v>
      </c>
      <c r="DE162" s="16">
        <f>SUM(CZ$5:CZ162)</f>
        <v>51883.077420500798</v>
      </c>
      <c r="DF162" s="16">
        <f>SUM(DA$5:DA162)</f>
        <v>58737.764073949802</v>
      </c>
      <c r="DG162" s="16">
        <f>SUM(DB$5:DB162)</f>
        <v>58747.027660841872</v>
      </c>
    </row>
    <row r="163" spans="24:111">
      <c r="X163" s="16">
        <v>159</v>
      </c>
      <c r="Y163" s="45">
        <f t="shared" si="87"/>
        <v>700</v>
      </c>
      <c r="Z163" s="24">
        <f t="shared" si="88"/>
        <v>6.8000000000000005E-2</v>
      </c>
      <c r="AA163" s="16">
        <f>$Y163*$Z163*其他调用!V162</f>
        <v>8966080.0942605492</v>
      </c>
      <c r="AB163" s="16">
        <f>$Y163*$Z163*其他调用!W162</f>
        <v>13059290.572075155</v>
      </c>
      <c r="AC163" s="16">
        <f>$Y163*$Z163*其他调用!X162</f>
        <v>17914617.857901897</v>
      </c>
      <c r="AD163" s="16">
        <f>$Y163*$Z163*其他调用!Y162</f>
        <v>20276985.047954872</v>
      </c>
      <c r="AE163" s="16">
        <f>$Y163*$Z163*其他调用!Z162</f>
        <v>20276985.047954872</v>
      </c>
      <c r="AH163" s="16">
        <v>159</v>
      </c>
      <c r="AI163" s="16">
        <f>SUM(AA$5:AA163)</f>
        <v>133424645.88038711</v>
      </c>
      <c r="AJ163" s="16">
        <f>SUM(AB$5:AB163)</f>
        <v>194430534.29028991</v>
      </c>
      <c r="AK163" s="16">
        <f>SUM(AC$5:AC163)</f>
        <v>266874961.17577443</v>
      </c>
      <c r="AL163" s="16">
        <f>SUM(AD$5:AD163)</f>
        <v>302265529.63171923</v>
      </c>
      <c r="AM163" s="16">
        <f>SUM(AE$5:AE163)</f>
        <v>302501426.12434804</v>
      </c>
      <c r="AR163" s="16">
        <v>159</v>
      </c>
      <c r="AS163" s="24">
        <f t="shared" si="71"/>
        <v>6.8000000000000005E-2</v>
      </c>
      <c r="AT163" s="16">
        <f>求节点(E$28:E$34,$M$28:$M$34,$AR163)*$AS163*其他调用!V162/$E$4</f>
        <v>0</v>
      </c>
      <c r="AU163" s="16">
        <f>求节点(F$28:F$34,$M$28:$M$34,$AR163)*$AS163*其他调用!W162/$E$4</f>
        <v>0</v>
      </c>
      <c r="AV163" s="16">
        <f>求节点(G$28:G$34,$M$28:$M$34,$AR163)*$AS163*其他调用!X162/$E$4</f>
        <v>0</v>
      </c>
      <c r="AW163" s="16">
        <f>求节点(H$28:H$34,$M$28:$M$34,$AR163)*$AS163*其他调用!Y162/$E$4</f>
        <v>0</v>
      </c>
      <c r="AX163" s="16">
        <f>求节点(I$28:I$34,$M$28:$M$34,$AR163)*$AS163*其他调用!Z162/$E$4</f>
        <v>0</v>
      </c>
      <c r="AY163" s="16">
        <f>求节点(E$28:E$34,$N$28:$N$34,$AR163)*$AS163*其他调用!V162/$E$4</f>
        <v>0</v>
      </c>
      <c r="AZ163" s="16">
        <f>求节点(F$28:F$34,$N$28:$N$34,$AR163)*$AS163*其他调用!W162/$E$4</f>
        <v>0</v>
      </c>
      <c r="BA163" s="16">
        <f>求节点(G$28:G$34,$N$28:$N$34,$AR163)*$AS163*其他调用!X162/$E$4</f>
        <v>0</v>
      </c>
      <c r="BB163" s="16">
        <f>求节点(H$28:H$34,$N$28:$N$34,$AR163)*$AS163*其他调用!Y162/$E$4</f>
        <v>0</v>
      </c>
      <c r="BC163" s="16">
        <f>求节点(I$28:I$34,$N$28:$N$34,$AR163)*$AS163*其他调用!Z162/$E$4</f>
        <v>0</v>
      </c>
      <c r="BD163" s="16">
        <f>求节点(E$28:E$34,$O$28:$O$34,$AR163)*$AS163*其他调用!V162/$E$4</f>
        <v>0</v>
      </c>
      <c r="BE163" s="16">
        <f>求节点(F$28:F$34,$O$28:$O$34,$AR163)*$AS163*其他调用!W162/$E$4</f>
        <v>0</v>
      </c>
      <c r="BF163" s="16">
        <f>求节点(G$28:G$34,$O$28:$O$34,$AR163)*$AS163*其他调用!X162/$E$4</f>
        <v>0</v>
      </c>
      <c r="BG163" s="16">
        <f>求节点(H$28:H$34,$O$28:$O$34,$AR163)*$AS163*其他调用!Y162/$E$4</f>
        <v>0</v>
      </c>
      <c r="BH163" s="16">
        <f>求节点(I$28:I$34,$O$28:$O$34,$AR163)*$AS163*其他调用!Z162/$E$4</f>
        <v>0</v>
      </c>
      <c r="BK163" s="16">
        <v>159</v>
      </c>
      <c r="BL163" s="16">
        <f>SUM(AT$5:AT163)</f>
        <v>0</v>
      </c>
      <c r="BM163" s="16">
        <f>SUM(AU$5:AU163)</f>
        <v>0</v>
      </c>
      <c r="BN163" s="16">
        <f>SUM(AV$5:AV163)</f>
        <v>0</v>
      </c>
      <c r="BO163" s="16">
        <f>SUM(AW$5:AW163)</f>
        <v>0</v>
      </c>
      <c r="BP163" s="16">
        <f>SUM(AX$5:AX163)</f>
        <v>0</v>
      </c>
      <c r="BQ163" s="16">
        <f>SUM(AY$5:AY163)</f>
        <v>0</v>
      </c>
      <c r="BR163" s="16">
        <f>SUM(AZ$5:AZ163)</f>
        <v>0</v>
      </c>
      <c r="BS163" s="16">
        <f>SUM(BA$5:BA163)</f>
        <v>0</v>
      </c>
      <c r="BT163" s="16">
        <f>SUM(BB$5:BB163)</f>
        <v>0</v>
      </c>
      <c r="BU163" s="16">
        <f>SUM(BC$5:BC163)</f>
        <v>0</v>
      </c>
      <c r="BV163" s="16">
        <f>SUM(BD$5:BD163)</f>
        <v>0</v>
      </c>
      <c r="BW163" s="16">
        <f>SUM(BE$5:BE163)</f>
        <v>0</v>
      </c>
      <c r="BX163" s="16">
        <f>SUM(BF$5:BF163)</f>
        <v>0</v>
      </c>
      <c r="BY163" s="16">
        <f>SUM(BG$5:BG163)</f>
        <v>0</v>
      </c>
      <c r="BZ163" s="16">
        <f>SUM(BH$5:BH163)</f>
        <v>0</v>
      </c>
      <c r="CC163" s="16">
        <v>159</v>
      </c>
      <c r="CD163" s="16">
        <f t="shared" si="72"/>
        <v>0</v>
      </c>
      <c r="CE163" s="16">
        <f t="shared" si="73"/>
        <v>0</v>
      </c>
      <c r="CF163" s="16">
        <f t="shared" si="74"/>
        <v>0</v>
      </c>
      <c r="CG163" s="16">
        <f t="shared" si="75"/>
        <v>0</v>
      </c>
      <c r="CH163" s="16">
        <f t="shared" si="76"/>
        <v>0</v>
      </c>
      <c r="CI163" s="16">
        <f t="shared" si="77"/>
        <v>0</v>
      </c>
      <c r="CJ163" s="16">
        <f t="shared" si="78"/>
        <v>0</v>
      </c>
      <c r="CK163" s="16">
        <f t="shared" si="79"/>
        <v>0</v>
      </c>
      <c r="CL163" s="16">
        <f t="shared" si="80"/>
        <v>0</v>
      </c>
      <c r="CM163" s="16">
        <f t="shared" si="81"/>
        <v>0</v>
      </c>
      <c r="CN163" s="16">
        <f t="shared" si="82"/>
        <v>0</v>
      </c>
      <c r="CO163" s="16">
        <f t="shared" si="83"/>
        <v>0</v>
      </c>
      <c r="CP163" s="16">
        <f t="shared" si="84"/>
        <v>0</v>
      </c>
      <c r="CQ163" s="16">
        <f t="shared" si="85"/>
        <v>0</v>
      </c>
      <c r="CR163" s="16">
        <f t="shared" si="86"/>
        <v>0</v>
      </c>
      <c r="CV163" s="16">
        <v>159</v>
      </c>
      <c r="CW163" s="35">
        <f t="shared" si="89"/>
        <v>0.13200000000000001</v>
      </c>
      <c r="CX163" s="16">
        <f>其他调用!V162/$E$4*求节点(E$28:E$34,$P$28:$P$34,$CV163)*$CW163</f>
        <v>1864.7939691844419</v>
      </c>
      <c r="CY163" s="16">
        <f>其他调用!W162/$E$4*求节点(F$28:F$34,$P$28:$P$34,$CV163)*$CW163</f>
        <v>2716.1129551164713</v>
      </c>
      <c r="CZ163" s="16">
        <f>其他调用!X162/$E$4*求节点(G$28:G$34,$P$28:$P$34,$CV163)*$CW163</f>
        <v>3725.9394284291766</v>
      </c>
      <c r="DA163" s="16">
        <f>其他调用!Y162/$E$4*求节点(H$28:H$34,$P$28:$P$34,$CV163)*$CW163</f>
        <v>4217.2721003099423</v>
      </c>
      <c r="DB163" s="16">
        <f>其他调用!Z162/$E$4*求节点(I$28:I$34,$P$28:$P$34,$CV163)*$CW163</f>
        <v>4217.2721003099423</v>
      </c>
      <c r="DC163" s="16">
        <f>SUM(CX$5:CX163)</f>
        <v>27819.263904372292</v>
      </c>
      <c r="DD163" s="16">
        <f>SUM(CY$5:CY163)</f>
        <v>40526.827498273829</v>
      </c>
      <c r="DE163" s="16">
        <f>SUM(CZ$5:CZ163)</f>
        <v>55609.016848929976</v>
      </c>
      <c r="DF163" s="16">
        <f>SUM(DA$5:DA163)</f>
        <v>62955.036174259745</v>
      </c>
      <c r="DG163" s="16">
        <f>SUM(DB$5:DB163)</f>
        <v>62964.299761151815</v>
      </c>
    </row>
    <row r="164" spans="24:111">
      <c r="X164" s="16">
        <v>160</v>
      </c>
      <c r="Y164" s="45">
        <f t="shared" si="87"/>
        <v>700</v>
      </c>
      <c r="Z164" s="24">
        <f t="shared" si="88"/>
        <v>6.8000000000000005E-2</v>
      </c>
      <c r="AA164" s="16">
        <f>$Y164*$Z164*其他调用!V163</f>
        <v>9609606.7080031745</v>
      </c>
      <c r="AB164" s="16">
        <f>$Y164*$Z164*其他调用!W163</f>
        <v>13996601.074700283</v>
      </c>
      <c r="AC164" s="16">
        <f>$Y164*$Z164*其他调用!X163</f>
        <v>19200412.011577696</v>
      </c>
      <c r="AD164" s="16">
        <f>$Y164*$Z164*其他调用!Y163</f>
        <v>21732334.474642891</v>
      </c>
      <c r="AE164" s="16">
        <f>$Y164*$Z164*其他调用!Z163</f>
        <v>21732334.474642891</v>
      </c>
      <c r="AH164" s="16">
        <v>160</v>
      </c>
      <c r="AI164" s="16">
        <f>SUM(AA$5:AA164)</f>
        <v>143034252.58839029</v>
      </c>
      <c r="AJ164" s="16">
        <f>SUM(AB$5:AB164)</f>
        <v>208427135.3649902</v>
      </c>
      <c r="AK164" s="16">
        <f>SUM(AC$5:AC164)</f>
        <v>286075373.18735212</v>
      </c>
      <c r="AL164" s="16">
        <f>SUM(AD$5:AD164)</f>
        <v>323997864.1063621</v>
      </c>
      <c r="AM164" s="16">
        <f>SUM(AE$5:AE164)</f>
        <v>324233760.59899092</v>
      </c>
      <c r="AR164" s="16">
        <v>160</v>
      </c>
      <c r="AS164" s="24">
        <f t="shared" si="71"/>
        <v>6.8000000000000005E-2</v>
      </c>
      <c r="AT164" s="16">
        <f>求节点(E$28:E$34,$M$28:$M$34,$AR164)*$AS164*其他调用!V163/$E$4</f>
        <v>0</v>
      </c>
      <c r="AU164" s="16">
        <f>求节点(F$28:F$34,$M$28:$M$34,$AR164)*$AS164*其他调用!W163/$E$4</f>
        <v>0</v>
      </c>
      <c r="AV164" s="16">
        <f>求节点(G$28:G$34,$M$28:$M$34,$AR164)*$AS164*其他调用!X163/$E$4</f>
        <v>0</v>
      </c>
      <c r="AW164" s="16">
        <f>求节点(H$28:H$34,$M$28:$M$34,$AR164)*$AS164*其他调用!Y163/$E$4</f>
        <v>0</v>
      </c>
      <c r="AX164" s="16">
        <f>求节点(I$28:I$34,$M$28:$M$34,$AR164)*$AS164*其他调用!Z163/$E$4</f>
        <v>0</v>
      </c>
      <c r="AY164" s="16">
        <f>求节点(E$28:E$34,$N$28:$N$34,$AR164)*$AS164*其他调用!V163/$E$4</f>
        <v>0</v>
      </c>
      <c r="AZ164" s="16">
        <f>求节点(F$28:F$34,$N$28:$N$34,$AR164)*$AS164*其他调用!W163/$E$4</f>
        <v>0</v>
      </c>
      <c r="BA164" s="16">
        <f>求节点(G$28:G$34,$N$28:$N$34,$AR164)*$AS164*其他调用!X163/$E$4</f>
        <v>0</v>
      </c>
      <c r="BB164" s="16">
        <f>求节点(H$28:H$34,$N$28:$N$34,$AR164)*$AS164*其他调用!Y163/$E$4</f>
        <v>0</v>
      </c>
      <c r="BC164" s="16">
        <f>求节点(I$28:I$34,$N$28:$N$34,$AR164)*$AS164*其他调用!Z163/$E$4</f>
        <v>0</v>
      </c>
      <c r="BD164" s="16">
        <f>求节点(E$28:E$34,$O$28:$O$34,$AR164)*$AS164*其他调用!V163/$E$4</f>
        <v>0</v>
      </c>
      <c r="BE164" s="16">
        <f>求节点(F$28:F$34,$O$28:$O$34,$AR164)*$AS164*其他调用!W163/$E$4</f>
        <v>0</v>
      </c>
      <c r="BF164" s="16">
        <f>求节点(G$28:G$34,$O$28:$O$34,$AR164)*$AS164*其他调用!X163/$E$4</f>
        <v>0</v>
      </c>
      <c r="BG164" s="16">
        <f>求节点(H$28:H$34,$O$28:$O$34,$AR164)*$AS164*其他调用!Y163/$E$4</f>
        <v>0</v>
      </c>
      <c r="BH164" s="16">
        <f>求节点(I$28:I$34,$O$28:$O$34,$AR164)*$AS164*其他调用!Z163/$E$4</f>
        <v>0</v>
      </c>
      <c r="BK164" s="16">
        <v>160</v>
      </c>
      <c r="BL164" s="16">
        <f>SUM(AT$5:AT164)</f>
        <v>0</v>
      </c>
      <c r="BM164" s="16">
        <f>SUM(AU$5:AU164)</f>
        <v>0</v>
      </c>
      <c r="BN164" s="16">
        <f>SUM(AV$5:AV164)</f>
        <v>0</v>
      </c>
      <c r="BO164" s="16">
        <f>SUM(AW$5:AW164)</f>
        <v>0</v>
      </c>
      <c r="BP164" s="16">
        <f>SUM(AX$5:AX164)</f>
        <v>0</v>
      </c>
      <c r="BQ164" s="16">
        <f>SUM(AY$5:AY164)</f>
        <v>0</v>
      </c>
      <c r="BR164" s="16">
        <f>SUM(AZ$5:AZ164)</f>
        <v>0</v>
      </c>
      <c r="BS164" s="16">
        <f>SUM(BA$5:BA164)</f>
        <v>0</v>
      </c>
      <c r="BT164" s="16">
        <f>SUM(BB$5:BB164)</f>
        <v>0</v>
      </c>
      <c r="BU164" s="16">
        <f>SUM(BC$5:BC164)</f>
        <v>0</v>
      </c>
      <c r="BV164" s="16">
        <f>SUM(BD$5:BD164)</f>
        <v>0</v>
      </c>
      <c r="BW164" s="16">
        <f>SUM(BE$5:BE164)</f>
        <v>0</v>
      </c>
      <c r="BX164" s="16">
        <f>SUM(BF$5:BF164)</f>
        <v>0</v>
      </c>
      <c r="BY164" s="16">
        <f>SUM(BG$5:BG164)</f>
        <v>0</v>
      </c>
      <c r="BZ164" s="16">
        <f>SUM(BH$5:BH164)</f>
        <v>0</v>
      </c>
      <c r="CC164" s="16">
        <v>160</v>
      </c>
      <c r="CD164" s="16">
        <f t="shared" si="72"/>
        <v>0</v>
      </c>
      <c r="CE164" s="16">
        <f t="shared" si="73"/>
        <v>0</v>
      </c>
      <c r="CF164" s="16">
        <f t="shared" si="74"/>
        <v>0</v>
      </c>
      <c r="CG164" s="16">
        <f t="shared" si="75"/>
        <v>0</v>
      </c>
      <c r="CH164" s="16">
        <f t="shared" si="76"/>
        <v>0</v>
      </c>
      <c r="CI164" s="16">
        <f t="shared" si="77"/>
        <v>0</v>
      </c>
      <c r="CJ164" s="16">
        <f t="shared" si="78"/>
        <v>0</v>
      </c>
      <c r="CK164" s="16">
        <f t="shared" si="79"/>
        <v>0</v>
      </c>
      <c r="CL164" s="16">
        <f t="shared" si="80"/>
        <v>0</v>
      </c>
      <c r="CM164" s="16">
        <f t="shared" si="81"/>
        <v>0</v>
      </c>
      <c r="CN164" s="16">
        <f t="shared" si="82"/>
        <v>0</v>
      </c>
      <c r="CO164" s="16">
        <f t="shared" si="83"/>
        <v>0</v>
      </c>
      <c r="CP164" s="16">
        <f t="shared" si="84"/>
        <v>0</v>
      </c>
      <c r="CQ164" s="16">
        <f t="shared" si="85"/>
        <v>0</v>
      </c>
      <c r="CR164" s="16">
        <f t="shared" si="86"/>
        <v>0</v>
      </c>
      <c r="CV164" s="16">
        <v>160</v>
      </c>
      <c r="CW164" s="35">
        <f t="shared" si="89"/>
        <v>0.13200000000000001</v>
      </c>
      <c r="CX164" s="16">
        <f>其他调用!V163/$E$4*求节点(E$28:E$34,$P$28:$P$34,$CV164)*$CW164</f>
        <v>1998.6366892695676</v>
      </c>
      <c r="CY164" s="16">
        <f>其他调用!W163/$E$4*求节点(F$28:F$34,$P$28:$P$34,$CV164)*$CW164</f>
        <v>2911.0577865448067</v>
      </c>
      <c r="CZ164" s="16">
        <f>其他调用!X163/$E$4*求节点(G$28:G$34,$P$28:$P$34,$CV164)*$CW164</f>
        <v>3993.3630024079657</v>
      </c>
      <c r="DA164" s="16">
        <f>其他调用!Y163/$E$4*求节点(H$28:H$34,$P$28:$P$34,$CV164)*$CW164</f>
        <v>4519.9603214068202</v>
      </c>
      <c r="DB164" s="16">
        <f>其他调用!Z163/$E$4*求节点(I$28:I$34,$P$28:$P$34,$CV164)*$CW164</f>
        <v>4519.9603214068202</v>
      </c>
      <c r="DC164" s="16">
        <f>SUM(CX$5:CX164)</f>
        <v>29817.900593641858</v>
      </c>
      <c r="DD164" s="16">
        <f>SUM(CY$5:CY164)</f>
        <v>43437.885284818636</v>
      </c>
      <c r="DE164" s="16">
        <f>SUM(CZ$5:CZ164)</f>
        <v>59602.379851337944</v>
      </c>
      <c r="DF164" s="16">
        <f>SUM(DA$5:DA164)</f>
        <v>67474.996495666564</v>
      </c>
      <c r="DG164" s="16">
        <f>SUM(DB$5:DB164)</f>
        <v>67484.260082558641</v>
      </c>
    </row>
  </sheetData>
  <mergeCells count="32">
    <mergeCell ref="CV3:CV4"/>
    <mergeCell ref="DC3:DG3"/>
    <mergeCell ref="CX3:DB3"/>
    <mergeCell ref="CW3:CW4"/>
    <mergeCell ref="CI3:CM3"/>
    <mergeCell ref="CN3:CR3"/>
    <mergeCell ref="D45:E45"/>
    <mergeCell ref="J26:L26"/>
    <mergeCell ref="M26:O26"/>
    <mergeCell ref="E26:I26"/>
    <mergeCell ref="AS3:AS4"/>
    <mergeCell ref="X3:X4"/>
    <mergeCell ref="Z3:Z4"/>
    <mergeCell ref="P26:P27"/>
    <mergeCell ref="D17:E17"/>
    <mergeCell ref="D18:E18"/>
    <mergeCell ref="C16:C17"/>
    <mergeCell ref="Y3:Y4"/>
    <mergeCell ref="CC3:CC4"/>
    <mergeCell ref="CD3:CH3"/>
    <mergeCell ref="AA3:AE3"/>
    <mergeCell ref="AR3:AR4"/>
    <mergeCell ref="AH3:AH4"/>
    <mergeCell ref="AI3:AM3"/>
    <mergeCell ref="AT3:AX3"/>
    <mergeCell ref="AY3:BC3"/>
    <mergeCell ref="BD3:BH3"/>
    <mergeCell ref="BK3:BK4"/>
    <mergeCell ref="BL3:BP3"/>
    <mergeCell ref="BQ3:BU3"/>
    <mergeCell ref="BV3:BZ3"/>
    <mergeCell ref="H16:J16"/>
  </mergeCells>
  <phoneticPr fontId="1" type="noConversion"/>
  <pageMargins left="0.7" right="0.7" top="0.75" bottom="0.75" header="0.3" footer="0.3"/>
  <pageSetup paperSize="9" orientation="portrait" horizontalDpi="360" verticalDpi="36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AY166"/>
  <sheetViews>
    <sheetView workbookViewId="0">
      <selection activeCell="V33" sqref="V33"/>
    </sheetView>
  </sheetViews>
  <sheetFormatPr defaultColWidth="6.625" defaultRowHeight="11.25"/>
  <cols>
    <col min="1" max="1" width="6.625" style="14"/>
    <col min="2" max="4" width="6.625" style="16"/>
    <col min="5" max="5" width="7.5" style="16" bestFit="1" customWidth="1"/>
    <col min="6" max="16384" width="6.625" style="16"/>
  </cols>
  <sheetData>
    <row r="1" spans="1:51">
      <c r="A1" s="14" t="s">
        <v>490</v>
      </c>
      <c r="D1" s="94">
        <v>3</v>
      </c>
      <c r="E1" s="16" t="s">
        <v>491</v>
      </c>
    </row>
    <row r="2" spans="1:51">
      <c r="A2" s="14" t="s">
        <v>496</v>
      </c>
      <c r="D2" s="95">
        <v>0.4</v>
      </c>
    </row>
    <row r="3" spans="1:51">
      <c r="A3" s="14" t="s">
        <v>485</v>
      </c>
      <c r="D3" s="94">
        <v>55</v>
      </c>
      <c r="E3" s="16" t="s">
        <v>486</v>
      </c>
    </row>
    <row r="4" spans="1:51">
      <c r="A4" s="14" t="s">
        <v>487</v>
      </c>
    </row>
    <row r="5" spans="1:51">
      <c r="K5" s="164" t="s">
        <v>492</v>
      </c>
      <c r="L5" s="164"/>
      <c r="M5" s="164"/>
      <c r="N5" s="164"/>
      <c r="O5" s="164"/>
      <c r="R5" s="164" t="s">
        <v>532</v>
      </c>
      <c r="S5" s="164"/>
      <c r="T5" s="164"/>
      <c r="U5" s="164"/>
      <c r="V5" s="164"/>
      <c r="W5" s="164" t="s">
        <v>533</v>
      </c>
      <c r="X5" s="164"/>
      <c r="Y5" s="164"/>
      <c r="Z5" s="164"/>
      <c r="AA5" s="164"/>
      <c r="AD5" s="164" t="s">
        <v>506</v>
      </c>
      <c r="AE5" s="164"/>
      <c r="AF5" s="164"/>
      <c r="AG5" s="164"/>
      <c r="AH5" s="164"/>
      <c r="AI5" s="164" t="s">
        <v>507</v>
      </c>
      <c r="AJ5" s="164"/>
      <c r="AK5" s="164"/>
      <c r="AL5" s="164"/>
      <c r="AM5" s="164"/>
      <c r="AP5" s="164" t="s">
        <v>550</v>
      </c>
      <c r="AQ5" s="164"/>
      <c r="AR5" s="164"/>
      <c r="AS5" s="164"/>
      <c r="AT5" s="164"/>
      <c r="AU5" s="164" t="s">
        <v>551</v>
      </c>
      <c r="AV5" s="164"/>
      <c r="AW5" s="164"/>
      <c r="AX5" s="164"/>
      <c r="AY5" s="164"/>
    </row>
    <row r="6" spans="1:51">
      <c r="C6" s="16" t="s">
        <v>1</v>
      </c>
      <c r="D6" s="16" t="s">
        <v>2</v>
      </c>
      <c r="E6" s="16" t="s">
        <v>0</v>
      </c>
      <c r="F6" s="16" t="s">
        <v>167</v>
      </c>
      <c r="J6" s="16" t="s">
        <v>401</v>
      </c>
      <c r="K6" s="16" t="s">
        <v>74</v>
      </c>
      <c r="L6" s="16" t="s">
        <v>75</v>
      </c>
      <c r="M6" s="16" t="s">
        <v>76</v>
      </c>
      <c r="N6" s="16" t="s">
        <v>77</v>
      </c>
      <c r="O6" s="16" t="s">
        <v>78</v>
      </c>
      <c r="Q6" s="16" t="s">
        <v>401</v>
      </c>
      <c r="R6" s="16" t="s">
        <v>74</v>
      </c>
      <c r="S6" s="16" t="s">
        <v>75</v>
      </c>
      <c r="T6" s="16" t="s">
        <v>76</v>
      </c>
      <c r="U6" s="16" t="s">
        <v>77</v>
      </c>
      <c r="V6" s="16" t="s">
        <v>78</v>
      </c>
      <c r="W6" s="16" t="s">
        <v>74</v>
      </c>
      <c r="X6" s="16" t="s">
        <v>75</v>
      </c>
      <c r="Y6" s="16" t="s">
        <v>76</v>
      </c>
      <c r="Z6" s="16" t="s">
        <v>77</v>
      </c>
      <c r="AA6" s="16" t="s">
        <v>78</v>
      </c>
      <c r="AC6" s="16" t="s">
        <v>401</v>
      </c>
      <c r="AD6" s="16" t="s">
        <v>74</v>
      </c>
      <c r="AE6" s="16" t="s">
        <v>75</v>
      </c>
      <c r="AF6" s="16" t="s">
        <v>76</v>
      </c>
      <c r="AG6" s="16" t="s">
        <v>77</v>
      </c>
      <c r="AH6" s="16" t="s">
        <v>78</v>
      </c>
      <c r="AI6" s="16" t="s">
        <v>74</v>
      </c>
      <c r="AJ6" s="16" t="s">
        <v>75</v>
      </c>
      <c r="AK6" s="16" t="s">
        <v>76</v>
      </c>
      <c r="AL6" s="16" t="s">
        <v>77</v>
      </c>
      <c r="AM6" s="16" t="s">
        <v>78</v>
      </c>
      <c r="AO6" s="16" t="s">
        <v>401</v>
      </c>
      <c r="AP6" s="16" t="s">
        <v>74</v>
      </c>
      <c r="AQ6" s="16" t="s">
        <v>75</v>
      </c>
      <c r="AR6" s="16" t="s">
        <v>76</v>
      </c>
      <c r="AS6" s="16" t="s">
        <v>77</v>
      </c>
      <c r="AT6" s="16" t="s">
        <v>78</v>
      </c>
      <c r="AU6" s="16" t="s">
        <v>74</v>
      </c>
      <c r="AV6" s="16" t="s">
        <v>75</v>
      </c>
      <c r="AW6" s="16" t="s">
        <v>76</v>
      </c>
      <c r="AX6" s="16" t="s">
        <v>77</v>
      </c>
      <c r="AY6" s="16" t="s">
        <v>78</v>
      </c>
    </row>
    <row r="7" spans="1:51">
      <c r="B7" s="16" t="s">
        <v>488</v>
      </c>
      <c r="C7" s="16">
        <f>1-SUM(D7:F7)</f>
        <v>0.30000000000000004</v>
      </c>
      <c r="D7" s="16">
        <v>0.4</v>
      </c>
      <c r="E7" s="16">
        <v>0.3</v>
      </c>
      <c r="F7" s="16">
        <v>0</v>
      </c>
      <c r="J7" s="16">
        <v>1</v>
      </c>
      <c r="K7" s="16">
        <f>MAX(求节点(节奏总纲!$O$4:$O$163,节奏总纲!P$4:P$163,$J7)-INT(C$13),0)*$D$1*$D$2</f>
        <v>0</v>
      </c>
      <c r="L7" s="16">
        <f>MAX(求节点(节奏总纲!$O$4:$O$163,节奏总纲!Q$4:Q$163,$J7)-INT(D$13),0)*$D$1*$D$2</f>
        <v>0</v>
      </c>
      <c r="M7" s="16">
        <f>MAX(求节点(节奏总纲!$O$4:$O$163,节奏总纲!R$4:R$163,$J7)-INT(E$13),0)*$D$1*$D$2</f>
        <v>0</v>
      </c>
      <c r="N7" s="16">
        <f>MAX(求节点(节奏总纲!$O$4:$O$163,节奏总纲!S$4:S$163,$J7)-INT(F$13),0)*$D$1*$D$2</f>
        <v>0</v>
      </c>
      <c r="O7" s="16">
        <f>MAX(求节点(节奏总纲!$O$4:$O$163,节奏总纲!T$4:T$163,$J7)-INT(G$13),0)*$D$1*$D$2</f>
        <v>0</v>
      </c>
      <c r="Q7" s="16">
        <v>1</v>
      </c>
      <c r="R7" s="16">
        <f>IF(节奏总纲!P4&lt;C$13,0,求节点($C$18:$C$23,$E$18:$E$23,$Q7)*节奏总纲!W4)*$D$1</f>
        <v>0</v>
      </c>
      <c r="S7" s="16">
        <f>IF(节奏总纲!Q4&lt;D$13,0,求节点($C$18:$C$23,$E$18:$E$23,$Q7)*节奏总纲!X4)*$D$1</f>
        <v>0</v>
      </c>
      <c r="T7" s="16">
        <f>IF(节奏总纲!R4&lt;E$13,0,求节点($C$18:$C$23,$E$18:$E$23,$Q7)*节奏总纲!Y4)*$D$1</f>
        <v>0</v>
      </c>
      <c r="U7" s="16">
        <f>IF(节奏总纲!S4&lt;F$13,0,求节点($C$18:$C$23,$E$18:$E$23,$Q7)*节奏总纲!Z4)*$D$1</f>
        <v>0</v>
      </c>
      <c r="V7" s="16">
        <f>IF(节奏总纲!T4&lt;G$13,0,求节点($C$18:$C$23,$E$18:$E$23,$Q7)*节奏总纲!AA4)*$D$1</f>
        <v>0</v>
      </c>
      <c r="W7" s="16">
        <f>SUM(R$7:R7)</f>
        <v>0</v>
      </c>
      <c r="X7" s="16">
        <f>SUM(S$7:S7)</f>
        <v>0</v>
      </c>
      <c r="Y7" s="16">
        <f>SUM(T$7:T7)</f>
        <v>0</v>
      </c>
      <c r="Z7" s="16">
        <f>SUM(U$7:U7)</f>
        <v>0</v>
      </c>
      <c r="AA7" s="16">
        <f>SUM(V$7:V7)</f>
        <v>0</v>
      </c>
      <c r="AC7" s="16">
        <v>1</v>
      </c>
      <c r="AD7" s="16">
        <f>IF(节奏总纲!P4&lt;C$13,0,求节点($C$18:$C$23,$F$18:$F$23,$Q7)*节奏总纲!W4)*$D$1</f>
        <v>0</v>
      </c>
      <c r="AE7" s="16">
        <f>IF(节奏总纲!Q4&lt;D$13,0,求节点($C$18:$C$23,$F$18:$F$23,$Q7)*节奏总纲!X4)*$D$1</f>
        <v>0</v>
      </c>
      <c r="AF7" s="16">
        <f>IF(节奏总纲!R4&lt;E$13,0,求节点($C$18:$C$23,$F$18:$F$23,$Q7)*节奏总纲!Y4)*$D$1</f>
        <v>0</v>
      </c>
      <c r="AG7" s="16">
        <f>IF(节奏总纲!S4&lt;F$13,0,求节点($C$18:$C$23,$F$18:$F$23,$Q7)*节奏总纲!Z4)*$D$1</f>
        <v>0</v>
      </c>
      <c r="AH7" s="16">
        <f>IF(节奏总纲!T4&lt;G$13,0,求节点($C$18:$C$23,$F$18:$F$23,$Q7)*节奏总纲!AA4)*$D$1</f>
        <v>0</v>
      </c>
      <c r="AI7" s="16">
        <f>SUM(AD$7:AD7)</f>
        <v>0</v>
      </c>
      <c r="AJ7" s="16">
        <f>SUM(AE$7:AE7)</f>
        <v>0</v>
      </c>
      <c r="AK7" s="16">
        <f>SUM(AF$7:AF7)</f>
        <v>0</v>
      </c>
      <c r="AL7" s="16">
        <f>SUM(AG$7:AG7)</f>
        <v>0</v>
      </c>
      <c r="AM7" s="16">
        <f>SUM(AH$7:AH7)</f>
        <v>0</v>
      </c>
      <c r="AO7" s="16">
        <v>1</v>
      </c>
      <c r="AP7" s="16">
        <f>IF(节奏总纲!P4&lt;C$13,0,求节点($C$18:$C$23,$H$18:$H$23,$Q7)*节奏总纲!W4)*$D$1</f>
        <v>0</v>
      </c>
      <c r="AQ7" s="16">
        <f>IF(节奏总纲!Q4&lt;D$13,0,求节点($C$18:$C$23,$H$18:$H$23,$Q7)*节奏总纲!X4)*$D$1</f>
        <v>0</v>
      </c>
      <c r="AR7" s="16">
        <f>IF(节奏总纲!R4&lt;E$13,0,求节点($C$18:$C$23,$H$18:$H$23,$Q7)*节奏总纲!Y4)*$D$1</f>
        <v>0</v>
      </c>
      <c r="AS7" s="16">
        <f>IF(节奏总纲!S4&lt;F$13,0,求节点($C$18:$C$23,$H$18:$H$23,$Q7)*节奏总纲!Z4)*$D$1</f>
        <v>0</v>
      </c>
      <c r="AT7" s="16">
        <f>IF(节奏总纲!T4&lt;G$13,0,求节点($C$18:$C$23,$H$18:$H$23,$Q7)*节奏总纲!AA4)*$D$1</f>
        <v>0</v>
      </c>
      <c r="AU7" s="16">
        <f>SUM(AP$7:AP7)</f>
        <v>0</v>
      </c>
      <c r="AV7" s="16">
        <f>SUM(AQ$7:AQ7)</f>
        <v>0</v>
      </c>
      <c r="AW7" s="16">
        <f>SUM(AR$7:AR7)</f>
        <v>0</v>
      </c>
      <c r="AX7" s="16">
        <f>SUM(AS$7:AS7)</f>
        <v>0</v>
      </c>
      <c r="AY7" s="16">
        <f>SUM(AT$7:AT7)</f>
        <v>0</v>
      </c>
    </row>
    <row r="8" spans="1:51">
      <c r="B8" s="16" t="s">
        <v>495</v>
      </c>
      <c r="C8" s="16">
        <v>1</v>
      </c>
      <c r="D8" s="16">
        <f>2/10</f>
        <v>0.2</v>
      </c>
      <c r="E8" s="16">
        <f>2/30</f>
        <v>6.6666666666666666E-2</v>
      </c>
      <c r="F8" s="16">
        <f>1/30</f>
        <v>3.3333333333333333E-2</v>
      </c>
      <c r="J8" s="16">
        <v>2</v>
      </c>
      <c r="K8" s="16">
        <f>MAX(求节点(节奏总纲!$O$4:$O$163,节奏总纲!P$4:P$163,$J8)-INT(C$13),0)*$D$1*$D$2</f>
        <v>0</v>
      </c>
      <c r="L8" s="16">
        <f>MAX(求节点(节奏总纲!$O$4:$O$163,节奏总纲!Q$4:Q$163,$J8)-INT(D$13),0)*$D$1*$D$2</f>
        <v>0</v>
      </c>
      <c r="M8" s="16">
        <f>MAX(求节点(节奏总纲!$O$4:$O$163,节奏总纲!R$4:R$163,$J8)-INT(E$13),0)*$D$1*$D$2</f>
        <v>0</v>
      </c>
      <c r="N8" s="16">
        <f>MAX(求节点(节奏总纲!$O$4:$O$163,节奏总纲!S$4:S$163,$J8)-INT(F$13),0)*$D$1*$D$2</f>
        <v>0</v>
      </c>
      <c r="O8" s="16">
        <f>MAX(求节点(节奏总纲!$O$4:$O$163,节奏总纲!T$4:T$163,$J8)-INT(G$13),0)*$D$1*$D$2</f>
        <v>0</v>
      </c>
      <c r="Q8" s="16">
        <v>2</v>
      </c>
      <c r="R8" s="16">
        <f>IF(节奏总纲!P5&lt;C$13,0,求节点($C$18:$C$23,$E$18:$E$23,$Q8)*节奏总纲!W5)*$D$1</f>
        <v>0</v>
      </c>
      <c r="S8" s="16">
        <f>IF(节奏总纲!Q5&lt;D$13,0,求节点($C$18:$C$23,$E$18:$E$23,$Q8)*节奏总纲!X5)*$D$1</f>
        <v>0</v>
      </c>
      <c r="T8" s="16">
        <f>IF(节奏总纲!R5&lt;E$13,0,求节点($C$18:$C$23,$E$18:$E$23,$Q8)*节奏总纲!Y5)*$D$1</f>
        <v>0</v>
      </c>
      <c r="U8" s="16">
        <f>IF(节奏总纲!S5&lt;F$13,0,求节点($C$18:$C$23,$E$18:$E$23,$Q8)*节奏总纲!Z5)*$D$1</f>
        <v>0</v>
      </c>
      <c r="V8" s="16">
        <f>IF(节奏总纲!T5&lt;G$13,0,求节点($C$18:$C$23,$E$18:$E$23,$Q8)*节奏总纲!AA5)*$D$1</f>
        <v>0</v>
      </c>
      <c r="W8" s="16">
        <f>SUM(R$7:R8)</f>
        <v>0</v>
      </c>
      <c r="X8" s="16">
        <f>SUM(S$7:S8)</f>
        <v>0</v>
      </c>
      <c r="Y8" s="16">
        <f>SUM(T$7:T8)</f>
        <v>0</v>
      </c>
      <c r="Z8" s="16">
        <f>SUM(U$7:U8)</f>
        <v>0</v>
      </c>
      <c r="AA8" s="16">
        <f>SUM(V$7:V8)</f>
        <v>0</v>
      </c>
      <c r="AC8" s="16">
        <v>2</v>
      </c>
      <c r="AD8" s="16">
        <f>IF(节奏总纲!P5&lt;C$13,0,求节点($C$18:$C$23,$F$18:$F$23,$Q8)*节奏总纲!W5)*$D$1</f>
        <v>0</v>
      </c>
      <c r="AE8" s="16">
        <f>IF(节奏总纲!Q5&lt;D$13,0,求节点($C$18:$C$23,$F$18:$F$23,$Q8)*节奏总纲!X5)*$D$1</f>
        <v>0</v>
      </c>
      <c r="AF8" s="16">
        <f>IF(节奏总纲!R5&lt;E$13,0,求节点($C$18:$C$23,$F$18:$F$23,$Q8)*节奏总纲!Y5)*$D$1</f>
        <v>0</v>
      </c>
      <c r="AG8" s="16">
        <f>IF(节奏总纲!S5&lt;F$13,0,求节点($C$18:$C$23,$F$18:$F$23,$Q8)*节奏总纲!Z5)*$D$1</f>
        <v>0</v>
      </c>
      <c r="AH8" s="16">
        <f>IF(节奏总纲!T5&lt;G$13,0,求节点($C$18:$C$23,$F$18:$F$23,$Q8)*节奏总纲!AA5)*$D$1</f>
        <v>0</v>
      </c>
      <c r="AI8" s="16">
        <f>SUM(AD$7:AD8)</f>
        <v>0</v>
      </c>
      <c r="AJ8" s="16">
        <f>SUM(AE$7:AE8)</f>
        <v>0</v>
      </c>
      <c r="AK8" s="16">
        <f>SUM(AF$7:AF8)</f>
        <v>0</v>
      </c>
      <c r="AL8" s="16">
        <f>SUM(AG$7:AG8)</f>
        <v>0</v>
      </c>
      <c r="AM8" s="16">
        <f>SUM(AH$7:AH8)</f>
        <v>0</v>
      </c>
      <c r="AO8" s="16">
        <v>2</v>
      </c>
      <c r="AP8" s="16">
        <f>IF(节奏总纲!P5&lt;C$13,0,求节点($C$18:$C$23,$H$18:$H$23,$Q8)*节奏总纲!W5)*$D$1</f>
        <v>0</v>
      </c>
      <c r="AQ8" s="16">
        <f>IF(节奏总纲!Q5&lt;D$13,0,求节点($C$18:$C$23,$H$18:$H$23,$Q8)*节奏总纲!X5)*$D$1</f>
        <v>0</v>
      </c>
      <c r="AR8" s="16">
        <f>IF(节奏总纲!R5&lt;E$13,0,求节点($C$18:$C$23,$H$18:$H$23,$Q8)*节奏总纲!Y5)*$D$1</f>
        <v>0</v>
      </c>
      <c r="AS8" s="16">
        <f>IF(节奏总纲!S5&lt;F$13,0,求节点($C$18:$C$23,$H$18:$H$23,$Q8)*节奏总纲!Z5)*$D$1</f>
        <v>0</v>
      </c>
      <c r="AT8" s="16">
        <f>IF(节奏总纲!T5&lt;G$13,0,求节点($C$18:$C$23,$H$18:$H$23,$Q8)*节奏总纲!AA5)*$D$1</f>
        <v>0</v>
      </c>
      <c r="AU8" s="16">
        <f>SUM(AP$7:AP8)</f>
        <v>0</v>
      </c>
      <c r="AV8" s="16">
        <f>SUM(AQ$7:AQ8)</f>
        <v>0</v>
      </c>
      <c r="AW8" s="16">
        <f>SUM(AR$7:AR8)</f>
        <v>0</v>
      </c>
      <c r="AX8" s="16">
        <f>SUM(AS$7:AS8)</f>
        <v>0</v>
      </c>
      <c r="AY8" s="16">
        <f>SUM(AT$7:AT8)</f>
        <v>0</v>
      </c>
    </row>
    <row r="9" spans="1:51">
      <c r="B9" s="16" t="s">
        <v>93</v>
      </c>
      <c r="C9" s="16">
        <f>SUMPRODUCT(C7:F7,C8:F8,投放验证!E10:H10)</f>
        <v>120.00000000000001</v>
      </c>
      <c r="J9" s="16">
        <v>3</v>
      </c>
      <c r="K9" s="16">
        <f>MAX(求节点(节奏总纲!$O$4:$O$163,节奏总纲!P$4:P$163,$J9)-INT(C$13),0)*$D$1*$D$2</f>
        <v>0</v>
      </c>
      <c r="L9" s="16">
        <f>MAX(求节点(节奏总纲!$O$4:$O$163,节奏总纲!Q$4:Q$163,$J9)-INT(D$13),0)*$D$1*$D$2</f>
        <v>0</v>
      </c>
      <c r="M9" s="16">
        <f>MAX(求节点(节奏总纲!$O$4:$O$163,节奏总纲!R$4:R$163,$J9)-INT(E$13),0)*$D$1*$D$2</f>
        <v>0</v>
      </c>
      <c r="N9" s="16">
        <f>MAX(求节点(节奏总纲!$O$4:$O$163,节奏总纲!S$4:S$163,$J9)-INT(F$13),0)*$D$1*$D$2</f>
        <v>0</v>
      </c>
      <c r="O9" s="16">
        <f>MAX(求节点(节奏总纲!$O$4:$O$163,节奏总纲!T$4:T$163,$J9)-INT(G$13),0)*$D$1*$D$2</f>
        <v>0</v>
      </c>
      <c r="Q9" s="16">
        <v>3</v>
      </c>
      <c r="R9" s="16">
        <f>IF(节奏总纲!P6&lt;C$13,0,求节点($C$18:$C$23,$E$18:$E$23,$Q9)*节奏总纲!W6)*$D$1</f>
        <v>0</v>
      </c>
      <c r="S9" s="16">
        <f>IF(节奏总纲!Q6&lt;D$13,0,求节点($C$18:$C$23,$E$18:$E$23,$Q9)*节奏总纲!X6)*$D$1</f>
        <v>0</v>
      </c>
      <c r="T9" s="16">
        <f>IF(节奏总纲!R6&lt;E$13,0,求节点($C$18:$C$23,$E$18:$E$23,$Q9)*节奏总纲!Y6)*$D$1</f>
        <v>0</v>
      </c>
      <c r="U9" s="16">
        <f>IF(节奏总纲!S6&lt;F$13,0,求节点($C$18:$C$23,$E$18:$E$23,$Q9)*节奏总纲!Z6)*$D$1</f>
        <v>0</v>
      </c>
      <c r="V9" s="16">
        <f>IF(节奏总纲!T6&lt;G$13,0,求节点($C$18:$C$23,$E$18:$E$23,$Q9)*节奏总纲!AA6)*$D$1</f>
        <v>0</v>
      </c>
      <c r="W9" s="16">
        <f>SUM(R$7:R9)</f>
        <v>0</v>
      </c>
      <c r="X9" s="16">
        <f>SUM(S$7:S9)</f>
        <v>0</v>
      </c>
      <c r="Y9" s="16">
        <f>SUM(T$7:T9)</f>
        <v>0</v>
      </c>
      <c r="Z9" s="16">
        <f>SUM(U$7:U9)</f>
        <v>0</v>
      </c>
      <c r="AA9" s="16">
        <f>SUM(V$7:V9)</f>
        <v>0</v>
      </c>
      <c r="AC9" s="16">
        <v>3</v>
      </c>
      <c r="AD9" s="16">
        <f>IF(节奏总纲!P6&lt;C$13,0,求节点($C$18:$C$23,$F$18:$F$23,$Q9)*节奏总纲!W6)*$D$1</f>
        <v>0</v>
      </c>
      <c r="AE9" s="16">
        <f>IF(节奏总纲!Q6&lt;D$13,0,求节点($C$18:$C$23,$F$18:$F$23,$Q9)*节奏总纲!X6)*$D$1</f>
        <v>0</v>
      </c>
      <c r="AF9" s="16">
        <f>IF(节奏总纲!R6&lt;E$13,0,求节点($C$18:$C$23,$F$18:$F$23,$Q9)*节奏总纲!Y6)*$D$1</f>
        <v>0</v>
      </c>
      <c r="AG9" s="16">
        <f>IF(节奏总纲!S6&lt;F$13,0,求节点($C$18:$C$23,$F$18:$F$23,$Q9)*节奏总纲!Z6)*$D$1</f>
        <v>0</v>
      </c>
      <c r="AH9" s="16">
        <f>IF(节奏总纲!T6&lt;G$13,0,求节点($C$18:$C$23,$F$18:$F$23,$Q9)*节奏总纲!AA6)*$D$1</f>
        <v>0</v>
      </c>
      <c r="AI9" s="16">
        <f>SUM(AD$7:AD9)</f>
        <v>0</v>
      </c>
      <c r="AJ9" s="16">
        <f>SUM(AE$7:AE9)</f>
        <v>0</v>
      </c>
      <c r="AK9" s="16">
        <f>SUM(AF$7:AF9)</f>
        <v>0</v>
      </c>
      <c r="AL9" s="16">
        <f>SUM(AG$7:AG9)</f>
        <v>0</v>
      </c>
      <c r="AM9" s="16">
        <f>SUM(AH$7:AH9)</f>
        <v>0</v>
      </c>
      <c r="AO9" s="16">
        <v>3</v>
      </c>
      <c r="AP9" s="16">
        <f>IF(节奏总纲!P6&lt;C$13,0,求节点($C$18:$C$23,$H$18:$H$23,$Q9)*节奏总纲!W6)*$D$1</f>
        <v>0</v>
      </c>
      <c r="AQ9" s="16">
        <f>IF(节奏总纲!Q6&lt;D$13,0,求节点($C$18:$C$23,$H$18:$H$23,$Q9)*节奏总纲!X6)*$D$1</f>
        <v>0</v>
      </c>
      <c r="AR9" s="16">
        <f>IF(节奏总纲!R6&lt;E$13,0,求节点($C$18:$C$23,$H$18:$H$23,$Q9)*节奏总纲!Y6)*$D$1</f>
        <v>0</v>
      </c>
      <c r="AS9" s="16">
        <f>IF(节奏总纲!S6&lt;F$13,0,求节点($C$18:$C$23,$H$18:$H$23,$Q9)*节奏总纲!Z6)*$D$1</f>
        <v>0</v>
      </c>
      <c r="AT9" s="16">
        <f>IF(节奏总纲!T6&lt;G$13,0,求节点($C$18:$C$23,$H$18:$H$23,$Q9)*节奏总纲!AA6)*$D$1</f>
        <v>0</v>
      </c>
      <c r="AU9" s="16">
        <f>SUM(AP$7:AP9)</f>
        <v>0</v>
      </c>
      <c r="AV9" s="16">
        <f>SUM(AQ$7:AQ9)</f>
        <v>0</v>
      </c>
      <c r="AW9" s="16">
        <f>SUM(AR$7:AR9)</f>
        <v>0</v>
      </c>
      <c r="AX9" s="16">
        <f>SUM(AS$7:AS9)</f>
        <v>0</v>
      </c>
      <c r="AY9" s="16">
        <f>SUM(AT$7:AT9)</f>
        <v>0</v>
      </c>
    </row>
    <row r="10" spans="1:51">
      <c r="J10" s="16">
        <v>4</v>
      </c>
      <c r="K10" s="16">
        <f>MAX(求节点(节奏总纲!$O$4:$O$163,节奏总纲!P$4:P$163,$J10)-INT(C$13),0)*$D$1*$D$2</f>
        <v>0</v>
      </c>
      <c r="L10" s="16">
        <f>MAX(求节点(节奏总纲!$O$4:$O$163,节奏总纲!Q$4:Q$163,$J10)-INT(D$13),0)*$D$1*$D$2</f>
        <v>0</v>
      </c>
      <c r="M10" s="16">
        <f>MAX(求节点(节奏总纲!$O$4:$O$163,节奏总纲!R$4:R$163,$J10)-INT(E$13),0)*$D$1*$D$2</f>
        <v>0</v>
      </c>
      <c r="N10" s="16">
        <f>MAX(求节点(节奏总纲!$O$4:$O$163,节奏总纲!S$4:S$163,$J10)-INT(F$13),0)*$D$1*$D$2</f>
        <v>0</v>
      </c>
      <c r="O10" s="16">
        <f>MAX(求节点(节奏总纲!$O$4:$O$163,节奏总纲!T$4:T$163,$J10)-INT(G$13),0)*$D$1*$D$2</f>
        <v>0</v>
      </c>
      <c r="Q10" s="16">
        <v>4</v>
      </c>
      <c r="R10" s="16">
        <f>IF(节奏总纲!P7&lt;C$13,0,求节点($C$18:$C$23,$E$18:$E$23,$Q10)*节奏总纲!W7)*$D$1</f>
        <v>0</v>
      </c>
      <c r="S10" s="16">
        <f>IF(节奏总纲!Q7&lt;D$13,0,求节点($C$18:$C$23,$E$18:$E$23,$Q10)*节奏总纲!X7)*$D$1</f>
        <v>0</v>
      </c>
      <c r="T10" s="16">
        <f>IF(节奏总纲!R7&lt;E$13,0,求节点($C$18:$C$23,$E$18:$E$23,$Q10)*节奏总纲!Y7)*$D$1</f>
        <v>0</v>
      </c>
      <c r="U10" s="16">
        <f>IF(节奏总纲!S7&lt;F$13,0,求节点($C$18:$C$23,$E$18:$E$23,$Q10)*节奏总纲!Z7)*$D$1</f>
        <v>0</v>
      </c>
      <c r="V10" s="16">
        <f>IF(节奏总纲!T7&lt;G$13,0,求节点($C$18:$C$23,$E$18:$E$23,$Q10)*节奏总纲!AA7)*$D$1</f>
        <v>0</v>
      </c>
      <c r="W10" s="16">
        <f>SUM(R$7:R10)</f>
        <v>0</v>
      </c>
      <c r="X10" s="16">
        <f>SUM(S$7:S10)</f>
        <v>0</v>
      </c>
      <c r="Y10" s="16">
        <f>SUM(T$7:T10)</f>
        <v>0</v>
      </c>
      <c r="Z10" s="16">
        <f>SUM(U$7:U10)</f>
        <v>0</v>
      </c>
      <c r="AA10" s="16">
        <f>SUM(V$7:V10)</f>
        <v>0</v>
      </c>
      <c r="AC10" s="16">
        <v>4</v>
      </c>
      <c r="AD10" s="16">
        <f>IF(节奏总纲!P7&lt;C$13,0,求节点($C$18:$C$23,$F$18:$F$23,$Q10)*节奏总纲!W7)*$D$1</f>
        <v>0</v>
      </c>
      <c r="AE10" s="16">
        <f>IF(节奏总纲!Q7&lt;D$13,0,求节点($C$18:$C$23,$F$18:$F$23,$Q10)*节奏总纲!X7)*$D$1</f>
        <v>0</v>
      </c>
      <c r="AF10" s="16">
        <f>IF(节奏总纲!R7&lt;E$13,0,求节点($C$18:$C$23,$F$18:$F$23,$Q10)*节奏总纲!Y7)*$D$1</f>
        <v>0</v>
      </c>
      <c r="AG10" s="16">
        <f>IF(节奏总纲!S7&lt;F$13,0,求节点($C$18:$C$23,$F$18:$F$23,$Q10)*节奏总纲!Z7)*$D$1</f>
        <v>0</v>
      </c>
      <c r="AH10" s="16">
        <f>IF(节奏总纲!T7&lt;G$13,0,求节点($C$18:$C$23,$F$18:$F$23,$Q10)*节奏总纲!AA7)*$D$1</f>
        <v>0</v>
      </c>
      <c r="AI10" s="16">
        <f>SUM(AD$7:AD10)</f>
        <v>0</v>
      </c>
      <c r="AJ10" s="16">
        <f>SUM(AE$7:AE10)</f>
        <v>0</v>
      </c>
      <c r="AK10" s="16">
        <f>SUM(AF$7:AF10)</f>
        <v>0</v>
      </c>
      <c r="AL10" s="16">
        <f>SUM(AG$7:AG10)</f>
        <v>0</v>
      </c>
      <c r="AM10" s="16">
        <f>SUM(AH$7:AH10)</f>
        <v>0</v>
      </c>
      <c r="AO10" s="16">
        <v>4</v>
      </c>
      <c r="AP10" s="16">
        <f>IF(节奏总纲!P7&lt;C$13,0,求节点($C$18:$C$23,$H$18:$H$23,$Q10)*节奏总纲!W7)*$D$1</f>
        <v>0</v>
      </c>
      <c r="AQ10" s="16">
        <f>IF(节奏总纲!Q7&lt;D$13,0,求节点($C$18:$C$23,$H$18:$H$23,$Q10)*节奏总纲!X7)*$D$1</f>
        <v>0</v>
      </c>
      <c r="AR10" s="16">
        <f>IF(节奏总纲!R7&lt;E$13,0,求节点($C$18:$C$23,$H$18:$H$23,$Q10)*节奏总纲!Y7)*$D$1</f>
        <v>0</v>
      </c>
      <c r="AS10" s="16">
        <f>IF(节奏总纲!S7&lt;F$13,0,求节点($C$18:$C$23,$H$18:$H$23,$Q10)*节奏总纲!Z7)*$D$1</f>
        <v>0</v>
      </c>
      <c r="AT10" s="16">
        <f>IF(节奏总纲!T7&lt;G$13,0,求节点($C$18:$C$23,$H$18:$H$23,$Q10)*节奏总纲!AA7)*$D$1</f>
        <v>0</v>
      </c>
      <c r="AU10" s="16">
        <f>SUM(AP$7:AP10)</f>
        <v>0</v>
      </c>
      <c r="AV10" s="16">
        <f>SUM(AQ$7:AQ10)</f>
        <v>0</v>
      </c>
      <c r="AW10" s="16">
        <f>SUM(AR$7:AR10)</f>
        <v>0</v>
      </c>
      <c r="AX10" s="16">
        <f>SUM(AS$7:AS10)</f>
        <v>0</v>
      </c>
      <c r="AY10" s="16">
        <f>SUM(AT$7:AT10)</f>
        <v>0</v>
      </c>
    </row>
    <row r="11" spans="1:51">
      <c r="J11" s="16">
        <v>5</v>
      </c>
      <c r="K11" s="16">
        <f>MAX(求节点(节奏总纲!$O$4:$O$163,节奏总纲!P$4:P$163,$J11)-INT(C$13),0)*$D$1*$D$2</f>
        <v>0</v>
      </c>
      <c r="L11" s="16">
        <f>MAX(求节点(节奏总纲!$O$4:$O$163,节奏总纲!Q$4:Q$163,$J11)-INT(D$13),0)*$D$1*$D$2</f>
        <v>0</v>
      </c>
      <c r="M11" s="16">
        <f>MAX(求节点(节奏总纲!$O$4:$O$163,节奏总纲!R$4:R$163,$J11)-INT(E$13),0)*$D$1*$D$2</f>
        <v>0</v>
      </c>
      <c r="N11" s="16">
        <f>MAX(求节点(节奏总纲!$O$4:$O$163,节奏总纲!S$4:S$163,$J11)-INT(F$13),0)*$D$1*$D$2</f>
        <v>0</v>
      </c>
      <c r="O11" s="16">
        <f>MAX(求节点(节奏总纲!$O$4:$O$163,节奏总纲!T$4:T$163,$J11)-INT(G$13),0)*$D$1*$D$2</f>
        <v>0</v>
      </c>
      <c r="Q11" s="16">
        <v>5</v>
      </c>
      <c r="R11" s="16">
        <f>IF(节奏总纲!P8&lt;C$13,0,求节点($C$18:$C$23,$E$18:$E$23,$Q11)*节奏总纲!W8)*$D$1</f>
        <v>0</v>
      </c>
      <c r="S11" s="16">
        <f>IF(节奏总纲!Q8&lt;D$13,0,求节点($C$18:$C$23,$E$18:$E$23,$Q11)*节奏总纲!X8)*$D$1</f>
        <v>0</v>
      </c>
      <c r="T11" s="16">
        <f>IF(节奏总纲!R8&lt;E$13,0,求节点($C$18:$C$23,$E$18:$E$23,$Q11)*节奏总纲!Y8)*$D$1</f>
        <v>0</v>
      </c>
      <c r="U11" s="16">
        <f>IF(节奏总纲!S8&lt;F$13,0,求节点($C$18:$C$23,$E$18:$E$23,$Q11)*节奏总纲!Z8)*$D$1</f>
        <v>0</v>
      </c>
      <c r="V11" s="16">
        <f>IF(节奏总纲!T8&lt;G$13,0,求节点($C$18:$C$23,$E$18:$E$23,$Q11)*节奏总纲!AA8)*$D$1</f>
        <v>0</v>
      </c>
      <c r="W11" s="16">
        <f>SUM(R$7:R11)</f>
        <v>0</v>
      </c>
      <c r="X11" s="16">
        <f>SUM(S$7:S11)</f>
        <v>0</v>
      </c>
      <c r="Y11" s="16">
        <f>SUM(T$7:T11)</f>
        <v>0</v>
      </c>
      <c r="Z11" s="16">
        <f>SUM(U$7:U11)</f>
        <v>0</v>
      </c>
      <c r="AA11" s="16">
        <f>SUM(V$7:V11)</f>
        <v>0</v>
      </c>
      <c r="AC11" s="16">
        <v>5</v>
      </c>
      <c r="AD11" s="16">
        <f>IF(节奏总纲!P8&lt;C$13,0,求节点($C$18:$C$23,$F$18:$F$23,$Q11)*节奏总纲!W8)*$D$1</f>
        <v>0</v>
      </c>
      <c r="AE11" s="16">
        <f>IF(节奏总纲!Q8&lt;D$13,0,求节点($C$18:$C$23,$F$18:$F$23,$Q11)*节奏总纲!X8)*$D$1</f>
        <v>0</v>
      </c>
      <c r="AF11" s="16">
        <f>IF(节奏总纲!R8&lt;E$13,0,求节点($C$18:$C$23,$F$18:$F$23,$Q11)*节奏总纲!Y8)*$D$1</f>
        <v>0</v>
      </c>
      <c r="AG11" s="16">
        <f>IF(节奏总纲!S8&lt;F$13,0,求节点($C$18:$C$23,$F$18:$F$23,$Q11)*节奏总纲!Z8)*$D$1</f>
        <v>0</v>
      </c>
      <c r="AH11" s="16">
        <f>IF(节奏总纲!T8&lt;G$13,0,求节点($C$18:$C$23,$F$18:$F$23,$Q11)*节奏总纲!AA8)*$D$1</f>
        <v>0</v>
      </c>
      <c r="AI11" s="16">
        <f>SUM(AD$7:AD11)</f>
        <v>0</v>
      </c>
      <c r="AJ11" s="16">
        <f>SUM(AE$7:AE11)</f>
        <v>0</v>
      </c>
      <c r="AK11" s="16">
        <f>SUM(AF$7:AF11)</f>
        <v>0</v>
      </c>
      <c r="AL11" s="16">
        <f>SUM(AG$7:AG11)</f>
        <v>0</v>
      </c>
      <c r="AM11" s="16">
        <f>SUM(AH$7:AH11)</f>
        <v>0</v>
      </c>
      <c r="AO11" s="16">
        <v>5</v>
      </c>
      <c r="AP11" s="16">
        <f>IF(节奏总纲!P8&lt;C$13,0,求节点($C$18:$C$23,$H$18:$H$23,$Q11)*节奏总纲!W8)*$D$1</f>
        <v>0</v>
      </c>
      <c r="AQ11" s="16">
        <f>IF(节奏总纲!Q8&lt;D$13,0,求节点($C$18:$C$23,$H$18:$H$23,$Q11)*节奏总纲!X8)*$D$1</f>
        <v>0</v>
      </c>
      <c r="AR11" s="16">
        <f>IF(节奏总纲!R8&lt;E$13,0,求节点($C$18:$C$23,$H$18:$H$23,$Q11)*节奏总纲!Y8)*$D$1</f>
        <v>0</v>
      </c>
      <c r="AS11" s="16">
        <f>IF(节奏总纲!S8&lt;F$13,0,求节点($C$18:$C$23,$H$18:$H$23,$Q11)*节奏总纲!Z8)*$D$1</f>
        <v>0</v>
      </c>
      <c r="AT11" s="16">
        <f>IF(节奏总纲!T8&lt;G$13,0,求节点($C$18:$C$23,$H$18:$H$23,$Q11)*节奏总纲!AA8)*$D$1</f>
        <v>0</v>
      </c>
      <c r="AU11" s="16">
        <f>SUM(AP$7:AP11)</f>
        <v>0</v>
      </c>
      <c r="AV11" s="16">
        <f>SUM(AQ$7:AQ11)</f>
        <v>0</v>
      </c>
      <c r="AW11" s="16">
        <f>SUM(AR$7:AR11)</f>
        <v>0</v>
      </c>
      <c r="AX11" s="16">
        <f>SUM(AS$7:AS11)</f>
        <v>0</v>
      </c>
      <c r="AY11" s="16">
        <f>SUM(AT$7:AT11)</f>
        <v>0</v>
      </c>
    </row>
    <row r="12" spans="1:51">
      <c r="A12" s="14" t="s">
        <v>489</v>
      </c>
      <c r="C12" s="16" t="s">
        <v>74</v>
      </c>
      <c r="D12" s="16" t="s">
        <v>75</v>
      </c>
      <c r="E12" s="16" t="s">
        <v>76</v>
      </c>
      <c r="F12" s="16" t="s">
        <v>77</v>
      </c>
      <c r="G12" s="16" t="s">
        <v>78</v>
      </c>
      <c r="J12" s="16">
        <v>6</v>
      </c>
      <c r="K12" s="16">
        <f>MAX(求节点(节奏总纲!$O$4:$O$163,节奏总纲!P$4:P$163,$J12)-INT(C$13),0)*$D$1*$D$2</f>
        <v>0</v>
      </c>
      <c r="L12" s="16">
        <f>MAX(求节点(节奏总纲!$O$4:$O$163,节奏总纲!Q$4:Q$163,$J12)-INT(D$13),0)*$D$1*$D$2</f>
        <v>0</v>
      </c>
      <c r="M12" s="16">
        <f>MAX(求节点(节奏总纲!$O$4:$O$163,节奏总纲!R$4:R$163,$J12)-INT(E$13),0)*$D$1*$D$2</f>
        <v>0</v>
      </c>
      <c r="N12" s="16">
        <f>MAX(求节点(节奏总纲!$O$4:$O$163,节奏总纲!S$4:S$163,$J12)-INT(F$13),0)*$D$1*$D$2</f>
        <v>0</v>
      </c>
      <c r="O12" s="16">
        <f>MAX(求节点(节奏总纲!$O$4:$O$163,节奏总纲!T$4:T$163,$J12)-INT(G$13),0)*$D$1*$D$2</f>
        <v>0</v>
      </c>
      <c r="Q12" s="16">
        <v>6</v>
      </c>
      <c r="R12" s="16">
        <f>IF(节奏总纲!P9&lt;C$13,0,求节点($C$18:$C$23,$E$18:$E$23,$Q12)*节奏总纲!W9)*$D$1</f>
        <v>0</v>
      </c>
      <c r="S12" s="16">
        <f>IF(节奏总纲!Q9&lt;D$13,0,求节点($C$18:$C$23,$E$18:$E$23,$Q12)*节奏总纲!X9)*$D$1</f>
        <v>0</v>
      </c>
      <c r="T12" s="16">
        <f>IF(节奏总纲!R9&lt;E$13,0,求节点($C$18:$C$23,$E$18:$E$23,$Q12)*节奏总纲!Y9)*$D$1</f>
        <v>0</v>
      </c>
      <c r="U12" s="16">
        <f>IF(节奏总纲!S9&lt;F$13,0,求节点($C$18:$C$23,$E$18:$E$23,$Q12)*节奏总纲!Z9)*$D$1</f>
        <v>0</v>
      </c>
      <c r="V12" s="16">
        <f>IF(节奏总纲!T9&lt;G$13,0,求节点($C$18:$C$23,$E$18:$E$23,$Q12)*节奏总纲!AA9)*$D$1</f>
        <v>0</v>
      </c>
      <c r="W12" s="16">
        <f>SUM(R$7:R12)</f>
        <v>0</v>
      </c>
      <c r="X12" s="16">
        <f>SUM(S$7:S12)</f>
        <v>0</v>
      </c>
      <c r="Y12" s="16">
        <f>SUM(T$7:T12)</f>
        <v>0</v>
      </c>
      <c r="Z12" s="16">
        <f>SUM(U$7:U12)</f>
        <v>0</v>
      </c>
      <c r="AA12" s="16">
        <f>SUM(V$7:V12)</f>
        <v>0</v>
      </c>
      <c r="AC12" s="16">
        <v>6</v>
      </c>
      <c r="AD12" s="16">
        <f>IF(节奏总纲!P9&lt;C$13,0,求节点($C$18:$C$23,$F$18:$F$23,$Q12)*节奏总纲!W9)*$D$1</f>
        <v>0</v>
      </c>
      <c r="AE12" s="16">
        <f>IF(节奏总纲!Q9&lt;D$13,0,求节点($C$18:$C$23,$F$18:$F$23,$Q12)*节奏总纲!X9)*$D$1</f>
        <v>0</v>
      </c>
      <c r="AF12" s="16">
        <f>IF(节奏总纲!R9&lt;E$13,0,求节点($C$18:$C$23,$F$18:$F$23,$Q12)*节奏总纲!Y9)*$D$1</f>
        <v>0</v>
      </c>
      <c r="AG12" s="16">
        <f>IF(节奏总纲!S9&lt;F$13,0,求节点($C$18:$C$23,$F$18:$F$23,$Q12)*节奏总纲!Z9)*$D$1</f>
        <v>0</v>
      </c>
      <c r="AH12" s="16">
        <f>IF(节奏总纲!T9&lt;G$13,0,求节点($C$18:$C$23,$F$18:$F$23,$Q12)*节奏总纲!AA9)*$D$1</f>
        <v>0</v>
      </c>
      <c r="AI12" s="16">
        <f>SUM(AD$7:AD12)</f>
        <v>0</v>
      </c>
      <c r="AJ12" s="16">
        <f>SUM(AE$7:AE12)</f>
        <v>0</v>
      </c>
      <c r="AK12" s="16">
        <f>SUM(AF$7:AF12)</f>
        <v>0</v>
      </c>
      <c r="AL12" s="16">
        <f>SUM(AG$7:AG12)</f>
        <v>0</v>
      </c>
      <c r="AM12" s="16">
        <f>SUM(AH$7:AH12)</f>
        <v>0</v>
      </c>
      <c r="AO12" s="16">
        <v>6</v>
      </c>
      <c r="AP12" s="16">
        <f>IF(节奏总纲!P9&lt;C$13,0,求节点($C$18:$C$23,$H$18:$H$23,$Q12)*节奏总纲!W9)*$D$1</f>
        <v>0</v>
      </c>
      <c r="AQ12" s="16">
        <f>IF(节奏总纲!Q9&lt;D$13,0,求节点($C$18:$C$23,$H$18:$H$23,$Q12)*节奏总纲!X9)*$D$1</f>
        <v>0</v>
      </c>
      <c r="AR12" s="16">
        <f>IF(节奏总纲!R9&lt;E$13,0,求节点($C$18:$C$23,$H$18:$H$23,$Q12)*节奏总纲!Y9)*$D$1</f>
        <v>0</v>
      </c>
      <c r="AS12" s="16">
        <f>IF(节奏总纲!S9&lt;F$13,0,求节点($C$18:$C$23,$H$18:$H$23,$Q12)*节奏总纲!Z9)*$D$1</f>
        <v>0</v>
      </c>
      <c r="AT12" s="16">
        <f>IF(节奏总纲!T9&lt;G$13,0,求节点($C$18:$C$23,$H$18:$H$23,$Q12)*节奏总纲!AA9)*$D$1</f>
        <v>0</v>
      </c>
      <c r="AU12" s="16">
        <f>SUM(AP$7:AP12)</f>
        <v>0</v>
      </c>
      <c r="AV12" s="16">
        <f>SUM(AQ$7:AQ12)</f>
        <v>0</v>
      </c>
      <c r="AW12" s="16">
        <f>SUM(AR$7:AR12)</f>
        <v>0</v>
      </c>
      <c r="AX12" s="16">
        <f>SUM(AS$7:AS12)</f>
        <v>0</v>
      </c>
      <c r="AY12" s="16">
        <f>SUM(AT$7:AT12)</f>
        <v>0</v>
      </c>
    </row>
    <row r="13" spans="1:51">
      <c r="B13" s="16" t="s">
        <v>158</v>
      </c>
      <c r="C13" s="16">
        <f>求节点(节奏总纲!$N$4:$N$163,节奏总纲!P$4:P$163,$D$3)</f>
        <v>21.627416997969519</v>
      </c>
      <c r="D13" s="16">
        <f>求节点(节奏总纲!$N$4:$N$163,节奏总纲!Q$4:Q$163,$D$3)</f>
        <v>18.900199714525563</v>
      </c>
      <c r="E13" s="16">
        <f>求节点(节奏总纲!$N$4:$N$163,节奏总纲!R$4:R$163,$D$3)</f>
        <v>15.604181364035009</v>
      </c>
      <c r="F13" s="16">
        <f>求节点(节奏总纲!$N$4:$N$163,节奏总纲!S$4:S$163,$D$3)</f>
        <v>11.572830835613489</v>
      </c>
      <c r="G13" s="16">
        <f>求节点(节奏总纲!$N$4:$N$163,节奏总纲!T$4:T$163,$D$3)</f>
        <v>6.49903880788984</v>
      </c>
      <c r="J13" s="16">
        <v>7</v>
      </c>
      <c r="K13" s="16">
        <f>MAX(求节点(节奏总纲!$O$4:$O$163,节奏总纲!P$4:P$163,$J13)-INT(C$13),0)*$D$1*$D$2</f>
        <v>0</v>
      </c>
      <c r="L13" s="16">
        <f>MAX(求节点(节奏总纲!$O$4:$O$163,节奏总纲!Q$4:Q$163,$J13)-INT(D$13),0)*$D$1*$D$2</f>
        <v>0</v>
      </c>
      <c r="M13" s="16">
        <f>MAX(求节点(节奏总纲!$O$4:$O$163,节奏总纲!R$4:R$163,$J13)-INT(E$13),0)*$D$1*$D$2</f>
        <v>0</v>
      </c>
      <c r="N13" s="16">
        <f>MAX(求节点(节奏总纲!$O$4:$O$163,节奏总纲!S$4:S$163,$J13)-INT(F$13),0)*$D$1*$D$2</f>
        <v>0</v>
      </c>
      <c r="O13" s="16">
        <f>MAX(求节点(节奏总纲!$O$4:$O$163,节奏总纲!T$4:T$163,$J13)-INT(G$13),0)*$D$1*$D$2</f>
        <v>0</v>
      </c>
      <c r="Q13" s="16">
        <v>7</v>
      </c>
      <c r="R13" s="16">
        <f>IF(节奏总纲!P10&lt;C$13,0,求节点($C$18:$C$23,$E$18:$E$23,$Q13)*节奏总纲!W10)*$D$1</f>
        <v>0</v>
      </c>
      <c r="S13" s="16">
        <f>IF(节奏总纲!Q10&lt;D$13,0,求节点($C$18:$C$23,$E$18:$E$23,$Q13)*节奏总纲!X10)*$D$1</f>
        <v>0</v>
      </c>
      <c r="T13" s="16">
        <f>IF(节奏总纲!R10&lt;E$13,0,求节点($C$18:$C$23,$E$18:$E$23,$Q13)*节奏总纲!Y10)*$D$1</f>
        <v>0</v>
      </c>
      <c r="U13" s="16">
        <f>IF(节奏总纲!S10&lt;F$13,0,求节点($C$18:$C$23,$E$18:$E$23,$Q13)*节奏总纲!Z10)*$D$1</f>
        <v>0</v>
      </c>
      <c r="V13" s="16">
        <f>IF(节奏总纲!T10&lt;G$13,0,求节点($C$18:$C$23,$E$18:$E$23,$Q13)*节奏总纲!AA10)*$D$1</f>
        <v>0</v>
      </c>
      <c r="W13" s="16">
        <f>SUM(R$7:R13)</f>
        <v>0</v>
      </c>
      <c r="X13" s="16">
        <f>SUM(S$7:S13)</f>
        <v>0</v>
      </c>
      <c r="Y13" s="16">
        <f>SUM(T$7:T13)</f>
        <v>0</v>
      </c>
      <c r="Z13" s="16">
        <f>SUM(U$7:U13)</f>
        <v>0</v>
      </c>
      <c r="AA13" s="16">
        <f>SUM(V$7:V13)</f>
        <v>0</v>
      </c>
      <c r="AC13" s="16">
        <v>7</v>
      </c>
      <c r="AD13" s="16">
        <f>IF(节奏总纲!P10&lt;C$13,0,求节点($C$18:$C$23,$F$18:$F$23,$Q13)*节奏总纲!W10)*$D$1</f>
        <v>0</v>
      </c>
      <c r="AE13" s="16">
        <f>IF(节奏总纲!Q10&lt;D$13,0,求节点($C$18:$C$23,$F$18:$F$23,$Q13)*节奏总纲!X10)*$D$1</f>
        <v>0</v>
      </c>
      <c r="AF13" s="16">
        <f>IF(节奏总纲!R10&lt;E$13,0,求节点($C$18:$C$23,$F$18:$F$23,$Q13)*节奏总纲!Y10)*$D$1</f>
        <v>0</v>
      </c>
      <c r="AG13" s="16">
        <f>IF(节奏总纲!S10&lt;F$13,0,求节点($C$18:$C$23,$F$18:$F$23,$Q13)*节奏总纲!Z10)*$D$1</f>
        <v>0</v>
      </c>
      <c r="AH13" s="16">
        <f>IF(节奏总纲!T10&lt;G$13,0,求节点($C$18:$C$23,$F$18:$F$23,$Q13)*节奏总纲!AA10)*$D$1</f>
        <v>0</v>
      </c>
      <c r="AI13" s="16">
        <f>SUM(AD$7:AD13)</f>
        <v>0</v>
      </c>
      <c r="AJ13" s="16">
        <f>SUM(AE$7:AE13)</f>
        <v>0</v>
      </c>
      <c r="AK13" s="16">
        <f>SUM(AF$7:AF13)</f>
        <v>0</v>
      </c>
      <c r="AL13" s="16">
        <f>SUM(AG$7:AG13)</f>
        <v>0</v>
      </c>
      <c r="AM13" s="16">
        <f>SUM(AH$7:AH13)</f>
        <v>0</v>
      </c>
      <c r="AO13" s="16">
        <v>7</v>
      </c>
      <c r="AP13" s="16">
        <f>IF(节奏总纲!P10&lt;C$13,0,求节点($C$18:$C$23,$H$18:$H$23,$Q13)*节奏总纲!W10)*$D$1</f>
        <v>0</v>
      </c>
      <c r="AQ13" s="16">
        <f>IF(节奏总纲!Q10&lt;D$13,0,求节点($C$18:$C$23,$H$18:$H$23,$Q13)*节奏总纲!X10)*$D$1</f>
        <v>0</v>
      </c>
      <c r="AR13" s="16">
        <f>IF(节奏总纲!R10&lt;E$13,0,求节点($C$18:$C$23,$H$18:$H$23,$Q13)*节奏总纲!Y10)*$D$1</f>
        <v>0</v>
      </c>
      <c r="AS13" s="16">
        <f>IF(节奏总纲!S10&lt;F$13,0,求节点($C$18:$C$23,$H$18:$H$23,$Q13)*节奏总纲!Z10)*$D$1</f>
        <v>0</v>
      </c>
      <c r="AT13" s="16">
        <f>IF(节奏总纲!T10&lt;G$13,0,求节点($C$18:$C$23,$H$18:$H$23,$Q13)*节奏总纲!AA10)*$D$1</f>
        <v>0</v>
      </c>
      <c r="AU13" s="16">
        <f>SUM(AP$7:AP13)</f>
        <v>0</v>
      </c>
      <c r="AV13" s="16">
        <f>SUM(AQ$7:AQ13)</f>
        <v>0</v>
      </c>
      <c r="AW13" s="16">
        <f>SUM(AR$7:AR13)</f>
        <v>0</v>
      </c>
      <c r="AX13" s="16">
        <f>SUM(AS$7:AS13)</f>
        <v>0</v>
      </c>
      <c r="AY13" s="16">
        <f>SUM(AT$7:AT13)</f>
        <v>0</v>
      </c>
    </row>
    <row r="14" spans="1:51">
      <c r="J14" s="16">
        <v>8</v>
      </c>
      <c r="K14" s="16">
        <f>MAX(求节点(节奏总纲!$O$4:$O$163,节奏总纲!P$4:P$163,$J14)-INT(C$13),0)*$D$1*$D$2</f>
        <v>0</v>
      </c>
      <c r="L14" s="16">
        <f>MAX(求节点(节奏总纲!$O$4:$O$163,节奏总纲!Q$4:Q$163,$J14)-INT(D$13),0)*$D$1*$D$2</f>
        <v>0</v>
      </c>
      <c r="M14" s="16">
        <f>MAX(求节点(节奏总纲!$O$4:$O$163,节奏总纲!R$4:R$163,$J14)-INT(E$13),0)*$D$1*$D$2</f>
        <v>0</v>
      </c>
      <c r="N14" s="16">
        <f>MAX(求节点(节奏总纲!$O$4:$O$163,节奏总纲!S$4:S$163,$J14)-INT(F$13),0)*$D$1*$D$2</f>
        <v>0</v>
      </c>
      <c r="O14" s="16">
        <f>MAX(求节点(节奏总纲!$O$4:$O$163,节奏总纲!T$4:T$163,$J14)-INT(G$13),0)*$D$1*$D$2</f>
        <v>0</v>
      </c>
      <c r="Q14" s="16">
        <v>8</v>
      </c>
      <c r="R14" s="16">
        <f>IF(节奏总纲!P11&lt;C$13,0,求节点($C$18:$C$23,$E$18:$E$23,$Q14)*节奏总纲!W11)*$D$1</f>
        <v>0</v>
      </c>
      <c r="S14" s="16">
        <f>IF(节奏总纲!Q11&lt;D$13,0,求节点($C$18:$C$23,$E$18:$E$23,$Q14)*节奏总纲!X11)*$D$1</f>
        <v>0</v>
      </c>
      <c r="T14" s="16">
        <f>IF(节奏总纲!R11&lt;E$13,0,求节点($C$18:$C$23,$E$18:$E$23,$Q14)*节奏总纲!Y11)*$D$1</f>
        <v>0</v>
      </c>
      <c r="U14" s="16">
        <f>IF(节奏总纲!S11&lt;F$13,0,求节点($C$18:$C$23,$E$18:$E$23,$Q14)*节奏总纲!Z11)*$D$1</f>
        <v>0</v>
      </c>
      <c r="V14" s="16">
        <f>IF(节奏总纲!T11&lt;G$13,0,求节点($C$18:$C$23,$E$18:$E$23,$Q14)*节奏总纲!AA11)*$D$1</f>
        <v>0</v>
      </c>
      <c r="W14" s="16">
        <f>SUM(R$7:R14)</f>
        <v>0</v>
      </c>
      <c r="X14" s="16">
        <f>SUM(S$7:S14)</f>
        <v>0</v>
      </c>
      <c r="Y14" s="16">
        <f>SUM(T$7:T14)</f>
        <v>0</v>
      </c>
      <c r="Z14" s="16">
        <f>SUM(U$7:U14)</f>
        <v>0</v>
      </c>
      <c r="AA14" s="16">
        <f>SUM(V$7:V14)</f>
        <v>0</v>
      </c>
      <c r="AC14" s="16">
        <v>8</v>
      </c>
      <c r="AD14" s="16">
        <f>IF(节奏总纲!P11&lt;C$13,0,求节点($C$18:$C$23,$F$18:$F$23,$Q14)*节奏总纲!W11)*$D$1</f>
        <v>0</v>
      </c>
      <c r="AE14" s="16">
        <f>IF(节奏总纲!Q11&lt;D$13,0,求节点($C$18:$C$23,$F$18:$F$23,$Q14)*节奏总纲!X11)*$D$1</f>
        <v>0</v>
      </c>
      <c r="AF14" s="16">
        <f>IF(节奏总纲!R11&lt;E$13,0,求节点($C$18:$C$23,$F$18:$F$23,$Q14)*节奏总纲!Y11)*$D$1</f>
        <v>0</v>
      </c>
      <c r="AG14" s="16">
        <f>IF(节奏总纲!S11&lt;F$13,0,求节点($C$18:$C$23,$F$18:$F$23,$Q14)*节奏总纲!Z11)*$D$1</f>
        <v>0</v>
      </c>
      <c r="AH14" s="16">
        <f>IF(节奏总纲!T11&lt;G$13,0,求节点($C$18:$C$23,$F$18:$F$23,$Q14)*节奏总纲!AA11)*$D$1</f>
        <v>0</v>
      </c>
      <c r="AI14" s="16">
        <f>SUM(AD$7:AD14)</f>
        <v>0</v>
      </c>
      <c r="AJ14" s="16">
        <f>SUM(AE$7:AE14)</f>
        <v>0</v>
      </c>
      <c r="AK14" s="16">
        <f>SUM(AF$7:AF14)</f>
        <v>0</v>
      </c>
      <c r="AL14" s="16">
        <f>SUM(AG$7:AG14)</f>
        <v>0</v>
      </c>
      <c r="AM14" s="16">
        <f>SUM(AH$7:AH14)</f>
        <v>0</v>
      </c>
      <c r="AO14" s="16">
        <v>8</v>
      </c>
      <c r="AP14" s="16">
        <f>IF(节奏总纲!P11&lt;C$13,0,求节点($C$18:$C$23,$H$18:$H$23,$Q14)*节奏总纲!W11)*$D$1</f>
        <v>0</v>
      </c>
      <c r="AQ14" s="16">
        <f>IF(节奏总纲!Q11&lt;D$13,0,求节点($C$18:$C$23,$H$18:$H$23,$Q14)*节奏总纲!X11)*$D$1</f>
        <v>0</v>
      </c>
      <c r="AR14" s="16">
        <f>IF(节奏总纲!R11&lt;E$13,0,求节点($C$18:$C$23,$H$18:$H$23,$Q14)*节奏总纲!Y11)*$D$1</f>
        <v>0</v>
      </c>
      <c r="AS14" s="16">
        <f>IF(节奏总纲!S11&lt;F$13,0,求节点($C$18:$C$23,$H$18:$H$23,$Q14)*节奏总纲!Z11)*$D$1</f>
        <v>0</v>
      </c>
      <c r="AT14" s="16">
        <f>IF(节奏总纲!T11&lt;G$13,0,求节点($C$18:$C$23,$H$18:$H$23,$Q14)*节奏总纲!AA11)*$D$1</f>
        <v>0</v>
      </c>
      <c r="AU14" s="16">
        <f>SUM(AP$7:AP14)</f>
        <v>0</v>
      </c>
      <c r="AV14" s="16">
        <f>SUM(AQ$7:AQ14)</f>
        <v>0</v>
      </c>
      <c r="AW14" s="16">
        <f>SUM(AR$7:AR14)</f>
        <v>0</v>
      </c>
      <c r="AX14" s="16">
        <f>SUM(AS$7:AS14)</f>
        <v>0</v>
      </c>
      <c r="AY14" s="16">
        <f>SUM(AT$7:AT14)</f>
        <v>0</v>
      </c>
    </row>
    <row r="15" spans="1:51">
      <c r="A15" s="14" t="s">
        <v>534</v>
      </c>
      <c r="J15" s="16">
        <v>9</v>
      </c>
      <c r="K15" s="16">
        <f>MAX(求节点(节奏总纲!$O$4:$O$163,节奏总纲!P$4:P$163,$J15)-INT(C$13),0)*$D$1*$D$2</f>
        <v>0</v>
      </c>
      <c r="L15" s="16">
        <f>MAX(求节点(节奏总纲!$O$4:$O$163,节奏总纲!Q$4:Q$163,$J15)-INT(D$13),0)*$D$1*$D$2</f>
        <v>0</v>
      </c>
      <c r="M15" s="16">
        <f>MAX(求节点(节奏总纲!$O$4:$O$163,节奏总纲!R$4:R$163,$J15)-INT(E$13),0)*$D$1*$D$2</f>
        <v>0</v>
      </c>
      <c r="N15" s="16">
        <f>MAX(求节点(节奏总纲!$O$4:$O$163,节奏总纲!S$4:S$163,$J15)-INT(F$13),0)*$D$1*$D$2</f>
        <v>0</v>
      </c>
      <c r="O15" s="16">
        <f>MAX(求节点(节奏总纲!$O$4:$O$163,节奏总纲!T$4:T$163,$J15)-INT(G$13),0)*$D$1*$D$2</f>
        <v>0</v>
      </c>
      <c r="Q15" s="16">
        <v>9</v>
      </c>
      <c r="R15" s="16">
        <f>IF(节奏总纲!P12&lt;C$13,0,求节点($C$18:$C$23,$E$18:$E$23,$Q15)*节奏总纲!W12)*$D$1</f>
        <v>0</v>
      </c>
      <c r="S15" s="16">
        <f>IF(节奏总纲!Q12&lt;D$13,0,求节点($C$18:$C$23,$E$18:$E$23,$Q15)*节奏总纲!X12)*$D$1</f>
        <v>0</v>
      </c>
      <c r="T15" s="16">
        <f>IF(节奏总纲!R12&lt;E$13,0,求节点($C$18:$C$23,$E$18:$E$23,$Q15)*节奏总纲!Y12)*$D$1</f>
        <v>0</v>
      </c>
      <c r="U15" s="16">
        <f>IF(节奏总纲!S12&lt;F$13,0,求节点($C$18:$C$23,$E$18:$E$23,$Q15)*节奏总纲!Z12)*$D$1</f>
        <v>0</v>
      </c>
      <c r="V15" s="16">
        <f>IF(节奏总纲!T12&lt;G$13,0,求节点($C$18:$C$23,$E$18:$E$23,$Q15)*节奏总纲!AA12)*$D$1</f>
        <v>0</v>
      </c>
      <c r="W15" s="16">
        <f>SUM(R$7:R15)</f>
        <v>0</v>
      </c>
      <c r="X15" s="16">
        <f>SUM(S$7:S15)</f>
        <v>0</v>
      </c>
      <c r="Y15" s="16">
        <f>SUM(T$7:T15)</f>
        <v>0</v>
      </c>
      <c r="Z15" s="16">
        <f>SUM(U$7:U15)</f>
        <v>0</v>
      </c>
      <c r="AA15" s="16">
        <f>SUM(V$7:V15)</f>
        <v>0</v>
      </c>
      <c r="AC15" s="16">
        <v>9</v>
      </c>
      <c r="AD15" s="16">
        <f>IF(节奏总纲!P12&lt;C$13,0,求节点($C$18:$C$23,$F$18:$F$23,$Q15)*节奏总纲!W12)*$D$1</f>
        <v>0</v>
      </c>
      <c r="AE15" s="16">
        <f>IF(节奏总纲!Q12&lt;D$13,0,求节点($C$18:$C$23,$F$18:$F$23,$Q15)*节奏总纲!X12)*$D$1</f>
        <v>0</v>
      </c>
      <c r="AF15" s="16">
        <f>IF(节奏总纲!R12&lt;E$13,0,求节点($C$18:$C$23,$F$18:$F$23,$Q15)*节奏总纲!Y12)*$D$1</f>
        <v>0</v>
      </c>
      <c r="AG15" s="16">
        <f>IF(节奏总纲!S12&lt;F$13,0,求节点($C$18:$C$23,$F$18:$F$23,$Q15)*节奏总纲!Z12)*$D$1</f>
        <v>0</v>
      </c>
      <c r="AH15" s="16">
        <f>IF(节奏总纲!T12&lt;G$13,0,求节点($C$18:$C$23,$F$18:$F$23,$Q15)*节奏总纲!AA12)*$D$1</f>
        <v>0</v>
      </c>
      <c r="AI15" s="16">
        <f>SUM(AD$7:AD15)</f>
        <v>0</v>
      </c>
      <c r="AJ15" s="16">
        <f>SUM(AE$7:AE15)</f>
        <v>0</v>
      </c>
      <c r="AK15" s="16">
        <f>SUM(AF$7:AF15)</f>
        <v>0</v>
      </c>
      <c r="AL15" s="16">
        <f>SUM(AG$7:AG15)</f>
        <v>0</v>
      </c>
      <c r="AM15" s="16">
        <f>SUM(AH$7:AH15)</f>
        <v>0</v>
      </c>
      <c r="AO15" s="16">
        <v>9</v>
      </c>
      <c r="AP15" s="16">
        <f>IF(节奏总纲!P12&lt;C$13,0,求节点($C$18:$C$23,$H$18:$H$23,$Q15)*节奏总纲!W12)*$D$1</f>
        <v>0</v>
      </c>
      <c r="AQ15" s="16">
        <f>IF(节奏总纲!Q12&lt;D$13,0,求节点($C$18:$C$23,$H$18:$H$23,$Q15)*节奏总纲!X12)*$D$1</f>
        <v>0</v>
      </c>
      <c r="AR15" s="16">
        <f>IF(节奏总纲!R12&lt;E$13,0,求节点($C$18:$C$23,$H$18:$H$23,$Q15)*节奏总纲!Y12)*$D$1</f>
        <v>0</v>
      </c>
      <c r="AS15" s="16">
        <f>IF(节奏总纲!S12&lt;F$13,0,求节点($C$18:$C$23,$H$18:$H$23,$Q15)*节奏总纲!Z12)*$D$1</f>
        <v>0</v>
      </c>
      <c r="AT15" s="16">
        <f>IF(节奏总纲!T12&lt;G$13,0,求节点($C$18:$C$23,$H$18:$H$23,$Q15)*节奏总纲!AA12)*$D$1</f>
        <v>0</v>
      </c>
      <c r="AU15" s="16">
        <f>SUM(AP$7:AP15)</f>
        <v>0</v>
      </c>
      <c r="AV15" s="16">
        <f>SUM(AQ$7:AQ15)</f>
        <v>0</v>
      </c>
      <c r="AW15" s="16">
        <f>SUM(AR$7:AR15)</f>
        <v>0</v>
      </c>
      <c r="AX15" s="16">
        <f>SUM(AS$7:AS15)</f>
        <v>0</v>
      </c>
      <c r="AY15" s="16">
        <f>SUM(AT$7:AT15)</f>
        <v>0</v>
      </c>
    </row>
    <row r="16" spans="1:51">
      <c r="J16" s="16">
        <v>10</v>
      </c>
      <c r="K16" s="16">
        <f>MAX(求节点(节奏总纲!$O$4:$O$163,节奏总纲!P$4:P$163,$J16)-INT(C$13),0)*$D$1*$D$2</f>
        <v>0</v>
      </c>
      <c r="L16" s="16">
        <f>MAX(求节点(节奏总纲!$O$4:$O$163,节奏总纲!Q$4:Q$163,$J16)-INT(D$13),0)*$D$1*$D$2</f>
        <v>0</v>
      </c>
      <c r="M16" s="16">
        <f>MAX(求节点(节奏总纲!$O$4:$O$163,节奏总纲!R$4:R$163,$J16)-INT(E$13),0)*$D$1*$D$2</f>
        <v>0</v>
      </c>
      <c r="N16" s="16">
        <f>MAX(求节点(节奏总纲!$O$4:$O$163,节奏总纲!S$4:S$163,$J16)-INT(F$13),0)*$D$1*$D$2</f>
        <v>0</v>
      </c>
      <c r="O16" s="16">
        <f>MAX(求节点(节奏总纲!$O$4:$O$163,节奏总纲!T$4:T$163,$J16)-INT(G$13),0)*$D$1*$D$2</f>
        <v>0</v>
      </c>
      <c r="Q16" s="16">
        <v>10</v>
      </c>
      <c r="R16" s="16">
        <f>IF(节奏总纲!P13&lt;C$13,0,求节点($C$18:$C$23,$E$18:$E$23,$Q16)*节奏总纲!W13)*$D$1</f>
        <v>0</v>
      </c>
      <c r="S16" s="16">
        <f>IF(节奏总纲!Q13&lt;D$13,0,求节点($C$18:$C$23,$E$18:$E$23,$Q16)*节奏总纲!X13)*$D$1</f>
        <v>0</v>
      </c>
      <c r="T16" s="16">
        <f>IF(节奏总纲!R13&lt;E$13,0,求节点($C$18:$C$23,$E$18:$E$23,$Q16)*节奏总纲!Y13)*$D$1</f>
        <v>0</v>
      </c>
      <c r="U16" s="16">
        <f>IF(节奏总纲!S13&lt;F$13,0,求节点($C$18:$C$23,$E$18:$E$23,$Q16)*节奏总纲!Z13)*$D$1</f>
        <v>0</v>
      </c>
      <c r="V16" s="16">
        <f>IF(节奏总纲!T13&lt;G$13,0,求节点($C$18:$C$23,$E$18:$E$23,$Q16)*节奏总纲!AA13)*$D$1</f>
        <v>0</v>
      </c>
      <c r="W16" s="16">
        <f>SUM(R$7:R16)</f>
        <v>0</v>
      </c>
      <c r="X16" s="16">
        <f>SUM(S$7:S16)</f>
        <v>0</v>
      </c>
      <c r="Y16" s="16">
        <f>SUM(T$7:T16)</f>
        <v>0</v>
      </c>
      <c r="Z16" s="16">
        <f>SUM(U$7:U16)</f>
        <v>0</v>
      </c>
      <c r="AA16" s="16">
        <f>SUM(V$7:V16)</f>
        <v>0</v>
      </c>
      <c r="AC16" s="16">
        <v>10</v>
      </c>
      <c r="AD16" s="16">
        <f>IF(节奏总纲!P13&lt;C$13,0,求节点($C$18:$C$23,$F$18:$F$23,$Q16)*节奏总纲!W13)*$D$1</f>
        <v>0</v>
      </c>
      <c r="AE16" s="16">
        <f>IF(节奏总纲!Q13&lt;D$13,0,求节点($C$18:$C$23,$F$18:$F$23,$Q16)*节奏总纲!X13)*$D$1</f>
        <v>0</v>
      </c>
      <c r="AF16" s="16">
        <f>IF(节奏总纲!R13&lt;E$13,0,求节点($C$18:$C$23,$F$18:$F$23,$Q16)*节奏总纲!Y13)*$D$1</f>
        <v>0</v>
      </c>
      <c r="AG16" s="16">
        <f>IF(节奏总纲!S13&lt;F$13,0,求节点($C$18:$C$23,$F$18:$F$23,$Q16)*节奏总纲!Z13)*$D$1</f>
        <v>0</v>
      </c>
      <c r="AH16" s="16">
        <f>IF(节奏总纲!T13&lt;G$13,0,求节点($C$18:$C$23,$F$18:$F$23,$Q16)*节奏总纲!AA13)*$D$1</f>
        <v>0</v>
      </c>
      <c r="AI16" s="16">
        <f>SUM(AD$7:AD16)</f>
        <v>0</v>
      </c>
      <c r="AJ16" s="16">
        <f>SUM(AE$7:AE16)</f>
        <v>0</v>
      </c>
      <c r="AK16" s="16">
        <f>SUM(AF$7:AF16)</f>
        <v>0</v>
      </c>
      <c r="AL16" s="16">
        <f>SUM(AG$7:AG16)</f>
        <v>0</v>
      </c>
      <c r="AM16" s="16">
        <f>SUM(AH$7:AH16)</f>
        <v>0</v>
      </c>
      <c r="AO16" s="16">
        <v>10</v>
      </c>
      <c r="AP16" s="16">
        <f>IF(节奏总纲!P13&lt;C$13,0,求节点($C$18:$C$23,$H$18:$H$23,$Q16)*节奏总纲!W13)*$D$1</f>
        <v>0</v>
      </c>
      <c r="AQ16" s="16">
        <f>IF(节奏总纲!Q13&lt;D$13,0,求节点($C$18:$C$23,$H$18:$H$23,$Q16)*节奏总纲!X13)*$D$1</f>
        <v>0</v>
      </c>
      <c r="AR16" s="16">
        <f>IF(节奏总纲!R13&lt;E$13,0,求节点($C$18:$C$23,$H$18:$H$23,$Q16)*节奏总纲!Y13)*$D$1</f>
        <v>0</v>
      </c>
      <c r="AS16" s="16">
        <f>IF(节奏总纲!S13&lt;F$13,0,求节点($C$18:$C$23,$H$18:$H$23,$Q16)*节奏总纲!Z13)*$D$1</f>
        <v>0</v>
      </c>
      <c r="AT16" s="16">
        <f>IF(节奏总纲!T13&lt;G$13,0,求节点($C$18:$C$23,$H$18:$H$23,$Q16)*节奏总纲!AA13)*$D$1</f>
        <v>0</v>
      </c>
      <c r="AU16" s="16">
        <f>SUM(AP$7:AP16)</f>
        <v>0</v>
      </c>
      <c r="AV16" s="16">
        <f>SUM(AQ$7:AQ16)</f>
        <v>0</v>
      </c>
      <c r="AW16" s="16">
        <f>SUM(AR$7:AR16)</f>
        <v>0</v>
      </c>
      <c r="AX16" s="16">
        <f>SUM(AS$7:AS16)</f>
        <v>0</v>
      </c>
      <c r="AY16" s="16">
        <f>SUM(AT$7:AT16)</f>
        <v>0</v>
      </c>
    </row>
    <row r="17" spans="2:51">
      <c r="B17" s="16" t="s">
        <v>180</v>
      </c>
      <c r="C17" s="16" t="s">
        <v>499</v>
      </c>
      <c r="D17" s="16" t="s">
        <v>500</v>
      </c>
      <c r="E17" s="16" t="s">
        <v>531</v>
      </c>
      <c r="F17" s="16" t="s">
        <v>505</v>
      </c>
      <c r="G17" s="16" t="s">
        <v>501</v>
      </c>
      <c r="H17" s="16" t="s">
        <v>549</v>
      </c>
      <c r="J17" s="16">
        <v>11</v>
      </c>
      <c r="K17" s="16">
        <f>MAX(求节点(节奏总纲!$O$4:$O$163,节奏总纲!P$4:P$163,$J17)-INT(C$13),0)*$D$1*$D$2</f>
        <v>0</v>
      </c>
      <c r="L17" s="16">
        <f>MAX(求节点(节奏总纲!$O$4:$O$163,节奏总纲!Q$4:Q$163,$J17)-INT(D$13),0)*$D$1*$D$2</f>
        <v>0</v>
      </c>
      <c r="M17" s="16">
        <f>MAX(求节点(节奏总纲!$O$4:$O$163,节奏总纲!R$4:R$163,$J17)-INT(E$13),0)*$D$1*$D$2</f>
        <v>0</v>
      </c>
      <c r="N17" s="16">
        <f>MAX(求节点(节奏总纲!$O$4:$O$163,节奏总纲!S$4:S$163,$J17)-INT(F$13),0)*$D$1*$D$2</f>
        <v>0</v>
      </c>
      <c r="O17" s="16">
        <f>MAX(求节点(节奏总纲!$O$4:$O$163,节奏总纲!T$4:T$163,$J17)-INT(G$13),0)*$D$1*$D$2</f>
        <v>0</v>
      </c>
      <c r="Q17" s="16">
        <v>11</v>
      </c>
      <c r="R17" s="16">
        <f>IF(节奏总纲!P14&lt;C$13,0,求节点($C$18:$C$23,$E$18:$E$23,$Q17)*节奏总纲!W14)*$D$1</f>
        <v>0</v>
      </c>
      <c r="S17" s="16">
        <f>IF(节奏总纲!Q14&lt;D$13,0,求节点($C$18:$C$23,$E$18:$E$23,$Q17)*节奏总纲!X14)*$D$1</f>
        <v>0</v>
      </c>
      <c r="T17" s="16">
        <f>IF(节奏总纲!R14&lt;E$13,0,求节点($C$18:$C$23,$E$18:$E$23,$Q17)*节奏总纲!Y14)*$D$1</f>
        <v>0</v>
      </c>
      <c r="U17" s="16">
        <f>IF(节奏总纲!S14&lt;F$13,0,求节点($C$18:$C$23,$E$18:$E$23,$Q17)*节奏总纲!Z14)*$D$1</f>
        <v>0</v>
      </c>
      <c r="V17" s="16">
        <f>IF(节奏总纲!T14&lt;G$13,0,求节点($C$18:$C$23,$E$18:$E$23,$Q17)*节奏总纲!AA14)*$D$1</f>
        <v>0</v>
      </c>
      <c r="W17" s="16">
        <f>SUM(R$7:R17)</f>
        <v>0</v>
      </c>
      <c r="X17" s="16">
        <f>SUM(S$7:S17)</f>
        <v>0</v>
      </c>
      <c r="Y17" s="16">
        <f>SUM(T$7:T17)</f>
        <v>0</v>
      </c>
      <c r="Z17" s="16">
        <f>SUM(U$7:U17)</f>
        <v>0</v>
      </c>
      <c r="AA17" s="16">
        <f>SUM(V$7:V17)</f>
        <v>0</v>
      </c>
      <c r="AC17" s="16">
        <v>11</v>
      </c>
      <c r="AD17" s="16">
        <f>IF(节奏总纲!P14&lt;C$13,0,求节点($C$18:$C$23,$F$18:$F$23,$Q17)*节奏总纲!W14)*$D$1</f>
        <v>0</v>
      </c>
      <c r="AE17" s="16">
        <f>IF(节奏总纲!Q14&lt;D$13,0,求节点($C$18:$C$23,$F$18:$F$23,$Q17)*节奏总纲!X14)*$D$1</f>
        <v>0</v>
      </c>
      <c r="AF17" s="16">
        <f>IF(节奏总纲!R14&lt;E$13,0,求节点($C$18:$C$23,$F$18:$F$23,$Q17)*节奏总纲!Y14)*$D$1</f>
        <v>0</v>
      </c>
      <c r="AG17" s="16">
        <f>IF(节奏总纲!S14&lt;F$13,0,求节点($C$18:$C$23,$F$18:$F$23,$Q17)*节奏总纲!Z14)*$D$1</f>
        <v>0</v>
      </c>
      <c r="AH17" s="16">
        <f>IF(节奏总纲!T14&lt;G$13,0,求节点($C$18:$C$23,$F$18:$F$23,$Q17)*节奏总纲!AA14)*$D$1</f>
        <v>0</v>
      </c>
      <c r="AI17" s="16">
        <f>SUM(AD$7:AD17)</f>
        <v>0</v>
      </c>
      <c r="AJ17" s="16">
        <f>SUM(AE$7:AE17)</f>
        <v>0</v>
      </c>
      <c r="AK17" s="16">
        <f>SUM(AF$7:AF17)</f>
        <v>0</v>
      </c>
      <c r="AL17" s="16">
        <f>SUM(AG$7:AG17)</f>
        <v>0</v>
      </c>
      <c r="AM17" s="16">
        <f>SUM(AH$7:AH17)</f>
        <v>0</v>
      </c>
      <c r="AO17" s="16">
        <v>11</v>
      </c>
      <c r="AP17" s="16">
        <f>IF(节奏总纲!P14&lt;C$13,0,求节点($C$18:$C$23,$H$18:$H$23,$Q17)*节奏总纲!W14)*$D$1</f>
        <v>0</v>
      </c>
      <c r="AQ17" s="16">
        <f>IF(节奏总纲!Q14&lt;D$13,0,求节点($C$18:$C$23,$H$18:$H$23,$Q17)*节奏总纲!X14)*$D$1</f>
        <v>0</v>
      </c>
      <c r="AR17" s="16">
        <f>IF(节奏总纲!R14&lt;E$13,0,求节点($C$18:$C$23,$H$18:$H$23,$Q17)*节奏总纲!Y14)*$D$1</f>
        <v>0</v>
      </c>
      <c r="AS17" s="16">
        <f>IF(节奏总纲!S14&lt;F$13,0,求节点($C$18:$C$23,$H$18:$H$23,$Q17)*节奏总纲!Z14)*$D$1</f>
        <v>0</v>
      </c>
      <c r="AT17" s="16">
        <f>IF(节奏总纲!T14&lt;G$13,0,求节点($C$18:$C$23,$H$18:$H$23,$Q17)*节奏总纲!AA14)*$D$1</f>
        <v>0</v>
      </c>
      <c r="AU17" s="16">
        <f>SUM(AP$7:AP17)</f>
        <v>0</v>
      </c>
      <c r="AV17" s="16">
        <f>SUM(AQ$7:AQ17)</f>
        <v>0</v>
      </c>
      <c r="AW17" s="16">
        <f>SUM(AR$7:AR17)</f>
        <v>0</v>
      </c>
      <c r="AX17" s="16">
        <f>SUM(AS$7:AS17)</f>
        <v>0</v>
      </c>
      <c r="AY17" s="16">
        <f>SUM(AT$7:AT17)</f>
        <v>0</v>
      </c>
    </row>
    <row r="18" spans="2:51">
      <c r="B18" s="16">
        <v>1</v>
      </c>
      <c r="C18" s="16">
        <v>50</v>
      </c>
      <c r="D18" s="16">
        <f>C18+10</f>
        <v>60</v>
      </c>
      <c r="E18" s="16">
        <v>100000</v>
      </c>
      <c r="F18" s="16">
        <f>求节点(其他调用!$BF$7:$BF$166,其他调用!$BG$7:$BG$166,C18)*3*1.5</f>
        <v>915.00837541795261</v>
      </c>
      <c r="G18" s="16">
        <v>2</v>
      </c>
      <c r="H18" s="16">
        <f>3600*4</f>
        <v>14400</v>
      </c>
      <c r="J18" s="16">
        <v>12</v>
      </c>
      <c r="K18" s="16">
        <f>MAX(求节点(节奏总纲!$O$4:$O$163,节奏总纲!P$4:P$163,$J18)-INT(C$13),0)*$D$1*$D$2</f>
        <v>0</v>
      </c>
      <c r="L18" s="16">
        <f>MAX(求节点(节奏总纲!$O$4:$O$163,节奏总纲!Q$4:Q$163,$J18)-INT(D$13),0)*$D$1*$D$2</f>
        <v>0</v>
      </c>
      <c r="M18" s="16">
        <f>MAX(求节点(节奏总纲!$O$4:$O$163,节奏总纲!R$4:R$163,$J18)-INT(E$13),0)*$D$1*$D$2</f>
        <v>0</v>
      </c>
      <c r="N18" s="16">
        <f>MAX(求节点(节奏总纲!$O$4:$O$163,节奏总纲!S$4:S$163,$J18)-INT(F$13),0)*$D$1*$D$2</f>
        <v>0</v>
      </c>
      <c r="O18" s="16">
        <f>MAX(求节点(节奏总纲!$O$4:$O$163,节奏总纲!T$4:T$163,$J18)-INT(G$13),0)*$D$1*$D$2</f>
        <v>0</v>
      </c>
      <c r="Q18" s="16">
        <v>12</v>
      </c>
      <c r="R18" s="16">
        <f>IF(节奏总纲!P15&lt;C$13,0,求节点($C$18:$C$23,$E$18:$E$23,$Q18)*节奏总纲!W15)*$D$1</f>
        <v>0</v>
      </c>
      <c r="S18" s="16">
        <f>IF(节奏总纲!Q15&lt;D$13,0,求节点($C$18:$C$23,$E$18:$E$23,$Q18)*节奏总纲!X15)*$D$1</f>
        <v>0</v>
      </c>
      <c r="T18" s="16">
        <f>IF(节奏总纲!R15&lt;E$13,0,求节点($C$18:$C$23,$E$18:$E$23,$Q18)*节奏总纲!Y15)*$D$1</f>
        <v>0</v>
      </c>
      <c r="U18" s="16">
        <f>IF(节奏总纲!S15&lt;F$13,0,求节点($C$18:$C$23,$E$18:$E$23,$Q18)*节奏总纲!Z15)*$D$1</f>
        <v>0</v>
      </c>
      <c r="V18" s="16">
        <f>IF(节奏总纲!T15&lt;G$13,0,求节点($C$18:$C$23,$E$18:$E$23,$Q18)*节奏总纲!AA15)*$D$1</f>
        <v>0</v>
      </c>
      <c r="W18" s="16">
        <f>SUM(R$7:R18)</f>
        <v>0</v>
      </c>
      <c r="X18" s="16">
        <f>SUM(S$7:S18)</f>
        <v>0</v>
      </c>
      <c r="Y18" s="16">
        <f>SUM(T$7:T18)</f>
        <v>0</v>
      </c>
      <c r="Z18" s="16">
        <f>SUM(U$7:U18)</f>
        <v>0</v>
      </c>
      <c r="AA18" s="16">
        <f>SUM(V$7:V18)</f>
        <v>0</v>
      </c>
      <c r="AC18" s="16">
        <v>12</v>
      </c>
      <c r="AD18" s="16">
        <f>IF(节奏总纲!P15&lt;C$13,0,求节点($C$18:$C$23,$F$18:$F$23,$Q18)*节奏总纲!W15)*$D$1</f>
        <v>0</v>
      </c>
      <c r="AE18" s="16">
        <f>IF(节奏总纲!Q15&lt;D$13,0,求节点($C$18:$C$23,$F$18:$F$23,$Q18)*节奏总纲!X15)*$D$1</f>
        <v>0</v>
      </c>
      <c r="AF18" s="16">
        <f>IF(节奏总纲!R15&lt;E$13,0,求节点($C$18:$C$23,$F$18:$F$23,$Q18)*节奏总纲!Y15)*$D$1</f>
        <v>0</v>
      </c>
      <c r="AG18" s="16">
        <f>IF(节奏总纲!S15&lt;F$13,0,求节点($C$18:$C$23,$F$18:$F$23,$Q18)*节奏总纲!Z15)*$D$1</f>
        <v>0</v>
      </c>
      <c r="AH18" s="16">
        <f>IF(节奏总纲!T15&lt;G$13,0,求节点($C$18:$C$23,$F$18:$F$23,$Q18)*节奏总纲!AA15)*$D$1</f>
        <v>0</v>
      </c>
      <c r="AI18" s="16">
        <f>SUM(AD$7:AD18)</f>
        <v>0</v>
      </c>
      <c r="AJ18" s="16">
        <f>SUM(AE$7:AE18)</f>
        <v>0</v>
      </c>
      <c r="AK18" s="16">
        <f>SUM(AF$7:AF18)</f>
        <v>0</v>
      </c>
      <c r="AL18" s="16">
        <f>SUM(AG$7:AG18)</f>
        <v>0</v>
      </c>
      <c r="AM18" s="16">
        <f>SUM(AH$7:AH18)</f>
        <v>0</v>
      </c>
      <c r="AO18" s="16">
        <v>12</v>
      </c>
      <c r="AP18" s="16">
        <f>IF(节奏总纲!P15&lt;C$13,0,求节点($C$18:$C$23,$H$18:$H$23,$Q18)*节奏总纲!W15)*$D$1</f>
        <v>0</v>
      </c>
      <c r="AQ18" s="16">
        <f>IF(节奏总纲!Q15&lt;D$13,0,求节点($C$18:$C$23,$H$18:$H$23,$Q18)*节奏总纲!X15)*$D$1</f>
        <v>0</v>
      </c>
      <c r="AR18" s="16">
        <f>IF(节奏总纲!R15&lt;E$13,0,求节点($C$18:$C$23,$H$18:$H$23,$Q18)*节奏总纲!Y15)*$D$1</f>
        <v>0</v>
      </c>
      <c r="AS18" s="16">
        <f>IF(节奏总纲!S15&lt;F$13,0,求节点($C$18:$C$23,$H$18:$H$23,$Q18)*节奏总纲!Z15)*$D$1</f>
        <v>0</v>
      </c>
      <c r="AT18" s="16">
        <f>IF(节奏总纲!T15&lt;G$13,0,求节点($C$18:$C$23,$H$18:$H$23,$Q18)*节奏总纲!AA15)*$D$1</f>
        <v>0</v>
      </c>
      <c r="AU18" s="16">
        <f>SUM(AP$7:AP18)</f>
        <v>0</v>
      </c>
      <c r="AV18" s="16">
        <f>SUM(AQ$7:AQ18)</f>
        <v>0</v>
      </c>
      <c r="AW18" s="16">
        <f>SUM(AR$7:AR18)</f>
        <v>0</v>
      </c>
      <c r="AX18" s="16">
        <f>SUM(AS$7:AS18)</f>
        <v>0</v>
      </c>
      <c r="AY18" s="16">
        <f>SUM(AT$7:AT18)</f>
        <v>0</v>
      </c>
    </row>
    <row r="19" spans="2:51">
      <c r="B19" s="16">
        <v>2</v>
      </c>
      <c r="C19" s="16">
        <v>65</v>
      </c>
      <c r="D19" s="16">
        <f t="shared" ref="D19:D22" si="0">C19+10</f>
        <v>75</v>
      </c>
      <c r="E19" s="16">
        <v>150000</v>
      </c>
      <c r="F19" s="16">
        <f>求节点(其他调用!$BF$7:$BF$166,其他调用!$BG$7:$BG$166,C19)*3*1.5</f>
        <v>1231.4808017764217</v>
      </c>
      <c r="G19" s="16">
        <v>2</v>
      </c>
      <c r="H19" s="16">
        <f>3600*8</f>
        <v>28800</v>
      </c>
      <c r="J19" s="16">
        <v>13</v>
      </c>
      <c r="K19" s="16">
        <f>MAX(求节点(节奏总纲!$O$4:$O$163,节奏总纲!P$4:P$163,$J19)-INT(C$13),0)*$D$1*$D$2</f>
        <v>0</v>
      </c>
      <c r="L19" s="16">
        <f>MAX(求节点(节奏总纲!$O$4:$O$163,节奏总纲!Q$4:Q$163,$J19)-INT(D$13),0)*$D$1*$D$2</f>
        <v>0</v>
      </c>
      <c r="M19" s="16">
        <f>MAX(求节点(节奏总纲!$O$4:$O$163,节奏总纲!R$4:R$163,$J19)-INT(E$13),0)*$D$1*$D$2</f>
        <v>0</v>
      </c>
      <c r="N19" s="16">
        <f>MAX(求节点(节奏总纲!$O$4:$O$163,节奏总纲!S$4:S$163,$J19)-INT(F$13),0)*$D$1*$D$2</f>
        <v>0</v>
      </c>
      <c r="O19" s="16">
        <f>MAX(求节点(节奏总纲!$O$4:$O$163,节奏总纲!T$4:T$163,$J19)-INT(G$13),0)*$D$1*$D$2</f>
        <v>0</v>
      </c>
      <c r="Q19" s="16">
        <v>13</v>
      </c>
      <c r="R19" s="16">
        <f>IF(节奏总纲!P16&lt;C$13,0,求节点($C$18:$C$23,$E$18:$E$23,$Q19)*节奏总纲!W16)*$D$1</f>
        <v>0</v>
      </c>
      <c r="S19" s="16">
        <f>IF(节奏总纲!Q16&lt;D$13,0,求节点($C$18:$C$23,$E$18:$E$23,$Q19)*节奏总纲!X16)*$D$1</f>
        <v>0</v>
      </c>
      <c r="T19" s="16">
        <f>IF(节奏总纲!R16&lt;E$13,0,求节点($C$18:$C$23,$E$18:$E$23,$Q19)*节奏总纲!Y16)*$D$1</f>
        <v>0</v>
      </c>
      <c r="U19" s="16">
        <f>IF(节奏总纲!S16&lt;F$13,0,求节点($C$18:$C$23,$E$18:$E$23,$Q19)*节奏总纲!Z16)*$D$1</f>
        <v>0</v>
      </c>
      <c r="V19" s="16">
        <f>IF(节奏总纲!T16&lt;G$13,0,求节点($C$18:$C$23,$E$18:$E$23,$Q19)*节奏总纲!AA16)*$D$1</f>
        <v>0</v>
      </c>
      <c r="W19" s="16">
        <f>SUM(R$7:R19)</f>
        <v>0</v>
      </c>
      <c r="X19" s="16">
        <f>SUM(S$7:S19)</f>
        <v>0</v>
      </c>
      <c r="Y19" s="16">
        <f>SUM(T$7:T19)</f>
        <v>0</v>
      </c>
      <c r="Z19" s="16">
        <f>SUM(U$7:U19)</f>
        <v>0</v>
      </c>
      <c r="AA19" s="16">
        <f>SUM(V$7:V19)</f>
        <v>0</v>
      </c>
      <c r="AC19" s="16">
        <v>13</v>
      </c>
      <c r="AD19" s="16">
        <f>IF(节奏总纲!P16&lt;C$13,0,求节点($C$18:$C$23,$F$18:$F$23,$Q19)*节奏总纲!W16)*$D$1</f>
        <v>0</v>
      </c>
      <c r="AE19" s="16">
        <f>IF(节奏总纲!Q16&lt;D$13,0,求节点($C$18:$C$23,$F$18:$F$23,$Q19)*节奏总纲!X16)*$D$1</f>
        <v>0</v>
      </c>
      <c r="AF19" s="16">
        <f>IF(节奏总纲!R16&lt;E$13,0,求节点($C$18:$C$23,$F$18:$F$23,$Q19)*节奏总纲!Y16)*$D$1</f>
        <v>0</v>
      </c>
      <c r="AG19" s="16">
        <f>IF(节奏总纲!S16&lt;F$13,0,求节点($C$18:$C$23,$F$18:$F$23,$Q19)*节奏总纲!Z16)*$D$1</f>
        <v>0</v>
      </c>
      <c r="AH19" s="16">
        <f>IF(节奏总纲!T16&lt;G$13,0,求节点($C$18:$C$23,$F$18:$F$23,$Q19)*节奏总纲!AA16)*$D$1</f>
        <v>0</v>
      </c>
      <c r="AI19" s="16">
        <f>SUM(AD$7:AD19)</f>
        <v>0</v>
      </c>
      <c r="AJ19" s="16">
        <f>SUM(AE$7:AE19)</f>
        <v>0</v>
      </c>
      <c r="AK19" s="16">
        <f>SUM(AF$7:AF19)</f>
        <v>0</v>
      </c>
      <c r="AL19" s="16">
        <f>SUM(AG$7:AG19)</f>
        <v>0</v>
      </c>
      <c r="AM19" s="16">
        <f>SUM(AH$7:AH19)</f>
        <v>0</v>
      </c>
      <c r="AO19" s="16">
        <v>13</v>
      </c>
      <c r="AP19" s="16">
        <f>IF(节奏总纲!P16&lt;C$13,0,求节点($C$18:$C$23,$H$18:$H$23,$Q19)*节奏总纲!W16)*$D$1</f>
        <v>0</v>
      </c>
      <c r="AQ19" s="16">
        <f>IF(节奏总纲!Q16&lt;D$13,0,求节点($C$18:$C$23,$H$18:$H$23,$Q19)*节奏总纲!X16)*$D$1</f>
        <v>0</v>
      </c>
      <c r="AR19" s="16">
        <f>IF(节奏总纲!R16&lt;E$13,0,求节点($C$18:$C$23,$H$18:$H$23,$Q19)*节奏总纲!Y16)*$D$1</f>
        <v>0</v>
      </c>
      <c r="AS19" s="16">
        <f>IF(节奏总纲!S16&lt;F$13,0,求节点($C$18:$C$23,$H$18:$H$23,$Q19)*节奏总纲!Z16)*$D$1</f>
        <v>0</v>
      </c>
      <c r="AT19" s="16">
        <f>IF(节奏总纲!T16&lt;G$13,0,求节点($C$18:$C$23,$H$18:$H$23,$Q19)*节奏总纲!AA16)*$D$1</f>
        <v>0</v>
      </c>
      <c r="AU19" s="16">
        <f>SUM(AP$7:AP19)</f>
        <v>0</v>
      </c>
      <c r="AV19" s="16">
        <f>SUM(AQ$7:AQ19)</f>
        <v>0</v>
      </c>
      <c r="AW19" s="16">
        <f>SUM(AR$7:AR19)</f>
        <v>0</v>
      </c>
      <c r="AX19" s="16">
        <f>SUM(AS$7:AS19)</f>
        <v>0</v>
      </c>
      <c r="AY19" s="16">
        <f>SUM(AT$7:AT19)</f>
        <v>0</v>
      </c>
    </row>
    <row r="20" spans="2:51">
      <c r="B20" s="16">
        <v>3</v>
      </c>
      <c r="C20" s="16">
        <v>75</v>
      </c>
      <c r="D20" s="16">
        <f t="shared" si="0"/>
        <v>85</v>
      </c>
      <c r="E20" s="16">
        <v>200000</v>
      </c>
      <c r="F20" s="16">
        <f>求节点(其他调用!$BF$7:$BF$166,其他调用!$BG$7:$BG$166,C20)*3*1.5</f>
        <v>1501.1682256961276</v>
      </c>
      <c r="G20" s="16">
        <v>2</v>
      </c>
      <c r="H20" s="16">
        <f>3600*12</f>
        <v>43200</v>
      </c>
      <c r="J20" s="16">
        <v>14</v>
      </c>
      <c r="K20" s="16">
        <f>MAX(求节点(节奏总纲!$O$4:$O$163,节奏总纲!P$4:P$163,$J20)-INT(C$13),0)*$D$1*$D$2</f>
        <v>0</v>
      </c>
      <c r="L20" s="16">
        <f>MAX(求节点(节奏总纲!$O$4:$O$163,节奏总纲!Q$4:Q$163,$J20)-INT(D$13),0)*$D$1*$D$2</f>
        <v>0</v>
      </c>
      <c r="M20" s="16">
        <f>MAX(求节点(节奏总纲!$O$4:$O$163,节奏总纲!R$4:R$163,$J20)-INT(E$13),0)*$D$1*$D$2</f>
        <v>0</v>
      </c>
      <c r="N20" s="16">
        <f>MAX(求节点(节奏总纲!$O$4:$O$163,节奏总纲!S$4:S$163,$J20)-INT(F$13),0)*$D$1*$D$2</f>
        <v>0</v>
      </c>
      <c r="O20" s="16">
        <f>MAX(求节点(节奏总纲!$O$4:$O$163,节奏总纲!T$4:T$163,$J20)-INT(G$13),0)*$D$1*$D$2</f>
        <v>0</v>
      </c>
      <c r="Q20" s="16">
        <v>14</v>
      </c>
      <c r="R20" s="16">
        <f>IF(节奏总纲!P17&lt;C$13,0,求节点($C$18:$C$23,$E$18:$E$23,$Q20)*节奏总纲!W17)*$D$1</f>
        <v>0</v>
      </c>
      <c r="S20" s="16">
        <f>IF(节奏总纲!Q17&lt;D$13,0,求节点($C$18:$C$23,$E$18:$E$23,$Q20)*节奏总纲!X17)*$D$1</f>
        <v>0</v>
      </c>
      <c r="T20" s="16">
        <f>IF(节奏总纲!R17&lt;E$13,0,求节点($C$18:$C$23,$E$18:$E$23,$Q20)*节奏总纲!Y17)*$D$1</f>
        <v>0</v>
      </c>
      <c r="U20" s="16">
        <f>IF(节奏总纲!S17&lt;F$13,0,求节点($C$18:$C$23,$E$18:$E$23,$Q20)*节奏总纲!Z17)*$D$1</f>
        <v>0</v>
      </c>
      <c r="V20" s="16">
        <f>IF(节奏总纲!T17&lt;G$13,0,求节点($C$18:$C$23,$E$18:$E$23,$Q20)*节奏总纲!AA17)*$D$1</f>
        <v>0</v>
      </c>
      <c r="W20" s="16">
        <f>SUM(R$7:R20)</f>
        <v>0</v>
      </c>
      <c r="X20" s="16">
        <f>SUM(S$7:S20)</f>
        <v>0</v>
      </c>
      <c r="Y20" s="16">
        <f>SUM(T$7:T20)</f>
        <v>0</v>
      </c>
      <c r="Z20" s="16">
        <f>SUM(U$7:U20)</f>
        <v>0</v>
      </c>
      <c r="AA20" s="16">
        <f>SUM(V$7:V20)</f>
        <v>0</v>
      </c>
      <c r="AC20" s="16">
        <v>14</v>
      </c>
      <c r="AD20" s="16">
        <f>IF(节奏总纲!P17&lt;C$13,0,求节点($C$18:$C$23,$F$18:$F$23,$Q20)*节奏总纲!W17)*$D$1</f>
        <v>0</v>
      </c>
      <c r="AE20" s="16">
        <f>IF(节奏总纲!Q17&lt;D$13,0,求节点($C$18:$C$23,$F$18:$F$23,$Q20)*节奏总纲!X17)*$D$1</f>
        <v>0</v>
      </c>
      <c r="AF20" s="16">
        <f>IF(节奏总纲!R17&lt;E$13,0,求节点($C$18:$C$23,$F$18:$F$23,$Q20)*节奏总纲!Y17)*$D$1</f>
        <v>0</v>
      </c>
      <c r="AG20" s="16">
        <f>IF(节奏总纲!S17&lt;F$13,0,求节点($C$18:$C$23,$F$18:$F$23,$Q20)*节奏总纲!Z17)*$D$1</f>
        <v>0</v>
      </c>
      <c r="AH20" s="16">
        <f>IF(节奏总纲!T17&lt;G$13,0,求节点($C$18:$C$23,$F$18:$F$23,$Q20)*节奏总纲!AA17)*$D$1</f>
        <v>0</v>
      </c>
      <c r="AI20" s="16">
        <f>SUM(AD$7:AD20)</f>
        <v>0</v>
      </c>
      <c r="AJ20" s="16">
        <f>SUM(AE$7:AE20)</f>
        <v>0</v>
      </c>
      <c r="AK20" s="16">
        <f>SUM(AF$7:AF20)</f>
        <v>0</v>
      </c>
      <c r="AL20" s="16">
        <f>SUM(AG$7:AG20)</f>
        <v>0</v>
      </c>
      <c r="AM20" s="16">
        <f>SUM(AH$7:AH20)</f>
        <v>0</v>
      </c>
      <c r="AO20" s="16">
        <v>14</v>
      </c>
      <c r="AP20" s="16">
        <f>IF(节奏总纲!P17&lt;C$13,0,求节点($C$18:$C$23,$H$18:$H$23,$Q20)*节奏总纲!W17)*$D$1</f>
        <v>0</v>
      </c>
      <c r="AQ20" s="16">
        <f>IF(节奏总纲!Q17&lt;D$13,0,求节点($C$18:$C$23,$H$18:$H$23,$Q20)*节奏总纲!X17)*$D$1</f>
        <v>0</v>
      </c>
      <c r="AR20" s="16">
        <f>IF(节奏总纲!R17&lt;E$13,0,求节点($C$18:$C$23,$H$18:$H$23,$Q20)*节奏总纲!Y17)*$D$1</f>
        <v>0</v>
      </c>
      <c r="AS20" s="16">
        <f>IF(节奏总纲!S17&lt;F$13,0,求节点($C$18:$C$23,$H$18:$H$23,$Q20)*节奏总纲!Z17)*$D$1</f>
        <v>0</v>
      </c>
      <c r="AT20" s="16">
        <f>IF(节奏总纲!T17&lt;G$13,0,求节点($C$18:$C$23,$H$18:$H$23,$Q20)*节奏总纲!AA17)*$D$1</f>
        <v>0</v>
      </c>
      <c r="AU20" s="16">
        <f>SUM(AP$7:AP20)</f>
        <v>0</v>
      </c>
      <c r="AV20" s="16">
        <f>SUM(AQ$7:AQ20)</f>
        <v>0</v>
      </c>
      <c r="AW20" s="16">
        <f>SUM(AR$7:AR20)</f>
        <v>0</v>
      </c>
      <c r="AX20" s="16">
        <f>SUM(AS$7:AS20)</f>
        <v>0</v>
      </c>
      <c r="AY20" s="16">
        <f>SUM(AT$7:AT20)</f>
        <v>0</v>
      </c>
    </row>
    <row r="21" spans="2:51">
      <c r="B21" s="16">
        <v>4</v>
      </c>
      <c r="C21" s="16">
        <v>85</v>
      </c>
      <c r="D21" s="16">
        <f t="shared" si="0"/>
        <v>95</v>
      </c>
      <c r="E21" s="16">
        <v>200000</v>
      </c>
      <c r="F21" s="16">
        <f>求节点(其他调用!$BF$7:$BF$166,其他调用!$BG$7:$BG$166,C21)*3*1.5</f>
        <v>1829.9156905970101</v>
      </c>
      <c r="G21" s="16">
        <v>3</v>
      </c>
      <c r="H21" s="16">
        <f>H20</f>
        <v>43200</v>
      </c>
      <c r="J21" s="16">
        <v>15</v>
      </c>
      <c r="K21" s="16">
        <f>MAX(求节点(节奏总纲!$O$4:$O$163,节奏总纲!P$4:P$163,$J21)-INT(C$13),0)*$D$1*$D$2</f>
        <v>0</v>
      </c>
      <c r="L21" s="16">
        <f>MAX(求节点(节奏总纲!$O$4:$O$163,节奏总纲!Q$4:Q$163,$J21)-INT(D$13),0)*$D$1*$D$2</f>
        <v>0</v>
      </c>
      <c r="M21" s="16">
        <f>MAX(求节点(节奏总纲!$O$4:$O$163,节奏总纲!R$4:R$163,$J21)-INT(E$13),0)*$D$1*$D$2</f>
        <v>0</v>
      </c>
      <c r="N21" s="16">
        <f>MAX(求节点(节奏总纲!$O$4:$O$163,节奏总纲!S$4:S$163,$J21)-INT(F$13),0)*$D$1*$D$2</f>
        <v>0</v>
      </c>
      <c r="O21" s="16">
        <f>MAX(求节点(节奏总纲!$O$4:$O$163,节奏总纲!T$4:T$163,$J21)-INT(G$13),0)*$D$1*$D$2</f>
        <v>0</v>
      </c>
      <c r="Q21" s="16">
        <v>15</v>
      </c>
      <c r="R21" s="16">
        <f>IF(节奏总纲!P18&lt;C$13,0,求节点($C$18:$C$23,$E$18:$E$23,$Q21)*节奏总纲!W18)*$D$1</f>
        <v>0</v>
      </c>
      <c r="S21" s="16">
        <f>IF(节奏总纲!Q18&lt;D$13,0,求节点($C$18:$C$23,$E$18:$E$23,$Q21)*节奏总纲!X18)*$D$1</f>
        <v>0</v>
      </c>
      <c r="T21" s="16">
        <f>IF(节奏总纲!R18&lt;E$13,0,求节点($C$18:$C$23,$E$18:$E$23,$Q21)*节奏总纲!Y18)*$D$1</f>
        <v>0</v>
      </c>
      <c r="U21" s="16">
        <f>IF(节奏总纲!S18&lt;F$13,0,求节点($C$18:$C$23,$E$18:$E$23,$Q21)*节奏总纲!Z18)*$D$1</f>
        <v>0</v>
      </c>
      <c r="V21" s="16">
        <f>IF(节奏总纲!T18&lt;G$13,0,求节点($C$18:$C$23,$E$18:$E$23,$Q21)*节奏总纲!AA18)*$D$1</f>
        <v>0</v>
      </c>
      <c r="W21" s="16">
        <f>SUM(R$7:R21)</f>
        <v>0</v>
      </c>
      <c r="X21" s="16">
        <f>SUM(S$7:S21)</f>
        <v>0</v>
      </c>
      <c r="Y21" s="16">
        <f>SUM(T$7:T21)</f>
        <v>0</v>
      </c>
      <c r="Z21" s="16">
        <f>SUM(U$7:U21)</f>
        <v>0</v>
      </c>
      <c r="AA21" s="16">
        <f>SUM(V$7:V21)</f>
        <v>0</v>
      </c>
      <c r="AC21" s="16">
        <v>15</v>
      </c>
      <c r="AD21" s="16">
        <f>IF(节奏总纲!P18&lt;C$13,0,求节点($C$18:$C$23,$F$18:$F$23,$Q21)*节奏总纲!W18)*$D$1</f>
        <v>0</v>
      </c>
      <c r="AE21" s="16">
        <f>IF(节奏总纲!Q18&lt;D$13,0,求节点($C$18:$C$23,$F$18:$F$23,$Q21)*节奏总纲!X18)*$D$1</f>
        <v>0</v>
      </c>
      <c r="AF21" s="16">
        <f>IF(节奏总纲!R18&lt;E$13,0,求节点($C$18:$C$23,$F$18:$F$23,$Q21)*节奏总纲!Y18)*$D$1</f>
        <v>0</v>
      </c>
      <c r="AG21" s="16">
        <f>IF(节奏总纲!S18&lt;F$13,0,求节点($C$18:$C$23,$F$18:$F$23,$Q21)*节奏总纲!Z18)*$D$1</f>
        <v>0</v>
      </c>
      <c r="AH21" s="16">
        <f>IF(节奏总纲!T18&lt;G$13,0,求节点($C$18:$C$23,$F$18:$F$23,$Q21)*节奏总纲!AA18)*$D$1</f>
        <v>0</v>
      </c>
      <c r="AI21" s="16">
        <f>SUM(AD$7:AD21)</f>
        <v>0</v>
      </c>
      <c r="AJ21" s="16">
        <f>SUM(AE$7:AE21)</f>
        <v>0</v>
      </c>
      <c r="AK21" s="16">
        <f>SUM(AF$7:AF21)</f>
        <v>0</v>
      </c>
      <c r="AL21" s="16">
        <f>SUM(AG$7:AG21)</f>
        <v>0</v>
      </c>
      <c r="AM21" s="16">
        <f>SUM(AH$7:AH21)</f>
        <v>0</v>
      </c>
      <c r="AO21" s="16">
        <v>15</v>
      </c>
      <c r="AP21" s="16">
        <f>IF(节奏总纲!P18&lt;C$13,0,求节点($C$18:$C$23,$H$18:$H$23,$Q21)*节奏总纲!W18)*$D$1</f>
        <v>0</v>
      </c>
      <c r="AQ21" s="16">
        <f>IF(节奏总纲!Q18&lt;D$13,0,求节点($C$18:$C$23,$H$18:$H$23,$Q21)*节奏总纲!X18)*$D$1</f>
        <v>0</v>
      </c>
      <c r="AR21" s="16">
        <f>IF(节奏总纲!R18&lt;E$13,0,求节点($C$18:$C$23,$H$18:$H$23,$Q21)*节奏总纲!Y18)*$D$1</f>
        <v>0</v>
      </c>
      <c r="AS21" s="16">
        <f>IF(节奏总纲!S18&lt;F$13,0,求节点($C$18:$C$23,$H$18:$H$23,$Q21)*节奏总纲!Z18)*$D$1</f>
        <v>0</v>
      </c>
      <c r="AT21" s="16">
        <f>IF(节奏总纲!T18&lt;G$13,0,求节点($C$18:$C$23,$H$18:$H$23,$Q21)*节奏总纲!AA18)*$D$1</f>
        <v>0</v>
      </c>
      <c r="AU21" s="16">
        <f>SUM(AP$7:AP21)</f>
        <v>0</v>
      </c>
      <c r="AV21" s="16">
        <f>SUM(AQ$7:AQ21)</f>
        <v>0</v>
      </c>
      <c r="AW21" s="16">
        <f>SUM(AR$7:AR21)</f>
        <v>0</v>
      </c>
      <c r="AX21" s="16">
        <f>SUM(AS$7:AS21)</f>
        <v>0</v>
      </c>
      <c r="AY21" s="16">
        <f>SUM(AT$7:AT21)</f>
        <v>0</v>
      </c>
    </row>
    <row r="22" spans="2:51">
      <c r="B22" s="16">
        <v>5</v>
      </c>
      <c r="C22" s="16">
        <v>95</v>
      </c>
      <c r="D22" s="16">
        <f t="shared" si="0"/>
        <v>105</v>
      </c>
      <c r="E22" s="16">
        <v>250000</v>
      </c>
      <c r="F22" s="16">
        <f>求节点(其他调用!$BF$7:$BF$166,其他调用!$BG$7:$BG$166,C22)*3*1.5</f>
        <v>2230.6570158986078</v>
      </c>
      <c r="G22" s="16">
        <v>4</v>
      </c>
      <c r="H22" s="16">
        <f t="shared" ref="H22" si="1">H21</f>
        <v>43200</v>
      </c>
      <c r="J22" s="16">
        <v>16</v>
      </c>
      <c r="K22" s="16">
        <f>MAX(求节点(节奏总纲!$O$4:$O$163,节奏总纲!P$4:P$163,$J22)-INT(C$13),0)*$D$1*$D$2</f>
        <v>0</v>
      </c>
      <c r="L22" s="16">
        <f>MAX(求节点(节奏总纲!$O$4:$O$163,节奏总纲!Q$4:Q$163,$J22)-INT(D$13),0)*$D$1*$D$2</f>
        <v>0</v>
      </c>
      <c r="M22" s="16">
        <f>MAX(求节点(节奏总纲!$O$4:$O$163,节奏总纲!R$4:R$163,$J22)-INT(E$13),0)*$D$1*$D$2</f>
        <v>0</v>
      </c>
      <c r="N22" s="16">
        <f>MAX(求节点(节奏总纲!$O$4:$O$163,节奏总纲!S$4:S$163,$J22)-INT(F$13),0)*$D$1*$D$2</f>
        <v>0</v>
      </c>
      <c r="O22" s="16">
        <f>MAX(求节点(节奏总纲!$O$4:$O$163,节奏总纲!T$4:T$163,$J22)-INT(G$13),0)*$D$1*$D$2</f>
        <v>0</v>
      </c>
      <c r="Q22" s="16">
        <v>16</v>
      </c>
      <c r="R22" s="16">
        <f>IF(节奏总纲!P19&lt;C$13,0,求节点($C$18:$C$23,$E$18:$E$23,$Q22)*节奏总纲!W19)*$D$1</f>
        <v>0</v>
      </c>
      <c r="S22" s="16">
        <f>IF(节奏总纲!Q19&lt;D$13,0,求节点($C$18:$C$23,$E$18:$E$23,$Q22)*节奏总纲!X19)*$D$1</f>
        <v>0</v>
      </c>
      <c r="T22" s="16">
        <f>IF(节奏总纲!R19&lt;E$13,0,求节点($C$18:$C$23,$E$18:$E$23,$Q22)*节奏总纲!Y19)*$D$1</f>
        <v>0</v>
      </c>
      <c r="U22" s="16">
        <f>IF(节奏总纲!S19&lt;F$13,0,求节点($C$18:$C$23,$E$18:$E$23,$Q22)*节奏总纲!Z19)*$D$1</f>
        <v>0</v>
      </c>
      <c r="V22" s="16">
        <f>IF(节奏总纲!T19&lt;G$13,0,求节点($C$18:$C$23,$E$18:$E$23,$Q22)*节奏总纲!AA19)*$D$1</f>
        <v>0</v>
      </c>
      <c r="W22" s="16">
        <f>SUM(R$7:R22)</f>
        <v>0</v>
      </c>
      <c r="X22" s="16">
        <f>SUM(S$7:S22)</f>
        <v>0</v>
      </c>
      <c r="Y22" s="16">
        <f>SUM(T$7:T22)</f>
        <v>0</v>
      </c>
      <c r="Z22" s="16">
        <f>SUM(U$7:U22)</f>
        <v>0</v>
      </c>
      <c r="AA22" s="16">
        <f>SUM(V$7:V22)</f>
        <v>0</v>
      </c>
      <c r="AC22" s="16">
        <v>16</v>
      </c>
      <c r="AD22" s="16">
        <f>IF(节奏总纲!P19&lt;C$13,0,求节点($C$18:$C$23,$F$18:$F$23,$Q22)*节奏总纲!W19)*$D$1</f>
        <v>0</v>
      </c>
      <c r="AE22" s="16">
        <f>IF(节奏总纲!Q19&lt;D$13,0,求节点($C$18:$C$23,$F$18:$F$23,$Q22)*节奏总纲!X19)*$D$1</f>
        <v>0</v>
      </c>
      <c r="AF22" s="16">
        <f>IF(节奏总纲!R19&lt;E$13,0,求节点($C$18:$C$23,$F$18:$F$23,$Q22)*节奏总纲!Y19)*$D$1</f>
        <v>0</v>
      </c>
      <c r="AG22" s="16">
        <f>IF(节奏总纲!S19&lt;F$13,0,求节点($C$18:$C$23,$F$18:$F$23,$Q22)*节奏总纲!Z19)*$D$1</f>
        <v>0</v>
      </c>
      <c r="AH22" s="16">
        <f>IF(节奏总纲!T19&lt;G$13,0,求节点($C$18:$C$23,$F$18:$F$23,$Q22)*节奏总纲!AA19)*$D$1</f>
        <v>0</v>
      </c>
      <c r="AI22" s="16">
        <f>SUM(AD$7:AD22)</f>
        <v>0</v>
      </c>
      <c r="AJ22" s="16">
        <f>SUM(AE$7:AE22)</f>
        <v>0</v>
      </c>
      <c r="AK22" s="16">
        <f>SUM(AF$7:AF22)</f>
        <v>0</v>
      </c>
      <c r="AL22" s="16">
        <f>SUM(AG$7:AG22)</f>
        <v>0</v>
      </c>
      <c r="AM22" s="16">
        <f>SUM(AH$7:AH22)</f>
        <v>0</v>
      </c>
      <c r="AO22" s="16">
        <v>16</v>
      </c>
      <c r="AP22" s="16">
        <f>IF(节奏总纲!P19&lt;C$13,0,求节点($C$18:$C$23,$H$18:$H$23,$Q22)*节奏总纲!W19)*$D$1</f>
        <v>0</v>
      </c>
      <c r="AQ22" s="16">
        <f>IF(节奏总纲!Q19&lt;D$13,0,求节点($C$18:$C$23,$H$18:$H$23,$Q22)*节奏总纲!X19)*$D$1</f>
        <v>0</v>
      </c>
      <c r="AR22" s="16">
        <f>IF(节奏总纲!R19&lt;E$13,0,求节点($C$18:$C$23,$H$18:$H$23,$Q22)*节奏总纲!Y19)*$D$1</f>
        <v>0</v>
      </c>
      <c r="AS22" s="16">
        <f>IF(节奏总纲!S19&lt;F$13,0,求节点($C$18:$C$23,$H$18:$H$23,$Q22)*节奏总纲!Z19)*$D$1</f>
        <v>0</v>
      </c>
      <c r="AT22" s="16">
        <f>IF(节奏总纲!T19&lt;G$13,0,求节点($C$18:$C$23,$H$18:$H$23,$Q22)*节奏总纲!AA19)*$D$1</f>
        <v>0</v>
      </c>
      <c r="AU22" s="16">
        <f>SUM(AP$7:AP22)</f>
        <v>0</v>
      </c>
      <c r="AV22" s="16">
        <f>SUM(AQ$7:AQ22)</f>
        <v>0</v>
      </c>
      <c r="AW22" s="16">
        <f>SUM(AR$7:AR22)</f>
        <v>0</v>
      </c>
      <c r="AX22" s="16">
        <f>SUM(AS$7:AS22)</f>
        <v>0</v>
      </c>
      <c r="AY22" s="16">
        <f>SUM(AT$7:AT22)</f>
        <v>0</v>
      </c>
    </row>
    <row r="23" spans="2:51">
      <c r="B23" s="91">
        <v>6</v>
      </c>
      <c r="C23" s="91">
        <f t="shared" ref="C23:E23" si="2">C22</f>
        <v>95</v>
      </c>
      <c r="D23" s="91">
        <f t="shared" si="2"/>
        <v>105</v>
      </c>
      <c r="E23" s="91">
        <f t="shared" si="2"/>
        <v>250000</v>
      </c>
      <c r="F23" s="91">
        <f t="shared" ref="F23:G23" si="3">F22</f>
        <v>2230.6570158986078</v>
      </c>
      <c r="G23" s="91">
        <f t="shared" si="3"/>
        <v>4</v>
      </c>
      <c r="H23" s="91">
        <f t="shared" ref="H23" si="4">H22</f>
        <v>43200</v>
      </c>
      <c r="J23" s="16">
        <v>17</v>
      </c>
      <c r="K23" s="16">
        <f>MAX(求节点(节奏总纲!$O$4:$O$163,节奏总纲!P$4:P$163,$J23)-INT(C$13),0)*$D$1*$D$2</f>
        <v>0</v>
      </c>
      <c r="L23" s="16">
        <f>MAX(求节点(节奏总纲!$O$4:$O$163,节奏总纲!Q$4:Q$163,$J23)-INT(D$13),0)*$D$1*$D$2</f>
        <v>0</v>
      </c>
      <c r="M23" s="16">
        <f>MAX(求节点(节奏总纲!$O$4:$O$163,节奏总纲!R$4:R$163,$J23)-INT(E$13),0)*$D$1*$D$2</f>
        <v>0</v>
      </c>
      <c r="N23" s="16">
        <f>MAX(求节点(节奏总纲!$O$4:$O$163,节奏总纲!S$4:S$163,$J23)-INT(F$13),0)*$D$1*$D$2</f>
        <v>0</v>
      </c>
      <c r="O23" s="16">
        <f>MAX(求节点(节奏总纲!$O$4:$O$163,节奏总纲!T$4:T$163,$J23)-INT(G$13),0)*$D$1*$D$2</f>
        <v>0</v>
      </c>
      <c r="Q23" s="16">
        <v>17</v>
      </c>
      <c r="R23" s="16">
        <f>IF(节奏总纲!P20&lt;C$13,0,求节点($C$18:$C$23,$E$18:$E$23,$Q23)*节奏总纲!W20)*$D$1</f>
        <v>0</v>
      </c>
      <c r="S23" s="16">
        <f>IF(节奏总纲!Q20&lt;D$13,0,求节点($C$18:$C$23,$E$18:$E$23,$Q23)*节奏总纲!X20)*$D$1</f>
        <v>0</v>
      </c>
      <c r="T23" s="16">
        <f>IF(节奏总纲!R20&lt;E$13,0,求节点($C$18:$C$23,$E$18:$E$23,$Q23)*节奏总纲!Y20)*$D$1</f>
        <v>0</v>
      </c>
      <c r="U23" s="16">
        <f>IF(节奏总纲!S20&lt;F$13,0,求节点($C$18:$C$23,$E$18:$E$23,$Q23)*节奏总纲!Z20)*$D$1</f>
        <v>0</v>
      </c>
      <c r="V23" s="16">
        <f>IF(节奏总纲!T20&lt;G$13,0,求节点($C$18:$C$23,$E$18:$E$23,$Q23)*节奏总纲!AA20)*$D$1</f>
        <v>0</v>
      </c>
      <c r="W23" s="16">
        <f>SUM(R$7:R23)</f>
        <v>0</v>
      </c>
      <c r="X23" s="16">
        <f>SUM(S$7:S23)</f>
        <v>0</v>
      </c>
      <c r="Y23" s="16">
        <f>SUM(T$7:T23)</f>
        <v>0</v>
      </c>
      <c r="Z23" s="16">
        <f>SUM(U$7:U23)</f>
        <v>0</v>
      </c>
      <c r="AA23" s="16">
        <f>SUM(V$7:V23)</f>
        <v>0</v>
      </c>
      <c r="AC23" s="16">
        <v>17</v>
      </c>
      <c r="AD23" s="16">
        <f>IF(节奏总纲!P20&lt;C$13,0,求节点($C$18:$C$23,$F$18:$F$23,$Q23)*节奏总纲!W20)*$D$1</f>
        <v>0</v>
      </c>
      <c r="AE23" s="16">
        <f>IF(节奏总纲!Q20&lt;D$13,0,求节点($C$18:$C$23,$F$18:$F$23,$Q23)*节奏总纲!X20)*$D$1</f>
        <v>0</v>
      </c>
      <c r="AF23" s="16">
        <f>IF(节奏总纲!R20&lt;E$13,0,求节点($C$18:$C$23,$F$18:$F$23,$Q23)*节奏总纲!Y20)*$D$1</f>
        <v>0</v>
      </c>
      <c r="AG23" s="16">
        <f>IF(节奏总纲!S20&lt;F$13,0,求节点($C$18:$C$23,$F$18:$F$23,$Q23)*节奏总纲!Z20)*$D$1</f>
        <v>0</v>
      </c>
      <c r="AH23" s="16">
        <f>IF(节奏总纲!T20&lt;G$13,0,求节点($C$18:$C$23,$F$18:$F$23,$Q23)*节奏总纲!AA20)*$D$1</f>
        <v>0</v>
      </c>
      <c r="AI23" s="16">
        <f>SUM(AD$7:AD23)</f>
        <v>0</v>
      </c>
      <c r="AJ23" s="16">
        <f>SUM(AE$7:AE23)</f>
        <v>0</v>
      </c>
      <c r="AK23" s="16">
        <f>SUM(AF$7:AF23)</f>
        <v>0</v>
      </c>
      <c r="AL23" s="16">
        <f>SUM(AG$7:AG23)</f>
        <v>0</v>
      </c>
      <c r="AM23" s="16">
        <f>SUM(AH$7:AH23)</f>
        <v>0</v>
      </c>
      <c r="AO23" s="16">
        <v>17</v>
      </c>
      <c r="AP23" s="16">
        <f>IF(节奏总纲!P20&lt;C$13,0,求节点($C$18:$C$23,$H$18:$H$23,$Q23)*节奏总纲!W20)*$D$1</f>
        <v>0</v>
      </c>
      <c r="AQ23" s="16">
        <f>IF(节奏总纲!Q20&lt;D$13,0,求节点($C$18:$C$23,$H$18:$H$23,$Q23)*节奏总纲!X20)*$D$1</f>
        <v>0</v>
      </c>
      <c r="AR23" s="16">
        <f>IF(节奏总纲!R20&lt;E$13,0,求节点($C$18:$C$23,$H$18:$H$23,$Q23)*节奏总纲!Y20)*$D$1</f>
        <v>0</v>
      </c>
      <c r="AS23" s="16">
        <f>IF(节奏总纲!S20&lt;F$13,0,求节点($C$18:$C$23,$H$18:$H$23,$Q23)*节奏总纲!Z20)*$D$1</f>
        <v>0</v>
      </c>
      <c r="AT23" s="16">
        <f>IF(节奏总纲!T20&lt;G$13,0,求节点($C$18:$C$23,$H$18:$H$23,$Q23)*节奏总纲!AA20)*$D$1</f>
        <v>0</v>
      </c>
      <c r="AU23" s="16">
        <f>SUM(AP$7:AP23)</f>
        <v>0</v>
      </c>
      <c r="AV23" s="16">
        <f>SUM(AQ$7:AQ23)</f>
        <v>0</v>
      </c>
      <c r="AW23" s="16">
        <f>SUM(AR$7:AR23)</f>
        <v>0</v>
      </c>
      <c r="AX23" s="16">
        <f>SUM(AS$7:AS23)</f>
        <v>0</v>
      </c>
      <c r="AY23" s="16">
        <f>SUM(AT$7:AT23)</f>
        <v>0</v>
      </c>
    </row>
    <row r="24" spans="2:51">
      <c r="J24" s="16">
        <v>18</v>
      </c>
      <c r="K24" s="16">
        <f>MAX(求节点(节奏总纲!$O$4:$O$163,节奏总纲!P$4:P$163,$J24)-INT(C$13),0)*$D$1*$D$2</f>
        <v>0</v>
      </c>
      <c r="L24" s="16">
        <f>MAX(求节点(节奏总纲!$O$4:$O$163,节奏总纲!Q$4:Q$163,$J24)-INT(D$13),0)*$D$1*$D$2</f>
        <v>0</v>
      </c>
      <c r="M24" s="16">
        <f>MAX(求节点(节奏总纲!$O$4:$O$163,节奏总纲!R$4:R$163,$J24)-INT(E$13),0)*$D$1*$D$2</f>
        <v>0</v>
      </c>
      <c r="N24" s="16">
        <f>MAX(求节点(节奏总纲!$O$4:$O$163,节奏总纲!S$4:S$163,$J24)-INT(F$13),0)*$D$1*$D$2</f>
        <v>0</v>
      </c>
      <c r="O24" s="16">
        <f>MAX(求节点(节奏总纲!$O$4:$O$163,节奏总纲!T$4:T$163,$J24)-INT(G$13),0)*$D$1*$D$2</f>
        <v>0</v>
      </c>
      <c r="Q24" s="16">
        <v>18</v>
      </c>
      <c r="R24" s="16">
        <f>IF(节奏总纲!P21&lt;C$13,0,求节点($C$18:$C$23,$E$18:$E$23,$Q24)*节奏总纲!W21)*$D$1</f>
        <v>0</v>
      </c>
      <c r="S24" s="16">
        <f>IF(节奏总纲!Q21&lt;D$13,0,求节点($C$18:$C$23,$E$18:$E$23,$Q24)*节奏总纲!X21)*$D$1</f>
        <v>0</v>
      </c>
      <c r="T24" s="16">
        <f>IF(节奏总纲!R21&lt;E$13,0,求节点($C$18:$C$23,$E$18:$E$23,$Q24)*节奏总纲!Y21)*$D$1</f>
        <v>0</v>
      </c>
      <c r="U24" s="16">
        <f>IF(节奏总纲!S21&lt;F$13,0,求节点($C$18:$C$23,$E$18:$E$23,$Q24)*节奏总纲!Z21)*$D$1</f>
        <v>0</v>
      </c>
      <c r="V24" s="16">
        <f>IF(节奏总纲!T21&lt;G$13,0,求节点($C$18:$C$23,$E$18:$E$23,$Q24)*节奏总纲!AA21)*$D$1</f>
        <v>0</v>
      </c>
      <c r="W24" s="16">
        <f>SUM(R$7:R24)</f>
        <v>0</v>
      </c>
      <c r="X24" s="16">
        <f>SUM(S$7:S24)</f>
        <v>0</v>
      </c>
      <c r="Y24" s="16">
        <f>SUM(T$7:T24)</f>
        <v>0</v>
      </c>
      <c r="Z24" s="16">
        <f>SUM(U$7:U24)</f>
        <v>0</v>
      </c>
      <c r="AA24" s="16">
        <f>SUM(V$7:V24)</f>
        <v>0</v>
      </c>
      <c r="AC24" s="16">
        <v>18</v>
      </c>
      <c r="AD24" s="16">
        <f>IF(节奏总纲!P21&lt;C$13,0,求节点($C$18:$C$23,$F$18:$F$23,$Q24)*节奏总纲!W21)*$D$1</f>
        <v>0</v>
      </c>
      <c r="AE24" s="16">
        <f>IF(节奏总纲!Q21&lt;D$13,0,求节点($C$18:$C$23,$F$18:$F$23,$Q24)*节奏总纲!X21)*$D$1</f>
        <v>0</v>
      </c>
      <c r="AF24" s="16">
        <f>IF(节奏总纲!R21&lt;E$13,0,求节点($C$18:$C$23,$F$18:$F$23,$Q24)*节奏总纲!Y21)*$D$1</f>
        <v>0</v>
      </c>
      <c r="AG24" s="16">
        <f>IF(节奏总纲!S21&lt;F$13,0,求节点($C$18:$C$23,$F$18:$F$23,$Q24)*节奏总纲!Z21)*$D$1</f>
        <v>0</v>
      </c>
      <c r="AH24" s="16">
        <f>IF(节奏总纲!T21&lt;G$13,0,求节点($C$18:$C$23,$F$18:$F$23,$Q24)*节奏总纲!AA21)*$D$1</f>
        <v>0</v>
      </c>
      <c r="AI24" s="16">
        <f>SUM(AD$7:AD24)</f>
        <v>0</v>
      </c>
      <c r="AJ24" s="16">
        <f>SUM(AE$7:AE24)</f>
        <v>0</v>
      </c>
      <c r="AK24" s="16">
        <f>SUM(AF$7:AF24)</f>
        <v>0</v>
      </c>
      <c r="AL24" s="16">
        <f>SUM(AG$7:AG24)</f>
        <v>0</v>
      </c>
      <c r="AM24" s="16">
        <f>SUM(AH$7:AH24)</f>
        <v>0</v>
      </c>
      <c r="AO24" s="16">
        <v>18</v>
      </c>
      <c r="AP24" s="16">
        <f>IF(节奏总纲!P21&lt;C$13,0,求节点($C$18:$C$23,$H$18:$H$23,$Q24)*节奏总纲!W21)*$D$1</f>
        <v>0</v>
      </c>
      <c r="AQ24" s="16">
        <f>IF(节奏总纲!Q21&lt;D$13,0,求节点($C$18:$C$23,$H$18:$H$23,$Q24)*节奏总纲!X21)*$D$1</f>
        <v>0</v>
      </c>
      <c r="AR24" s="16">
        <f>IF(节奏总纲!R21&lt;E$13,0,求节点($C$18:$C$23,$H$18:$H$23,$Q24)*节奏总纲!Y21)*$D$1</f>
        <v>0</v>
      </c>
      <c r="AS24" s="16">
        <f>IF(节奏总纲!S21&lt;F$13,0,求节点($C$18:$C$23,$H$18:$H$23,$Q24)*节奏总纲!Z21)*$D$1</f>
        <v>0</v>
      </c>
      <c r="AT24" s="16">
        <f>IF(节奏总纲!T21&lt;G$13,0,求节点($C$18:$C$23,$H$18:$H$23,$Q24)*节奏总纲!AA21)*$D$1</f>
        <v>0</v>
      </c>
      <c r="AU24" s="16">
        <f>SUM(AP$7:AP24)</f>
        <v>0</v>
      </c>
      <c r="AV24" s="16">
        <f>SUM(AQ$7:AQ24)</f>
        <v>0</v>
      </c>
      <c r="AW24" s="16">
        <f>SUM(AR$7:AR24)</f>
        <v>0</v>
      </c>
      <c r="AX24" s="16">
        <f>SUM(AS$7:AS24)</f>
        <v>0</v>
      </c>
      <c r="AY24" s="16">
        <f>SUM(AT$7:AT24)</f>
        <v>0</v>
      </c>
    </row>
    <row r="25" spans="2:51">
      <c r="B25" s="68" t="s">
        <v>562</v>
      </c>
      <c r="J25" s="16">
        <v>19</v>
      </c>
      <c r="K25" s="16">
        <f>MAX(求节点(节奏总纲!$O$4:$O$163,节奏总纲!P$4:P$163,$J25)-INT(C$13),0)*$D$1*$D$2</f>
        <v>0</v>
      </c>
      <c r="L25" s="16">
        <f>MAX(求节点(节奏总纲!$O$4:$O$163,节奏总纲!Q$4:Q$163,$J25)-INT(D$13),0)*$D$1*$D$2</f>
        <v>0</v>
      </c>
      <c r="M25" s="16">
        <f>MAX(求节点(节奏总纲!$O$4:$O$163,节奏总纲!R$4:R$163,$J25)-INT(E$13),0)*$D$1*$D$2</f>
        <v>0</v>
      </c>
      <c r="N25" s="16">
        <f>MAX(求节点(节奏总纲!$O$4:$O$163,节奏总纲!S$4:S$163,$J25)-INT(F$13),0)*$D$1*$D$2</f>
        <v>0</v>
      </c>
      <c r="O25" s="16">
        <f>MAX(求节点(节奏总纲!$O$4:$O$163,节奏总纲!T$4:T$163,$J25)-INT(G$13),0)*$D$1*$D$2</f>
        <v>0</v>
      </c>
      <c r="Q25" s="16">
        <v>19</v>
      </c>
      <c r="R25" s="16">
        <f>IF(节奏总纲!P22&lt;C$13,0,求节点($C$18:$C$23,$E$18:$E$23,$Q25)*节奏总纲!W22)*$D$1</f>
        <v>0</v>
      </c>
      <c r="S25" s="16">
        <f>IF(节奏总纲!Q22&lt;D$13,0,求节点($C$18:$C$23,$E$18:$E$23,$Q25)*节奏总纲!X22)*$D$1</f>
        <v>0</v>
      </c>
      <c r="T25" s="16">
        <f>IF(节奏总纲!R22&lt;E$13,0,求节点($C$18:$C$23,$E$18:$E$23,$Q25)*节奏总纲!Y22)*$D$1</f>
        <v>0</v>
      </c>
      <c r="U25" s="16">
        <f>IF(节奏总纲!S22&lt;F$13,0,求节点($C$18:$C$23,$E$18:$E$23,$Q25)*节奏总纲!Z22)*$D$1</f>
        <v>0</v>
      </c>
      <c r="V25" s="16">
        <f>IF(节奏总纲!T22&lt;G$13,0,求节点($C$18:$C$23,$E$18:$E$23,$Q25)*节奏总纲!AA22)*$D$1</f>
        <v>0</v>
      </c>
      <c r="W25" s="16">
        <f>SUM(R$7:R25)</f>
        <v>0</v>
      </c>
      <c r="X25" s="16">
        <f>SUM(S$7:S25)</f>
        <v>0</v>
      </c>
      <c r="Y25" s="16">
        <f>SUM(T$7:T25)</f>
        <v>0</v>
      </c>
      <c r="Z25" s="16">
        <f>SUM(U$7:U25)</f>
        <v>0</v>
      </c>
      <c r="AA25" s="16">
        <f>SUM(V$7:V25)</f>
        <v>0</v>
      </c>
      <c r="AC25" s="16">
        <v>19</v>
      </c>
      <c r="AD25" s="16">
        <f>IF(节奏总纲!P22&lt;C$13,0,求节点($C$18:$C$23,$F$18:$F$23,$Q25)*节奏总纲!W22)*$D$1</f>
        <v>0</v>
      </c>
      <c r="AE25" s="16">
        <f>IF(节奏总纲!Q22&lt;D$13,0,求节点($C$18:$C$23,$F$18:$F$23,$Q25)*节奏总纲!X22)*$D$1</f>
        <v>0</v>
      </c>
      <c r="AF25" s="16">
        <f>IF(节奏总纲!R22&lt;E$13,0,求节点($C$18:$C$23,$F$18:$F$23,$Q25)*节奏总纲!Y22)*$D$1</f>
        <v>0</v>
      </c>
      <c r="AG25" s="16">
        <f>IF(节奏总纲!S22&lt;F$13,0,求节点($C$18:$C$23,$F$18:$F$23,$Q25)*节奏总纲!Z22)*$D$1</f>
        <v>0</v>
      </c>
      <c r="AH25" s="16">
        <f>IF(节奏总纲!T22&lt;G$13,0,求节点($C$18:$C$23,$F$18:$F$23,$Q25)*节奏总纲!AA22)*$D$1</f>
        <v>0</v>
      </c>
      <c r="AI25" s="16">
        <f>SUM(AD$7:AD25)</f>
        <v>0</v>
      </c>
      <c r="AJ25" s="16">
        <f>SUM(AE$7:AE25)</f>
        <v>0</v>
      </c>
      <c r="AK25" s="16">
        <f>SUM(AF$7:AF25)</f>
        <v>0</v>
      </c>
      <c r="AL25" s="16">
        <f>SUM(AG$7:AG25)</f>
        <v>0</v>
      </c>
      <c r="AM25" s="16">
        <f>SUM(AH$7:AH25)</f>
        <v>0</v>
      </c>
      <c r="AO25" s="16">
        <v>19</v>
      </c>
      <c r="AP25" s="16">
        <f>IF(节奏总纲!P22&lt;C$13,0,求节点($C$18:$C$23,$H$18:$H$23,$Q25)*节奏总纲!W22)*$D$1</f>
        <v>0</v>
      </c>
      <c r="AQ25" s="16">
        <f>IF(节奏总纲!Q22&lt;D$13,0,求节点($C$18:$C$23,$H$18:$H$23,$Q25)*节奏总纲!X22)*$D$1</f>
        <v>0</v>
      </c>
      <c r="AR25" s="16">
        <f>IF(节奏总纲!R22&lt;E$13,0,求节点($C$18:$C$23,$H$18:$H$23,$Q25)*节奏总纲!Y22)*$D$1</f>
        <v>0</v>
      </c>
      <c r="AS25" s="16">
        <f>IF(节奏总纲!S22&lt;F$13,0,求节点($C$18:$C$23,$H$18:$H$23,$Q25)*节奏总纲!Z22)*$D$1</f>
        <v>0</v>
      </c>
      <c r="AT25" s="16">
        <f>IF(节奏总纲!T22&lt;G$13,0,求节点($C$18:$C$23,$H$18:$H$23,$Q25)*节奏总纲!AA22)*$D$1</f>
        <v>0</v>
      </c>
      <c r="AU25" s="16">
        <f>SUM(AP$7:AP25)</f>
        <v>0</v>
      </c>
      <c r="AV25" s="16">
        <f>SUM(AQ$7:AQ25)</f>
        <v>0</v>
      </c>
      <c r="AW25" s="16">
        <f>SUM(AR$7:AR25)</f>
        <v>0</v>
      </c>
      <c r="AX25" s="16">
        <f>SUM(AS$7:AS25)</f>
        <v>0</v>
      </c>
      <c r="AY25" s="16">
        <f>SUM(AT$7:AT25)</f>
        <v>0</v>
      </c>
    </row>
    <row r="26" spans="2:51">
      <c r="J26" s="16">
        <v>20</v>
      </c>
      <c r="K26" s="16">
        <f>MAX(求节点(节奏总纲!$O$4:$O$163,节奏总纲!P$4:P$163,$J26)-INT(C$13),0)*$D$1*$D$2</f>
        <v>0</v>
      </c>
      <c r="L26" s="16">
        <f>MAX(求节点(节奏总纲!$O$4:$O$163,节奏总纲!Q$4:Q$163,$J26)-INT(D$13),0)*$D$1*$D$2</f>
        <v>0</v>
      </c>
      <c r="M26" s="16">
        <f>MAX(求节点(节奏总纲!$O$4:$O$163,节奏总纲!R$4:R$163,$J26)-INT(E$13),0)*$D$1*$D$2</f>
        <v>0</v>
      </c>
      <c r="N26" s="16">
        <f>MAX(求节点(节奏总纲!$O$4:$O$163,节奏总纲!S$4:S$163,$J26)-INT(F$13),0)*$D$1*$D$2</f>
        <v>0</v>
      </c>
      <c r="O26" s="16">
        <f>MAX(求节点(节奏总纲!$O$4:$O$163,节奏总纲!T$4:T$163,$J26)-INT(G$13),0)*$D$1*$D$2</f>
        <v>0</v>
      </c>
      <c r="Q26" s="16">
        <v>20</v>
      </c>
      <c r="R26" s="16">
        <f>IF(节奏总纲!P23&lt;C$13,0,求节点($C$18:$C$23,$E$18:$E$23,$Q26)*节奏总纲!W23)*$D$1</f>
        <v>0</v>
      </c>
      <c r="S26" s="16">
        <f>IF(节奏总纲!Q23&lt;D$13,0,求节点($C$18:$C$23,$E$18:$E$23,$Q26)*节奏总纲!X23)*$D$1</f>
        <v>0</v>
      </c>
      <c r="T26" s="16">
        <f>IF(节奏总纲!R23&lt;E$13,0,求节点($C$18:$C$23,$E$18:$E$23,$Q26)*节奏总纲!Y23)*$D$1</f>
        <v>0</v>
      </c>
      <c r="U26" s="16">
        <f>IF(节奏总纲!S23&lt;F$13,0,求节点($C$18:$C$23,$E$18:$E$23,$Q26)*节奏总纲!Z23)*$D$1</f>
        <v>0</v>
      </c>
      <c r="V26" s="16">
        <f>IF(节奏总纲!T23&lt;G$13,0,求节点($C$18:$C$23,$E$18:$E$23,$Q26)*节奏总纲!AA23)*$D$1</f>
        <v>0</v>
      </c>
      <c r="W26" s="16">
        <f>SUM(R$7:R26)</f>
        <v>0</v>
      </c>
      <c r="X26" s="16">
        <f>SUM(S$7:S26)</f>
        <v>0</v>
      </c>
      <c r="Y26" s="16">
        <f>SUM(T$7:T26)</f>
        <v>0</v>
      </c>
      <c r="Z26" s="16">
        <f>SUM(U$7:U26)</f>
        <v>0</v>
      </c>
      <c r="AA26" s="16">
        <f>SUM(V$7:V26)</f>
        <v>0</v>
      </c>
      <c r="AC26" s="16">
        <v>20</v>
      </c>
      <c r="AD26" s="16">
        <f>IF(节奏总纲!P23&lt;C$13,0,求节点($C$18:$C$23,$F$18:$F$23,$Q26)*节奏总纲!W23)*$D$1</f>
        <v>0</v>
      </c>
      <c r="AE26" s="16">
        <f>IF(节奏总纲!Q23&lt;D$13,0,求节点($C$18:$C$23,$F$18:$F$23,$Q26)*节奏总纲!X23)*$D$1</f>
        <v>0</v>
      </c>
      <c r="AF26" s="16">
        <f>IF(节奏总纲!R23&lt;E$13,0,求节点($C$18:$C$23,$F$18:$F$23,$Q26)*节奏总纲!Y23)*$D$1</f>
        <v>0</v>
      </c>
      <c r="AG26" s="16">
        <f>IF(节奏总纲!S23&lt;F$13,0,求节点($C$18:$C$23,$F$18:$F$23,$Q26)*节奏总纲!Z23)*$D$1</f>
        <v>0</v>
      </c>
      <c r="AH26" s="16">
        <f>IF(节奏总纲!T23&lt;G$13,0,求节点($C$18:$C$23,$F$18:$F$23,$Q26)*节奏总纲!AA23)*$D$1</f>
        <v>0</v>
      </c>
      <c r="AI26" s="16">
        <f>SUM(AD$7:AD26)</f>
        <v>0</v>
      </c>
      <c r="AJ26" s="16">
        <f>SUM(AE$7:AE26)</f>
        <v>0</v>
      </c>
      <c r="AK26" s="16">
        <f>SUM(AF$7:AF26)</f>
        <v>0</v>
      </c>
      <c r="AL26" s="16">
        <f>SUM(AG$7:AG26)</f>
        <v>0</v>
      </c>
      <c r="AM26" s="16">
        <f>SUM(AH$7:AH26)</f>
        <v>0</v>
      </c>
      <c r="AO26" s="16">
        <v>20</v>
      </c>
      <c r="AP26" s="16">
        <f>IF(节奏总纲!P23&lt;C$13,0,求节点($C$18:$C$23,$H$18:$H$23,$Q26)*节奏总纲!W23)*$D$1</f>
        <v>0</v>
      </c>
      <c r="AQ26" s="16">
        <f>IF(节奏总纲!Q23&lt;D$13,0,求节点($C$18:$C$23,$H$18:$H$23,$Q26)*节奏总纲!X23)*$D$1</f>
        <v>0</v>
      </c>
      <c r="AR26" s="16">
        <f>IF(节奏总纲!R23&lt;E$13,0,求节点($C$18:$C$23,$H$18:$H$23,$Q26)*节奏总纲!Y23)*$D$1</f>
        <v>0</v>
      </c>
      <c r="AS26" s="16">
        <f>IF(节奏总纲!S23&lt;F$13,0,求节点($C$18:$C$23,$H$18:$H$23,$Q26)*节奏总纲!Z23)*$D$1</f>
        <v>0</v>
      </c>
      <c r="AT26" s="16">
        <f>IF(节奏总纲!T23&lt;G$13,0,求节点($C$18:$C$23,$H$18:$H$23,$Q26)*节奏总纲!AA23)*$D$1</f>
        <v>0</v>
      </c>
      <c r="AU26" s="16">
        <f>SUM(AP$7:AP26)</f>
        <v>0</v>
      </c>
      <c r="AV26" s="16">
        <f>SUM(AQ$7:AQ26)</f>
        <v>0</v>
      </c>
      <c r="AW26" s="16">
        <f>SUM(AR$7:AR26)</f>
        <v>0</v>
      </c>
      <c r="AX26" s="16">
        <f>SUM(AS$7:AS26)</f>
        <v>0</v>
      </c>
      <c r="AY26" s="16">
        <f>SUM(AT$7:AT26)</f>
        <v>0</v>
      </c>
    </row>
    <row r="27" spans="2:51">
      <c r="J27" s="16">
        <v>21</v>
      </c>
      <c r="K27" s="16">
        <f>MAX(求节点(节奏总纲!$O$4:$O$163,节奏总纲!P$4:P$163,$J27)-INT(C$13),0)*$D$1*$D$2</f>
        <v>0</v>
      </c>
      <c r="L27" s="16">
        <f>MAX(求节点(节奏总纲!$O$4:$O$163,节奏总纲!Q$4:Q$163,$J27)-INT(D$13),0)*$D$1*$D$2</f>
        <v>0</v>
      </c>
      <c r="M27" s="16">
        <f>MAX(求节点(节奏总纲!$O$4:$O$163,节奏总纲!R$4:R$163,$J27)-INT(E$13),0)*$D$1*$D$2</f>
        <v>0</v>
      </c>
      <c r="N27" s="16">
        <f>MAX(求节点(节奏总纲!$O$4:$O$163,节奏总纲!S$4:S$163,$J27)-INT(F$13),0)*$D$1*$D$2</f>
        <v>0</v>
      </c>
      <c r="O27" s="16">
        <f>MAX(求节点(节奏总纲!$O$4:$O$163,节奏总纲!T$4:T$163,$J27)-INT(G$13),0)*$D$1*$D$2</f>
        <v>0</v>
      </c>
      <c r="Q27" s="16">
        <v>21</v>
      </c>
      <c r="R27" s="16">
        <f>IF(节奏总纲!P24&lt;C$13,0,求节点($C$18:$C$23,$E$18:$E$23,$Q27)*节奏总纲!W24)*$D$1</f>
        <v>0</v>
      </c>
      <c r="S27" s="16">
        <f>IF(节奏总纲!Q24&lt;D$13,0,求节点($C$18:$C$23,$E$18:$E$23,$Q27)*节奏总纲!X24)*$D$1</f>
        <v>0</v>
      </c>
      <c r="T27" s="16">
        <f>IF(节奏总纲!R24&lt;E$13,0,求节点($C$18:$C$23,$E$18:$E$23,$Q27)*节奏总纲!Y24)*$D$1</f>
        <v>0</v>
      </c>
      <c r="U27" s="16">
        <f>IF(节奏总纲!S24&lt;F$13,0,求节点($C$18:$C$23,$E$18:$E$23,$Q27)*节奏总纲!Z24)*$D$1</f>
        <v>0</v>
      </c>
      <c r="V27" s="16">
        <f>IF(节奏总纲!T24&lt;G$13,0,求节点($C$18:$C$23,$E$18:$E$23,$Q27)*节奏总纲!AA24)*$D$1</f>
        <v>0</v>
      </c>
      <c r="W27" s="16">
        <f>SUM(R$7:R27)</f>
        <v>0</v>
      </c>
      <c r="X27" s="16">
        <f>SUM(S$7:S27)</f>
        <v>0</v>
      </c>
      <c r="Y27" s="16">
        <f>SUM(T$7:T27)</f>
        <v>0</v>
      </c>
      <c r="Z27" s="16">
        <f>SUM(U$7:U27)</f>
        <v>0</v>
      </c>
      <c r="AA27" s="16">
        <f>SUM(V$7:V27)</f>
        <v>0</v>
      </c>
      <c r="AC27" s="16">
        <v>21</v>
      </c>
      <c r="AD27" s="16">
        <f>IF(节奏总纲!P24&lt;C$13,0,求节点($C$18:$C$23,$F$18:$F$23,$Q27)*节奏总纲!W24)*$D$1</f>
        <v>0</v>
      </c>
      <c r="AE27" s="16">
        <f>IF(节奏总纲!Q24&lt;D$13,0,求节点($C$18:$C$23,$F$18:$F$23,$Q27)*节奏总纲!X24)*$D$1</f>
        <v>0</v>
      </c>
      <c r="AF27" s="16">
        <f>IF(节奏总纲!R24&lt;E$13,0,求节点($C$18:$C$23,$F$18:$F$23,$Q27)*节奏总纲!Y24)*$D$1</f>
        <v>0</v>
      </c>
      <c r="AG27" s="16">
        <f>IF(节奏总纲!S24&lt;F$13,0,求节点($C$18:$C$23,$F$18:$F$23,$Q27)*节奏总纲!Z24)*$D$1</f>
        <v>0</v>
      </c>
      <c r="AH27" s="16">
        <f>IF(节奏总纲!T24&lt;G$13,0,求节点($C$18:$C$23,$F$18:$F$23,$Q27)*节奏总纲!AA24)*$D$1</f>
        <v>0</v>
      </c>
      <c r="AI27" s="16">
        <f>SUM(AD$7:AD27)</f>
        <v>0</v>
      </c>
      <c r="AJ27" s="16">
        <f>SUM(AE$7:AE27)</f>
        <v>0</v>
      </c>
      <c r="AK27" s="16">
        <f>SUM(AF$7:AF27)</f>
        <v>0</v>
      </c>
      <c r="AL27" s="16">
        <f>SUM(AG$7:AG27)</f>
        <v>0</v>
      </c>
      <c r="AM27" s="16">
        <f>SUM(AH$7:AH27)</f>
        <v>0</v>
      </c>
      <c r="AO27" s="16">
        <v>21</v>
      </c>
      <c r="AP27" s="16">
        <f>IF(节奏总纲!P24&lt;C$13,0,求节点($C$18:$C$23,$H$18:$H$23,$Q27)*节奏总纲!W24)*$D$1</f>
        <v>0</v>
      </c>
      <c r="AQ27" s="16">
        <f>IF(节奏总纲!Q24&lt;D$13,0,求节点($C$18:$C$23,$H$18:$H$23,$Q27)*节奏总纲!X24)*$D$1</f>
        <v>0</v>
      </c>
      <c r="AR27" s="16">
        <f>IF(节奏总纲!R24&lt;E$13,0,求节点($C$18:$C$23,$H$18:$H$23,$Q27)*节奏总纲!Y24)*$D$1</f>
        <v>0</v>
      </c>
      <c r="AS27" s="16">
        <f>IF(节奏总纲!S24&lt;F$13,0,求节点($C$18:$C$23,$H$18:$H$23,$Q27)*节奏总纲!Z24)*$D$1</f>
        <v>0</v>
      </c>
      <c r="AT27" s="16">
        <f>IF(节奏总纲!T24&lt;G$13,0,求节点($C$18:$C$23,$H$18:$H$23,$Q27)*节奏总纲!AA24)*$D$1</f>
        <v>0</v>
      </c>
      <c r="AU27" s="16">
        <f>SUM(AP$7:AP27)</f>
        <v>0</v>
      </c>
      <c r="AV27" s="16">
        <f>SUM(AQ$7:AQ27)</f>
        <v>0</v>
      </c>
      <c r="AW27" s="16">
        <f>SUM(AR$7:AR27)</f>
        <v>0</v>
      </c>
      <c r="AX27" s="16">
        <f>SUM(AS$7:AS27)</f>
        <v>0</v>
      </c>
      <c r="AY27" s="16">
        <f>SUM(AT$7:AT27)</f>
        <v>0</v>
      </c>
    </row>
    <row r="28" spans="2:51">
      <c r="J28" s="16">
        <v>22</v>
      </c>
      <c r="K28" s="16">
        <f>MAX(求节点(节奏总纲!$O$4:$O$163,节奏总纲!P$4:P$163,$J28)-INT(C$13),0)*$D$1*$D$2</f>
        <v>0</v>
      </c>
      <c r="L28" s="16">
        <f>MAX(求节点(节奏总纲!$O$4:$O$163,节奏总纲!Q$4:Q$163,$J28)-INT(D$13),0)*$D$1*$D$2</f>
        <v>0</v>
      </c>
      <c r="M28" s="16">
        <f>MAX(求节点(节奏总纲!$O$4:$O$163,节奏总纲!R$4:R$163,$J28)-INT(E$13),0)*$D$1*$D$2</f>
        <v>0</v>
      </c>
      <c r="N28" s="16">
        <f>MAX(求节点(节奏总纲!$O$4:$O$163,节奏总纲!S$4:S$163,$J28)-INT(F$13),0)*$D$1*$D$2</f>
        <v>0</v>
      </c>
      <c r="O28" s="16">
        <f>MAX(求节点(节奏总纲!$O$4:$O$163,节奏总纲!T$4:T$163,$J28)-INT(G$13),0)*$D$1*$D$2</f>
        <v>0</v>
      </c>
      <c r="Q28" s="16">
        <v>22</v>
      </c>
      <c r="R28" s="16">
        <f>IF(节奏总纲!P25&lt;C$13,0,求节点($C$18:$C$23,$E$18:$E$23,$Q28)*节奏总纲!W25)*$D$1</f>
        <v>0</v>
      </c>
      <c r="S28" s="16">
        <f>IF(节奏总纲!Q25&lt;D$13,0,求节点($C$18:$C$23,$E$18:$E$23,$Q28)*节奏总纲!X25)*$D$1</f>
        <v>0</v>
      </c>
      <c r="T28" s="16">
        <f>IF(节奏总纲!R25&lt;E$13,0,求节点($C$18:$C$23,$E$18:$E$23,$Q28)*节奏总纲!Y25)*$D$1</f>
        <v>0</v>
      </c>
      <c r="U28" s="16">
        <f>IF(节奏总纲!S25&lt;F$13,0,求节点($C$18:$C$23,$E$18:$E$23,$Q28)*节奏总纲!Z25)*$D$1</f>
        <v>0</v>
      </c>
      <c r="V28" s="16">
        <f>IF(节奏总纲!T25&lt;G$13,0,求节点($C$18:$C$23,$E$18:$E$23,$Q28)*节奏总纲!AA25)*$D$1</f>
        <v>0</v>
      </c>
      <c r="W28" s="16">
        <f>SUM(R$7:R28)</f>
        <v>0</v>
      </c>
      <c r="X28" s="16">
        <f>SUM(S$7:S28)</f>
        <v>0</v>
      </c>
      <c r="Y28" s="16">
        <f>SUM(T$7:T28)</f>
        <v>0</v>
      </c>
      <c r="Z28" s="16">
        <f>SUM(U$7:U28)</f>
        <v>0</v>
      </c>
      <c r="AA28" s="16">
        <f>SUM(V$7:V28)</f>
        <v>0</v>
      </c>
      <c r="AC28" s="16">
        <v>22</v>
      </c>
      <c r="AD28" s="16">
        <f>IF(节奏总纲!P25&lt;C$13,0,求节点($C$18:$C$23,$F$18:$F$23,$Q28)*节奏总纲!W25)*$D$1</f>
        <v>0</v>
      </c>
      <c r="AE28" s="16">
        <f>IF(节奏总纲!Q25&lt;D$13,0,求节点($C$18:$C$23,$F$18:$F$23,$Q28)*节奏总纲!X25)*$D$1</f>
        <v>0</v>
      </c>
      <c r="AF28" s="16">
        <f>IF(节奏总纲!R25&lt;E$13,0,求节点($C$18:$C$23,$F$18:$F$23,$Q28)*节奏总纲!Y25)*$D$1</f>
        <v>0</v>
      </c>
      <c r="AG28" s="16">
        <f>IF(节奏总纲!S25&lt;F$13,0,求节点($C$18:$C$23,$F$18:$F$23,$Q28)*节奏总纲!Z25)*$D$1</f>
        <v>0</v>
      </c>
      <c r="AH28" s="16">
        <f>IF(节奏总纲!T25&lt;G$13,0,求节点($C$18:$C$23,$F$18:$F$23,$Q28)*节奏总纲!AA25)*$D$1</f>
        <v>0</v>
      </c>
      <c r="AI28" s="16">
        <f>SUM(AD$7:AD28)</f>
        <v>0</v>
      </c>
      <c r="AJ28" s="16">
        <f>SUM(AE$7:AE28)</f>
        <v>0</v>
      </c>
      <c r="AK28" s="16">
        <f>SUM(AF$7:AF28)</f>
        <v>0</v>
      </c>
      <c r="AL28" s="16">
        <f>SUM(AG$7:AG28)</f>
        <v>0</v>
      </c>
      <c r="AM28" s="16">
        <f>SUM(AH$7:AH28)</f>
        <v>0</v>
      </c>
      <c r="AO28" s="16">
        <v>22</v>
      </c>
      <c r="AP28" s="16">
        <f>IF(节奏总纲!P25&lt;C$13,0,求节点($C$18:$C$23,$H$18:$H$23,$Q28)*节奏总纲!W25)*$D$1</f>
        <v>0</v>
      </c>
      <c r="AQ28" s="16">
        <f>IF(节奏总纲!Q25&lt;D$13,0,求节点($C$18:$C$23,$H$18:$H$23,$Q28)*节奏总纲!X25)*$D$1</f>
        <v>0</v>
      </c>
      <c r="AR28" s="16">
        <f>IF(节奏总纲!R25&lt;E$13,0,求节点($C$18:$C$23,$H$18:$H$23,$Q28)*节奏总纲!Y25)*$D$1</f>
        <v>0</v>
      </c>
      <c r="AS28" s="16">
        <f>IF(节奏总纲!S25&lt;F$13,0,求节点($C$18:$C$23,$H$18:$H$23,$Q28)*节奏总纲!Z25)*$D$1</f>
        <v>0</v>
      </c>
      <c r="AT28" s="16">
        <f>IF(节奏总纲!T25&lt;G$13,0,求节点($C$18:$C$23,$H$18:$H$23,$Q28)*节奏总纲!AA25)*$D$1</f>
        <v>0</v>
      </c>
      <c r="AU28" s="16">
        <f>SUM(AP$7:AP28)</f>
        <v>0</v>
      </c>
      <c r="AV28" s="16">
        <f>SUM(AQ$7:AQ28)</f>
        <v>0</v>
      </c>
      <c r="AW28" s="16">
        <f>SUM(AR$7:AR28)</f>
        <v>0</v>
      </c>
      <c r="AX28" s="16">
        <f>SUM(AS$7:AS28)</f>
        <v>0</v>
      </c>
      <c r="AY28" s="16">
        <f>SUM(AT$7:AT28)</f>
        <v>0</v>
      </c>
    </row>
    <row r="29" spans="2:51">
      <c r="J29" s="16">
        <v>23</v>
      </c>
      <c r="K29" s="16">
        <f>MAX(求节点(节奏总纲!$O$4:$O$163,节奏总纲!P$4:P$163,$J29)-INT(C$13),0)*$D$1*$D$2</f>
        <v>0</v>
      </c>
      <c r="L29" s="16">
        <f>MAX(求节点(节奏总纲!$O$4:$O$163,节奏总纲!Q$4:Q$163,$J29)-INT(D$13),0)*$D$1*$D$2</f>
        <v>0</v>
      </c>
      <c r="M29" s="16">
        <f>MAX(求节点(节奏总纲!$O$4:$O$163,节奏总纲!R$4:R$163,$J29)-INT(E$13),0)*$D$1*$D$2</f>
        <v>0</v>
      </c>
      <c r="N29" s="16">
        <f>MAX(求节点(节奏总纲!$O$4:$O$163,节奏总纲!S$4:S$163,$J29)-INT(F$13),0)*$D$1*$D$2</f>
        <v>0</v>
      </c>
      <c r="O29" s="16">
        <f>MAX(求节点(节奏总纲!$O$4:$O$163,节奏总纲!T$4:T$163,$J29)-INT(G$13),0)*$D$1*$D$2</f>
        <v>0</v>
      </c>
      <c r="Q29" s="16">
        <v>23</v>
      </c>
      <c r="R29" s="16">
        <f>IF(节奏总纲!P26&lt;C$13,0,求节点($C$18:$C$23,$E$18:$E$23,$Q29)*节奏总纲!W26)*$D$1</f>
        <v>0</v>
      </c>
      <c r="S29" s="16">
        <f>IF(节奏总纲!Q26&lt;D$13,0,求节点($C$18:$C$23,$E$18:$E$23,$Q29)*节奏总纲!X26)*$D$1</f>
        <v>0</v>
      </c>
      <c r="T29" s="16">
        <f>IF(节奏总纲!R26&lt;E$13,0,求节点($C$18:$C$23,$E$18:$E$23,$Q29)*节奏总纲!Y26)*$D$1</f>
        <v>0</v>
      </c>
      <c r="U29" s="16">
        <f>IF(节奏总纲!S26&lt;F$13,0,求节点($C$18:$C$23,$E$18:$E$23,$Q29)*节奏总纲!Z26)*$D$1</f>
        <v>0</v>
      </c>
      <c r="V29" s="16">
        <f>IF(节奏总纲!T26&lt;G$13,0,求节点($C$18:$C$23,$E$18:$E$23,$Q29)*节奏总纲!AA26)*$D$1</f>
        <v>0</v>
      </c>
      <c r="W29" s="16">
        <f>SUM(R$7:R29)</f>
        <v>0</v>
      </c>
      <c r="X29" s="16">
        <f>SUM(S$7:S29)</f>
        <v>0</v>
      </c>
      <c r="Y29" s="16">
        <f>SUM(T$7:T29)</f>
        <v>0</v>
      </c>
      <c r="Z29" s="16">
        <f>SUM(U$7:U29)</f>
        <v>0</v>
      </c>
      <c r="AA29" s="16">
        <f>SUM(V$7:V29)</f>
        <v>0</v>
      </c>
      <c r="AC29" s="16">
        <v>23</v>
      </c>
      <c r="AD29" s="16">
        <f>IF(节奏总纲!P26&lt;C$13,0,求节点($C$18:$C$23,$F$18:$F$23,$Q29)*节奏总纲!W26)*$D$1</f>
        <v>0</v>
      </c>
      <c r="AE29" s="16">
        <f>IF(节奏总纲!Q26&lt;D$13,0,求节点($C$18:$C$23,$F$18:$F$23,$Q29)*节奏总纲!X26)*$D$1</f>
        <v>0</v>
      </c>
      <c r="AF29" s="16">
        <f>IF(节奏总纲!R26&lt;E$13,0,求节点($C$18:$C$23,$F$18:$F$23,$Q29)*节奏总纲!Y26)*$D$1</f>
        <v>0</v>
      </c>
      <c r="AG29" s="16">
        <f>IF(节奏总纲!S26&lt;F$13,0,求节点($C$18:$C$23,$F$18:$F$23,$Q29)*节奏总纲!Z26)*$D$1</f>
        <v>0</v>
      </c>
      <c r="AH29" s="16">
        <f>IF(节奏总纲!T26&lt;G$13,0,求节点($C$18:$C$23,$F$18:$F$23,$Q29)*节奏总纲!AA26)*$D$1</f>
        <v>0</v>
      </c>
      <c r="AI29" s="16">
        <f>SUM(AD$7:AD29)</f>
        <v>0</v>
      </c>
      <c r="AJ29" s="16">
        <f>SUM(AE$7:AE29)</f>
        <v>0</v>
      </c>
      <c r="AK29" s="16">
        <f>SUM(AF$7:AF29)</f>
        <v>0</v>
      </c>
      <c r="AL29" s="16">
        <f>SUM(AG$7:AG29)</f>
        <v>0</v>
      </c>
      <c r="AM29" s="16">
        <f>SUM(AH$7:AH29)</f>
        <v>0</v>
      </c>
      <c r="AO29" s="16">
        <v>23</v>
      </c>
      <c r="AP29" s="16">
        <f>IF(节奏总纲!P26&lt;C$13,0,求节点($C$18:$C$23,$H$18:$H$23,$Q29)*节奏总纲!W26)*$D$1</f>
        <v>0</v>
      </c>
      <c r="AQ29" s="16">
        <f>IF(节奏总纲!Q26&lt;D$13,0,求节点($C$18:$C$23,$H$18:$H$23,$Q29)*节奏总纲!X26)*$D$1</f>
        <v>0</v>
      </c>
      <c r="AR29" s="16">
        <f>IF(节奏总纲!R26&lt;E$13,0,求节点($C$18:$C$23,$H$18:$H$23,$Q29)*节奏总纲!Y26)*$D$1</f>
        <v>0</v>
      </c>
      <c r="AS29" s="16">
        <f>IF(节奏总纲!S26&lt;F$13,0,求节点($C$18:$C$23,$H$18:$H$23,$Q29)*节奏总纲!Z26)*$D$1</f>
        <v>0</v>
      </c>
      <c r="AT29" s="16">
        <f>IF(节奏总纲!T26&lt;G$13,0,求节点($C$18:$C$23,$H$18:$H$23,$Q29)*节奏总纲!AA26)*$D$1</f>
        <v>0</v>
      </c>
      <c r="AU29" s="16">
        <f>SUM(AP$7:AP29)</f>
        <v>0</v>
      </c>
      <c r="AV29" s="16">
        <f>SUM(AQ$7:AQ29)</f>
        <v>0</v>
      </c>
      <c r="AW29" s="16">
        <f>SUM(AR$7:AR29)</f>
        <v>0</v>
      </c>
      <c r="AX29" s="16">
        <f>SUM(AS$7:AS29)</f>
        <v>0</v>
      </c>
      <c r="AY29" s="16">
        <f>SUM(AT$7:AT29)</f>
        <v>0</v>
      </c>
    </row>
    <row r="30" spans="2:51">
      <c r="J30" s="16">
        <v>24</v>
      </c>
      <c r="K30" s="16">
        <f>MAX(求节点(节奏总纲!$O$4:$O$163,节奏总纲!P$4:P$163,$J30)-INT(C$13),0)*$D$1*$D$2</f>
        <v>0</v>
      </c>
      <c r="L30" s="16">
        <f>MAX(求节点(节奏总纲!$O$4:$O$163,节奏总纲!Q$4:Q$163,$J30)-INT(D$13),0)*$D$1*$D$2</f>
        <v>0</v>
      </c>
      <c r="M30" s="16">
        <f>MAX(求节点(节奏总纲!$O$4:$O$163,节奏总纲!R$4:R$163,$J30)-INT(E$13),0)*$D$1*$D$2</f>
        <v>0</v>
      </c>
      <c r="N30" s="16">
        <f>MAX(求节点(节奏总纲!$O$4:$O$163,节奏总纲!S$4:S$163,$J30)-INT(F$13),0)*$D$1*$D$2</f>
        <v>0</v>
      </c>
      <c r="O30" s="16">
        <f>MAX(求节点(节奏总纲!$O$4:$O$163,节奏总纲!T$4:T$163,$J30)-INT(G$13),0)*$D$1*$D$2</f>
        <v>0</v>
      </c>
      <c r="Q30" s="16">
        <v>24</v>
      </c>
      <c r="R30" s="16">
        <f>IF(节奏总纲!P27&lt;C$13,0,求节点($C$18:$C$23,$E$18:$E$23,$Q30)*节奏总纲!W27)*$D$1</f>
        <v>0</v>
      </c>
      <c r="S30" s="16">
        <f>IF(节奏总纲!Q27&lt;D$13,0,求节点($C$18:$C$23,$E$18:$E$23,$Q30)*节奏总纲!X27)*$D$1</f>
        <v>0</v>
      </c>
      <c r="T30" s="16">
        <f>IF(节奏总纲!R27&lt;E$13,0,求节点($C$18:$C$23,$E$18:$E$23,$Q30)*节奏总纲!Y27)*$D$1</f>
        <v>0</v>
      </c>
      <c r="U30" s="16">
        <f>IF(节奏总纲!S27&lt;F$13,0,求节点($C$18:$C$23,$E$18:$E$23,$Q30)*节奏总纲!Z27)*$D$1</f>
        <v>0</v>
      </c>
      <c r="V30" s="16">
        <f>IF(节奏总纲!T27&lt;G$13,0,求节点($C$18:$C$23,$E$18:$E$23,$Q30)*节奏总纲!AA27)*$D$1</f>
        <v>0</v>
      </c>
      <c r="W30" s="16">
        <f>SUM(R$7:R30)</f>
        <v>0</v>
      </c>
      <c r="X30" s="16">
        <f>SUM(S$7:S30)</f>
        <v>0</v>
      </c>
      <c r="Y30" s="16">
        <f>SUM(T$7:T30)</f>
        <v>0</v>
      </c>
      <c r="Z30" s="16">
        <f>SUM(U$7:U30)</f>
        <v>0</v>
      </c>
      <c r="AA30" s="16">
        <f>SUM(V$7:V30)</f>
        <v>0</v>
      </c>
      <c r="AC30" s="16">
        <v>24</v>
      </c>
      <c r="AD30" s="16">
        <f>IF(节奏总纲!P27&lt;C$13,0,求节点($C$18:$C$23,$F$18:$F$23,$Q30)*节奏总纲!W27)*$D$1</f>
        <v>0</v>
      </c>
      <c r="AE30" s="16">
        <f>IF(节奏总纲!Q27&lt;D$13,0,求节点($C$18:$C$23,$F$18:$F$23,$Q30)*节奏总纲!X27)*$D$1</f>
        <v>0</v>
      </c>
      <c r="AF30" s="16">
        <f>IF(节奏总纲!R27&lt;E$13,0,求节点($C$18:$C$23,$F$18:$F$23,$Q30)*节奏总纲!Y27)*$D$1</f>
        <v>0</v>
      </c>
      <c r="AG30" s="16">
        <f>IF(节奏总纲!S27&lt;F$13,0,求节点($C$18:$C$23,$F$18:$F$23,$Q30)*节奏总纲!Z27)*$D$1</f>
        <v>0</v>
      </c>
      <c r="AH30" s="16">
        <f>IF(节奏总纲!T27&lt;G$13,0,求节点($C$18:$C$23,$F$18:$F$23,$Q30)*节奏总纲!AA27)*$D$1</f>
        <v>0</v>
      </c>
      <c r="AI30" s="16">
        <f>SUM(AD$7:AD30)</f>
        <v>0</v>
      </c>
      <c r="AJ30" s="16">
        <f>SUM(AE$7:AE30)</f>
        <v>0</v>
      </c>
      <c r="AK30" s="16">
        <f>SUM(AF$7:AF30)</f>
        <v>0</v>
      </c>
      <c r="AL30" s="16">
        <f>SUM(AG$7:AG30)</f>
        <v>0</v>
      </c>
      <c r="AM30" s="16">
        <f>SUM(AH$7:AH30)</f>
        <v>0</v>
      </c>
      <c r="AO30" s="16">
        <v>24</v>
      </c>
      <c r="AP30" s="16">
        <f>IF(节奏总纲!P27&lt;C$13,0,求节点($C$18:$C$23,$H$18:$H$23,$Q30)*节奏总纲!W27)*$D$1</f>
        <v>0</v>
      </c>
      <c r="AQ30" s="16">
        <f>IF(节奏总纲!Q27&lt;D$13,0,求节点($C$18:$C$23,$H$18:$H$23,$Q30)*节奏总纲!X27)*$D$1</f>
        <v>0</v>
      </c>
      <c r="AR30" s="16">
        <f>IF(节奏总纲!R27&lt;E$13,0,求节点($C$18:$C$23,$H$18:$H$23,$Q30)*节奏总纲!Y27)*$D$1</f>
        <v>0</v>
      </c>
      <c r="AS30" s="16">
        <f>IF(节奏总纲!S27&lt;F$13,0,求节点($C$18:$C$23,$H$18:$H$23,$Q30)*节奏总纲!Z27)*$D$1</f>
        <v>0</v>
      </c>
      <c r="AT30" s="16">
        <f>IF(节奏总纲!T27&lt;G$13,0,求节点($C$18:$C$23,$H$18:$H$23,$Q30)*节奏总纲!AA27)*$D$1</f>
        <v>0</v>
      </c>
      <c r="AU30" s="16">
        <f>SUM(AP$7:AP30)</f>
        <v>0</v>
      </c>
      <c r="AV30" s="16">
        <f>SUM(AQ$7:AQ30)</f>
        <v>0</v>
      </c>
      <c r="AW30" s="16">
        <f>SUM(AR$7:AR30)</f>
        <v>0</v>
      </c>
      <c r="AX30" s="16">
        <f>SUM(AS$7:AS30)</f>
        <v>0</v>
      </c>
      <c r="AY30" s="16">
        <f>SUM(AT$7:AT30)</f>
        <v>0</v>
      </c>
    </row>
    <row r="31" spans="2:51">
      <c r="J31" s="16">
        <v>25</v>
      </c>
      <c r="K31" s="16">
        <f>MAX(求节点(节奏总纲!$O$4:$O$163,节奏总纲!P$4:P$163,$J31)-INT(C$13),0)*$D$1*$D$2</f>
        <v>0</v>
      </c>
      <c r="L31" s="16">
        <f>MAX(求节点(节奏总纲!$O$4:$O$163,节奏总纲!Q$4:Q$163,$J31)-INT(D$13),0)*$D$1*$D$2</f>
        <v>0</v>
      </c>
      <c r="M31" s="16">
        <f>MAX(求节点(节奏总纲!$O$4:$O$163,节奏总纲!R$4:R$163,$J31)-INT(E$13),0)*$D$1*$D$2</f>
        <v>0</v>
      </c>
      <c r="N31" s="16">
        <f>MAX(求节点(节奏总纲!$O$4:$O$163,节奏总纲!S$4:S$163,$J31)-INT(F$13),0)*$D$1*$D$2</f>
        <v>0</v>
      </c>
      <c r="O31" s="16">
        <f>MAX(求节点(节奏总纲!$O$4:$O$163,节奏总纲!T$4:T$163,$J31)-INT(G$13),0)*$D$1*$D$2</f>
        <v>0</v>
      </c>
      <c r="Q31" s="16">
        <v>25</v>
      </c>
      <c r="R31" s="16">
        <f>IF(节奏总纲!P28&lt;C$13,0,求节点($C$18:$C$23,$E$18:$E$23,$Q31)*节奏总纲!W28)*$D$1</f>
        <v>0</v>
      </c>
      <c r="S31" s="16">
        <f>IF(节奏总纲!Q28&lt;D$13,0,求节点($C$18:$C$23,$E$18:$E$23,$Q31)*节奏总纲!X28)*$D$1</f>
        <v>0</v>
      </c>
      <c r="T31" s="16">
        <f>IF(节奏总纲!R28&lt;E$13,0,求节点($C$18:$C$23,$E$18:$E$23,$Q31)*节奏总纲!Y28)*$D$1</f>
        <v>0</v>
      </c>
      <c r="U31" s="16">
        <f>IF(节奏总纲!S28&lt;F$13,0,求节点($C$18:$C$23,$E$18:$E$23,$Q31)*节奏总纲!Z28)*$D$1</f>
        <v>0</v>
      </c>
      <c r="V31" s="16">
        <f>IF(节奏总纲!T28&lt;G$13,0,求节点($C$18:$C$23,$E$18:$E$23,$Q31)*节奏总纲!AA28)*$D$1</f>
        <v>0</v>
      </c>
      <c r="W31" s="16">
        <f>SUM(R$7:R31)</f>
        <v>0</v>
      </c>
      <c r="X31" s="16">
        <f>SUM(S$7:S31)</f>
        <v>0</v>
      </c>
      <c r="Y31" s="16">
        <f>SUM(T$7:T31)</f>
        <v>0</v>
      </c>
      <c r="Z31" s="16">
        <f>SUM(U$7:U31)</f>
        <v>0</v>
      </c>
      <c r="AA31" s="16">
        <f>SUM(V$7:V31)</f>
        <v>0</v>
      </c>
      <c r="AC31" s="16">
        <v>25</v>
      </c>
      <c r="AD31" s="16">
        <f>IF(节奏总纲!P28&lt;C$13,0,求节点($C$18:$C$23,$F$18:$F$23,$Q31)*节奏总纲!W28)*$D$1</f>
        <v>0</v>
      </c>
      <c r="AE31" s="16">
        <f>IF(节奏总纲!Q28&lt;D$13,0,求节点($C$18:$C$23,$F$18:$F$23,$Q31)*节奏总纲!X28)*$D$1</f>
        <v>0</v>
      </c>
      <c r="AF31" s="16">
        <f>IF(节奏总纲!R28&lt;E$13,0,求节点($C$18:$C$23,$F$18:$F$23,$Q31)*节奏总纲!Y28)*$D$1</f>
        <v>0</v>
      </c>
      <c r="AG31" s="16">
        <f>IF(节奏总纲!S28&lt;F$13,0,求节点($C$18:$C$23,$F$18:$F$23,$Q31)*节奏总纲!Z28)*$D$1</f>
        <v>0</v>
      </c>
      <c r="AH31" s="16">
        <f>IF(节奏总纲!T28&lt;G$13,0,求节点($C$18:$C$23,$F$18:$F$23,$Q31)*节奏总纲!AA28)*$D$1</f>
        <v>0</v>
      </c>
      <c r="AI31" s="16">
        <f>SUM(AD$7:AD31)</f>
        <v>0</v>
      </c>
      <c r="AJ31" s="16">
        <f>SUM(AE$7:AE31)</f>
        <v>0</v>
      </c>
      <c r="AK31" s="16">
        <f>SUM(AF$7:AF31)</f>
        <v>0</v>
      </c>
      <c r="AL31" s="16">
        <f>SUM(AG$7:AG31)</f>
        <v>0</v>
      </c>
      <c r="AM31" s="16">
        <f>SUM(AH$7:AH31)</f>
        <v>0</v>
      </c>
      <c r="AO31" s="16">
        <v>25</v>
      </c>
      <c r="AP31" s="16">
        <f>IF(节奏总纲!P28&lt;C$13,0,求节点($C$18:$C$23,$H$18:$H$23,$Q31)*节奏总纲!W28)*$D$1</f>
        <v>0</v>
      </c>
      <c r="AQ31" s="16">
        <f>IF(节奏总纲!Q28&lt;D$13,0,求节点($C$18:$C$23,$H$18:$H$23,$Q31)*节奏总纲!X28)*$D$1</f>
        <v>0</v>
      </c>
      <c r="AR31" s="16">
        <f>IF(节奏总纲!R28&lt;E$13,0,求节点($C$18:$C$23,$H$18:$H$23,$Q31)*节奏总纲!Y28)*$D$1</f>
        <v>0</v>
      </c>
      <c r="AS31" s="16">
        <f>IF(节奏总纲!S28&lt;F$13,0,求节点($C$18:$C$23,$H$18:$H$23,$Q31)*节奏总纲!Z28)*$D$1</f>
        <v>0</v>
      </c>
      <c r="AT31" s="16">
        <f>IF(节奏总纲!T28&lt;G$13,0,求节点($C$18:$C$23,$H$18:$H$23,$Q31)*节奏总纲!AA28)*$D$1</f>
        <v>0</v>
      </c>
      <c r="AU31" s="16">
        <f>SUM(AP$7:AP31)</f>
        <v>0</v>
      </c>
      <c r="AV31" s="16">
        <f>SUM(AQ$7:AQ31)</f>
        <v>0</v>
      </c>
      <c r="AW31" s="16">
        <f>SUM(AR$7:AR31)</f>
        <v>0</v>
      </c>
      <c r="AX31" s="16">
        <f>SUM(AS$7:AS31)</f>
        <v>0</v>
      </c>
      <c r="AY31" s="16">
        <f>SUM(AT$7:AT31)</f>
        <v>0</v>
      </c>
    </row>
    <row r="32" spans="2:51">
      <c r="J32" s="16">
        <v>26</v>
      </c>
      <c r="K32" s="16">
        <f>MAX(求节点(节奏总纲!$O$4:$O$163,节奏总纲!P$4:P$163,$J32)-INT(C$13),0)*$D$1*$D$2</f>
        <v>0</v>
      </c>
      <c r="L32" s="16">
        <f>MAX(求节点(节奏总纲!$O$4:$O$163,节奏总纲!Q$4:Q$163,$J32)-INT(D$13),0)*$D$1*$D$2</f>
        <v>0</v>
      </c>
      <c r="M32" s="16">
        <f>MAX(求节点(节奏总纲!$O$4:$O$163,节奏总纲!R$4:R$163,$J32)-INT(E$13),0)*$D$1*$D$2</f>
        <v>0</v>
      </c>
      <c r="N32" s="16">
        <f>MAX(求节点(节奏总纲!$O$4:$O$163,节奏总纲!S$4:S$163,$J32)-INT(F$13),0)*$D$1*$D$2</f>
        <v>0</v>
      </c>
      <c r="O32" s="16">
        <f>MAX(求节点(节奏总纲!$O$4:$O$163,节奏总纲!T$4:T$163,$J32)-INT(G$13),0)*$D$1*$D$2</f>
        <v>0</v>
      </c>
      <c r="Q32" s="16">
        <v>26</v>
      </c>
      <c r="R32" s="16">
        <f>IF(节奏总纲!P29&lt;C$13,0,求节点($C$18:$C$23,$E$18:$E$23,$Q32)*节奏总纲!W29)*$D$1</f>
        <v>0</v>
      </c>
      <c r="S32" s="16">
        <f>IF(节奏总纲!Q29&lt;D$13,0,求节点($C$18:$C$23,$E$18:$E$23,$Q32)*节奏总纲!X29)*$D$1</f>
        <v>0</v>
      </c>
      <c r="T32" s="16">
        <f>IF(节奏总纲!R29&lt;E$13,0,求节点($C$18:$C$23,$E$18:$E$23,$Q32)*节奏总纲!Y29)*$D$1</f>
        <v>0</v>
      </c>
      <c r="U32" s="16">
        <f>IF(节奏总纲!S29&lt;F$13,0,求节点($C$18:$C$23,$E$18:$E$23,$Q32)*节奏总纲!Z29)*$D$1</f>
        <v>0</v>
      </c>
      <c r="V32" s="16">
        <f>IF(节奏总纲!T29&lt;G$13,0,求节点($C$18:$C$23,$E$18:$E$23,$Q32)*节奏总纲!AA29)*$D$1</f>
        <v>0</v>
      </c>
      <c r="W32" s="16">
        <f>SUM(R$7:R32)</f>
        <v>0</v>
      </c>
      <c r="X32" s="16">
        <f>SUM(S$7:S32)</f>
        <v>0</v>
      </c>
      <c r="Y32" s="16">
        <f>SUM(T$7:T32)</f>
        <v>0</v>
      </c>
      <c r="Z32" s="16">
        <f>SUM(U$7:U32)</f>
        <v>0</v>
      </c>
      <c r="AA32" s="16">
        <f>SUM(V$7:V32)</f>
        <v>0</v>
      </c>
      <c r="AC32" s="16">
        <v>26</v>
      </c>
      <c r="AD32" s="16">
        <f>IF(节奏总纲!P29&lt;C$13,0,求节点($C$18:$C$23,$F$18:$F$23,$Q32)*节奏总纲!W29)*$D$1</f>
        <v>0</v>
      </c>
      <c r="AE32" s="16">
        <f>IF(节奏总纲!Q29&lt;D$13,0,求节点($C$18:$C$23,$F$18:$F$23,$Q32)*节奏总纲!X29)*$D$1</f>
        <v>0</v>
      </c>
      <c r="AF32" s="16">
        <f>IF(节奏总纲!R29&lt;E$13,0,求节点($C$18:$C$23,$F$18:$F$23,$Q32)*节奏总纲!Y29)*$D$1</f>
        <v>0</v>
      </c>
      <c r="AG32" s="16">
        <f>IF(节奏总纲!S29&lt;F$13,0,求节点($C$18:$C$23,$F$18:$F$23,$Q32)*节奏总纲!Z29)*$D$1</f>
        <v>0</v>
      </c>
      <c r="AH32" s="16">
        <f>IF(节奏总纲!T29&lt;G$13,0,求节点($C$18:$C$23,$F$18:$F$23,$Q32)*节奏总纲!AA29)*$D$1</f>
        <v>0</v>
      </c>
      <c r="AI32" s="16">
        <f>SUM(AD$7:AD32)</f>
        <v>0</v>
      </c>
      <c r="AJ32" s="16">
        <f>SUM(AE$7:AE32)</f>
        <v>0</v>
      </c>
      <c r="AK32" s="16">
        <f>SUM(AF$7:AF32)</f>
        <v>0</v>
      </c>
      <c r="AL32" s="16">
        <f>SUM(AG$7:AG32)</f>
        <v>0</v>
      </c>
      <c r="AM32" s="16">
        <f>SUM(AH$7:AH32)</f>
        <v>0</v>
      </c>
      <c r="AO32" s="16">
        <v>26</v>
      </c>
      <c r="AP32" s="16">
        <f>IF(节奏总纲!P29&lt;C$13,0,求节点($C$18:$C$23,$H$18:$H$23,$Q32)*节奏总纲!W29)*$D$1</f>
        <v>0</v>
      </c>
      <c r="AQ32" s="16">
        <f>IF(节奏总纲!Q29&lt;D$13,0,求节点($C$18:$C$23,$H$18:$H$23,$Q32)*节奏总纲!X29)*$D$1</f>
        <v>0</v>
      </c>
      <c r="AR32" s="16">
        <f>IF(节奏总纲!R29&lt;E$13,0,求节点($C$18:$C$23,$H$18:$H$23,$Q32)*节奏总纲!Y29)*$D$1</f>
        <v>0</v>
      </c>
      <c r="AS32" s="16">
        <f>IF(节奏总纲!S29&lt;F$13,0,求节点($C$18:$C$23,$H$18:$H$23,$Q32)*节奏总纲!Z29)*$D$1</f>
        <v>0</v>
      </c>
      <c r="AT32" s="16">
        <f>IF(节奏总纲!T29&lt;G$13,0,求节点($C$18:$C$23,$H$18:$H$23,$Q32)*节奏总纲!AA29)*$D$1</f>
        <v>0</v>
      </c>
      <c r="AU32" s="16">
        <f>SUM(AP$7:AP32)</f>
        <v>0</v>
      </c>
      <c r="AV32" s="16">
        <f>SUM(AQ$7:AQ32)</f>
        <v>0</v>
      </c>
      <c r="AW32" s="16">
        <f>SUM(AR$7:AR32)</f>
        <v>0</v>
      </c>
      <c r="AX32" s="16">
        <f>SUM(AS$7:AS32)</f>
        <v>0</v>
      </c>
      <c r="AY32" s="16">
        <f>SUM(AT$7:AT32)</f>
        <v>0</v>
      </c>
    </row>
    <row r="33" spans="10:51">
      <c r="J33" s="16">
        <v>27</v>
      </c>
      <c r="K33" s="16">
        <f>MAX(求节点(节奏总纲!$O$4:$O$163,节奏总纲!P$4:P$163,$J33)-INT(C$13),0)*$D$1*$D$2</f>
        <v>0</v>
      </c>
      <c r="L33" s="16">
        <f>MAX(求节点(节奏总纲!$O$4:$O$163,节奏总纲!Q$4:Q$163,$J33)-INT(D$13),0)*$D$1*$D$2</f>
        <v>0</v>
      </c>
      <c r="M33" s="16">
        <f>MAX(求节点(节奏总纲!$O$4:$O$163,节奏总纲!R$4:R$163,$J33)-INT(E$13),0)*$D$1*$D$2</f>
        <v>0</v>
      </c>
      <c r="N33" s="16">
        <f>MAX(求节点(节奏总纲!$O$4:$O$163,节奏总纲!S$4:S$163,$J33)-INT(F$13),0)*$D$1*$D$2</f>
        <v>0</v>
      </c>
      <c r="O33" s="16">
        <f>MAX(求节点(节奏总纲!$O$4:$O$163,节奏总纲!T$4:T$163,$J33)-INT(G$13),0)*$D$1*$D$2</f>
        <v>0</v>
      </c>
      <c r="Q33" s="16">
        <v>27</v>
      </c>
      <c r="R33" s="16">
        <f>IF(节奏总纲!P30&lt;C$13,0,求节点($C$18:$C$23,$E$18:$E$23,$Q33)*节奏总纲!W30)*$D$1</f>
        <v>0</v>
      </c>
      <c r="S33" s="16">
        <f>IF(节奏总纲!Q30&lt;D$13,0,求节点($C$18:$C$23,$E$18:$E$23,$Q33)*节奏总纲!X30)*$D$1</f>
        <v>0</v>
      </c>
      <c r="T33" s="16">
        <f>IF(节奏总纲!R30&lt;E$13,0,求节点($C$18:$C$23,$E$18:$E$23,$Q33)*节奏总纲!Y30)*$D$1</f>
        <v>0</v>
      </c>
      <c r="U33" s="16">
        <f>IF(节奏总纲!S30&lt;F$13,0,求节点($C$18:$C$23,$E$18:$E$23,$Q33)*节奏总纲!Z30)*$D$1</f>
        <v>0</v>
      </c>
      <c r="V33" s="16">
        <f>IF(节奏总纲!T30&lt;G$13,0,求节点($C$18:$C$23,$E$18:$E$23,$Q33)*节奏总纲!AA30)*$D$1</f>
        <v>0</v>
      </c>
      <c r="W33" s="16">
        <f>SUM(R$7:R33)</f>
        <v>0</v>
      </c>
      <c r="X33" s="16">
        <f>SUM(S$7:S33)</f>
        <v>0</v>
      </c>
      <c r="Y33" s="16">
        <f>SUM(T$7:T33)</f>
        <v>0</v>
      </c>
      <c r="Z33" s="16">
        <f>SUM(U$7:U33)</f>
        <v>0</v>
      </c>
      <c r="AA33" s="16">
        <f>SUM(V$7:V33)</f>
        <v>0</v>
      </c>
      <c r="AC33" s="16">
        <v>27</v>
      </c>
      <c r="AD33" s="16">
        <f>IF(节奏总纲!P30&lt;C$13,0,求节点($C$18:$C$23,$F$18:$F$23,$Q33)*节奏总纲!W30)*$D$1</f>
        <v>0</v>
      </c>
      <c r="AE33" s="16">
        <f>IF(节奏总纲!Q30&lt;D$13,0,求节点($C$18:$C$23,$F$18:$F$23,$Q33)*节奏总纲!X30)*$D$1</f>
        <v>0</v>
      </c>
      <c r="AF33" s="16">
        <f>IF(节奏总纲!R30&lt;E$13,0,求节点($C$18:$C$23,$F$18:$F$23,$Q33)*节奏总纲!Y30)*$D$1</f>
        <v>0</v>
      </c>
      <c r="AG33" s="16">
        <f>IF(节奏总纲!S30&lt;F$13,0,求节点($C$18:$C$23,$F$18:$F$23,$Q33)*节奏总纲!Z30)*$D$1</f>
        <v>0</v>
      </c>
      <c r="AH33" s="16">
        <f>IF(节奏总纲!T30&lt;G$13,0,求节点($C$18:$C$23,$F$18:$F$23,$Q33)*节奏总纲!AA30)*$D$1</f>
        <v>0</v>
      </c>
      <c r="AI33" s="16">
        <f>SUM(AD$7:AD33)</f>
        <v>0</v>
      </c>
      <c r="AJ33" s="16">
        <f>SUM(AE$7:AE33)</f>
        <v>0</v>
      </c>
      <c r="AK33" s="16">
        <f>SUM(AF$7:AF33)</f>
        <v>0</v>
      </c>
      <c r="AL33" s="16">
        <f>SUM(AG$7:AG33)</f>
        <v>0</v>
      </c>
      <c r="AM33" s="16">
        <f>SUM(AH$7:AH33)</f>
        <v>0</v>
      </c>
      <c r="AO33" s="16">
        <v>27</v>
      </c>
      <c r="AP33" s="16">
        <f>IF(节奏总纲!P30&lt;C$13,0,求节点($C$18:$C$23,$H$18:$H$23,$Q33)*节奏总纲!W30)*$D$1</f>
        <v>0</v>
      </c>
      <c r="AQ33" s="16">
        <f>IF(节奏总纲!Q30&lt;D$13,0,求节点($C$18:$C$23,$H$18:$H$23,$Q33)*节奏总纲!X30)*$D$1</f>
        <v>0</v>
      </c>
      <c r="AR33" s="16">
        <f>IF(节奏总纲!R30&lt;E$13,0,求节点($C$18:$C$23,$H$18:$H$23,$Q33)*节奏总纲!Y30)*$D$1</f>
        <v>0</v>
      </c>
      <c r="AS33" s="16">
        <f>IF(节奏总纲!S30&lt;F$13,0,求节点($C$18:$C$23,$H$18:$H$23,$Q33)*节奏总纲!Z30)*$D$1</f>
        <v>0</v>
      </c>
      <c r="AT33" s="16">
        <f>IF(节奏总纲!T30&lt;G$13,0,求节点($C$18:$C$23,$H$18:$H$23,$Q33)*节奏总纲!AA30)*$D$1</f>
        <v>0</v>
      </c>
      <c r="AU33" s="16">
        <f>SUM(AP$7:AP33)</f>
        <v>0</v>
      </c>
      <c r="AV33" s="16">
        <f>SUM(AQ$7:AQ33)</f>
        <v>0</v>
      </c>
      <c r="AW33" s="16">
        <f>SUM(AR$7:AR33)</f>
        <v>0</v>
      </c>
      <c r="AX33" s="16">
        <f>SUM(AS$7:AS33)</f>
        <v>0</v>
      </c>
      <c r="AY33" s="16">
        <f>SUM(AT$7:AT33)</f>
        <v>0</v>
      </c>
    </row>
    <row r="34" spans="10:51">
      <c r="J34" s="16">
        <v>28</v>
      </c>
      <c r="K34" s="16">
        <f>MAX(求节点(节奏总纲!$O$4:$O$163,节奏总纲!P$4:P$163,$J34)-INT(C$13),0)*$D$1*$D$2</f>
        <v>0</v>
      </c>
      <c r="L34" s="16">
        <f>MAX(求节点(节奏总纲!$O$4:$O$163,节奏总纲!Q$4:Q$163,$J34)-INT(D$13),0)*$D$1*$D$2</f>
        <v>0</v>
      </c>
      <c r="M34" s="16">
        <f>MAX(求节点(节奏总纲!$O$4:$O$163,节奏总纲!R$4:R$163,$J34)-INT(E$13),0)*$D$1*$D$2</f>
        <v>0</v>
      </c>
      <c r="N34" s="16">
        <f>MAX(求节点(节奏总纲!$O$4:$O$163,节奏总纲!S$4:S$163,$J34)-INT(F$13),0)*$D$1*$D$2</f>
        <v>0</v>
      </c>
      <c r="O34" s="16">
        <f>MAX(求节点(节奏总纲!$O$4:$O$163,节奏总纲!T$4:T$163,$J34)-INT(G$13),0)*$D$1*$D$2</f>
        <v>0</v>
      </c>
      <c r="Q34" s="16">
        <v>28</v>
      </c>
      <c r="R34" s="16">
        <f>IF(节奏总纲!P31&lt;C$13,0,求节点($C$18:$C$23,$E$18:$E$23,$Q34)*节奏总纲!W31)*$D$1</f>
        <v>0</v>
      </c>
      <c r="S34" s="16">
        <f>IF(节奏总纲!Q31&lt;D$13,0,求节点($C$18:$C$23,$E$18:$E$23,$Q34)*节奏总纲!X31)*$D$1</f>
        <v>0</v>
      </c>
      <c r="T34" s="16">
        <f>IF(节奏总纲!R31&lt;E$13,0,求节点($C$18:$C$23,$E$18:$E$23,$Q34)*节奏总纲!Y31)*$D$1</f>
        <v>0</v>
      </c>
      <c r="U34" s="16">
        <f>IF(节奏总纲!S31&lt;F$13,0,求节点($C$18:$C$23,$E$18:$E$23,$Q34)*节奏总纲!Z31)*$D$1</f>
        <v>0</v>
      </c>
      <c r="V34" s="16">
        <f>IF(节奏总纲!T31&lt;G$13,0,求节点($C$18:$C$23,$E$18:$E$23,$Q34)*节奏总纲!AA31)*$D$1</f>
        <v>0</v>
      </c>
      <c r="W34" s="16">
        <f>SUM(R$7:R34)</f>
        <v>0</v>
      </c>
      <c r="X34" s="16">
        <f>SUM(S$7:S34)</f>
        <v>0</v>
      </c>
      <c r="Y34" s="16">
        <f>SUM(T$7:T34)</f>
        <v>0</v>
      </c>
      <c r="Z34" s="16">
        <f>SUM(U$7:U34)</f>
        <v>0</v>
      </c>
      <c r="AA34" s="16">
        <f>SUM(V$7:V34)</f>
        <v>0</v>
      </c>
      <c r="AC34" s="16">
        <v>28</v>
      </c>
      <c r="AD34" s="16">
        <f>IF(节奏总纲!P31&lt;C$13,0,求节点($C$18:$C$23,$F$18:$F$23,$Q34)*节奏总纲!W31)*$D$1</f>
        <v>0</v>
      </c>
      <c r="AE34" s="16">
        <f>IF(节奏总纲!Q31&lt;D$13,0,求节点($C$18:$C$23,$F$18:$F$23,$Q34)*节奏总纲!X31)*$D$1</f>
        <v>0</v>
      </c>
      <c r="AF34" s="16">
        <f>IF(节奏总纲!R31&lt;E$13,0,求节点($C$18:$C$23,$F$18:$F$23,$Q34)*节奏总纲!Y31)*$D$1</f>
        <v>0</v>
      </c>
      <c r="AG34" s="16">
        <f>IF(节奏总纲!S31&lt;F$13,0,求节点($C$18:$C$23,$F$18:$F$23,$Q34)*节奏总纲!Z31)*$D$1</f>
        <v>0</v>
      </c>
      <c r="AH34" s="16">
        <f>IF(节奏总纲!T31&lt;G$13,0,求节点($C$18:$C$23,$F$18:$F$23,$Q34)*节奏总纲!AA31)*$D$1</f>
        <v>0</v>
      </c>
      <c r="AI34" s="16">
        <f>SUM(AD$7:AD34)</f>
        <v>0</v>
      </c>
      <c r="AJ34" s="16">
        <f>SUM(AE$7:AE34)</f>
        <v>0</v>
      </c>
      <c r="AK34" s="16">
        <f>SUM(AF$7:AF34)</f>
        <v>0</v>
      </c>
      <c r="AL34" s="16">
        <f>SUM(AG$7:AG34)</f>
        <v>0</v>
      </c>
      <c r="AM34" s="16">
        <f>SUM(AH$7:AH34)</f>
        <v>0</v>
      </c>
      <c r="AO34" s="16">
        <v>28</v>
      </c>
      <c r="AP34" s="16">
        <f>IF(节奏总纲!P31&lt;C$13,0,求节点($C$18:$C$23,$H$18:$H$23,$Q34)*节奏总纲!W31)*$D$1</f>
        <v>0</v>
      </c>
      <c r="AQ34" s="16">
        <f>IF(节奏总纲!Q31&lt;D$13,0,求节点($C$18:$C$23,$H$18:$H$23,$Q34)*节奏总纲!X31)*$D$1</f>
        <v>0</v>
      </c>
      <c r="AR34" s="16">
        <f>IF(节奏总纲!R31&lt;E$13,0,求节点($C$18:$C$23,$H$18:$H$23,$Q34)*节奏总纲!Y31)*$D$1</f>
        <v>0</v>
      </c>
      <c r="AS34" s="16">
        <f>IF(节奏总纲!S31&lt;F$13,0,求节点($C$18:$C$23,$H$18:$H$23,$Q34)*节奏总纲!Z31)*$D$1</f>
        <v>0</v>
      </c>
      <c r="AT34" s="16">
        <f>IF(节奏总纲!T31&lt;G$13,0,求节点($C$18:$C$23,$H$18:$H$23,$Q34)*节奏总纲!AA31)*$D$1</f>
        <v>0</v>
      </c>
      <c r="AU34" s="16">
        <f>SUM(AP$7:AP34)</f>
        <v>0</v>
      </c>
      <c r="AV34" s="16">
        <f>SUM(AQ$7:AQ34)</f>
        <v>0</v>
      </c>
      <c r="AW34" s="16">
        <f>SUM(AR$7:AR34)</f>
        <v>0</v>
      </c>
      <c r="AX34" s="16">
        <f>SUM(AS$7:AS34)</f>
        <v>0</v>
      </c>
      <c r="AY34" s="16">
        <f>SUM(AT$7:AT34)</f>
        <v>0</v>
      </c>
    </row>
    <row r="35" spans="10:51">
      <c r="J35" s="16">
        <v>29</v>
      </c>
      <c r="K35" s="16">
        <f>MAX(求节点(节奏总纲!$O$4:$O$163,节奏总纲!P$4:P$163,$J35)-INT(C$13),0)*$D$1*$D$2</f>
        <v>0</v>
      </c>
      <c r="L35" s="16">
        <f>MAX(求节点(节奏总纲!$O$4:$O$163,节奏总纲!Q$4:Q$163,$J35)-INT(D$13),0)*$D$1*$D$2</f>
        <v>0</v>
      </c>
      <c r="M35" s="16">
        <f>MAX(求节点(节奏总纲!$O$4:$O$163,节奏总纲!R$4:R$163,$J35)-INT(E$13),0)*$D$1*$D$2</f>
        <v>0</v>
      </c>
      <c r="N35" s="16">
        <f>MAX(求节点(节奏总纲!$O$4:$O$163,节奏总纲!S$4:S$163,$J35)-INT(F$13),0)*$D$1*$D$2</f>
        <v>0</v>
      </c>
      <c r="O35" s="16">
        <f>MAX(求节点(节奏总纲!$O$4:$O$163,节奏总纲!T$4:T$163,$J35)-INT(G$13),0)*$D$1*$D$2</f>
        <v>0</v>
      </c>
      <c r="Q35" s="16">
        <v>29</v>
      </c>
      <c r="R35" s="16">
        <f>IF(节奏总纲!P32&lt;C$13,0,求节点($C$18:$C$23,$E$18:$E$23,$Q35)*节奏总纲!W32)*$D$1</f>
        <v>0</v>
      </c>
      <c r="S35" s="16">
        <f>IF(节奏总纲!Q32&lt;D$13,0,求节点($C$18:$C$23,$E$18:$E$23,$Q35)*节奏总纲!X32)*$D$1</f>
        <v>0</v>
      </c>
      <c r="T35" s="16">
        <f>IF(节奏总纲!R32&lt;E$13,0,求节点($C$18:$C$23,$E$18:$E$23,$Q35)*节奏总纲!Y32)*$D$1</f>
        <v>0</v>
      </c>
      <c r="U35" s="16">
        <f>IF(节奏总纲!S32&lt;F$13,0,求节点($C$18:$C$23,$E$18:$E$23,$Q35)*节奏总纲!Z32)*$D$1</f>
        <v>0</v>
      </c>
      <c r="V35" s="16">
        <f>IF(节奏总纲!T32&lt;G$13,0,求节点($C$18:$C$23,$E$18:$E$23,$Q35)*节奏总纲!AA32)*$D$1</f>
        <v>0</v>
      </c>
      <c r="W35" s="16">
        <f>SUM(R$7:R35)</f>
        <v>0</v>
      </c>
      <c r="X35" s="16">
        <f>SUM(S$7:S35)</f>
        <v>0</v>
      </c>
      <c r="Y35" s="16">
        <f>SUM(T$7:T35)</f>
        <v>0</v>
      </c>
      <c r="Z35" s="16">
        <f>SUM(U$7:U35)</f>
        <v>0</v>
      </c>
      <c r="AA35" s="16">
        <f>SUM(V$7:V35)</f>
        <v>0</v>
      </c>
      <c r="AC35" s="16">
        <v>29</v>
      </c>
      <c r="AD35" s="16">
        <f>IF(节奏总纲!P32&lt;C$13,0,求节点($C$18:$C$23,$F$18:$F$23,$Q35)*节奏总纲!W32)*$D$1</f>
        <v>0</v>
      </c>
      <c r="AE35" s="16">
        <f>IF(节奏总纲!Q32&lt;D$13,0,求节点($C$18:$C$23,$F$18:$F$23,$Q35)*节奏总纲!X32)*$D$1</f>
        <v>0</v>
      </c>
      <c r="AF35" s="16">
        <f>IF(节奏总纲!R32&lt;E$13,0,求节点($C$18:$C$23,$F$18:$F$23,$Q35)*节奏总纲!Y32)*$D$1</f>
        <v>0</v>
      </c>
      <c r="AG35" s="16">
        <f>IF(节奏总纲!S32&lt;F$13,0,求节点($C$18:$C$23,$F$18:$F$23,$Q35)*节奏总纲!Z32)*$D$1</f>
        <v>0</v>
      </c>
      <c r="AH35" s="16">
        <f>IF(节奏总纲!T32&lt;G$13,0,求节点($C$18:$C$23,$F$18:$F$23,$Q35)*节奏总纲!AA32)*$D$1</f>
        <v>0</v>
      </c>
      <c r="AI35" s="16">
        <f>SUM(AD$7:AD35)</f>
        <v>0</v>
      </c>
      <c r="AJ35" s="16">
        <f>SUM(AE$7:AE35)</f>
        <v>0</v>
      </c>
      <c r="AK35" s="16">
        <f>SUM(AF$7:AF35)</f>
        <v>0</v>
      </c>
      <c r="AL35" s="16">
        <f>SUM(AG$7:AG35)</f>
        <v>0</v>
      </c>
      <c r="AM35" s="16">
        <f>SUM(AH$7:AH35)</f>
        <v>0</v>
      </c>
      <c r="AO35" s="16">
        <v>29</v>
      </c>
      <c r="AP35" s="16">
        <f>IF(节奏总纲!P32&lt;C$13,0,求节点($C$18:$C$23,$H$18:$H$23,$Q35)*节奏总纲!W32)*$D$1</f>
        <v>0</v>
      </c>
      <c r="AQ35" s="16">
        <f>IF(节奏总纲!Q32&lt;D$13,0,求节点($C$18:$C$23,$H$18:$H$23,$Q35)*节奏总纲!X32)*$D$1</f>
        <v>0</v>
      </c>
      <c r="AR35" s="16">
        <f>IF(节奏总纲!R32&lt;E$13,0,求节点($C$18:$C$23,$H$18:$H$23,$Q35)*节奏总纲!Y32)*$D$1</f>
        <v>0</v>
      </c>
      <c r="AS35" s="16">
        <f>IF(节奏总纲!S32&lt;F$13,0,求节点($C$18:$C$23,$H$18:$H$23,$Q35)*节奏总纲!Z32)*$D$1</f>
        <v>0</v>
      </c>
      <c r="AT35" s="16">
        <f>IF(节奏总纲!T32&lt;G$13,0,求节点($C$18:$C$23,$H$18:$H$23,$Q35)*节奏总纲!AA32)*$D$1</f>
        <v>0</v>
      </c>
      <c r="AU35" s="16">
        <f>SUM(AP$7:AP35)</f>
        <v>0</v>
      </c>
      <c r="AV35" s="16">
        <f>SUM(AQ$7:AQ35)</f>
        <v>0</v>
      </c>
      <c r="AW35" s="16">
        <f>SUM(AR$7:AR35)</f>
        <v>0</v>
      </c>
      <c r="AX35" s="16">
        <f>SUM(AS$7:AS35)</f>
        <v>0</v>
      </c>
      <c r="AY35" s="16">
        <f>SUM(AT$7:AT35)</f>
        <v>0</v>
      </c>
    </row>
    <row r="36" spans="10:51">
      <c r="J36" s="16">
        <v>30</v>
      </c>
      <c r="K36" s="16">
        <f>MAX(求节点(节奏总纲!$O$4:$O$163,节奏总纲!P$4:P$163,$J36)-INT(C$13),0)*$D$1*$D$2</f>
        <v>0</v>
      </c>
      <c r="L36" s="16">
        <f>MAX(求节点(节奏总纲!$O$4:$O$163,节奏总纲!Q$4:Q$163,$J36)-INT(D$13),0)*$D$1*$D$2</f>
        <v>0</v>
      </c>
      <c r="M36" s="16">
        <f>MAX(求节点(节奏总纲!$O$4:$O$163,节奏总纲!R$4:R$163,$J36)-INT(E$13),0)*$D$1*$D$2</f>
        <v>0</v>
      </c>
      <c r="N36" s="16">
        <f>MAX(求节点(节奏总纲!$O$4:$O$163,节奏总纲!S$4:S$163,$J36)-INT(F$13),0)*$D$1*$D$2</f>
        <v>0</v>
      </c>
      <c r="O36" s="16">
        <f>MAX(求节点(节奏总纲!$O$4:$O$163,节奏总纲!T$4:T$163,$J36)-INT(G$13),0)*$D$1*$D$2</f>
        <v>0</v>
      </c>
      <c r="Q36" s="16">
        <v>30</v>
      </c>
      <c r="R36" s="16">
        <f>IF(节奏总纲!P33&lt;C$13,0,求节点($C$18:$C$23,$E$18:$E$23,$Q36)*节奏总纲!W33)*$D$1</f>
        <v>0</v>
      </c>
      <c r="S36" s="16">
        <f>IF(节奏总纲!Q33&lt;D$13,0,求节点($C$18:$C$23,$E$18:$E$23,$Q36)*节奏总纲!X33)*$D$1</f>
        <v>0</v>
      </c>
      <c r="T36" s="16">
        <f>IF(节奏总纲!R33&lt;E$13,0,求节点($C$18:$C$23,$E$18:$E$23,$Q36)*节奏总纲!Y33)*$D$1</f>
        <v>0</v>
      </c>
      <c r="U36" s="16">
        <f>IF(节奏总纲!S33&lt;F$13,0,求节点($C$18:$C$23,$E$18:$E$23,$Q36)*节奏总纲!Z33)*$D$1</f>
        <v>0</v>
      </c>
      <c r="V36" s="16">
        <f>IF(节奏总纲!T33&lt;G$13,0,求节点($C$18:$C$23,$E$18:$E$23,$Q36)*节奏总纲!AA33)*$D$1</f>
        <v>0</v>
      </c>
      <c r="W36" s="16">
        <f>SUM(R$7:R36)</f>
        <v>0</v>
      </c>
      <c r="X36" s="16">
        <f>SUM(S$7:S36)</f>
        <v>0</v>
      </c>
      <c r="Y36" s="16">
        <f>SUM(T$7:T36)</f>
        <v>0</v>
      </c>
      <c r="Z36" s="16">
        <f>SUM(U$7:U36)</f>
        <v>0</v>
      </c>
      <c r="AA36" s="16">
        <f>SUM(V$7:V36)</f>
        <v>0</v>
      </c>
      <c r="AC36" s="16">
        <v>30</v>
      </c>
      <c r="AD36" s="16">
        <f>IF(节奏总纲!P33&lt;C$13,0,求节点($C$18:$C$23,$F$18:$F$23,$Q36)*节奏总纲!W33)*$D$1</f>
        <v>0</v>
      </c>
      <c r="AE36" s="16">
        <f>IF(节奏总纲!Q33&lt;D$13,0,求节点($C$18:$C$23,$F$18:$F$23,$Q36)*节奏总纲!X33)*$D$1</f>
        <v>0</v>
      </c>
      <c r="AF36" s="16">
        <f>IF(节奏总纲!R33&lt;E$13,0,求节点($C$18:$C$23,$F$18:$F$23,$Q36)*节奏总纲!Y33)*$D$1</f>
        <v>0</v>
      </c>
      <c r="AG36" s="16">
        <f>IF(节奏总纲!S33&lt;F$13,0,求节点($C$18:$C$23,$F$18:$F$23,$Q36)*节奏总纲!Z33)*$D$1</f>
        <v>0</v>
      </c>
      <c r="AH36" s="16">
        <f>IF(节奏总纲!T33&lt;G$13,0,求节点($C$18:$C$23,$F$18:$F$23,$Q36)*节奏总纲!AA33)*$D$1</f>
        <v>0</v>
      </c>
      <c r="AI36" s="16">
        <f>SUM(AD$7:AD36)</f>
        <v>0</v>
      </c>
      <c r="AJ36" s="16">
        <f>SUM(AE$7:AE36)</f>
        <v>0</v>
      </c>
      <c r="AK36" s="16">
        <f>SUM(AF$7:AF36)</f>
        <v>0</v>
      </c>
      <c r="AL36" s="16">
        <f>SUM(AG$7:AG36)</f>
        <v>0</v>
      </c>
      <c r="AM36" s="16">
        <f>SUM(AH$7:AH36)</f>
        <v>0</v>
      </c>
      <c r="AO36" s="16">
        <v>30</v>
      </c>
      <c r="AP36" s="16">
        <f>IF(节奏总纲!P33&lt;C$13,0,求节点($C$18:$C$23,$H$18:$H$23,$Q36)*节奏总纲!W33)*$D$1</f>
        <v>0</v>
      </c>
      <c r="AQ36" s="16">
        <f>IF(节奏总纲!Q33&lt;D$13,0,求节点($C$18:$C$23,$H$18:$H$23,$Q36)*节奏总纲!X33)*$D$1</f>
        <v>0</v>
      </c>
      <c r="AR36" s="16">
        <f>IF(节奏总纲!R33&lt;E$13,0,求节点($C$18:$C$23,$H$18:$H$23,$Q36)*节奏总纲!Y33)*$D$1</f>
        <v>0</v>
      </c>
      <c r="AS36" s="16">
        <f>IF(节奏总纲!S33&lt;F$13,0,求节点($C$18:$C$23,$H$18:$H$23,$Q36)*节奏总纲!Z33)*$D$1</f>
        <v>0</v>
      </c>
      <c r="AT36" s="16">
        <f>IF(节奏总纲!T33&lt;G$13,0,求节点($C$18:$C$23,$H$18:$H$23,$Q36)*节奏总纲!AA33)*$D$1</f>
        <v>0</v>
      </c>
      <c r="AU36" s="16">
        <f>SUM(AP$7:AP36)</f>
        <v>0</v>
      </c>
      <c r="AV36" s="16">
        <f>SUM(AQ$7:AQ36)</f>
        <v>0</v>
      </c>
      <c r="AW36" s="16">
        <f>SUM(AR$7:AR36)</f>
        <v>0</v>
      </c>
      <c r="AX36" s="16">
        <f>SUM(AS$7:AS36)</f>
        <v>0</v>
      </c>
      <c r="AY36" s="16">
        <f>SUM(AT$7:AT36)</f>
        <v>0</v>
      </c>
    </row>
    <row r="37" spans="10:51">
      <c r="J37" s="16">
        <v>31</v>
      </c>
      <c r="K37" s="16">
        <f>MAX(求节点(节奏总纲!$O$4:$O$163,节奏总纲!P$4:P$163,$J37)-INT(C$13),0)*$D$1*$D$2</f>
        <v>0</v>
      </c>
      <c r="L37" s="16">
        <f>MAX(求节点(节奏总纲!$O$4:$O$163,节奏总纲!Q$4:Q$163,$J37)-INT(D$13),0)*$D$1*$D$2</f>
        <v>0</v>
      </c>
      <c r="M37" s="16">
        <f>MAX(求节点(节奏总纲!$O$4:$O$163,节奏总纲!R$4:R$163,$J37)-INT(E$13),0)*$D$1*$D$2</f>
        <v>0</v>
      </c>
      <c r="N37" s="16">
        <f>MAX(求节点(节奏总纲!$O$4:$O$163,节奏总纲!S$4:S$163,$J37)-INT(F$13),0)*$D$1*$D$2</f>
        <v>0</v>
      </c>
      <c r="O37" s="16">
        <f>MAX(求节点(节奏总纲!$O$4:$O$163,节奏总纲!T$4:T$163,$J37)-INT(G$13),0)*$D$1*$D$2</f>
        <v>0</v>
      </c>
      <c r="Q37" s="16">
        <v>31</v>
      </c>
      <c r="R37" s="16">
        <f>IF(节奏总纲!P34&lt;C$13,0,求节点($C$18:$C$23,$E$18:$E$23,$Q37)*节奏总纲!W34)*$D$1</f>
        <v>0</v>
      </c>
      <c r="S37" s="16">
        <f>IF(节奏总纲!Q34&lt;D$13,0,求节点($C$18:$C$23,$E$18:$E$23,$Q37)*节奏总纲!X34)*$D$1</f>
        <v>0</v>
      </c>
      <c r="T37" s="16">
        <f>IF(节奏总纲!R34&lt;E$13,0,求节点($C$18:$C$23,$E$18:$E$23,$Q37)*节奏总纲!Y34)*$D$1</f>
        <v>0</v>
      </c>
      <c r="U37" s="16">
        <f>IF(节奏总纲!S34&lt;F$13,0,求节点($C$18:$C$23,$E$18:$E$23,$Q37)*节奏总纲!Z34)*$D$1</f>
        <v>0</v>
      </c>
      <c r="V37" s="16">
        <f>IF(节奏总纲!T34&lt;G$13,0,求节点($C$18:$C$23,$E$18:$E$23,$Q37)*节奏总纲!AA34)*$D$1</f>
        <v>0</v>
      </c>
      <c r="W37" s="16">
        <f>SUM(R$7:R37)</f>
        <v>0</v>
      </c>
      <c r="X37" s="16">
        <f>SUM(S$7:S37)</f>
        <v>0</v>
      </c>
      <c r="Y37" s="16">
        <f>SUM(T$7:T37)</f>
        <v>0</v>
      </c>
      <c r="Z37" s="16">
        <f>SUM(U$7:U37)</f>
        <v>0</v>
      </c>
      <c r="AA37" s="16">
        <f>SUM(V$7:V37)</f>
        <v>0</v>
      </c>
      <c r="AC37" s="16">
        <v>31</v>
      </c>
      <c r="AD37" s="16">
        <f>IF(节奏总纲!P34&lt;C$13,0,求节点($C$18:$C$23,$F$18:$F$23,$Q37)*节奏总纲!W34)*$D$1</f>
        <v>0</v>
      </c>
      <c r="AE37" s="16">
        <f>IF(节奏总纲!Q34&lt;D$13,0,求节点($C$18:$C$23,$F$18:$F$23,$Q37)*节奏总纲!X34)*$D$1</f>
        <v>0</v>
      </c>
      <c r="AF37" s="16">
        <f>IF(节奏总纲!R34&lt;E$13,0,求节点($C$18:$C$23,$F$18:$F$23,$Q37)*节奏总纲!Y34)*$D$1</f>
        <v>0</v>
      </c>
      <c r="AG37" s="16">
        <f>IF(节奏总纲!S34&lt;F$13,0,求节点($C$18:$C$23,$F$18:$F$23,$Q37)*节奏总纲!Z34)*$D$1</f>
        <v>0</v>
      </c>
      <c r="AH37" s="16">
        <f>IF(节奏总纲!T34&lt;G$13,0,求节点($C$18:$C$23,$F$18:$F$23,$Q37)*节奏总纲!AA34)*$D$1</f>
        <v>0</v>
      </c>
      <c r="AI37" s="16">
        <f>SUM(AD$7:AD37)</f>
        <v>0</v>
      </c>
      <c r="AJ37" s="16">
        <f>SUM(AE$7:AE37)</f>
        <v>0</v>
      </c>
      <c r="AK37" s="16">
        <f>SUM(AF$7:AF37)</f>
        <v>0</v>
      </c>
      <c r="AL37" s="16">
        <f>SUM(AG$7:AG37)</f>
        <v>0</v>
      </c>
      <c r="AM37" s="16">
        <f>SUM(AH$7:AH37)</f>
        <v>0</v>
      </c>
      <c r="AO37" s="16">
        <v>31</v>
      </c>
      <c r="AP37" s="16">
        <f>IF(节奏总纲!P34&lt;C$13,0,求节点($C$18:$C$23,$H$18:$H$23,$Q37)*节奏总纲!W34)*$D$1</f>
        <v>0</v>
      </c>
      <c r="AQ37" s="16">
        <f>IF(节奏总纲!Q34&lt;D$13,0,求节点($C$18:$C$23,$H$18:$H$23,$Q37)*节奏总纲!X34)*$D$1</f>
        <v>0</v>
      </c>
      <c r="AR37" s="16">
        <f>IF(节奏总纲!R34&lt;E$13,0,求节点($C$18:$C$23,$H$18:$H$23,$Q37)*节奏总纲!Y34)*$D$1</f>
        <v>0</v>
      </c>
      <c r="AS37" s="16">
        <f>IF(节奏总纲!S34&lt;F$13,0,求节点($C$18:$C$23,$H$18:$H$23,$Q37)*节奏总纲!Z34)*$D$1</f>
        <v>0</v>
      </c>
      <c r="AT37" s="16">
        <f>IF(节奏总纲!T34&lt;G$13,0,求节点($C$18:$C$23,$H$18:$H$23,$Q37)*节奏总纲!AA34)*$D$1</f>
        <v>0</v>
      </c>
      <c r="AU37" s="16">
        <f>SUM(AP$7:AP37)</f>
        <v>0</v>
      </c>
      <c r="AV37" s="16">
        <f>SUM(AQ$7:AQ37)</f>
        <v>0</v>
      </c>
      <c r="AW37" s="16">
        <f>SUM(AR$7:AR37)</f>
        <v>0</v>
      </c>
      <c r="AX37" s="16">
        <f>SUM(AS$7:AS37)</f>
        <v>0</v>
      </c>
      <c r="AY37" s="16">
        <f>SUM(AT$7:AT37)</f>
        <v>0</v>
      </c>
    </row>
    <row r="38" spans="10:51">
      <c r="J38" s="16">
        <v>32</v>
      </c>
      <c r="K38" s="16">
        <f>MAX(求节点(节奏总纲!$O$4:$O$163,节奏总纲!P$4:P$163,$J38)-INT(C$13),0)*$D$1*$D$2</f>
        <v>0</v>
      </c>
      <c r="L38" s="16">
        <f>MAX(求节点(节奏总纲!$O$4:$O$163,节奏总纲!Q$4:Q$163,$J38)-INT(D$13),0)*$D$1*$D$2</f>
        <v>0</v>
      </c>
      <c r="M38" s="16">
        <f>MAX(求节点(节奏总纲!$O$4:$O$163,节奏总纲!R$4:R$163,$J38)-INT(E$13),0)*$D$1*$D$2</f>
        <v>0</v>
      </c>
      <c r="N38" s="16">
        <f>MAX(求节点(节奏总纲!$O$4:$O$163,节奏总纲!S$4:S$163,$J38)-INT(F$13),0)*$D$1*$D$2</f>
        <v>0</v>
      </c>
      <c r="O38" s="16">
        <f>MAX(求节点(节奏总纲!$O$4:$O$163,节奏总纲!T$4:T$163,$J38)-INT(G$13),0)*$D$1*$D$2</f>
        <v>0</v>
      </c>
      <c r="Q38" s="16">
        <v>32</v>
      </c>
      <c r="R38" s="16">
        <f>IF(节奏总纲!P35&lt;C$13,0,求节点($C$18:$C$23,$E$18:$E$23,$Q38)*节奏总纲!W35)*$D$1</f>
        <v>0</v>
      </c>
      <c r="S38" s="16">
        <f>IF(节奏总纲!Q35&lt;D$13,0,求节点($C$18:$C$23,$E$18:$E$23,$Q38)*节奏总纲!X35)*$D$1</f>
        <v>0</v>
      </c>
      <c r="T38" s="16">
        <f>IF(节奏总纲!R35&lt;E$13,0,求节点($C$18:$C$23,$E$18:$E$23,$Q38)*节奏总纲!Y35)*$D$1</f>
        <v>0</v>
      </c>
      <c r="U38" s="16">
        <f>IF(节奏总纲!S35&lt;F$13,0,求节点($C$18:$C$23,$E$18:$E$23,$Q38)*节奏总纲!Z35)*$D$1</f>
        <v>0</v>
      </c>
      <c r="V38" s="16">
        <f>IF(节奏总纲!T35&lt;G$13,0,求节点($C$18:$C$23,$E$18:$E$23,$Q38)*节奏总纲!AA35)*$D$1</f>
        <v>0</v>
      </c>
      <c r="W38" s="16">
        <f>SUM(R$7:R38)</f>
        <v>0</v>
      </c>
      <c r="X38" s="16">
        <f>SUM(S$7:S38)</f>
        <v>0</v>
      </c>
      <c r="Y38" s="16">
        <f>SUM(T$7:T38)</f>
        <v>0</v>
      </c>
      <c r="Z38" s="16">
        <f>SUM(U$7:U38)</f>
        <v>0</v>
      </c>
      <c r="AA38" s="16">
        <f>SUM(V$7:V38)</f>
        <v>0</v>
      </c>
      <c r="AC38" s="16">
        <v>32</v>
      </c>
      <c r="AD38" s="16">
        <f>IF(节奏总纲!P35&lt;C$13,0,求节点($C$18:$C$23,$F$18:$F$23,$Q38)*节奏总纲!W35)*$D$1</f>
        <v>0</v>
      </c>
      <c r="AE38" s="16">
        <f>IF(节奏总纲!Q35&lt;D$13,0,求节点($C$18:$C$23,$F$18:$F$23,$Q38)*节奏总纲!X35)*$D$1</f>
        <v>0</v>
      </c>
      <c r="AF38" s="16">
        <f>IF(节奏总纲!R35&lt;E$13,0,求节点($C$18:$C$23,$F$18:$F$23,$Q38)*节奏总纲!Y35)*$D$1</f>
        <v>0</v>
      </c>
      <c r="AG38" s="16">
        <f>IF(节奏总纲!S35&lt;F$13,0,求节点($C$18:$C$23,$F$18:$F$23,$Q38)*节奏总纲!Z35)*$D$1</f>
        <v>0</v>
      </c>
      <c r="AH38" s="16">
        <f>IF(节奏总纲!T35&lt;G$13,0,求节点($C$18:$C$23,$F$18:$F$23,$Q38)*节奏总纲!AA35)*$D$1</f>
        <v>0</v>
      </c>
      <c r="AI38" s="16">
        <f>SUM(AD$7:AD38)</f>
        <v>0</v>
      </c>
      <c r="AJ38" s="16">
        <f>SUM(AE$7:AE38)</f>
        <v>0</v>
      </c>
      <c r="AK38" s="16">
        <f>SUM(AF$7:AF38)</f>
        <v>0</v>
      </c>
      <c r="AL38" s="16">
        <f>SUM(AG$7:AG38)</f>
        <v>0</v>
      </c>
      <c r="AM38" s="16">
        <f>SUM(AH$7:AH38)</f>
        <v>0</v>
      </c>
      <c r="AO38" s="16">
        <v>32</v>
      </c>
      <c r="AP38" s="16">
        <f>IF(节奏总纲!P35&lt;C$13,0,求节点($C$18:$C$23,$H$18:$H$23,$Q38)*节奏总纲!W35)*$D$1</f>
        <v>0</v>
      </c>
      <c r="AQ38" s="16">
        <f>IF(节奏总纲!Q35&lt;D$13,0,求节点($C$18:$C$23,$H$18:$H$23,$Q38)*节奏总纲!X35)*$D$1</f>
        <v>0</v>
      </c>
      <c r="AR38" s="16">
        <f>IF(节奏总纲!R35&lt;E$13,0,求节点($C$18:$C$23,$H$18:$H$23,$Q38)*节奏总纲!Y35)*$D$1</f>
        <v>0</v>
      </c>
      <c r="AS38" s="16">
        <f>IF(节奏总纲!S35&lt;F$13,0,求节点($C$18:$C$23,$H$18:$H$23,$Q38)*节奏总纲!Z35)*$D$1</f>
        <v>0</v>
      </c>
      <c r="AT38" s="16">
        <f>IF(节奏总纲!T35&lt;G$13,0,求节点($C$18:$C$23,$H$18:$H$23,$Q38)*节奏总纲!AA35)*$D$1</f>
        <v>0</v>
      </c>
      <c r="AU38" s="16">
        <f>SUM(AP$7:AP38)</f>
        <v>0</v>
      </c>
      <c r="AV38" s="16">
        <f>SUM(AQ$7:AQ38)</f>
        <v>0</v>
      </c>
      <c r="AW38" s="16">
        <f>SUM(AR$7:AR38)</f>
        <v>0</v>
      </c>
      <c r="AX38" s="16">
        <f>SUM(AS$7:AS38)</f>
        <v>0</v>
      </c>
      <c r="AY38" s="16">
        <f>SUM(AT$7:AT38)</f>
        <v>0</v>
      </c>
    </row>
    <row r="39" spans="10:51">
      <c r="J39" s="16">
        <v>33</v>
      </c>
      <c r="K39" s="16">
        <f>MAX(求节点(节奏总纲!$O$4:$O$163,节奏总纲!P$4:P$163,$J39)-INT(C$13),0)*$D$1*$D$2</f>
        <v>0</v>
      </c>
      <c r="L39" s="16">
        <f>MAX(求节点(节奏总纲!$O$4:$O$163,节奏总纲!Q$4:Q$163,$J39)-INT(D$13),0)*$D$1*$D$2</f>
        <v>0</v>
      </c>
      <c r="M39" s="16">
        <f>MAX(求节点(节奏总纲!$O$4:$O$163,节奏总纲!R$4:R$163,$J39)-INT(E$13),0)*$D$1*$D$2</f>
        <v>0</v>
      </c>
      <c r="N39" s="16">
        <f>MAX(求节点(节奏总纲!$O$4:$O$163,节奏总纲!S$4:S$163,$J39)-INT(F$13),0)*$D$1*$D$2</f>
        <v>0</v>
      </c>
      <c r="O39" s="16">
        <f>MAX(求节点(节奏总纲!$O$4:$O$163,节奏总纲!T$4:T$163,$J39)-INT(G$13),0)*$D$1*$D$2</f>
        <v>0</v>
      </c>
      <c r="Q39" s="16">
        <v>33</v>
      </c>
      <c r="R39" s="16">
        <f>IF(节奏总纲!P36&lt;C$13,0,求节点($C$18:$C$23,$E$18:$E$23,$Q39)*节奏总纲!W36)*$D$1</f>
        <v>0</v>
      </c>
      <c r="S39" s="16">
        <f>IF(节奏总纲!Q36&lt;D$13,0,求节点($C$18:$C$23,$E$18:$E$23,$Q39)*节奏总纲!X36)*$D$1</f>
        <v>0</v>
      </c>
      <c r="T39" s="16">
        <f>IF(节奏总纲!R36&lt;E$13,0,求节点($C$18:$C$23,$E$18:$E$23,$Q39)*节奏总纲!Y36)*$D$1</f>
        <v>0</v>
      </c>
      <c r="U39" s="16">
        <f>IF(节奏总纲!S36&lt;F$13,0,求节点($C$18:$C$23,$E$18:$E$23,$Q39)*节奏总纲!Z36)*$D$1</f>
        <v>0</v>
      </c>
      <c r="V39" s="16">
        <f>IF(节奏总纲!T36&lt;G$13,0,求节点($C$18:$C$23,$E$18:$E$23,$Q39)*节奏总纲!AA36)*$D$1</f>
        <v>0</v>
      </c>
      <c r="W39" s="16">
        <f>SUM(R$7:R39)</f>
        <v>0</v>
      </c>
      <c r="X39" s="16">
        <f>SUM(S$7:S39)</f>
        <v>0</v>
      </c>
      <c r="Y39" s="16">
        <f>SUM(T$7:T39)</f>
        <v>0</v>
      </c>
      <c r="Z39" s="16">
        <f>SUM(U$7:U39)</f>
        <v>0</v>
      </c>
      <c r="AA39" s="16">
        <f>SUM(V$7:V39)</f>
        <v>0</v>
      </c>
      <c r="AC39" s="16">
        <v>33</v>
      </c>
      <c r="AD39" s="16">
        <f>IF(节奏总纲!P36&lt;C$13,0,求节点($C$18:$C$23,$F$18:$F$23,$Q39)*节奏总纲!W36)*$D$1</f>
        <v>0</v>
      </c>
      <c r="AE39" s="16">
        <f>IF(节奏总纲!Q36&lt;D$13,0,求节点($C$18:$C$23,$F$18:$F$23,$Q39)*节奏总纲!X36)*$D$1</f>
        <v>0</v>
      </c>
      <c r="AF39" s="16">
        <f>IF(节奏总纲!R36&lt;E$13,0,求节点($C$18:$C$23,$F$18:$F$23,$Q39)*节奏总纲!Y36)*$D$1</f>
        <v>0</v>
      </c>
      <c r="AG39" s="16">
        <f>IF(节奏总纲!S36&lt;F$13,0,求节点($C$18:$C$23,$F$18:$F$23,$Q39)*节奏总纲!Z36)*$D$1</f>
        <v>0</v>
      </c>
      <c r="AH39" s="16">
        <f>IF(节奏总纲!T36&lt;G$13,0,求节点($C$18:$C$23,$F$18:$F$23,$Q39)*节奏总纲!AA36)*$D$1</f>
        <v>0</v>
      </c>
      <c r="AI39" s="16">
        <f>SUM(AD$7:AD39)</f>
        <v>0</v>
      </c>
      <c r="AJ39" s="16">
        <f>SUM(AE$7:AE39)</f>
        <v>0</v>
      </c>
      <c r="AK39" s="16">
        <f>SUM(AF$7:AF39)</f>
        <v>0</v>
      </c>
      <c r="AL39" s="16">
        <f>SUM(AG$7:AG39)</f>
        <v>0</v>
      </c>
      <c r="AM39" s="16">
        <f>SUM(AH$7:AH39)</f>
        <v>0</v>
      </c>
      <c r="AO39" s="16">
        <v>33</v>
      </c>
      <c r="AP39" s="16">
        <f>IF(节奏总纲!P36&lt;C$13,0,求节点($C$18:$C$23,$H$18:$H$23,$Q39)*节奏总纲!W36)*$D$1</f>
        <v>0</v>
      </c>
      <c r="AQ39" s="16">
        <f>IF(节奏总纲!Q36&lt;D$13,0,求节点($C$18:$C$23,$H$18:$H$23,$Q39)*节奏总纲!X36)*$D$1</f>
        <v>0</v>
      </c>
      <c r="AR39" s="16">
        <f>IF(节奏总纲!R36&lt;E$13,0,求节点($C$18:$C$23,$H$18:$H$23,$Q39)*节奏总纲!Y36)*$D$1</f>
        <v>0</v>
      </c>
      <c r="AS39" s="16">
        <f>IF(节奏总纲!S36&lt;F$13,0,求节点($C$18:$C$23,$H$18:$H$23,$Q39)*节奏总纲!Z36)*$D$1</f>
        <v>0</v>
      </c>
      <c r="AT39" s="16">
        <f>IF(节奏总纲!T36&lt;G$13,0,求节点($C$18:$C$23,$H$18:$H$23,$Q39)*节奏总纲!AA36)*$D$1</f>
        <v>0</v>
      </c>
      <c r="AU39" s="16">
        <f>SUM(AP$7:AP39)</f>
        <v>0</v>
      </c>
      <c r="AV39" s="16">
        <f>SUM(AQ$7:AQ39)</f>
        <v>0</v>
      </c>
      <c r="AW39" s="16">
        <f>SUM(AR$7:AR39)</f>
        <v>0</v>
      </c>
      <c r="AX39" s="16">
        <f>SUM(AS$7:AS39)</f>
        <v>0</v>
      </c>
      <c r="AY39" s="16">
        <f>SUM(AT$7:AT39)</f>
        <v>0</v>
      </c>
    </row>
    <row r="40" spans="10:51">
      <c r="J40" s="16">
        <v>34</v>
      </c>
      <c r="K40" s="16">
        <f>MAX(求节点(节奏总纲!$O$4:$O$163,节奏总纲!P$4:P$163,$J40)-INT(C$13),0)*$D$1*$D$2</f>
        <v>0</v>
      </c>
      <c r="L40" s="16">
        <f>MAX(求节点(节奏总纲!$O$4:$O$163,节奏总纲!Q$4:Q$163,$J40)-INT(D$13),0)*$D$1*$D$2</f>
        <v>0</v>
      </c>
      <c r="M40" s="16">
        <f>MAX(求节点(节奏总纲!$O$4:$O$163,节奏总纲!R$4:R$163,$J40)-INT(E$13),0)*$D$1*$D$2</f>
        <v>0</v>
      </c>
      <c r="N40" s="16">
        <f>MAX(求节点(节奏总纲!$O$4:$O$163,节奏总纲!S$4:S$163,$J40)-INT(F$13),0)*$D$1*$D$2</f>
        <v>0</v>
      </c>
      <c r="O40" s="16">
        <f>MAX(求节点(节奏总纲!$O$4:$O$163,节奏总纲!T$4:T$163,$J40)-INT(G$13),0)*$D$1*$D$2</f>
        <v>0</v>
      </c>
      <c r="Q40" s="16">
        <v>34</v>
      </c>
      <c r="R40" s="16">
        <f>IF(节奏总纲!P37&lt;C$13,0,求节点($C$18:$C$23,$E$18:$E$23,$Q40)*节奏总纲!W37)*$D$1</f>
        <v>0</v>
      </c>
      <c r="S40" s="16">
        <f>IF(节奏总纲!Q37&lt;D$13,0,求节点($C$18:$C$23,$E$18:$E$23,$Q40)*节奏总纲!X37)*$D$1</f>
        <v>0</v>
      </c>
      <c r="T40" s="16">
        <f>IF(节奏总纲!R37&lt;E$13,0,求节点($C$18:$C$23,$E$18:$E$23,$Q40)*节奏总纲!Y37)*$D$1</f>
        <v>0</v>
      </c>
      <c r="U40" s="16">
        <f>IF(节奏总纲!S37&lt;F$13,0,求节点($C$18:$C$23,$E$18:$E$23,$Q40)*节奏总纲!Z37)*$D$1</f>
        <v>0</v>
      </c>
      <c r="V40" s="16">
        <f>IF(节奏总纲!T37&lt;G$13,0,求节点($C$18:$C$23,$E$18:$E$23,$Q40)*节奏总纲!AA37)*$D$1</f>
        <v>0</v>
      </c>
      <c r="W40" s="16">
        <f>SUM(R$7:R40)</f>
        <v>0</v>
      </c>
      <c r="X40" s="16">
        <f>SUM(S$7:S40)</f>
        <v>0</v>
      </c>
      <c r="Y40" s="16">
        <f>SUM(T$7:T40)</f>
        <v>0</v>
      </c>
      <c r="Z40" s="16">
        <f>SUM(U$7:U40)</f>
        <v>0</v>
      </c>
      <c r="AA40" s="16">
        <f>SUM(V$7:V40)</f>
        <v>0</v>
      </c>
      <c r="AC40" s="16">
        <v>34</v>
      </c>
      <c r="AD40" s="16">
        <f>IF(节奏总纲!P37&lt;C$13,0,求节点($C$18:$C$23,$F$18:$F$23,$Q40)*节奏总纲!W37)*$D$1</f>
        <v>0</v>
      </c>
      <c r="AE40" s="16">
        <f>IF(节奏总纲!Q37&lt;D$13,0,求节点($C$18:$C$23,$F$18:$F$23,$Q40)*节奏总纲!X37)*$D$1</f>
        <v>0</v>
      </c>
      <c r="AF40" s="16">
        <f>IF(节奏总纲!R37&lt;E$13,0,求节点($C$18:$C$23,$F$18:$F$23,$Q40)*节奏总纲!Y37)*$D$1</f>
        <v>0</v>
      </c>
      <c r="AG40" s="16">
        <f>IF(节奏总纲!S37&lt;F$13,0,求节点($C$18:$C$23,$F$18:$F$23,$Q40)*节奏总纲!Z37)*$D$1</f>
        <v>0</v>
      </c>
      <c r="AH40" s="16">
        <f>IF(节奏总纲!T37&lt;G$13,0,求节点($C$18:$C$23,$F$18:$F$23,$Q40)*节奏总纲!AA37)*$D$1</f>
        <v>0</v>
      </c>
      <c r="AI40" s="16">
        <f>SUM(AD$7:AD40)</f>
        <v>0</v>
      </c>
      <c r="AJ40" s="16">
        <f>SUM(AE$7:AE40)</f>
        <v>0</v>
      </c>
      <c r="AK40" s="16">
        <f>SUM(AF$7:AF40)</f>
        <v>0</v>
      </c>
      <c r="AL40" s="16">
        <f>SUM(AG$7:AG40)</f>
        <v>0</v>
      </c>
      <c r="AM40" s="16">
        <f>SUM(AH$7:AH40)</f>
        <v>0</v>
      </c>
      <c r="AO40" s="16">
        <v>34</v>
      </c>
      <c r="AP40" s="16">
        <f>IF(节奏总纲!P37&lt;C$13,0,求节点($C$18:$C$23,$H$18:$H$23,$Q40)*节奏总纲!W37)*$D$1</f>
        <v>0</v>
      </c>
      <c r="AQ40" s="16">
        <f>IF(节奏总纲!Q37&lt;D$13,0,求节点($C$18:$C$23,$H$18:$H$23,$Q40)*节奏总纲!X37)*$D$1</f>
        <v>0</v>
      </c>
      <c r="AR40" s="16">
        <f>IF(节奏总纲!R37&lt;E$13,0,求节点($C$18:$C$23,$H$18:$H$23,$Q40)*节奏总纲!Y37)*$D$1</f>
        <v>0</v>
      </c>
      <c r="AS40" s="16">
        <f>IF(节奏总纲!S37&lt;F$13,0,求节点($C$18:$C$23,$H$18:$H$23,$Q40)*节奏总纲!Z37)*$D$1</f>
        <v>0</v>
      </c>
      <c r="AT40" s="16">
        <f>IF(节奏总纲!T37&lt;G$13,0,求节点($C$18:$C$23,$H$18:$H$23,$Q40)*节奏总纲!AA37)*$D$1</f>
        <v>0</v>
      </c>
      <c r="AU40" s="16">
        <f>SUM(AP$7:AP40)</f>
        <v>0</v>
      </c>
      <c r="AV40" s="16">
        <f>SUM(AQ$7:AQ40)</f>
        <v>0</v>
      </c>
      <c r="AW40" s="16">
        <f>SUM(AR$7:AR40)</f>
        <v>0</v>
      </c>
      <c r="AX40" s="16">
        <f>SUM(AS$7:AS40)</f>
        <v>0</v>
      </c>
      <c r="AY40" s="16">
        <f>SUM(AT$7:AT40)</f>
        <v>0</v>
      </c>
    </row>
    <row r="41" spans="10:51">
      <c r="J41" s="16">
        <v>35</v>
      </c>
      <c r="K41" s="16">
        <f>MAX(求节点(节奏总纲!$O$4:$O$163,节奏总纲!P$4:P$163,$J41)-INT(C$13),0)*$D$1*$D$2</f>
        <v>0</v>
      </c>
      <c r="L41" s="16">
        <f>MAX(求节点(节奏总纲!$O$4:$O$163,节奏总纲!Q$4:Q$163,$J41)-INT(D$13),0)*$D$1*$D$2</f>
        <v>0</v>
      </c>
      <c r="M41" s="16">
        <f>MAX(求节点(节奏总纲!$O$4:$O$163,节奏总纲!R$4:R$163,$J41)-INT(E$13),0)*$D$1*$D$2</f>
        <v>0</v>
      </c>
      <c r="N41" s="16">
        <f>MAX(求节点(节奏总纲!$O$4:$O$163,节奏总纲!S$4:S$163,$J41)-INT(F$13),0)*$D$1*$D$2</f>
        <v>0</v>
      </c>
      <c r="O41" s="16">
        <f>MAX(求节点(节奏总纲!$O$4:$O$163,节奏总纲!T$4:T$163,$J41)-INT(G$13),0)*$D$1*$D$2</f>
        <v>0</v>
      </c>
      <c r="Q41" s="16">
        <v>35</v>
      </c>
      <c r="R41" s="16">
        <f>IF(节奏总纲!P38&lt;C$13,0,求节点($C$18:$C$23,$E$18:$E$23,$Q41)*节奏总纲!W38)*$D$1</f>
        <v>0</v>
      </c>
      <c r="S41" s="16">
        <f>IF(节奏总纲!Q38&lt;D$13,0,求节点($C$18:$C$23,$E$18:$E$23,$Q41)*节奏总纲!X38)*$D$1</f>
        <v>0</v>
      </c>
      <c r="T41" s="16">
        <f>IF(节奏总纲!R38&lt;E$13,0,求节点($C$18:$C$23,$E$18:$E$23,$Q41)*节奏总纲!Y38)*$D$1</f>
        <v>0</v>
      </c>
      <c r="U41" s="16">
        <f>IF(节奏总纲!S38&lt;F$13,0,求节点($C$18:$C$23,$E$18:$E$23,$Q41)*节奏总纲!Z38)*$D$1</f>
        <v>0</v>
      </c>
      <c r="V41" s="16">
        <f>IF(节奏总纲!T38&lt;G$13,0,求节点($C$18:$C$23,$E$18:$E$23,$Q41)*节奏总纲!AA38)*$D$1</f>
        <v>0</v>
      </c>
      <c r="W41" s="16">
        <f>SUM(R$7:R41)</f>
        <v>0</v>
      </c>
      <c r="X41" s="16">
        <f>SUM(S$7:S41)</f>
        <v>0</v>
      </c>
      <c r="Y41" s="16">
        <f>SUM(T$7:T41)</f>
        <v>0</v>
      </c>
      <c r="Z41" s="16">
        <f>SUM(U$7:U41)</f>
        <v>0</v>
      </c>
      <c r="AA41" s="16">
        <f>SUM(V$7:V41)</f>
        <v>0</v>
      </c>
      <c r="AC41" s="16">
        <v>35</v>
      </c>
      <c r="AD41" s="16">
        <f>IF(节奏总纲!P38&lt;C$13,0,求节点($C$18:$C$23,$F$18:$F$23,$Q41)*节奏总纲!W38)*$D$1</f>
        <v>0</v>
      </c>
      <c r="AE41" s="16">
        <f>IF(节奏总纲!Q38&lt;D$13,0,求节点($C$18:$C$23,$F$18:$F$23,$Q41)*节奏总纲!X38)*$D$1</f>
        <v>0</v>
      </c>
      <c r="AF41" s="16">
        <f>IF(节奏总纲!R38&lt;E$13,0,求节点($C$18:$C$23,$F$18:$F$23,$Q41)*节奏总纲!Y38)*$D$1</f>
        <v>0</v>
      </c>
      <c r="AG41" s="16">
        <f>IF(节奏总纲!S38&lt;F$13,0,求节点($C$18:$C$23,$F$18:$F$23,$Q41)*节奏总纲!Z38)*$D$1</f>
        <v>0</v>
      </c>
      <c r="AH41" s="16">
        <f>IF(节奏总纲!T38&lt;G$13,0,求节点($C$18:$C$23,$F$18:$F$23,$Q41)*节奏总纲!AA38)*$D$1</f>
        <v>0</v>
      </c>
      <c r="AI41" s="16">
        <f>SUM(AD$7:AD41)</f>
        <v>0</v>
      </c>
      <c r="AJ41" s="16">
        <f>SUM(AE$7:AE41)</f>
        <v>0</v>
      </c>
      <c r="AK41" s="16">
        <f>SUM(AF$7:AF41)</f>
        <v>0</v>
      </c>
      <c r="AL41" s="16">
        <f>SUM(AG$7:AG41)</f>
        <v>0</v>
      </c>
      <c r="AM41" s="16">
        <f>SUM(AH$7:AH41)</f>
        <v>0</v>
      </c>
      <c r="AO41" s="16">
        <v>35</v>
      </c>
      <c r="AP41" s="16">
        <f>IF(节奏总纲!P38&lt;C$13,0,求节点($C$18:$C$23,$H$18:$H$23,$Q41)*节奏总纲!W38)*$D$1</f>
        <v>0</v>
      </c>
      <c r="AQ41" s="16">
        <f>IF(节奏总纲!Q38&lt;D$13,0,求节点($C$18:$C$23,$H$18:$H$23,$Q41)*节奏总纲!X38)*$D$1</f>
        <v>0</v>
      </c>
      <c r="AR41" s="16">
        <f>IF(节奏总纲!R38&lt;E$13,0,求节点($C$18:$C$23,$H$18:$H$23,$Q41)*节奏总纲!Y38)*$D$1</f>
        <v>0</v>
      </c>
      <c r="AS41" s="16">
        <f>IF(节奏总纲!S38&lt;F$13,0,求节点($C$18:$C$23,$H$18:$H$23,$Q41)*节奏总纲!Z38)*$D$1</f>
        <v>0</v>
      </c>
      <c r="AT41" s="16">
        <f>IF(节奏总纲!T38&lt;G$13,0,求节点($C$18:$C$23,$H$18:$H$23,$Q41)*节奏总纲!AA38)*$D$1</f>
        <v>0</v>
      </c>
      <c r="AU41" s="16">
        <f>SUM(AP$7:AP41)</f>
        <v>0</v>
      </c>
      <c r="AV41" s="16">
        <f>SUM(AQ$7:AQ41)</f>
        <v>0</v>
      </c>
      <c r="AW41" s="16">
        <f>SUM(AR$7:AR41)</f>
        <v>0</v>
      </c>
      <c r="AX41" s="16">
        <f>SUM(AS$7:AS41)</f>
        <v>0</v>
      </c>
      <c r="AY41" s="16">
        <f>SUM(AT$7:AT41)</f>
        <v>0</v>
      </c>
    </row>
    <row r="42" spans="10:51">
      <c r="J42" s="16">
        <v>36</v>
      </c>
      <c r="K42" s="16">
        <f>MAX(求节点(节奏总纲!$O$4:$O$163,节奏总纲!P$4:P$163,$J42)-INT(C$13),0)*$D$1*$D$2</f>
        <v>0</v>
      </c>
      <c r="L42" s="16">
        <f>MAX(求节点(节奏总纲!$O$4:$O$163,节奏总纲!Q$4:Q$163,$J42)-INT(D$13),0)*$D$1*$D$2</f>
        <v>0</v>
      </c>
      <c r="M42" s="16">
        <f>MAX(求节点(节奏总纲!$O$4:$O$163,节奏总纲!R$4:R$163,$J42)-INT(E$13),0)*$D$1*$D$2</f>
        <v>0</v>
      </c>
      <c r="N42" s="16">
        <f>MAX(求节点(节奏总纲!$O$4:$O$163,节奏总纲!S$4:S$163,$J42)-INT(F$13),0)*$D$1*$D$2</f>
        <v>0</v>
      </c>
      <c r="O42" s="16">
        <f>MAX(求节点(节奏总纲!$O$4:$O$163,节奏总纲!T$4:T$163,$J42)-INT(G$13),0)*$D$1*$D$2</f>
        <v>0</v>
      </c>
      <c r="Q42" s="16">
        <v>36</v>
      </c>
      <c r="R42" s="16">
        <f>IF(节奏总纲!P39&lt;C$13,0,求节点($C$18:$C$23,$E$18:$E$23,$Q42)*节奏总纲!W39)*$D$1</f>
        <v>0</v>
      </c>
      <c r="S42" s="16">
        <f>IF(节奏总纲!Q39&lt;D$13,0,求节点($C$18:$C$23,$E$18:$E$23,$Q42)*节奏总纲!X39)*$D$1</f>
        <v>0</v>
      </c>
      <c r="T42" s="16">
        <f>IF(节奏总纲!R39&lt;E$13,0,求节点($C$18:$C$23,$E$18:$E$23,$Q42)*节奏总纲!Y39)*$D$1</f>
        <v>0</v>
      </c>
      <c r="U42" s="16">
        <f>IF(节奏总纲!S39&lt;F$13,0,求节点($C$18:$C$23,$E$18:$E$23,$Q42)*节奏总纲!Z39)*$D$1</f>
        <v>0</v>
      </c>
      <c r="V42" s="16">
        <f>IF(节奏总纲!T39&lt;G$13,0,求节点($C$18:$C$23,$E$18:$E$23,$Q42)*节奏总纲!AA39)*$D$1</f>
        <v>0</v>
      </c>
      <c r="W42" s="16">
        <f>SUM(R$7:R42)</f>
        <v>0</v>
      </c>
      <c r="X42" s="16">
        <f>SUM(S$7:S42)</f>
        <v>0</v>
      </c>
      <c r="Y42" s="16">
        <f>SUM(T$7:T42)</f>
        <v>0</v>
      </c>
      <c r="Z42" s="16">
        <f>SUM(U$7:U42)</f>
        <v>0</v>
      </c>
      <c r="AA42" s="16">
        <f>SUM(V$7:V42)</f>
        <v>0</v>
      </c>
      <c r="AC42" s="16">
        <v>36</v>
      </c>
      <c r="AD42" s="16">
        <f>IF(节奏总纲!P39&lt;C$13,0,求节点($C$18:$C$23,$F$18:$F$23,$Q42)*节奏总纲!W39)*$D$1</f>
        <v>0</v>
      </c>
      <c r="AE42" s="16">
        <f>IF(节奏总纲!Q39&lt;D$13,0,求节点($C$18:$C$23,$F$18:$F$23,$Q42)*节奏总纲!X39)*$D$1</f>
        <v>0</v>
      </c>
      <c r="AF42" s="16">
        <f>IF(节奏总纲!R39&lt;E$13,0,求节点($C$18:$C$23,$F$18:$F$23,$Q42)*节奏总纲!Y39)*$D$1</f>
        <v>0</v>
      </c>
      <c r="AG42" s="16">
        <f>IF(节奏总纲!S39&lt;F$13,0,求节点($C$18:$C$23,$F$18:$F$23,$Q42)*节奏总纲!Z39)*$D$1</f>
        <v>0</v>
      </c>
      <c r="AH42" s="16">
        <f>IF(节奏总纲!T39&lt;G$13,0,求节点($C$18:$C$23,$F$18:$F$23,$Q42)*节奏总纲!AA39)*$D$1</f>
        <v>0</v>
      </c>
      <c r="AI42" s="16">
        <f>SUM(AD$7:AD42)</f>
        <v>0</v>
      </c>
      <c r="AJ42" s="16">
        <f>SUM(AE$7:AE42)</f>
        <v>0</v>
      </c>
      <c r="AK42" s="16">
        <f>SUM(AF$7:AF42)</f>
        <v>0</v>
      </c>
      <c r="AL42" s="16">
        <f>SUM(AG$7:AG42)</f>
        <v>0</v>
      </c>
      <c r="AM42" s="16">
        <f>SUM(AH$7:AH42)</f>
        <v>0</v>
      </c>
      <c r="AO42" s="16">
        <v>36</v>
      </c>
      <c r="AP42" s="16">
        <f>IF(节奏总纲!P39&lt;C$13,0,求节点($C$18:$C$23,$H$18:$H$23,$Q42)*节奏总纲!W39)*$D$1</f>
        <v>0</v>
      </c>
      <c r="AQ42" s="16">
        <f>IF(节奏总纲!Q39&lt;D$13,0,求节点($C$18:$C$23,$H$18:$H$23,$Q42)*节奏总纲!X39)*$D$1</f>
        <v>0</v>
      </c>
      <c r="AR42" s="16">
        <f>IF(节奏总纲!R39&lt;E$13,0,求节点($C$18:$C$23,$H$18:$H$23,$Q42)*节奏总纲!Y39)*$D$1</f>
        <v>0</v>
      </c>
      <c r="AS42" s="16">
        <f>IF(节奏总纲!S39&lt;F$13,0,求节点($C$18:$C$23,$H$18:$H$23,$Q42)*节奏总纲!Z39)*$D$1</f>
        <v>0</v>
      </c>
      <c r="AT42" s="16">
        <f>IF(节奏总纲!T39&lt;G$13,0,求节点($C$18:$C$23,$H$18:$H$23,$Q42)*节奏总纲!AA39)*$D$1</f>
        <v>0</v>
      </c>
      <c r="AU42" s="16">
        <f>SUM(AP$7:AP42)</f>
        <v>0</v>
      </c>
      <c r="AV42" s="16">
        <f>SUM(AQ$7:AQ42)</f>
        <v>0</v>
      </c>
      <c r="AW42" s="16">
        <f>SUM(AR$7:AR42)</f>
        <v>0</v>
      </c>
      <c r="AX42" s="16">
        <f>SUM(AS$7:AS42)</f>
        <v>0</v>
      </c>
      <c r="AY42" s="16">
        <f>SUM(AT$7:AT42)</f>
        <v>0</v>
      </c>
    </row>
    <row r="43" spans="10:51">
      <c r="J43" s="16">
        <v>37</v>
      </c>
      <c r="K43" s="16">
        <f>MAX(求节点(节奏总纲!$O$4:$O$163,节奏总纲!P$4:P$163,$J43)-INT(C$13),0)*$D$1*$D$2</f>
        <v>0</v>
      </c>
      <c r="L43" s="16">
        <f>MAX(求节点(节奏总纲!$O$4:$O$163,节奏总纲!Q$4:Q$163,$J43)-INT(D$13),0)*$D$1*$D$2</f>
        <v>0</v>
      </c>
      <c r="M43" s="16">
        <f>MAX(求节点(节奏总纲!$O$4:$O$163,节奏总纲!R$4:R$163,$J43)-INT(E$13),0)*$D$1*$D$2</f>
        <v>0</v>
      </c>
      <c r="N43" s="16">
        <f>MAX(求节点(节奏总纲!$O$4:$O$163,节奏总纲!S$4:S$163,$J43)-INT(F$13),0)*$D$1*$D$2</f>
        <v>0</v>
      </c>
      <c r="O43" s="16">
        <f>MAX(求节点(节奏总纲!$O$4:$O$163,节奏总纲!T$4:T$163,$J43)-INT(G$13),0)*$D$1*$D$2</f>
        <v>0</v>
      </c>
      <c r="Q43" s="16">
        <v>37</v>
      </c>
      <c r="R43" s="16">
        <f>IF(节奏总纲!P40&lt;C$13,0,求节点($C$18:$C$23,$E$18:$E$23,$Q43)*节奏总纲!W40)*$D$1</f>
        <v>0</v>
      </c>
      <c r="S43" s="16">
        <f>IF(节奏总纲!Q40&lt;D$13,0,求节点($C$18:$C$23,$E$18:$E$23,$Q43)*节奏总纲!X40)*$D$1</f>
        <v>0</v>
      </c>
      <c r="T43" s="16">
        <f>IF(节奏总纲!R40&lt;E$13,0,求节点($C$18:$C$23,$E$18:$E$23,$Q43)*节奏总纲!Y40)*$D$1</f>
        <v>0</v>
      </c>
      <c r="U43" s="16">
        <f>IF(节奏总纲!S40&lt;F$13,0,求节点($C$18:$C$23,$E$18:$E$23,$Q43)*节奏总纲!Z40)*$D$1</f>
        <v>0</v>
      </c>
      <c r="V43" s="16">
        <f>IF(节奏总纲!T40&lt;G$13,0,求节点($C$18:$C$23,$E$18:$E$23,$Q43)*节奏总纲!AA40)*$D$1</f>
        <v>0</v>
      </c>
      <c r="W43" s="16">
        <f>SUM(R$7:R43)</f>
        <v>0</v>
      </c>
      <c r="X43" s="16">
        <f>SUM(S$7:S43)</f>
        <v>0</v>
      </c>
      <c r="Y43" s="16">
        <f>SUM(T$7:T43)</f>
        <v>0</v>
      </c>
      <c r="Z43" s="16">
        <f>SUM(U$7:U43)</f>
        <v>0</v>
      </c>
      <c r="AA43" s="16">
        <f>SUM(V$7:V43)</f>
        <v>0</v>
      </c>
      <c r="AC43" s="16">
        <v>37</v>
      </c>
      <c r="AD43" s="16">
        <f>IF(节奏总纲!P40&lt;C$13,0,求节点($C$18:$C$23,$F$18:$F$23,$Q43)*节奏总纲!W40)*$D$1</f>
        <v>0</v>
      </c>
      <c r="AE43" s="16">
        <f>IF(节奏总纲!Q40&lt;D$13,0,求节点($C$18:$C$23,$F$18:$F$23,$Q43)*节奏总纲!X40)*$D$1</f>
        <v>0</v>
      </c>
      <c r="AF43" s="16">
        <f>IF(节奏总纲!R40&lt;E$13,0,求节点($C$18:$C$23,$F$18:$F$23,$Q43)*节奏总纲!Y40)*$D$1</f>
        <v>0</v>
      </c>
      <c r="AG43" s="16">
        <f>IF(节奏总纲!S40&lt;F$13,0,求节点($C$18:$C$23,$F$18:$F$23,$Q43)*节奏总纲!Z40)*$D$1</f>
        <v>0</v>
      </c>
      <c r="AH43" s="16">
        <f>IF(节奏总纲!T40&lt;G$13,0,求节点($C$18:$C$23,$F$18:$F$23,$Q43)*节奏总纲!AA40)*$D$1</f>
        <v>0</v>
      </c>
      <c r="AI43" s="16">
        <f>SUM(AD$7:AD43)</f>
        <v>0</v>
      </c>
      <c r="AJ43" s="16">
        <f>SUM(AE$7:AE43)</f>
        <v>0</v>
      </c>
      <c r="AK43" s="16">
        <f>SUM(AF$7:AF43)</f>
        <v>0</v>
      </c>
      <c r="AL43" s="16">
        <f>SUM(AG$7:AG43)</f>
        <v>0</v>
      </c>
      <c r="AM43" s="16">
        <f>SUM(AH$7:AH43)</f>
        <v>0</v>
      </c>
      <c r="AO43" s="16">
        <v>37</v>
      </c>
      <c r="AP43" s="16">
        <f>IF(节奏总纲!P40&lt;C$13,0,求节点($C$18:$C$23,$H$18:$H$23,$Q43)*节奏总纲!W40)*$D$1</f>
        <v>0</v>
      </c>
      <c r="AQ43" s="16">
        <f>IF(节奏总纲!Q40&lt;D$13,0,求节点($C$18:$C$23,$H$18:$H$23,$Q43)*节奏总纲!X40)*$D$1</f>
        <v>0</v>
      </c>
      <c r="AR43" s="16">
        <f>IF(节奏总纲!R40&lt;E$13,0,求节点($C$18:$C$23,$H$18:$H$23,$Q43)*节奏总纲!Y40)*$D$1</f>
        <v>0</v>
      </c>
      <c r="AS43" s="16">
        <f>IF(节奏总纲!S40&lt;F$13,0,求节点($C$18:$C$23,$H$18:$H$23,$Q43)*节奏总纲!Z40)*$D$1</f>
        <v>0</v>
      </c>
      <c r="AT43" s="16">
        <f>IF(节奏总纲!T40&lt;G$13,0,求节点($C$18:$C$23,$H$18:$H$23,$Q43)*节奏总纲!AA40)*$D$1</f>
        <v>0</v>
      </c>
      <c r="AU43" s="16">
        <f>SUM(AP$7:AP43)</f>
        <v>0</v>
      </c>
      <c r="AV43" s="16">
        <f>SUM(AQ$7:AQ43)</f>
        <v>0</v>
      </c>
      <c r="AW43" s="16">
        <f>SUM(AR$7:AR43)</f>
        <v>0</v>
      </c>
      <c r="AX43" s="16">
        <f>SUM(AS$7:AS43)</f>
        <v>0</v>
      </c>
      <c r="AY43" s="16">
        <f>SUM(AT$7:AT43)</f>
        <v>0</v>
      </c>
    </row>
    <row r="44" spans="10:51">
      <c r="J44" s="16">
        <v>38</v>
      </c>
      <c r="K44" s="16">
        <f>MAX(求节点(节奏总纲!$O$4:$O$163,节奏总纲!P$4:P$163,$J44)-INT(C$13),0)*$D$1*$D$2</f>
        <v>0</v>
      </c>
      <c r="L44" s="16">
        <f>MAX(求节点(节奏总纲!$O$4:$O$163,节奏总纲!Q$4:Q$163,$J44)-INT(D$13),0)*$D$1*$D$2</f>
        <v>0</v>
      </c>
      <c r="M44" s="16">
        <f>MAX(求节点(节奏总纲!$O$4:$O$163,节奏总纲!R$4:R$163,$J44)-INT(E$13),0)*$D$1*$D$2</f>
        <v>0</v>
      </c>
      <c r="N44" s="16">
        <f>MAX(求节点(节奏总纲!$O$4:$O$163,节奏总纲!S$4:S$163,$J44)-INT(F$13),0)*$D$1*$D$2</f>
        <v>0</v>
      </c>
      <c r="O44" s="16">
        <f>MAX(求节点(节奏总纲!$O$4:$O$163,节奏总纲!T$4:T$163,$J44)-INT(G$13),0)*$D$1*$D$2</f>
        <v>0</v>
      </c>
      <c r="Q44" s="16">
        <v>38</v>
      </c>
      <c r="R44" s="16">
        <f>IF(节奏总纲!P41&lt;C$13,0,求节点($C$18:$C$23,$E$18:$E$23,$Q44)*节奏总纲!W41)*$D$1</f>
        <v>0</v>
      </c>
      <c r="S44" s="16">
        <f>IF(节奏总纲!Q41&lt;D$13,0,求节点($C$18:$C$23,$E$18:$E$23,$Q44)*节奏总纲!X41)*$D$1</f>
        <v>0</v>
      </c>
      <c r="T44" s="16">
        <f>IF(节奏总纲!R41&lt;E$13,0,求节点($C$18:$C$23,$E$18:$E$23,$Q44)*节奏总纲!Y41)*$D$1</f>
        <v>0</v>
      </c>
      <c r="U44" s="16">
        <f>IF(节奏总纲!S41&lt;F$13,0,求节点($C$18:$C$23,$E$18:$E$23,$Q44)*节奏总纲!Z41)*$D$1</f>
        <v>0</v>
      </c>
      <c r="V44" s="16">
        <f>IF(节奏总纲!T41&lt;G$13,0,求节点($C$18:$C$23,$E$18:$E$23,$Q44)*节奏总纲!AA41)*$D$1</f>
        <v>0</v>
      </c>
      <c r="W44" s="16">
        <f>SUM(R$7:R44)</f>
        <v>0</v>
      </c>
      <c r="X44" s="16">
        <f>SUM(S$7:S44)</f>
        <v>0</v>
      </c>
      <c r="Y44" s="16">
        <f>SUM(T$7:T44)</f>
        <v>0</v>
      </c>
      <c r="Z44" s="16">
        <f>SUM(U$7:U44)</f>
        <v>0</v>
      </c>
      <c r="AA44" s="16">
        <f>SUM(V$7:V44)</f>
        <v>0</v>
      </c>
      <c r="AC44" s="16">
        <v>38</v>
      </c>
      <c r="AD44" s="16">
        <f>IF(节奏总纲!P41&lt;C$13,0,求节点($C$18:$C$23,$F$18:$F$23,$Q44)*节奏总纲!W41)*$D$1</f>
        <v>0</v>
      </c>
      <c r="AE44" s="16">
        <f>IF(节奏总纲!Q41&lt;D$13,0,求节点($C$18:$C$23,$F$18:$F$23,$Q44)*节奏总纲!X41)*$D$1</f>
        <v>0</v>
      </c>
      <c r="AF44" s="16">
        <f>IF(节奏总纲!R41&lt;E$13,0,求节点($C$18:$C$23,$F$18:$F$23,$Q44)*节奏总纲!Y41)*$D$1</f>
        <v>0</v>
      </c>
      <c r="AG44" s="16">
        <f>IF(节奏总纲!S41&lt;F$13,0,求节点($C$18:$C$23,$F$18:$F$23,$Q44)*节奏总纲!Z41)*$D$1</f>
        <v>0</v>
      </c>
      <c r="AH44" s="16">
        <f>IF(节奏总纲!T41&lt;G$13,0,求节点($C$18:$C$23,$F$18:$F$23,$Q44)*节奏总纲!AA41)*$D$1</f>
        <v>0</v>
      </c>
      <c r="AI44" s="16">
        <f>SUM(AD$7:AD44)</f>
        <v>0</v>
      </c>
      <c r="AJ44" s="16">
        <f>SUM(AE$7:AE44)</f>
        <v>0</v>
      </c>
      <c r="AK44" s="16">
        <f>SUM(AF$7:AF44)</f>
        <v>0</v>
      </c>
      <c r="AL44" s="16">
        <f>SUM(AG$7:AG44)</f>
        <v>0</v>
      </c>
      <c r="AM44" s="16">
        <f>SUM(AH$7:AH44)</f>
        <v>0</v>
      </c>
      <c r="AO44" s="16">
        <v>38</v>
      </c>
      <c r="AP44" s="16">
        <f>IF(节奏总纲!P41&lt;C$13,0,求节点($C$18:$C$23,$H$18:$H$23,$Q44)*节奏总纲!W41)*$D$1</f>
        <v>0</v>
      </c>
      <c r="AQ44" s="16">
        <f>IF(节奏总纲!Q41&lt;D$13,0,求节点($C$18:$C$23,$H$18:$H$23,$Q44)*节奏总纲!X41)*$D$1</f>
        <v>0</v>
      </c>
      <c r="AR44" s="16">
        <f>IF(节奏总纲!R41&lt;E$13,0,求节点($C$18:$C$23,$H$18:$H$23,$Q44)*节奏总纲!Y41)*$D$1</f>
        <v>0</v>
      </c>
      <c r="AS44" s="16">
        <f>IF(节奏总纲!S41&lt;F$13,0,求节点($C$18:$C$23,$H$18:$H$23,$Q44)*节奏总纲!Z41)*$D$1</f>
        <v>0</v>
      </c>
      <c r="AT44" s="16">
        <f>IF(节奏总纲!T41&lt;G$13,0,求节点($C$18:$C$23,$H$18:$H$23,$Q44)*节奏总纲!AA41)*$D$1</f>
        <v>0</v>
      </c>
      <c r="AU44" s="16">
        <f>SUM(AP$7:AP44)</f>
        <v>0</v>
      </c>
      <c r="AV44" s="16">
        <f>SUM(AQ$7:AQ44)</f>
        <v>0</v>
      </c>
      <c r="AW44" s="16">
        <f>SUM(AR$7:AR44)</f>
        <v>0</v>
      </c>
      <c r="AX44" s="16">
        <f>SUM(AS$7:AS44)</f>
        <v>0</v>
      </c>
      <c r="AY44" s="16">
        <f>SUM(AT$7:AT44)</f>
        <v>0</v>
      </c>
    </row>
    <row r="45" spans="10:51">
      <c r="J45" s="16">
        <v>39</v>
      </c>
      <c r="K45" s="16">
        <f>MAX(求节点(节奏总纲!$O$4:$O$163,节奏总纲!P$4:P$163,$J45)-INT(C$13),0)*$D$1*$D$2</f>
        <v>0</v>
      </c>
      <c r="L45" s="16">
        <f>MAX(求节点(节奏总纲!$O$4:$O$163,节奏总纲!Q$4:Q$163,$J45)-INT(D$13),0)*$D$1*$D$2</f>
        <v>0</v>
      </c>
      <c r="M45" s="16">
        <f>MAX(求节点(节奏总纲!$O$4:$O$163,节奏总纲!R$4:R$163,$J45)-INT(E$13),0)*$D$1*$D$2</f>
        <v>0</v>
      </c>
      <c r="N45" s="16">
        <f>MAX(求节点(节奏总纲!$O$4:$O$163,节奏总纲!S$4:S$163,$J45)-INT(F$13),0)*$D$1*$D$2</f>
        <v>0</v>
      </c>
      <c r="O45" s="16">
        <f>MAX(求节点(节奏总纲!$O$4:$O$163,节奏总纲!T$4:T$163,$J45)-INT(G$13),0)*$D$1*$D$2</f>
        <v>0</v>
      </c>
      <c r="Q45" s="16">
        <v>39</v>
      </c>
      <c r="R45" s="16">
        <f>IF(节奏总纲!P42&lt;C$13,0,求节点($C$18:$C$23,$E$18:$E$23,$Q45)*节奏总纲!W42)*$D$1</f>
        <v>0</v>
      </c>
      <c r="S45" s="16">
        <f>IF(节奏总纲!Q42&lt;D$13,0,求节点($C$18:$C$23,$E$18:$E$23,$Q45)*节奏总纲!X42)*$D$1</f>
        <v>0</v>
      </c>
      <c r="T45" s="16">
        <f>IF(节奏总纲!R42&lt;E$13,0,求节点($C$18:$C$23,$E$18:$E$23,$Q45)*节奏总纲!Y42)*$D$1</f>
        <v>0</v>
      </c>
      <c r="U45" s="16">
        <f>IF(节奏总纲!S42&lt;F$13,0,求节点($C$18:$C$23,$E$18:$E$23,$Q45)*节奏总纲!Z42)*$D$1</f>
        <v>0</v>
      </c>
      <c r="V45" s="16">
        <f>IF(节奏总纲!T42&lt;G$13,0,求节点($C$18:$C$23,$E$18:$E$23,$Q45)*节奏总纲!AA42)*$D$1</f>
        <v>0</v>
      </c>
      <c r="W45" s="16">
        <f>SUM(R$7:R45)</f>
        <v>0</v>
      </c>
      <c r="X45" s="16">
        <f>SUM(S$7:S45)</f>
        <v>0</v>
      </c>
      <c r="Y45" s="16">
        <f>SUM(T$7:T45)</f>
        <v>0</v>
      </c>
      <c r="Z45" s="16">
        <f>SUM(U$7:U45)</f>
        <v>0</v>
      </c>
      <c r="AA45" s="16">
        <f>SUM(V$7:V45)</f>
        <v>0</v>
      </c>
      <c r="AC45" s="16">
        <v>39</v>
      </c>
      <c r="AD45" s="16">
        <f>IF(节奏总纲!P42&lt;C$13,0,求节点($C$18:$C$23,$F$18:$F$23,$Q45)*节奏总纲!W42)*$D$1</f>
        <v>0</v>
      </c>
      <c r="AE45" s="16">
        <f>IF(节奏总纲!Q42&lt;D$13,0,求节点($C$18:$C$23,$F$18:$F$23,$Q45)*节奏总纲!X42)*$D$1</f>
        <v>0</v>
      </c>
      <c r="AF45" s="16">
        <f>IF(节奏总纲!R42&lt;E$13,0,求节点($C$18:$C$23,$F$18:$F$23,$Q45)*节奏总纲!Y42)*$D$1</f>
        <v>0</v>
      </c>
      <c r="AG45" s="16">
        <f>IF(节奏总纲!S42&lt;F$13,0,求节点($C$18:$C$23,$F$18:$F$23,$Q45)*节奏总纲!Z42)*$D$1</f>
        <v>0</v>
      </c>
      <c r="AH45" s="16">
        <f>IF(节奏总纲!T42&lt;G$13,0,求节点($C$18:$C$23,$F$18:$F$23,$Q45)*节奏总纲!AA42)*$D$1</f>
        <v>0</v>
      </c>
      <c r="AI45" s="16">
        <f>SUM(AD$7:AD45)</f>
        <v>0</v>
      </c>
      <c r="AJ45" s="16">
        <f>SUM(AE$7:AE45)</f>
        <v>0</v>
      </c>
      <c r="AK45" s="16">
        <f>SUM(AF$7:AF45)</f>
        <v>0</v>
      </c>
      <c r="AL45" s="16">
        <f>SUM(AG$7:AG45)</f>
        <v>0</v>
      </c>
      <c r="AM45" s="16">
        <f>SUM(AH$7:AH45)</f>
        <v>0</v>
      </c>
      <c r="AO45" s="16">
        <v>39</v>
      </c>
      <c r="AP45" s="16">
        <f>IF(节奏总纲!P42&lt;C$13,0,求节点($C$18:$C$23,$H$18:$H$23,$Q45)*节奏总纲!W42)*$D$1</f>
        <v>0</v>
      </c>
      <c r="AQ45" s="16">
        <f>IF(节奏总纲!Q42&lt;D$13,0,求节点($C$18:$C$23,$H$18:$H$23,$Q45)*节奏总纲!X42)*$D$1</f>
        <v>0</v>
      </c>
      <c r="AR45" s="16">
        <f>IF(节奏总纲!R42&lt;E$13,0,求节点($C$18:$C$23,$H$18:$H$23,$Q45)*节奏总纲!Y42)*$D$1</f>
        <v>0</v>
      </c>
      <c r="AS45" s="16">
        <f>IF(节奏总纲!S42&lt;F$13,0,求节点($C$18:$C$23,$H$18:$H$23,$Q45)*节奏总纲!Z42)*$D$1</f>
        <v>0</v>
      </c>
      <c r="AT45" s="16">
        <f>IF(节奏总纲!T42&lt;G$13,0,求节点($C$18:$C$23,$H$18:$H$23,$Q45)*节奏总纲!AA42)*$D$1</f>
        <v>0</v>
      </c>
      <c r="AU45" s="16">
        <f>SUM(AP$7:AP45)</f>
        <v>0</v>
      </c>
      <c r="AV45" s="16">
        <f>SUM(AQ$7:AQ45)</f>
        <v>0</v>
      </c>
      <c r="AW45" s="16">
        <f>SUM(AR$7:AR45)</f>
        <v>0</v>
      </c>
      <c r="AX45" s="16">
        <f>SUM(AS$7:AS45)</f>
        <v>0</v>
      </c>
      <c r="AY45" s="16">
        <f>SUM(AT$7:AT45)</f>
        <v>0</v>
      </c>
    </row>
    <row r="46" spans="10:51">
      <c r="J46" s="16">
        <v>40</v>
      </c>
      <c r="K46" s="16">
        <f>MAX(求节点(节奏总纲!$O$4:$O$163,节奏总纲!P$4:P$163,$J46)-INT(C$13),0)*$D$1*$D$2</f>
        <v>0</v>
      </c>
      <c r="L46" s="16">
        <f>MAX(求节点(节奏总纲!$O$4:$O$163,节奏总纲!Q$4:Q$163,$J46)-INT(D$13),0)*$D$1*$D$2</f>
        <v>0</v>
      </c>
      <c r="M46" s="16">
        <f>MAX(求节点(节奏总纲!$O$4:$O$163,节奏总纲!R$4:R$163,$J46)-INT(E$13),0)*$D$1*$D$2</f>
        <v>0</v>
      </c>
      <c r="N46" s="16">
        <f>MAX(求节点(节奏总纲!$O$4:$O$163,节奏总纲!S$4:S$163,$J46)-INT(F$13),0)*$D$1*$D$2</f>
        <v>0</v>
      </c>
      <c r="O46" s="16">
        <f>MAX(求节点(节奏总纲!$O$4:$O$163,节奏总纲!T$4:T$163,$J46)-INT(G$13),0)*$D$1*$D$2</f>
        <v>0</v>
      </c>
      <c r="Q46" s="16">
        <v>40</v>
      </c>
      <c r="R46" s="16">
        <f>IF(节奏总纲!P43&lt;C$13,0,求节点($C$18:$C$23,$E$18:$E$23,$Q46)*节奏总纲!W43)*$D$1</f>
        <v>0</v>
      </c>
      <c r="S46" s="16">
        <f>IF(节奏总纲!Q43&lt;D$13,0,求节点($C$18:$C$23,$E$18:$E$23,$Q46)*节奏总纲!X43)*$D$1</f>
        <v>0</v>
      </c>
      <c r="T46" s="16">
        <f>IF(节奏总纲!R43&lt;E$13,0,求节点($C$18:$C$23,$E$18:$E$23,$Q46)*节奏总纲!Y43)*$D$1</f>
        <v>0</v>
      </c>
      <c r="U46" s="16">
        <f>IF(节奏总纲!S43&lt;F$13,0,求节点($C$18:$C$23,$E$18:$E$23,$Q46)*节奏总纲!Z43)*$D$1</f>
        <v>0</v>
      </c>
      <c r="V46" s="16">
        <f>IF(节奏总纲!T43&lt;G$13,0,求节点($C$18:$C$23,$E$18:$E$23,$Q46)*节奏总纲!AA43)*$D$1</f>
        <v>0</v>
      </c>
      <c r="W46" s="16">
        <f>SUM(R$7:R46)</f>
        <v>0</v>
      </c>
      <c r="X46" s="16">
        <f>SUM(S$7:S46)</f>
        <v>0</v>
      </c>
      <c r="Y46" s="16">
        <f>SUM(T$7:T46)</f>
        <v>0</v>
      </c>
      <c r="Z46" s="16">
        <f>SUM(U$7:U46)</f>
        <v>0</v>
      </c>
      <c r="AA46" s="16">
        <f>SUM(V$7:V46)</f>
        <v>0</v>
      </c>
      <c r="AC46" s="16">
        <v>40</v>
      </c>
      <c r="AD46" s="16">
        <f>IF(节奏总纲!P43&lt;C$13,0,求节点($C$18:$C$23,$F$18:$F$23,$Q46)*节奏总纲!W43)*$D$1</f>
        <v>0</v>
      </c>
      <c r="AE46" s="16">
        <f>IF(节奏总纲!Q43&lt;D$13,0,求节点($C$18:$C$23,$F$18:$F$23,$Q46)*节奏总纲!X43)*$D$1</f>
        <v>0</v>
      </c>
      <c r="AF46" s="16">
        <f>IF(节奏总纲!R43&lt;E$13,0,求节点($C$18:$C$23,$F$18:$F$23,$Q46)*节奏总纲!Y43)*$D$1</f>
        <v>0</v>
      </c>
      <c r="AG46" s="16">
        <f>IF(节奏总纲!S43&lt;F$13,0,求节点($C$18:$C$23,$F$18:$F$23,$Q46)*节奏总纲!Z43)*$D$1</f>
        <v>0</v>
      </c>
      <c r="AH46" s="16">
        <f>IF(节奏总纲!T43&lt;G$13,0,求节点($C$18:$C$23,$F$18:$F$23,$Q46)*节奏总纲!AA43)*$D$1</f>
        <v>0</v>
      </c>
      <c r="AI46" s="16">
        <f>SUM(AD$7:AD46)</f>
        <v>0</v>
      </c>
      <c r="AJ46" s="16">
        <f>SUM(AE$7:AE46)</f>
        <v>0</v>
      </c>
      <c r="AK46" s="16">
        <f>SUM(AF$7:AF46)</f>
        <v>0</v>
      </c>
      <c r="AL46" s="16">
        <f>SUM(AG$7:AG46)</f>
        <v>0</v>
      </c>
      <c r="AM46" s="16">
        <f>SUM(AH$7:AH46)</f>
        <v>0</v>
      </c>
      <c r="AO46" s="16">
        <v>40</v>
      </c>
      <c r="AP46" s="16">
        <f>IF(节奏总纲!P43&lt;C$13,0,求节点($C$18:$C$23,$H$18:$H$23,$Q46)*节奏总纲!W43)*$D$1</f>
        <v>0</v>
      </c>
      <c r="AQ46" s="16">
        <f>IF(节奏总纲!Q43&lt;D$13,0,求节点($C$18:$C$23,$H$18:$H$23,$Q46)*节奏总纲!X43)*$D$1</f>
        <v>0</v>
      </c>
      <c r="AR46" s="16">
        <f>IF(节奏总纲!R43&lt;E$13,0,求节点($C$18:$C$23,$H$18:$H$23,$Q46)*节奏总纲!Y43)*$D$1</f>
        <v>0</v>
      </c>
      <c r="AS46" s="16">
        <f>IF(节奏总纲!S43&lt;F$13,0,求节点($C$18:$C$23,$H$18:$H$23,$Q46)*节奏总纲!Z43)*$D$1</f>
        <v>0</v>
      </c>
      <c r="AT46" s="16">
        <f>IF(节奏总纲!T43&lt;G$13,0,求节点($C$18:$C$23,$H$18:$H$23,$Q46)*节奏总纲!AA43)*$D$1</f>
        <v>0</v>
      </c>
      <c r="AU46" s="16">
        <f>SUM(AP$7:AP46)</f>
        <v>0</v>
      </c>
      <c r="AV46" s="16">
        <f>SUM(AQ$7:AQ46)</f>
        <v>0</v>
      </c>
      <c r="AW46" s="16">
        <f>SUM(AR$7:AR46)</f>
        <v>0</v>
      </c>
      <c r="AX46" s="16">
        <f>SUM(AS$7:AS46)</f>
        <v>0</v>
      </c>
      <c r="AY46" s="16">
        <f>SUM(AT$7:AT46)</f>
        <v>0</v>
      </c>
    </row>
    <row r="47" spans="10:51">
      <c r="J47" s="16">
        <v>41</v>
      </c>
      <c r="K47" s="16">
        <f>MAX(求节点(节奏总纲!$O$4:$O$163,节奏总纲!P$4:P$163,$J47)-INT(C$13),0)*$D$1*$D$2</f>
        <v>0</v>
      </c>
      <c r="L47" s="16">
        <f>MAX(求节点(节奏总纲!$O$4:$O$163,节奏总纲!Q$4:Q$163,$J47)-INT(D$13),0)*$D$1*$D$2</f>
        <v>0</v>
      </c>
      <c r="M47" s="16">
        <f>MAX(求节点(节奏总纲!$O$4:$O$163,节奏总纲!R$4:R$163,$J47)-INT(E$13),0)*$D$1*$D$2</f>
        <v>0</v>
      </c>
      <c r="N47" s="16">
        <f>MAX(求节点(节奏总纲!$O$4:$O$163,节奏总纲!S$4:S$163,$J47)-INT(F$13),0)*$D$1*$D$2</f>
        <v>0</v>
      </c>
      <c r="O47" s="16">
        <f>MAX(求节点(节奏总纲!$O$4:$O$163,节奏总纲!T$4:T$163,$J47)-INT(G$13),0)*$D$1*$D$2</f>
        <v>0</v>
      </c>
      <c r="Q47" s="16">
        <v>41</v>
      </c>
      <c r="R47" s="16">
        <f>IF(节奏总纲!P44&lt;C$13,0,求节点($C$18:$C$23,$E$18:$E$23,$Q47)*节奏总纲!W44)*$D$1</f>
        <v>0</v>
      </c>
      <c r="S47" s="16">
        <f>IF(节奏总纲!Q44&lt;D$13,0,求节点($C$18:$C$23,$E$18:$E$23,$Q47)*节奏总纲!X44)*$D$1</f>
        <v>0</v>
      </c>
      <c r="T47" s="16">
        <f>IF(节奏总纲!R44&lt;E$13,0,求节点($C$18:$C$23,$E$18:$E$23,$Q47)*节奏总纲!Y44)*$D$1</f>
        <v>0</v>
      </c>
      <c r="U47" s="16">
        <f>IF(节奏总纲!S44&lt;F$13,0,求节点($C$18:$C$23,$E$18:$E$23,$Q47)*节奏总纲!Z44)*$D$1</f>
        <v>0</v>
      </c>
      <c r="V47" s="16">
        <f>IF(节奏总纲!T44&lt;G$13,0,求节点($C$18:$C$23,$E$18:$E$23,$Q47)*节奏总纲!AA44)*$D$1</f>
        <v>0</v>
      </c>
      <c r="W47" s="16">
        <f>SUM(R$7:R47)</f>
        <v>0</v>
      </c>
      <c r="X47" s="16">
        <f>SUM(S$7:S47)</f>
        <v>0</v>
      </c>
      <c r="Y47" s="16">
        <f>SUM(T$7:T47)</f>
        <v>0</v>
      </c>
      <c r="Z47" s="16">
        <f>SUM(U$7:U47)</f>
        <v>0</v>
      </c>
      <c r="AA47" s="16">
        <f>SUM(V$7:V47)</f>
        <v>0</v>
      </c>
      <c r="AC47" s="16">
        <v>41</v>
      </c>
      <c r="AD47" s="16">
        <f>IF(节奏总纲!P44&lt;C$13,0,求节点($C$18:$C$23,$F$18:$F$23,$Q47)*节奏总纲!W44)*$D$1</f>
        <v>0</v>
      </c>
      <c r="AE47" s="16">
        <f>IF(节奏总纲!Q44&lt;D$13,0,求节点($C$18:$C$23,$F$18:$F$23,$Q47)*节奏总纲!X44)*$D$1</f>
        <v>0</v>
      </c>
      <c r="AF47" s="16">
        <f>IF(节奏总纲!R44&lt;E$13,0,求节点($C$18:$C$23,$F$18:$F$23,$Q47)*节奏总纲!Y44)*$D$1</f>
        <v>0</v>
      </c>
      <c r="AG47" s="16">
        <f>IF(节奏总纲!S44&lt;F$13,0,求节点($C$18:$C$23,$F$18:$F$23,$Q47)*节奏总纲!Z44)*$D$1</f>
        <v>0</v>
      </c>
      <c r="AH47" s="16">
        <f>IF(节奏总纲!T44&lt;G$13,0,求节点($C$18:$C$23,$F$18:$F$23,$Q47)*节奏总纲!AA44)*$D$1</f>
        <v>0</v>
      </c>
      <c r="AI47" s="16">
        <f>SUM(AD$7:AD47)</f>
        <v>0</v>
      </c>
      <c r="AJ47" s="16">
        <f>SUM(AE$7:AE47)</f>
        <v>0</v>
      </c>
      <c r="AK47" s="16">
        <f>SUM(AF$7:AF47)</f>
        <v>0</v>
      </c>
      <c r="AL47" s="16">
        <f>SUM(AG$7:AG47)</f>
        <v>0</v>
      </c>
      <c r="AM47" s="16">
        <f>SUM(AH$7:AH47)</f>
        <v>0</v>
      </c>
      <c r="AO47" s="16">
        <v>41</v>
      </c>
      <c r="AP47" s="16">
        <f>IF(节奏总纲!P44&lt;C$13,0,求节点($C$18:$C$23,$H$18:$H$23,$Q47)*节奏总纲!W44)*$D$1</f>
        <v>0</v>
      </c>
      <c r="AQ47" s="16">
        <f>IF(节奏总纲!Q44&lt;D$13,0,求节点($C$18:$C$23,$H$18:$H$23,$Q47)*节奏总纲!X44)*$D$1</f>
        <v>0</v>
      </c>
      <c r="AR47" s="16">
        <f>IF(节奏总纲!R44&lt;E$13,0,求节点($C$18:$C$23,$H$18:$H$23,$Q47)*节奏总纲!Y44)*$D$1</f>
        <v>0</v>
      </c>
      <c r="AS47" s="16">
        <f>IF(节奏总纲!S44&lt;F$13,0,求节点($C$18:$C$23,$H$18:$H$23,$Q47)*节奏总纲!Z44)*$D$1</f>
        <v>0</v>
      </c>
      <c r="AT47" s="16">
        <f>IF(节奏总纲!T44&lt;G$13,0,求节点($C$18:$C$23,$H$18:$H$23,$Q47)*节奏总纲!AA44)*$D$1</f>
        <v>0</v>
      </c>
      <c r="AU47" s="16">
        <f>SUM(AP$7:AP47)</f>
        <v>0</v>
      </c>
      <c r="AV47" s="16">
        <f>SUM(AQ$7:AQ47)</f>
        <v>0</v>
      </c>
      <c r="AW47" s="16">
        <f>SUM(AR$7:AR47)</f>
        <v>0</v>
      </c>
      <c r="AX47" s="16">
        <f>SUM(AS$7:AS47)</f>
        <v>0</v>
      </c>
      <c r="AY47" s="16">
        <f>SUM(AT$7:AT47)</f>
        <v>0</v>
      </c>
    </row>
    <row r="48" spans="10:51">
      <c r="J48" s="16">
        <v>42</v>
      </c>
      <c r="K48" s="16">
        <f>MAX(求节点(节奏总纲!$O$4:$O$163,节奏总纲!P$4:P$163,$J48)-INT(C$13),0)*$D$1*$D$2</f>
        <v>0</v>
      </c>
      <c r="L48" s="16">
        <f>MAX(求节点(节奏总纲!$O$4:$O$163,节奏总纲!Q$4:Q$163,$J48)-INT(D$13),0)*$D$1*$D$2</f>
        <v>0</v>
      </c>
      <c r="M48" s="16">
        <f>MAX(求节点(节奏总纲!$O$4:$O$163,节奏总纲!R$4:R$163,$J48)-INT(E$13),0)*$D$1*$D$2</f>
        <v>0</v>
      </c>
      <c r="N48" s="16">
        <f>MAX(求节点(节奏总纲!$O$4:$O$163,节奏总纲!S$4:S$163,$J48)-INT(F$13),0)*$D$1*$D$2</f>
        <v>0</v>
      </c>
      <c r="O48" s="16">
        <f>MAX(求节点(节奏总纲!$O$4:$O$163,节奏总纲!T$4:T$163,$J48)-INT(G$13),0)*$D$1*$D$2</f>
        <v>0</v>
      </c>
      <c r="Q48" s="16">
        <v>42</v>
      </c>
      <c r="R48" s="16">
        <f>IF(节奏总纲!P45&lt;C$13,0,求节点($C$18:$C$23,$E$18:$E$23,$Q48)*节奏总纲!W45)*$D$1</f>
        <v>0</v>
      </c>
      <c r="S48" s="16">
        <f>IF(节奏总纲!Q45&lt;D$13,0,求节点($C$18:$C$23,$E$18:$E$23,$Q48)*节奏总纲!X45)*$D$1</f>
        <v>0</v>
      </c>
      <c r="T48" s="16">
        <f>IF(节奏总纲!R45&lt;E$13,0,求节点($C$18:$C$23,$E$18:$E$23,$Q48)*节奏总纲!Y45)*$D$1</f>
        <v>0</v>
      </c>
      <c r="U48" s="16">
        <f>IF(节奏总纲!S45&lt;F$13,0,求节点($C$18:$C$23,$E$18:$E$23,$Q48)*节奏总纲!Z45)*$D$1</f>
        <v>0</v>
      </c>
      <c r="V48" s="16">
        <f>IF(节奏总纲!T45&lt;G$13,0,求节点($C$18:$C$23,$E$18:$E$23,$Q48)*节奏总纲!AA45)*$D$1</f>
        <v>0</v>
      </c>
      <c r="W48" s="16">
        <f>SUM(R$7:R48)</f>
        <v>0</v>
      </c>
      <c r="X48" s="16">
        <f>SUM(S$7:S48)</f>
        <v>0</v>
      </c>
      <c r="Y48" s="16">
        <f>SUM(T$7:T48)</f>
        <v>0</v>
      </c>
      <c r="Z48" s="16">
        <f>SUM(U$7:U48)</f>
        <v>0</v>
      </c>
      <c r="AA48" s="16">
        <f>SUM(V$7:V48)</f>
        <v>0</v>
      </c>
      <c r="AC48" s="16">
        <v>42</v>
      </c>
      <c r="AD48" s="16">
        <f>IF(节奏总纲!P45&lt;C$13,0,求节点($C$18:$C$23,$F$18:$F$23,$Q48)*节奏总纲!W45)*$D$1</f>
        <v>0</v>
      </c>
      <c r="AE48" s="16">
        <f>IF(节奏总纲!Q45&lt;D$13,0,求节点($C$18:$C$23,$F$18:$F$23,$Q48)*节奏总纲!X45)*$D$1</f>
        <v>0</v>
      </c>
      <c r="AF48" s="16">
        <f>IF(节奏总纲!R45&lt;E$13,0,求节点($C$18:$C$23,$F$18:$F$23,$Q48)*节奏总纲!Y45)*$D$1</f>
        <v>0</v>
      </c>
      <c r="AG48" s="16">
        <f>IF(节奏总纲!S45&lt;F$13,0,求节点($C$18:$C$23,$F$18:$F$23,$Q48)*节奏总纲!Z45)*$D$1</f>
        <v>0</v>
      </c>
      <c r="AH48" s="16">
        <f>IF(节奏总纲!T45&lt;G$13,0,求节点($C$18:$C$23,$F$18:$F$23,$Q48)*节奏总纲!AA45)*$D$1</f>
        <v>0</v>
      </c>
      <c r="AI48" s="16">
        <f>SUM(AD$7:AD48)</f>
        <v>0</v>
      </c>
      <c r="AJ48" s="16">
        <f>SUM(AE$7:AE48)</f>
        <v>0</v>
      </c>
      <c r="AK48" s="16">
        <f>SUM(AF$7:AF48)</f>
        <v>0</v>
      </c>
      <c r="AL48" s="16">
        <f>SUM(AG$7:AG48)</f>
        <v>0</v>
      </c>
      <c r="AM48" s="16">
        <f>SUM(AH$7:AH48)</f>
        <v>0</v>
      </c>
      <c r="AO48" s="16">
        <v>42</v>
      </c>
      <c r="AP48" s="16">
        <f>IF(节奏总纲!P45&lt;C$13,0,求节点($C$18:$C$23,$H$18:$H$23,$Q48)*节奏总纲!W45)*$D$1</f>
        <v>0</v>
      </c>
      <c r="AQ48" s="16">
        <f>IF(节奏总纲!Q45&lt;D$13,0,求节点($C$18:$C$23,$H$18:$H$23,$Q48)*节奏总纲!X45)*$D$1</f>
        <v>0</v>
      </c>
      <c r="AR48" s="16">
        <f>IF(节奏总纲!R45&lt;E$13,0,求节点($C$18:$C$23,$H$18:$H$23,$Q48)*节奏总纲!Y45)*$D$1</f>
        <v>0</v>
      </c>
      <c r="AS48" s="16">
        <f>IF(节奏总纲!S45&lt;F$13,0,求节点($C$18:$C$23,$H$18:$H$23,$Q48)*节奏总纲!Z45)*$D$1</f>
        <v>0</v>
      </c>
      <c r="AT48" s="16">
        <f>IF(节奏总纲!T45&lt;G$13,0,求节点($C$18:$C$23,$H$18:$H$23,$Q48)*节奏总纲!AA45)*$D$1</f>
        <v>0</v>
      </c>
      <c r="AU48" s="16">
        <f>SUM(AP$7:AP48)</f>
        <v>0</v>
      </c>
      <c r="AV48" s="16">
        <f>SUM(AQ$7:AQ48)</f>
        <v>0</v>
      </c>
      <c r="AW48" s="16">
        <f>SUM(AR$7:AR48)</f>
        <v>0</v>
      </c>
      <c r="AX48" s="16">
        <f>SUM(AS$7:AS48)</f>
        <v>0</v>
      </c>
      <c r="AY48" s="16">
        <f>SUM(AT$7:AT48)</f>
        <v>0</v>
      </c>
    </row>
    <row r="49" spans="10:51">
      <c r="J49" s="16">
        <v>43</v>
      </c>
      <c r="K49" s="16">
        <f>MAX(求节点(节奏总纲!$O$4:$O$163,节奏总纲!P$4:P$163,$J49)-INT(C$13),0)*$D$1*$D$2</f>
        <v>0</v>
      </c>
      <c r="L49" s="16">
        <f>MAX(求节点(节奏总纲!$O$4:$O$163,节奏总纲!Q$4:Q$163,$J49)-INT(D$13),0)*$D$1*$D$2</f>
        <v>0</v>
      </c>
      <c r="M49" s="16">
        <f>MAX(求节点(节奏总纲!$O$4:$O$163,节奏总纲!R$4:R$163,$J49)-INT(E$13),0)*$D$1*$D$2</f>
        <v>0</v>
      </c>
      <c r="N49" s="16">
        <f>MAX(求节点(节奏总纲!$O$4:$O$163,节奏总纲!S$4:S$163,$J49)-INT(F$13),0)*$D$1*$D$2</f>
        <v>0</v>
      </c>
      <c r="O49" s="16">
        <f>MAX(求节点(节奏总纲!$O$4:$O$163,节奏总纲!T$4:T$163,$J49)-INT(G$13),0)*$D$1*$D$2</f>
        <v>0</v>
      </c>
      <c r="Q49" s="16">
        <v>43</v>
      </c>
      <c r="R49" s="16">
        <f>IF(节奏总纲!P46&lt;C$13,0,求节点($C$18:$C$23,$E$18:$E$23,$Q49)*节奏总纲!W46)*$D$1</f>
        <v>0</v>
      </c>
      <c r="S49" s="16">
        <f>IF(节奏总纲!Q46&lt;D$13,0,求节点($C$18:$C$23,$E$18:$E$23,$Q49)*节奏总纲!X46)*$D$1</f>
        <v>0</v>
      </c>
      <c r="T49" s="16">
        <f>IF(节奏总纲!R46&lt;E$13,0,求节点($C$18:$C$23,$E$18:$E$23,$Q49)*节奏总纲!Y46)*$D$1</f>
        <v>0</v>
      </c>
      <c r="U49" s="16">
        <f>IF(节奏总纲!S46&lt;F$13,0,求节点($C$18:$C$23,$E$18:$E$23,$Q49)*节奏总纲!Z46)*$D$1</f>
        <v>0</v>
      </c>
      <c r="V49" s="16">
        <f>IF(节奏总纲!T46&lt;G$13,0,求节点($C$18:$C$23,$E$18:$E$23,$Q49)*节奏总纲!AA46)*$D$1</f>
        <v>0</v>
      </c>
      <c r="W49" s="16">
        <f>SUM(R$7:R49)</f>
        <v>0</v>
      </c>
      <c r="X49" s="16">
        <f>SUM(S$7:S49)</f>
        <v>0</v>
      </c>
      <c r="Y49" s="16">
        <f>SUM(T$7:T49)</f>
        <v>0</v>
      </c>
      <c r="Z49" s="16">
        <f>SUM(U$7:U49)</f>
        <v>0</v>
      </c>
      <c r="AA49" s="16">
        <f>SUM(V$7:V49)</f>
        <v>0</v>
      </c>
      <c r="AC49" s="16">
        <v>43</v>
      </c>
      <c r="AD49" s="16">
        <f>IF(节奏总纲!P46&lt;C$13,0,求节点($C$18:$C$23,$F$18:$F$23,$Q49)*节奏总纲!W46)*$D$1</f>
        <v>0</v>
      </c>
      <c r="AE49" s="16">
        <f>IF(节奏总纲!Q46&lt;D$13,0,求节点($C$18:$C$23,$F$18:$F$23,$Q49)*节奏总纲!X46)*$D$1</f>
        <v>0</v>
      </c>
      <c r="AF49" s="16">
        <f>IF(节奏总纲!R46&lt;E$13,0,求节点($C$18:$C$23,$F$18:$F$23,$Q49)*节奏总纲!Y46)*$D$1</f>
        <v>0</v>
      </c>
      <c r="AG49" s="16">
        <f>IF(节奏总纲!S46&lt;F$13,0,求节点($C$18:$C$23,$F$18:$F$23,$Q49)*节奏总纲!Z46)*$D$1</f>
        <v>0</v>
      </c>
      <c r="AH49" s="16">
        <f>IF(节奏总纲!T46&lt;G$13,0,求节点($C$18:$C$23,$F$18:$F$23,$Q49)*节奏总纲!AA46)*$D$1</f>
        <v>0</v>
      </c>
      <c r="AI49" s="16">
        <f>SUM(AD$7:AD49)</f>
        <v>0</v>
      </c>
      <c r="AJ49" s="16">
        <f>SUM(AE$7:AE49)</f>
        <v>0</v>
      </c>
      <c r="AK49" s="16">
        <f>SUM(AF$7:AF49)</f>
        <v>0</v>
      </c>
      <c r="AL49" s="16">
        <f>SUM(AG$7:AG49)</f>
        <v>0</v>
      </c>
      <c r="AM49" s="16">
        <f>SUM(AH$7:AH49)</f>
        <v>0</v>
      </c>
      <c r="AO49" s="16">
        <v>43</v>
      </c>
      <c r="AP49" s="16">
        <f>IF(节奏总纲!P46&lt;C$13,0,求节点($C$18:$C$23,$H$18:$H$23,$Q49)*节奏总纲!W46)*$D$1</f>
        <v>0</v>
      </c>
      <c r="AQ49" s="16">
        <f>IF(节奏总纲!Q46&lt;D$13,0,求节点($C$18:$C$23,$H$18:$H$23,$Q49)*节奏总纲!X46)*$D$1</f>
        <v>0</v>
      </c>
      <c r="AR49" s="16">
        <f>IF(节奏总纲!R46&lt;E$13,0,求节点($C$18:$C$23,$H$18:$H$23,$Q49)*节奏总纲!Y46)*$D$1</f>
        <v>0</v>
      </c>
      <c r="AS49" s="16">
        <f>IF(节奏总纲!S46&lt;F$13,0,求节点($C$18:$C$23,$H$18:$H$23,$Q49)*节奏总纲!Z46)*$D$1</f>
        <v>0</v>
      </c>
      <c r="AT49" s="16">
        <f>IF(节奏总纲!T46&lt;G$13,0,求节点($C$18:$C$23,$H$18:$H$23,$Q49)*节奏总纲!AA46)*$D$1</f>
        <v>0</v>
      </c>
      <c r="AU49" s="16">
        <f>SUM(AP$7:AP49)</f>
        <v>0</v>
      </c>
      <c r="AV49" s="16">
        <f>SUM(AQ$7:AQ49)</f>
        <v>0</v>
      </c>
      <c r="AW49" s="16">
        <f>SUM(AR$7:AR49)</f>
        <v>0</v>
      </c>
      <c r="AX49" s="16">
        <f>SUM(AS$7:AS49)</f>
        <v>0</v>
      </c>
      <c r="AY49" s="16">
        <f>SUM(AT$7:AT49)</f>
        <v>0</v>
      </c>
    </row>
    <row r="50" spans="10:51">
      <c r="J50" s="16">
        <v>44</v>
      </c>
      <c r="K50" s="16">
        <f>MAX(求节点(节奏总纲!$O$4:$O$163,节奏总纲!P$4:P$163,$J50)-INT(C$13),0)*$D$1*$D$2</f>
        <v>0</v>
      </c>
      <c r="L50" s="16">
        <f>MAX(求节点(节奏总纲!$O$4:$O$163,节奏总纲!Q$4:Q$163,$J50)-INT(D$13),0)*$D$1*$D$2</f>
        <v>0</v>
      </c>
      <c r="M50" s="16">
        <f>MAX(求节点(节奏总纲!$O$4:$O$163,节奏总纲!R$4:R$163,$J50)-INT(E$13),0)*$D$1*$D$2</f>
        <v>0</v>
      </c>
      <c r="N50" s="16">
        <f>MAX(求节点(节奏总纲!$O$4:$O$163,节奏总纲!S$4:S$163,$J50)-INT(F$13),0)*$D$1*$D$2</f>
        <v>0</v>
      </c>
      <c r="O50" s="16">
        <f>MAX(求节点(节奏总纲!$O$4:$O$163,节奏总纲!T$4:T$163,$J50)-INT(G$13),0)*$D$1*$D$2</f>
        <v>6.4500117938709425E-2</v>
      </c>
      <c r="Q50" s="16">
        <v>44</v>
      </c>
      <c r="R50" s="16">
        <f>IF(节奏总纲!P47&lt;C$13,0,求节点($C$18:$C$23,$E$18:$E$23,$Q50)*节奏总纲!W47)*$D$1</f>
        <v>0</v>
      </c>
      <c r="S50" s="16">
        <f>IF(节奏总纲!Q47&lt;D$13,0,求节点($C$18:$C$23,$E$18:$E$23,$Q50)*节奏总纲!X47)*$D$1</f>
        <v>0</v>
      </c>
      <c r="T50" s="16">
        <f>IF(节奏总纲!R47&lt;E$13,0,求节点($C$18:$C$23,$E$18:$E$23,$Q50)*节奏总纲!Y47)*$D$1</f>
        <v>0</v>
      </c>
      <c r="U50" s="16">
        <f>IF(节奏总纲!S47&lt;F$13,0,求节点($C$18:$C$23,$E$18:$E$23,$Q50)*节奏总纲!Z47)*$D$1</f>
        <v>0</v>
      </c>
      <c r="V50" s="16">
        <f>IF(节奏总纲!T47&lt;G$13,0,求节点($C$18:$C$23,$E$18:$E$23,$Q50)*节奏总纲!AA47)*$D$1</f>
        <v>0</v>
      </c>
      <c r="W50" s="16">
        <f>SUM(R$7:R50)</f>
        <v>0</v>
      </c>
      <c r="X50" s="16">
        <f>SUM(S$7:S50)</f>
        <v>0</v>
      </c>
      <c r="Y50" s="16">
        <f>SUM(T$7:T50)</f>
        <v>0</v>
      </c>
      <c r="Z50" s="16">
        <f>SUM(U$7:U50)</f>
        <v>0</v>
      </c>
      <c r="AA50" s="16">
        <f>SUM(V$7:V50)</f>
        <v>0</v>
      </c>
      <c r="AC50" s="16">
        <v>44</v>
      </c>
      <c r="AD50" s="16">
        <f>IF(节奏总纲!P47&lt;C$13,0,求节点($C$18:$C$23,$F$18:$F$23,$Q50)*节奏总纲!W47)*$D$1</f>
        <v>0</v>
      </c>
      <c r="AE50" s="16">
        <f>IF(节奏总纲!Q47&lt;D$13,0,求节点($C$18:$C$23,$F$18:$F$23,$Q50)*节奏总纲!X47)*$D$1</f>
        <v>0</v>
      </c>
      <c r="AF50" s="16">
        <f>IF(节奏总纲!R47&lt;E$13,0,求节点($C$18:$C$23,$F$18:$F$23,$Q50)*节奏总纲!Y47)*$D$1</f>
        <v>0</v>
      </c>
      <c r="AG50" s="16">
        <f>IF(节奏总纲!S47&lt;F$13,0,求节点($C$18:$C$23,$F$18:$F$23,$Q50)*节奏总纲!Z47)*$D$1</f>
        <v>0</v>
      </c>
      <c r="AH50" s="16">
        <f>IF(节奏总纲!T47&lt;G$13,0,求节点($C$18:$C$23,$F$18:$F$23,$Q50)*节奏总纲!AA47)*$D$1</f>
        <v>0</v>
      </c>
      <c r="AI50" s="16">
        <f>SUM(AD$7:AD50)</f>
        <v>0</v>
      </c>
      <c r="AJ50" s="16">
        <f>SUM(AE$7:AE50)</f>
        <v>0</v>
      </c>
      <c r="AK50" s="16">
        <f>SUM(AF$7:AF50)</f>
        <v>0</v>
      </c>
      <c r="AL50" s="16">
        <f>SUM(AG$7:AG50)</f>
        <v>0</v>
      </c>
      <c r="AM50" s="16">
        <f>SUM(AH$7:AH50)</f>
        <v>0</v>
      </c>
      <c r="AO50" s="16">
        <v>44</v>
      </c>
      <c r="AP50" s="16">
        <f>IF(节奏总纲!P47&lt;C$13,0,求节点($C$18:$C$23,$H$18:$H$23,$Q50)*节奏总纲!W47)*$D$1</f>
        <v>0</v>
      </c>
      <c r="AQ50" s="16">
        <f>IF(节奏总纲!Q47&lt;D$13,0,求节点($C$18:$C$23,$H$18:$H$23,$Q50)*节奏总纲!X47)*$D$1</f>
        <v>0</v>
      </c>
      <c r="AR50" s="16">
        <f>IF(节奏总纲!R47&lt;E$13,0,求节点($C$18:$C$23,$H$18:$H$23,$Q50)*节奏总纲!Y47)*$D$1</f>
        <v>0</v>
      </c>
      <c r="AS50" s="16">
        <f>IF(节奏总纲!S47&lt;F$13,0,求节点($C$18:$C$23,$H$18:$H$23,$Q50)*节奏总纲!Z47)*$D$1</f>
        <v>0</v>
      </c>
      <c r="AT50" s="16">
        <f>IF(节奏总纲!T47&lt;G$13,0,求节点($C$18:$C$23,$H$18:$H$23,$Q50)*节奏总纲!AA47)*$D$1</f>
        <v>0</v>
      </c>
      <c r="AU50" s="16">
        <f>SUM(AP$7:AP50)</f>
        <v>0</v>
      </c>
      <c r="AV50" s="16">
        <f>SUM(AQ$7:AQ50)</f>
        <v>0</v>
      </c>
      <c r="AW50" s="16">
        <f>SUM(AR$7:AR50)</f>
        <v>0</v>
      </c>
      <c r="AX50" s="16">
        <f>SUM(AS$7:AS50)</f>
        <v>0</v>
      </c>
      <c r="AY50" s="16">
        <f>SUM(AT$7:AT50)</f>
        <v>0</v>
      </c>
    </row>
    <row r="51" spans="10:51">
      <c r="J51" s="16">
        <v>45</v>
      </c>
      <c r="K51" s="16">
        <f>MAX(求节点(节奏总纲!$O$4:$O$163,节奏总纲!P$4:P$163,$J51)-INT(C$13),0)*$D$1*$D$2</f>
        <v>0.75290039756342253</v>
      </c>
      <c r="L51" s="16">
        <f>MAX(求节点(节奏总纲!$O$4:$O$163,节奏总纲!Q$4:Q$163,$J51)-INT(D$13),0)*$D$1*$D$2</f>
        <v>1.0802396574306756</v>
      </c>
      <c r="M51" s="16">
        <f>MAX(求节点(节奏总纲!$O$4:$O$163,节奏总纲!R$4:R$163,$J51)-INT(E$13),0)*$D$1*$D$2</f>
        <v>0.7250176368420107</v>
      </c>
      <c r="N51" s="16">
        <f>MAX(求节点(节奏总纲!$O$4:$O$163,节奏总纲!S$4:S$163,$J51)-INT(F$13),0)*$D$1*$D$2</f>
        <v>0.68739700273618709</v>
      </c>
      <c r="O51" s="16">
        <f>MAX(求节点(节奏总纲!$O$4:$O$163,节奏总纲!T$4:T$163,$J51)-INT(G$13),0)*$D$1*$D$2</f>
        <v>0.59884656946780801</v>
      </c>
      <c r="Q51" s="16">
        <v>45</v>
      </c>
      <c r="R51" s="16">
        <f>IF(节奏总纲!P48&lt;C$13,0,求节点($C$18:$C$23,$E$18:$E$23,$Q51)*节奏总纲!W48)*$D$1</f>
        <v>409128.41491286713</v>
      </c>
      <c r="S51" s="16">
        <f>IF(节奏总纲!Q48&lt;D$13,0,求节点($C$18:$C$23,$E$18:$E$23,$Q51)*节奏总纲!X48)*$D$1</f>
        <v>358080.3492098088</v>
      </c>
      <c r="T51" s="16">
        <f>IF(节奏总纲!R48&lt;E$13,0,求节点($C$18:$C$23,$E$18:$E$23,$Q51)*节奏总纲!Y48)*$D$1</f>
        <v>292471.01427236444</v>
      </c>
      <c r="U51" s="16">
        <f>IF(节奏总纲!S48&lt;F$13,0,求节点($C$18:$C$23,$E$18:$E$23,$Q51)*节奏总纲!Z48)*$D$1</f>
        <v>217295.53256751341</v>
      </c>
      <c r="V51" s="16">
        <f>IF(节奏总纲!T48&lt;G$13,0,求节点($C$18:$C$23,$E$18:$E$23,$Q51)*节奏总纲!AA48)*$D$1</f>
        <v>120227.95159404718</v>
      </c>
      <c r="W51" s="16">
        <f>SUM(R$7:R51)</f>
        <v>409128.41491286713</v>
      </c>
      <c r="X51" s="16">
        <f>SUM(S$7:S51)</f>
        <v>358080.3492098088</v>
      </c>
      <c r="Y51" s="16">
        <f>SUM(T$7:T51)</f>
        <v>292471.01427236444</v>
      </c>
      <c r="Z51" s="16">
        <f>SUM(U$7:U51)</f>
        <v>217295.53256751341</v>
      </c>
      <c r="AA51" s="16">
        <f>SUM(V$7:V51)</f>
        <v>120227.95159404718</v>
      </c>
      <c r="AC51" s="16">
        <v>45</v>
      </c>
      <c r="AD51" s="16">
        <f>IF(节奏总纲!P48&lt;C$13,0,求节点($C$18:$C$23,$F$18:$F$23,$Q51)*节奏总纲!W48)*$D$1</f>
        <v>3743.5592626674461</v>
      </c>
      <c r="AE51" s="16">
        <f>IF(节奏总纲!Q48&lt;D$13,0,求节点($C$18:$C$23,$F$18:$F$23,$Q51)*节奏总纲!X48)*$D$1</f>
        <v>3276.465185995603</v>
      </c>
      <c r="AF51" s="16">
        <f>IF(节奏总纲!R48&lt;E$13,0,求节点($C$18:$C$23,$F$18:$F$23,$Q51)*节奏总纲!Y48)*$D$1</f>
        <v>2676.1342762619702</v>
      </c>
      <c r="AG51" s="16">
        <f>IF(节奏总纲!S48&lt;F$13,0,求节点($C$18:$C$23,$F$18:$F$23,$Q51)*节奏总纲!Z48)*$D$1</f>
        <v>1988.2723224017927</v>
      </c>
      <c r="AH51" s="16">
        <f>IF(节奏总纲!T48&lt;G$13,0,求节点($C$18:$C$23,$F$18:$F$23,$Q51)*节奏总纲!AA48)*$D$1</f>
        <v>1100.0958266789737</v>
      </c>
      <c r="AI51" s="16">
        <f>SUM(AD$7:AD51)</f>
        <v>3743.5592626674461</v>
      </c>
      <c r="AJ51" s="16">
        <f>SUM(AE$7:AE51)</f>
        <v>3276.465185995603</v>
      </c>
      <c r="AK51" s="16">
        <f>SUM(AF$7:AF51)</f>
        <v>2676.1342762619702</v>
      </c>
      <c r="AL51" s="16">
        <f>SUM(AG$7:AG51)</f>
        <v>1988.2723224017927</v>
      </c>
      <c r="AM51" s="16">
        <f>SUM(AH$7:AH51)</f>
        <v>1100.0958266789737</v>
      </c>
      <c r="AO51" s="16">
        <v>45</v>
      </c>
      <c r="AP51" s="16">
        <f>IF(节奏总纲!P48&lt;C$13,0,求节点($C$18:$C$23,$H$18:$H$23,$Q51)*节奏总纲!W48)*$D$1</f>
        <v>58914.491747452863</v>
      </c>
      <c r="AQ51" s="16">
        <f>IF(节奏总纲!Q48&lt;D$13,0,求节点($C$18:$C$23,$H$18:$H$23,$Q51)*节奏总纲!X48)*$D$1</f>
        <v>51563.570286212474</v>
      </c>
      <c r="AR51" s="16">
        <f>IF(节奏总纲!R48&lt;E$13,0,求节点($C$18:$C$23,$H$18:$H$23,$Q51)*节奏总纲!Y48)*$D$1</f>
        <v>42115.826055220481</v>
      </c>
      <c r="AS51" s="16">
        <f>IF(节奏总纲!S48&lt;F$13,0,求节点($C$18:$C$23,$H$18:$H$23,$Q51)*节奏总纲!Z48)*$D$1</f>
        <v>31290.556689721932</v>
      </c>
      <c r="AT51" s="16">
        <f>IF(节奏总纲!T48&lt;G$13,0,求节点($C$18:$C$23,$H$18:$H$23,$Q51)*节奏总纲!AA48)*$D$1</f>
        <v>17312.825029542793</v>
      </c>
      <c r="AU51" s="16">
        <f>SUM(AP$7:AP51)</f>
        <v>58914.491747452863</v>
      </c>
      <c r="AV51" s="16">
        <f>SUM(AQ$7:AQ51)</f>
        <v>51563.570286212474</v>
      </c>
      <c r="AW51" s="16">
        <f>SUM(AR$7:AR51)</f>
        <v>42115.826055220481</v>
      </c>
      <c r="AX51" s="16">
        <f>SUM(AS$7:AS51)</f>
        <v>31290.556689721932</v>
      </c>
      <c r="AY51" s="16">
        <f>SUM(AT$7:AT51)</f>
        <v>17312.825029542793</v>
      </c>
    </row>
    <row r="52" spans="10:51">
      <c r="J52" s="16">
        <v>46</v>
      </c>
      <c r="K52" s="16">
        <f>MAX(求节点(节奏总纲!$O$4:$O$163,节奏总纲!P$4:P$163,$J52)-INT(C$13),0)*$D$1*$D$2</f>
        <v>2.7017580769996288</v>
      </c>
      <c r="L52" s="16">
        <f>MAX(求节点(节奏总纲!$O$4:$O$163,节奏总纲!Q$4:Q$163,$J52)-INT(D$13),0)*$D$1*$D$2</f>
        <v>2.7721856802591773</v>
      </c>
      <c r="M52" s="16">
        <f>MAX(求节点(节奏总纲!$O$4:$O$163,节奏总纲!R$4:R$163,$J52)-INT(E$13),0)*$D$1*$D$2</f>
        <v>2.1087970460936307</v>
      </c>
      <c r="N52" s="16">
        <f>MAX(求节点(节奏总纲!$O$4:$O$163,节奏总纲!S$4:S$163,$J52)-INT(F$13),0)*$D$1*$D$2</f>
        <v>1.7106995163486012</v>
      </c>
      <c r="O52" s="16">
        <f>MAX(求节点(节奏总纲!$O$4:$O$163,节奏总纲!T$4:T$163,$J52)-INT(G$13),0)*$D$1*$D$2</f>
        <v>1.1454158408305879</v>
      </c>
      <c r="Q52" s="16">
        <v>46</v>
      </c>
      <c r="R52" s="16">
        <f>IF(节奏总纲!P49&lt;C$13,0,求节点($C$18:$C$23,$E$18:$E$23,$Q52)*节奏总纲!W49)*$D$1</f>
        <v>448237.26627032738</v>
      </c>
      <c r="S52" s="16">
        <f>IF(节奏总纲!Q49&lt;D$13,0,求节点($C$18:$C$23,$E$18:$E$23,$Q52)*节奏总纲!X49)*$D$1</f>
        <v>389147.58525055542</v>
      </c>
      <c r="T52" s="16">
        <f>IF(节奏总纲!R49&lt;E$13,0,求节点($C$18:$C$23,$E$18:$E$23,$Q52)*节奏总纲!Y49)*$D$1</f>
        <v>318269.26412787254</v>
      </c>
      <c r="U52" s="16">
        <f>IF(节奏总纲!S49&lt;F$13,0,求节点($C$18:$C$23,$E$18:$E$23,$Q52)*节奏总纲!Z49)*$D$1</f>
        <v>235359.57813085523</v>
      </c>
      <c r="V52" s="16">
        <f>IF(节奏总纲!T49&lt;G$13,0,求节点($C$18:$C$23,$E$18:$E$23,$Q52)*节奏总纲!AA49)*$D$1</f>
        <v>125710.93241343938</v>
      </c>
      <c r="W52" s="16">
        <f>SUM(R$7:R52)</f>
        <v>857365.68118319451</v>
      </c>
      <c r="X52" s="16">
        <f>SUM(S$7:S52)</f>
        <v>747227.93446036428</v>
      </c>
      <c r="Y52" s="16">
        <f>SUM(T$7:T52)</f>
        <v>610740.27840023697</v>
      </c>
      <c r="Z52" s="16">
        <f>SUM(U$7:U52)</f>
        <v>452655.11069836863</v>
      </c>
      <c r="AA52" s="16">
        <f>SUM(V$7:V52)</f>
        <v>245938.88400748657</v>
      </c>
      <c r="AC52" s="16">
        <v>46</v>
      </c>
      <c r="AD52" s="16">
        <f>IF(节奏总纲!P49&lt;C$13,0,求节点($C$18:$C$23,$F$18:$F$23,$Q52)*节奏总纲!W49)*$D$1</f>
        <v>4101.408528117965</v>
      </c>
      <c r="AE52" s="16">
        <f>IF(节奏总纲!Q49&lt;D$13,0,求节点($C$18:$C$23,$F$18:$F$23,$Q52)*节奏总纲!X49)*$D$1</f>
        <v>3560.7329977792992</v>
      </c>
      <c r="AF52" s="16">
        <f>IF(节奏总纲!R49&lt;E$13,0,求节点($C$18:$C$23,$F$18:$F$23,$Q52)*节奏总纲!Y49)*$D$1</f>
        <v>2912.1904231511189</v>
      </c>
      <c r="AG52" s="16">
        <f>IF(节奏总纲!S49&lt;F$13,0,求节点($C$18:$C$23,$F$18:$F$23,$Q52)*节奏总纲!Z49)*$D$1</f>
        <v>2153.5598522456853</v>
      </c>
      <c r="AH52" s="16">
        <f>IF(节奏总纲!T49&lt;G$13,0,求节点($C$18:$C$23,$F$18:$F$23,$Q52)*节奏总纲!AA49)*$D$1</f>
        <v>1150.265560398972</v>
      </c>
      <c r="AI52" s="16">
        <f>SUM(AD$7:AD52)</f>
        <v>7844.9677907854111</v>
      </c>
      <c r="AJ52" s="16">
        <f>SUM(AE$7:AE52)</f>
        <v>6837.1981837749026</v>
      </c>
      <c r="AK52" s="16">
        <f>SUM(AF$7:AF52)</f>
        <v>5588.3246994130895</v>
      </c>
      <c r="AL52" s="16">
        <f>SUM(AG$7:AG52)</f>
        <v>4141.8321746474776</v>
      </c>
      <c r="AM52" s="16">
        <f>SUM(AH$7:AH52)</f>
        <v>2250.3613870779454</v>
      </c>
      <c r="AO52" s="16">
        <v>46</v>
      </c>
      <c r="AP52" s="16">
        <f>IF(节奏总纲!P49&lt;C$13,0,求节点($C$18:$C$23,$H$18:$H$23,$Q52)*节奏总纲!W49)*$D$1</f>
        <v>64546.166342927143</v>
      </c>
      <c r="AQ52" s="16">
        <f>IF(节奏总纲!Q49&lt;D$13,0,求节点($C$18:$C$23,$H$18:$H$23,$Q52)*节奏总纲!X49)*$D$1</f>
        <v>56037.252276079977</v>
      </c>
      <c r="AR52" s="16">
        <f>IF(节奏总纲!R49&lt;E$13,0,求节点($C$18:$C$23,$H$18:$H$23,$Q52)*节奏总纲!Y49)*$D$1</f>
        <v>45830.774034413647</v>
      </c>
      <c r="AS52" s="16">
        <f>IF(节奏总纲!S49&lt;F$13,0,求节点($C$18:$C$23,$H$18:$H$23,$Q52)*节奏总纲!Z49)*$D$1</f>
        <v>33891.779250843152</v>
      </c>
      <c r="AT52" s="16">
        <f>IF(节奏总纲!T49&lt;G$13,0,求节点($C$18:$C$23,$H$18:$H$23,$Q52)*节奏总纲!AA49)*$D$1</f>
        <v>18102.37426753527</v>
      </c>
      <c r="AU52" s="16">
        <f>SUM(AP$7:AP52)</f>
        <v>123460.65809038001</v>
      </c>
      <c r="AV52" s="16">
        <f>SUM(AQ$7:AQ52)</f>
        <v>107600.82256229245</v>
      </c>
      <c r="AW52" s="16">
        <f>SUM(AR$7:AR52)</f>
        <v>87946.600089634128</v>
      </c>
      <c r="AX52" s="16">
        <f>SUM(AS$7:AS52)</f>
        <v>65182.335940565084</v>
      </c>
      <c r="AY52" s="16">
        <f>SUM(AT$7:AT52)</f>
        <v>35415.199297078063</v>
      </c>
    </row>
    <row r="53" spans="10:51">
      <c r="J53" s="16">
        <v>47</v>
      </c>
      <c r="K53" s="16">
        <f>MAX(求节点(节奏总纲!$O$4:$O$163,节奏总纲!P$4:P$163,$J53)-INT(C$13),0)*$D$1*$D$2</f>
        <v>4.7904920200794425</v>
      </c>
      <c r="L53" s="16">
        <f>MAX(求节点(节奏总纲!$O$4:$O$163,节奏总纲!Q$4:Q$163,$J53)-INT(D$13),0)*$D$1*$D$2</f>
        <v>4.5876976319333691</v>
      </c>
      <c r="M53" s="16">
        <f>MAX(求节点(节奏总纲!$O$4:$O$163,节奏总纲!R$4:R$163,$J53)-INT(E$13),0)*$D$1*$D$2</f>
        <v>3.5961533036592046</v>
      </c>
      <c r="N53" s="16">
        <f>MAX(求节点(节奏总纲!$O$4:$O$163,节奏总纲!S$4:S$163,$J53)-INT(F$13),0)*$D$1*$D$2</f>
        <v>2.8029265419143892</v>
      </c>
      <c r="O53" s="16">
        <f>MAX(求节点(节奏总纲!$O$4:$O$163,节奏总纲!T$4:T$163,$J53)-INT(G$13),0)*$D$1*$D$2</f>
        <v>1.7311685235796586</v>
      </c>
      <c r="Q53" s="16">
        <v>47</v>
      </c>
      <c r="R53" s="16">
        <f>IF(节奏总纲!P50&lt;C$13,0,求节点($C$18:$C$23,$E$18:$E$23,$Q53)*节奏总纲!W50)*$D$1</f>
        <v>490852.47662375617</v>
      </c>
      <c r="S53" s="16">
        <f>IF(节奏总纲!Q50&lt;D$13,0,求节点($C$18:$C$23,$E$18:$E$23,$Q53)*节奏总纲!X50)*$D$1</f>
        <v>426645.30864343507</v>
      </c>
      <c r="T53" s="16">
        <f>IF(节奏总纲!R50&lt;E$13,0,求节点($C$18:$C$23,$E$18:$E$23,$Q53)*节奏总纲!Y50)*$D$1</f>
        <v>349528.72052790993</v>
      </c>
      <c r="U53" s="16">
        <f>IF(节奏总纲!S50&lt;F$13,0,求节点($C$18:$C$23,$E$18:$E$23,$Q53)*节奏总纲!Z50)*$D$1</f>
        <v>256673.35100796015</v>
      </c>
      <c r="V53" s="16">
        <f>IF(节奏总纲!T50&lt;G$13,0,求节点($C$18:$C$23,$E$18:$E$23,$Q53)*节奏总纲!AA50)*$D$1</f>
        <v>137651.88044603157</v>
      </c>
      <c r="W53" s="16">
        <f>SUM(R$7:R53)</f>
        <v>1348218.1578069506</v>
      </c>
      <c r="X53" s="16">
        <f>SUM(S$7:S53)</f>
        <v>1173873.2431037994</v>
      </c>
      <c r="Y53" s="16">
        <f>SUM(T$7:T53)</f>
        <v>960268.9989281469</v>
      </c>
      <c r="Z53" s="16">
        <f>SUM(U$7:U53)</f>
        <v>709328.46170632879</v>
      </c>
      <c r="AA53" s="16">
        <f>SUM(V$7:V53)</f>
        <v>383590.76445351815</v>
      </c>
      <c r="AC53" s="16">
        <v>47</v>
      </c>
      <c r="AD53" s="16">
        <f>IF(节奏总纲!P50&lt;C$13,0,求节点($C$18:$C$23,$F$18:$F$23,$Q53)*节奏总纲!W50)*$D$1</f>
        <v>4491.3412720538172</v>
      </c>
      <c r="AE53" s="16">
        <f>IF(节奏总纲!Q50&lt;D$13,0,求节点($C$18:$C$23,$F$18:$F$23,$Q53)*节奏总纲!X50)*$D$1</f>
        <v>3903.8403074152052</v>
      </c>
      <c r="AF53" s="16">
        <f>IF(节奏总纲!R50&lt;E$13,0,求节点($C$18:$C$23,$F$18:$F$23,$Q53)*节奏总纲!Y50)*$D$1</f>
        <v>3198.2170673215842</v>
      </c>
      <c r="AG53" s="16">
        <f>IF(节奏总纲!S50&lt;F$13,0,求节点($C$18:$C$23,$F$18:$F$23,$Q53)*节奏总纲!Z50)*$D$1</f>
        <v>2348.5826591887549</v>
      </c>
      <c r="AH53" s="16">
        <f>IF(节奏总纲!T50&lt;G$13,0,求节点($C$18:$C$23,$F$18:$F$23,$Q53)*节奏总纲!AA50)*$D$1</f>
        <v>1259.5262350014959</v>
      </c>
      <c r="AI53" s="16">
        <f>SUM(AD$7:AD53)</f>
        <v>12336.309062839227</v>
      </c>
      <c r="AJ53" s="16">
        <f>SUM(AE$7:AE53)</f>
        <v>10741.038491190107</v>
      </c>
      <c r="AK53" s="16">
        <f>SUM(AF$7:AF53)</f>
        <v>8786.5417667346737</v>
      </c>
      <c r="AL53" s="16">
        <f>SUM(AG$7:AG53)</f>
        <v>6490.414833836232</v>
      </c>
      <c r="AM53" s="16">
        <f>SUM(AH$7:AH53)</f>
        <v>3509.8876220794414</v>
      </c>
      <c r="AO53" s="16">
        <v>47</v>
      </c>
      <c r="AP53" s="16">
        <f>IF(节奏总纲!P50&lt;C$13,0,求节点($C$18:$C$23,$H$18:$H$23,$Q53)*节奏总纲!W50)*$D$1</f>
        <v>70682.756633820885</v>
      </c>
      <c r="AQ53" s="16">
        <f>IF(节奏总纲!Q50&lt;D$13,0,求节点($C$18:$C$23,$H$18:$H$23,$Q53)*节奏总纲!X50)*$D$1</f>
        <v>61436.924444654651</v>
      </c>
      <c r="AR53" s="16">
        <f>IF(节奏总纲!R50&lt;E$13,0,求节点($C$18:$C$23,$H$18:$H$23,$Q53)*节奏总纲!Y50)*$D$1</f>
        <v>50332.135756019023</v>
      </c>
      <c r="AS53" s="16">
        <f>IF(节奏总纲!S50&lt;F$13,0,求节点($C$18:$C$23,$H$18:$H$23,$Q53)*节奏总纲!Z50)*$D$1</f>
        <v>36960.962545146263</v>
      </c>
      <c r="AT53" s="16">
        <f>IF(节奏总纲!T50&lt;G$13,0,求节点($C$18:$C$23,$H$18:$H$23,$Q53)*节奏总纲!AA50)*$D$1</f>
        <v>19821.870784228548</v>
      </c>
      <c r="AU53" s="16">
        <f>SUM(AP$7:AP53)</f>
        <v>194143.41472420091</v>
      </c>
      <c r="AV53" s="16">
        <f>SUM(AQ$7:AQ53)</f>
        <v>169037.74700694712</v>
      </c>
      <c r="AW53" s="16">
        <f>SUM(AR$7:AR53)</f>
        <v>138278.73584565317</v>
      </c>
      <c r="AX53" s="16">
        <f>SUM(AS$7:AS53)</f>
        <v>102143.29848571135</v>
      </c>
      <c r="AY53" s="16">
        <f>SUM(AT$7:AT53)</f>
        <v>55237.070081306607</v>
      </c>
    </row>
    <row r="54" spans="10:51">
      <c r="J54" s="16">
        <v>48</v>
      </c>
      <c r="K54" s="16">
        <f>MAX(求节点(节奏总纲!$O$4:$O$163,节奏总纲!P$4:P$163,$J54)-INT(C$13),0)*$D$1*$D$2</f>
        <v>7.0291416305711669</v>
      </c>
      <c r="L54" s="16">
        <f>MAX(求节点(节奏总纲!$O$4:$O$163,节奏总纲!Q$4:Q$163,$J54)-INT(D$13),0)*$D$1*$D$2</f>
        <v>6.5102573301841709</v>
      </c>
      <c r="M54" s="16">
        <f>MAX(求节点(节奏总纲!$O$4:$O$163,节奏总纲!R$4:R$163,$J54)-INT(E$13),0)*$D$1*$D$2</f>
        <v>5.1953132315220678</v>
      </c>
      <c r="N54" s="16">
        <f>MAX(求节点(节奏总纲!$O$4:$O$163,节奏总纲!S$4:S$163,$J54)-INT(F$13),0)*$D$1*$D$2</f>
        <v>3.92334294832246</v>
      </c>
      <c r="O54" s="16">
        <f>MAX(求节点(节奏总纲!$O$4:$O$163,节奏总纲!T$4:T$163,$J54)-INT(G$13),0)*$D$1*$D$2</f>
        <v>2.3527175793012933</v>
      </c>
      <c r="Q54" s="16">
        <v>48</v>
      </c>
      <c r="R54" s="16">
        <f>IF(节奏总纲!P51&lt;C$13,0,求节点($C$18:$C$23,$E$18:$E$23,$Q54)*节奏总纲!W51)*$D$1</f>
        <v>537275.9065180138</v>
      </c>
      <c r="S54" s="16">
        <f>IF(节奏总纲!Q51&lt;D$13,0,求节点($C$18:$C$23,$E$18:$E$23,$Q54)*节奏总纲!X51)*$D$1</f>
        <v>461414.32758019224</v>
      </c>
      <c r="T54" s="16">
        <f>IF(节奏总纲!R51&lt;E$13,0,求节点($C$18:$C$23,$E$18:$E$23,$Q54)*节奏总纲!Y51)*$D$1</f>
        <v>383798.38268708705</v>
      </c>
      <c r="U54" s="16">
        <f>IF(节奏总纲!S51&lt;F$13,0,求节点($C$18:$C$23,$E$18:$E$23,$Q54)*节奏总纲!Z51)*$D$1</f>
        <v>268899.93753793696</v>
      </c>
      <c r="V54" s="16">
        <f>IF(节奏总纲!T51&lt;G$13,0,求节点($C$18:$C$23,$E$18:$E$23,$Q54)*节奏总纲!AA51)*$D$1</f>
        <v>149171.77337319238</v>
      </c>
      <c r="W54" s="16">
        <f>SUM(R$7:R54)</f>
        <v>1885494.0643249643</v>
      </c>
      <c r="X54" s="16">
        <f>SUM(S$7:S54)</f>
        <v>1635287.5706839915</v>
      </c>
      <c r="Y54" s="16">
        <f>SUM(T$7:T54)</f>
        <v>1344067.3816152341</v>
      </c>
      <c r="Z54" s="16">
        <f>SUM(U$7:U54)</f>
        <v>978228.39924426575</v>
      </c>
      <c r="AA54" s="16">
        <f>SUM(V$7:V54)</f>
        <v>532762.5378267105</v>
      </c>
      <c r="AC54" s="16">
        <v>48</v>
      </c>
      <c r="AD54" s="16">
        <f>IF(节奏总纲!P51&lt;C$13,0,求节点($C$18:$C$23,$F$18:$F$23,$Q54)*节奏总纲!W51)*$D$1</f>
        <v>4916.1195437425558</v>
      </c>
      <c r="AE54" s="16">
        <f>IF(节奏总纲!Q51&lt;D$13,0,求节点($C$18:$C$23,$F$18:$F$23,$Q54)*节奏总纲!X51)*$D$1</f>
        <v>4221.9797427371868</v>
      </c>
      <c r="AF54" s="16">
        <f>IF(节奏总纲!R51&lt;E$13,0,求节点($C$18:$C$23,$F$18:$F$23,$Q54)*节奏总纲!Y51)*$D$1</f>
        <v>3511.7873463054916</v>
      </c>
      <c r="AG54" s="16">
        <f>IF(节奏总纲!S51&lt;F$13,0,求节点($C$18:$C$23,$F$18:$F$23,$Q54)*节奏总纲!Z51)*$D$1</f>
        <v>2460.4569499657664</v>
      </c>
      <c r="AH54" s="16">
        <f>IF(节奏总纲!T51&lt;G$13,0,求节点($C$18:$C$23,$F$18:$F$23,$Q54)*节奏总纲!AA51)*$D$1</f>
        <v>1364.9342201241975</v>
      </c>
      <c r="AI54" s="16">
        <f>SUM(AD$7:AD54)</f>
        <v>17252.428606581783</v>
      </c>
      <c r="AJ54" s="16">
        <f>SUM(AE$7:AE54)</f>
        <v>14963.018233927294</v>
      </c>
      <c r="AK54" s="16">
        <f>SUM(AF$7:AF54)</f>
        <v>12298.329113040165</v>
      </c>
      <c r="AL54" s="16">
        <f>SUM(AG$7:AG54)</f>
        <v>8950.8717838019984</v>
      </c>
      <c r="AM54" s="16">
        <f>SUM(AH$7:AH54)</f>
        <v>4874.8218422036389</v>
      </c>
      <c r="AO54" s="16">
        <v>48</v>
      </c>
      <c r="AP54" s="16">
        <f>IF(节奏总纲!P51&lt;C$13,0,求节点($C$18:$C$23,$H$18:$H$23,$Q54)*节奏总纲!W51)*$D$1</f>
        <v>77367.730538593984</v>
      </c>
      <c r="AQ54" s="16">
        <f>IF(节奏总纲!Q51&lt;D$13,0,求节点($C$18:$C$23,$H$18:$H$23,$Q54)*节奏总纲!X51)*$D$1</f>
        <v>66443.663171547683</v>
      </c>
      <c r="AR54" s="16">
        <f>IF(节奏总纲!R51&lt;E$13,0,求节点($C$18:$C$23,$H$18:$H$23,$Q54)*节奏总纲!Y51)*$D$1</f>
        <v>55266.96710694053</v>
      </c>
      <c r="AS54" s="16">
        <f>IF(节奏总纲!S51&lt;F$13,0,求节点($C$18:$C$23,$H$18:$H$23,$Q54)*节奏总纲!Z51)*$D$1</f>
        <v>38721.591005462928</v>
      </c>
      <c r="AT54" s="16">
        <f>IF(节奏总纲!T51&lt;G$13,0,求节点($C$18:$C$23,$H$18:$H$23,$Q54)*节奏总纲!AA51)*$D$1</f>
        <v>21480.7353657397</v>
      </c>
      <c r="AU54" s="16">
        <f>SUM(AP$7:AP54)</f>
        <v>271511.14526279492</v>
      </c>
      <c r="AV54" s="16">
        <f>SUM(AQ$7:AQ54)</f>
        <v>235481.41017849481</v>
      </c>
      <c r="AW54" s="16">
        <f>SUM(AR$7:AR54)</f>
        <v>193545.70295259368</v>
      </c>
      <c r="AX54" s="16">
        <f>SUM(AS$7:AS54)</f>
        <v>140864.88949117428</v>
      </c>
      <c r="AY54" s="16">
        <f>SUM(AT$7:AT54)</f>
        <v>76717.80544704631</v>
      </c>
    </row>
    <row r="55" spans="10:51">
      <c r="J55" s="16">
        <v>49</v>
      </c>
      <c r="K55" s="16">
        <f>MAX(求节点(节奏总纲!$O$4:$O$163,节奏总纲!P$4:P$163,$J55)-INT(C$13),0)*$D$1*$D$2</f>
        <v>9.4284668750134042</v>
      </c>
      <c r="L55" s="16">
        <f>MAX(求节点(节奏总纲!$O$4:$O$163,节奏总纲!Q$4:Q$163,$J55)-INT(D$13),0)*$D$1*$D$2</f>
        <v>8.5994859616991892</v>
      </c>
      <c r="M55" s="16">
        <f>MAX(求节点(节奏总纲!$O$4:$O$163,节奏总纲!R$4:R$163,$J55)-INT(E$13),0)*$D$1*$D$2</f>
        <v>6.8632392162596219</v>
      </c>
      <c r="N55" s="16">
        <f>MAX(求节点(节奏总纲!$O$4:$O$163,节奏总纲!S$4:S$163,$J55)-INT(F$13),0)*$D$1*$D$2</f>
        <v>5.1219218235695934</v>
      </c>
      <c r="O55" s="16">
        <f>MAX(求节点(节奏总纲!$O$4:$O$163,节奏总纲!T$4:T$163,$J55)-INT(G$13),0)*$D$1*$D$2</f>
        <v>3.0569518883789719</v>
      </c>
      <c r="Q55" s="16">
        <v>49</v>
      </c>
      <c r="R55" s="16">
        <f>IF(节奏总纲!P52&lt;C$13,0,求节点($C$18:$C$23,$E$18:$E$23,$Q55)*节奏总纲!W52)*$D$1</f>
        <v>587834.68488834845</v>
      </c>
      <c r="S55" s="16">
        <f>IF(节奏总纲!Q52&lt;D$13,0,求节点($C$18:$C$23,$E$18:$E$23,$Q55)*节奏总纲!X52)*$D$1</f>
        <v>511861.01472117961</v>
      </c>
      <c r="T55" s="16">
        <f>IF(节奏总纲!R52&lt;E$13,0,求节点($C$18:$C$23,$E$18:$E$23,$Q55)*节奏总纲!Y52)*$D$1</f>
        <v>408641.86626070086</v>
      </c>
      <c r="U55" s="16">
        <f>IF(节奏总纲!S52&lt;F$13,0,求节点($C$18:$C$23,$E$18:$E$23,$Q55)*节奏总纲!Z52)*$D$1</f>
        <v>293651.82443554758</v>
      </c>
      <c r="V55" s="16">
        <f>IF(节奏总纲!T52&lt;G$13,0,求节点($C$18:$C$23,$E$18:$E$23,$Q55)*节奏总纲!AA52)*$D$1</f>
        <v>172537.40572403127</v>
      </c>
      <c r="W55" s="16">
        <f>SUM(R$7:R55)</f>
        <v>2473328.7492133128</v>
      </c>
      <c r="X55" s="16">
        <f>SUM(S$7:S55)</f>
        <v>2147148.5854051709</v>
      </c>
      <c r="Y55" s="16">
        <f>SUM(T$7:T55)</f>
        <v>1752709.2478759349</v>
      </c>
      <c r="Z55" s="16">
        <f>SUM(U$7:U55)</f>
        <v>1271880.2236798133</v>
      </c>
      <c r="AA55" s="16">
        <f>SUM(V$7:V55)</f>
        <v>705299.94355074177</v>
      </c>
      <c r="AC55" s="16">
        <v>49</v>
      </c>
      <c r="AD55" s="16">
        <f>IF(节奏总纲!P52&lt;C$13,0,求节点($C$18:$C$23,$F$18:$F$23,$Q55)*节奏总纲!W52)*$D$1</f>
        <v>5378.7366003401166</v>
      </c>
      <c r="AE55" s="16">
        <f>IF(节奏总纲!Q52&lt;D$13,0,求节点($C$18:$C$23,$F$18:$F$23,$Q55)*节奏总纲!X52)*$D$1</f>
        <v>4683.5711551981121</v>
      </c>
      <c r="AF55" s="16">
        <f>IF(节奏总纲!R52&lt;E$13,0,求节点($C$18:$C$23,$F$18:$F$23,$Q55)*节奏总纲!Y52)*$D$1</f>
        <v>3739.1073017496419</v>
      </c>
      <c r="AG55" s="16">
        <f>IF(节奏总纲!S52&lt;F$13,0,求节点($C$18:$C$23,$F$18:$F$23,$Q55)*节奏总纲!Z52)*$D$1</f>
        <v>2686.9387881528819</v>
      </c>
      <c r="AH55" s="16">
        <f>IF(节奏总纲!T52&lt;G$13,0,求节点($C$18:$C$23,$F$18:$F$23,$Q55)*节奏总纲!AA52)*$D$1</f>
        <v>1578.7317131037398</v>
      </c>
      <c r="AI55" s="16">
        <f>SUM(AD$7:AD55)</f>
        <v>22631.165206921898</v>
      </c>
      <c r="AJ55" s="16">
        <f>SUM(AE$7:AE55)</f>
        <v>19646.589389125405</v>
      </c>
      <c r="AK55" s="16">
        <f>SUM(AF$7:AF55)</f>
        <v>16037.436414789807</v>
      </c>
      <c r="AL55" s="16">
        <f>SUM(AG$7:AG55)</f>
        <v>11637.81057195488</v>
      </c>
      <c r="AM55" s="16">
        <f>SUM(AH$7:AH55)</f>
        <v>6453.5535553073787</v>
      </c>
      <c r="AO55" s="16">
        <v>49</v>
      </c>
      <c r="AP55" s="16">
        <f>IF(节奏总纲!P52&lt;C$13,0,求节点($C$18:$C$23,$H$18:$H$23,$Q55)*节奏总纲!W52)*$D$1</f>
        <v>84648.194623922158</v>
      </c>
      <c r="AQ55" s="16">
        <f>IF(节奏总纲!Q52&lt;D$13,0,求节点($C$18:$C$23,$H$18:$H$23,$Q55)*节奏总纲!X52)*$D$1</f>
        <v>73707.986119849855</v>
      </c>
      <c r="AR55" s="16">
        <f>IF(节奏总纲!R52&lt;E$13,0,求节点($C$18:$C$23,$H$18:$H$23,$Q55)*节奏总纲!Y52)*$D$1</f>
        <v>58844.428741540934</v>
      </c>
      <c r="AS55" s="16">
        <f>IF(节奏总纲!S52&lt;F$13,0,求节点($C$18:$C$23,$H$18:$H$23,$Q55)*节奏总纲!Z52)*$D$1</f>
        <v>42285.862718718854</v>
      </c>
      <c r="AT55" s="16">
        <f>IF(节奏总纲!T52&lt;G$13,0,求节点($C$18:$C$23,$H$18:$H$23,$Q55)*节奏总纲!AA52)*$D$1</f>
        <v>24845.386424260501</v>
      </c>
      <c r="AU55" s="16">
        <f>SUM(AP$7:AP55)</f>
        <v>356159.33988671709</v>
      </c>
      <c r="AV55" s="16">
        <f>SUM(AQ$7:AQ55)</f>
        <v>309189.39629834465</v>
      </c>
      <c r="AW55" s="16">
        <f>SUM(AR$7:AR55)</f>
        <v>252390.13169413462</v>
      </c>
      <c r="AX55" s="16">
        <f>SUM(AS$7:AS55)</f>
        <v>183150.75220989314</v>
      </c>
      <c r="AY55" s="16">
        <f>SUM(AT$7:AT55)</f>
        <v>101563.19187130682</v>
      </c>
    </row>
    <row r="56" spans="10:51">
      <c r="J56" s="16">
        <v>50</v>
      </c>
      <c r="K56" s="16">
        <f>MAX(求节点(节奏总纲!$O$4:$O$163,节奏总纲!P$4:P$163,$J56)-INT(C$13),0)*$D$1*$D$2</f>
        <v>12</v>
      </c>
      <c r="L56" s="16">
        <f>MAX(求节点(节奏总纲!$O$4:$O$163,节奏总纲!Q$4:Q$163,$J56)-INT(D$13),0)*$D$1*$D$2</f>
        <v>10.842120000000001</v>
      </c>
      <c r="M56" s="16">
        <f>MAX(求节点(节奏总纲!$O$4:$O$163,节奏总纲!R$4:R$163,$J56)-INT(E$13),0)*$D$1*$D$2</f>
        <v>8.6463600000000014</v>
      </c>
      <c r="N56" s="16">
        <f>MAX(求节点(节奏总纲!$O$4:$O$163,节奏总纲!S$4:S$163,$J56)-INT(F$13),0)*$D$1*$D$2</f>
        <v>6.4639199999999981</v>
      </c>
      <c r="O56" s="16">
        <f>MAX(求节点(节奏总纲!$O$4:$O$163,节奏总纲!T$4:T$163,$J56)-INT(G$13),0)*$D$1*$D$2</f>
        <v>3.8260799999999997</v>
      </c>
      <c r="Q56" s="16">
        <v>50</v>
      </c>
      <c r="R56" s="16">
        <f>IF(节奏总纲!P53&lt;C$13,0,求节点($C$18:$C$23,$E$18:$E$23,$Q56)*节奏总纲!W53)*$D$1</f>
        <v>642883.28124664887</v>
      </c>
      <c r="S56" s="16">
        <f>IF(节奏总纲!Q53&lt;D$13,0,求节点($C$18:$C$23,$E$18:$E$23,$Q56)*节奏总纲!X53)*$D$1</f>
        <v>560658.50957520271</v>
      </c>
      <c r="T56" s="16">
        <f>IF(节奏总纲!R53&lt;E$13,0,求节点($C$18:$C$23,$E$18:$E$23,$Q56)*节奏总纲!Y53)*$D$1</f>
        <v>445780.19593509485</v>
      </c>
      <c r="U56" s="16">
        <f>IF(节奏总纲!S53&lt;F$13,0,求节点($C$18:$C$23,$E$18:$E$23,$Q56)*节奏总纲!Z53)*$D$1</f>
        <v>335499.54410760116</v>
      </c>
      <c r="V56" s="16">
        <f>IF(节奏总纲!T53&lt;G$13,0,求节点($C$18:$C$23,$E$18:$E$23,$Q56)*节奏总纲!AA53)*$D$1</f>
        <v>192282.02790525692</v>
      </c>
      <c r="W56" s="16">
        <f>SUM(R$7:R56)</f>
        <v>3116212.0304599619</v>
      </c>
      <c r="X56" s="16">
        <f>SUM(S$7:S56)</f>
        <v>2707807.0949803735</v>
      </c>
      <c r="Y56" s="16">
        <f>SUM(T$7:T56)</f>
        <v>2198489.4438110297</v>
      </c>
      <c r="Z56" s="16">
        <f>SUM(U$7:U56)</f>
        <v>1607379.7677874146</v>
      </c>
      <c r="AA56" s="16">
        <f>SUM(V$7:V56)</f>
        <v>897581.97145599872</v>
      </c>
      <c r="AC56" s="16">
        <v>50</v>
      </c>
      <c r="AD56" s="16">
        <f>IF(节奏总纲!P53&lt;C$13,0,求节点($C$18:$C$23,$F$18:$F$23,$Q56)*节奏总纲!W53)*$D$1</f>
        <v>5882.4358675685889</v>
      </c>
      <c r="AE56" s="16">
        <f>IF(节奏总纲!Q53&lt;D$13,0,求节点($C$18:$C$23,$F$18:$F$23,$Q56)*节奏总纲!X53)*$D$1</f>
        <v>5130.0723201065684</v>
      </c>
      <c r="AF56" s="16">
        <f>IF(节奏总纲!R53&lt;E$13,0,求节点($C$18:$C$23,$F$18:$F$23,$Q56)*节奏总纲!Y53)*$D$1</f>
        <v>4078.9261287606778</v>
      </c>
      <c r="AG56" s="16">
        <f>IF(节奏总纲!S53&lt;F$13,0,求节点($C$18:$C$23,$F$18:$F$23,$Q56)*节奏总纲!Z53)*$D$1</f>
        <v>3069.8489280735989</v>
      </c>
      <c r="AH56" s="16">
        <f>IF(节奏总纲!T53&lt;G$13,0,求节点($C$18:$C$23,$F$18:$F$23,$Q56)*节奏总纲!AA53)*$D$1</f>
        <v>1759.3966597565859</v>
      </c>
      <c r="AI56" s="16">
        <f>SUM(AD$7:AD56)</f>
        <v>28513.601074490485</v>
      </c>
      <c r="AJ56" s="16">
        <f>SUM(AE$7:AE56)</f>
        <v>24776.661709231972</v>
      </c>
      <c r="AK56" s="16">
        <f>SUM(AF$7:AF56)</f>
        <v>20116.362543550484</v>
      </c>
      <c r="AL56" s="16">
        <f>SUM(AG$7:AG56)</f>
        <v>14707.65950002848</v>
      </c>
      <c r="AM56" s="16">
        <f>SUM(AH$7:AH56)</f>
        <v>8212.9502150639637</v>
      </c>
      <c r="AO56" s="16">
        <v>50</v>
      </c>
      <c r="AP56" s="16">
        <f>IF(节奏总纲!P53&lt;C$13,0,求节点($C$18:$C$23,$H$18:$H$23,$Q56)*节奏总纲!W53)*$D$1</f>
        <v>92575.192499517434</v>
      </c>
      <c r="AQ56" s="16">
        <f>IF(节奏总纲!Q53&lt;D$13,0,求节点($C$18:$C$23,$H$18:$H$23,$Q56)*节奏总纲!X53)*$D$1</f>
        <v>80734.825378829191</v>
      </c>
      <c r="AR56" s="16">
        <f>IF(节奏总纲!R53&lt;E$13,0,求节点($C$18:$C$23,$H$18:$H$23,$Q56)*节奏总纲!Y53)*$D$1</f>
        <v>64192.34821465367</v>
      </c>
      <c r="AS56" s="16">
        <f>IF(节奏总纲!S53&lt;F$13,0,求节点($C$18:$C$23,$H$18:$H$23,$Q56)*节奏总纲!Z53)*$D$1</f>
        <v>48311.934351494572</v>
      </c>
      <c r="AT56" s="16">
        <f>IF(节奏总纲!T53&lt;G$13,0,求节点($C$18:$C$23,$H$18:$H$23,$Q56)*节奏总纲!AA53)*$D$1</f>
        <v>27688.612018356995</v>
      </c>
      <c r="AU56" s="16">
        <f>SUM(AP$7:AP56)</f>
        <v>448734.5323862345</v>
      </c>
      <c r="AV56" s="16">
        <f>SUM(AQ$7:AQ56)</f>
        <v>389924.22167717386</v>
      </c>
      <c r="AW56" s="16">
        <f>SUM(AR$7:AR56)</f>
        <v>316582.47990878829</v>
      </c>
      <c r="AX56" s="16">
        <f>SUM(AS$7:AS56)</f>
        <v>231462.6865613877</v>
      </c>
      <c r="AY56" s="16">
        <f>SUM(AT$7:AT56)</f>
        <v>129251.8038896638</v>
      </c>
    </row>
    <row r="57" spans="10:51">
      <c r="J57" s="16">
        <v>51</v>
      </c>
      <c r="K57" s="16">
        <f>MAX(求节点(节奏总纲!$O$4:$O$163,节奏总纲!P$4:P$163,$J57)-INT(C$13),0)*$D$1*$D$2</f>
        <v>14.75610096139364</v>
      </c>
      <c r="L57" s="16">
        <f>MAX(求节点(节奏总纲!$O$4:$O$163,节奏总纲!Q$4:Q$163,$J57)-INT(D$13),0)*$D$1*$D$2</f>
        <v>13.113860515258796</v>
      </c>
      <c r="M57" s="16">
        <f>MAX(求节点(节奏总纲!$O$4:$O$163,节奏总纲!R$4:R$163,$J57)-INT(E$13),0)*$D$1*$D$2</f>
        <v>10.540642916723479</v>
      </c>
      <c r="N57" s="16">
        <f>MAX(求节点(节奏总纲!$O$4:$O$163,节奏总纲!S$4:S$163,$J57)-INT(F$13),0)*$D$1*$D$2</f>
        <v>7.9048125278081205</v>
      </c>
      <c r="O57" s="16">
        <f>MAX(求节点(节奏总纲!$O$4:$O$163,节奏总纲!T$4:T$163,$J57)-INT(G$13),0)*$D$1*$D$2</f>
        <v>4.6150190542841001</v>
      </c>
      <c r="Q57" s="16">
        <v>51</v>
      </c>
      <c r="R57" s="16">
        <f>IF(节奏总纲!P54&lt;C$13,0,求节点($C$18:$C$23,$E$18:$E$23,$Q57)*节奏总纲!W54)*$D$1</f>
        <v>711992.74836002337</v>
      </c>
      <c r="S57" s="16">
        <f>IF(节奏总纲!Q54&lt;D$13,0,求节点($C$18:$C$23,$E$18:$E$23,$Q57)*节奏总纲!X54)*$D$1</f>
        <v>586866.29977518891</v>
      </c>
      <c r="T57" s="16">
        <f>IF(节奏总纲!R54&lt;E$13,0,求节点($C$18:$C$23,$E$18:$E$23,$Q57)*节奏总纲!Y54)*$D$1</f>
        <v>489356.42015356501</v>
      </c>
      <c r="U57" s="16">
        <f>IF(节奏总纲!S54&lt;F$13,0,求节点($C$18:$C$23,$E$18:$E$23,$Q57)*节奏总纲!Z54)*$D$1</f>
        <v>372230.569683765</v>
      </c>
      <c r="V57" s="16">
        <f>IF(节奏总纲!T54&lt;G$13,0,求节点($C$18:$C$23,$E$18:$E$23,$Q57)*节奏总纲!AA54)*$D$1</f>
        <v>203809.2556900593</v>
      </c>
      <c r="W57" s="16">
        <f>SUM(R$7:R57)</f>
        <v>3828204.7788199852</v>
      </c>
      <c r="X57" s="16">
        <f>SUM(S$7:S57)</f>
        <v>3294673.3947555623</v>
      </c>
      <c r="Y57" s="16">
        <f>SUM(T$7:T57)</f>
        <v>2687845.8639645949</v>
      </c>
      <c r="Z57" s="16">
        <f>SUM(U$7:U57)</f>
        <v>1979610.3374711797</v>
      </c>
      <c r="AA57" s="16">
        <f>SUM(V$7:V57)</f>
        <v>1101391.2271460581</v>
      </c>
      <c r="AC57" s="16">
        <v>51</v>
      </c>
      <c r="AD57" s="16">
        <f>IF(节奏总纲!P54&lt;C$13,0,求节点($C$18:$C$23,$F$18:$F$23,$Q57)*节奏总纲!W54)*$D$1</f>
        <v>6450.0103176884868</v>
      </c>
      <c r="AE57" s="16">
        <f>IF(节奏总纲!Q54&lt;D$13,0,求节点($C$18:$C$23,$F$18:$F$23,$Q57)*节奏总纲!X54)*$D$1</f>
        <v>5316.4778677486984</v>
      </c>
      <c r="AF57" s="16">
        <f>IF(节奏总纲!R54&lt;E$13,0,求节点($C$18:$C$23,$F$18:$F$23,$Q57)*节奏总纲!Y54)*$D$1</f>
        <v>4433.126554010305</v>
      </c>
      <c r="AG57" s="16">
        <f>IF(节奏总纲!S54&lt;F$13,0,求节点($C$18:$C$23,$F$18:$F$23,$Q57)*节奏总纲!Z54)*$D$1</f>
        <v>3372.0722866201477</v>
      </c>
      <c r="AH57" s="16">
        <f>IF(节奏总纲!T54&lt;G$13,0,求节点($C$18:$C$23,$F$18:$F$23,$Q57)*节奏总纲!AA54)*$D$1</f>
        <v>1846.3275153703848</v>
      </c>
      <c r="AI57" s="16">
        <f>SUM(AD$7:AD57)</f>
        <v>34963.611392178973</v>
      </c>
      <c r="AJ57" s="16">
        <f>SUM(AE$7:AE57)</f>
        <v>30093.13957698067</v>
      </c>
      <c r="AK57" s="16">
        <f>SUM(AF$7:AF57)</f>
        <v>24549.489097560789</v>
      </c>
      <c r="AL57" s="16">
        <f>SUM(AG$7:AG57)</f>
        <v>18079.731786648626</v>
      </c>
      <c r="AM57" s="16">
        <f>SUM(AH$7:AH57)</f>
        <v>10059.277730434349</v>
      </c>
      <c r="AO57" s="16">
        <v>51</v>
      </c>
      <c r="AP57" s="16">
        <f>IF(节奏总纲!P54&lt;C$13,0,求节点($C$18:$C$23,$H$18:$H$23,$Q57)*节奏总纲!W54)*$D$1</f>
        <v>105834.27691751574</v>
      </c>
      <c r="AQ57" s="16">
        <f>IF(节奏总纲!Q54&lt;D$13,0,求节点($C$18:$C$23,$H$18:$H$23,$Q57)*节奏总纲!X54)*$D$1</f>
        <v>87234.835785937757</v>
      </c>
      <c r="AR57" s="16">
        <f>IF(节奏总纲!R54&lt;E$13,0,求节点($C$18:$C$23,$H$18:$H$23,$Q57)*节奏总纲!Y54)*$D$1</f>
        <v>72740.464002181543</v>
      </c>
      <c r="AS57" s="16">
        <f>IF(节奏总纲!S54&lt;F$13,0,求节点($C$18:$C$23,$H$18:$H$23,$Q57)*节奏总纲!Z54)*$D$1</f>
        <v>55330.273067831913</v>
      </c>
      <c r="AT57" s="16">
        <f>IF(节奏总纲!T54&lt;G$13,0,求节点($C$18:$C$23,$H$18:$H$23,$Q57)*节奏总纲!AA54)*$D$1</f>
        <v>30295.259684509467</v>
      </c>
      <c r="AU57" s="16">
        <f>SUM(AP$7:AP57)</f>
        <v>554568.80930375028</v>
      </c>
      <c r="AV57" s="16">
        <f>SUM(AQ$7:AQ57)</f>
        <v>477159.05746311159</v>
      </c>
      <c r="AW57" s="16">
        <f>SUM(AR$7:AR57)</f>
        <v>389322.94391096983</v>
      </c>
      <c r="AX57" s="16">
        <f>SUM(AS$7:AS57)</f>
        <v>286792.95962921961</v>
      </c>
      <c r="AY57" s="16">
        <f>SUM(AT$7:AT57)</f>
        <v>159547.06357417325</v>
      </c>
    </row>
    <row r="58" spans="10:51">
      <c r="J58" s="16">
        <v>52</v>
      </c>
      <c r="K58" s="16">
        <f>MAX(求节点(节奏总纲!$O$4:$O$163,节奏总纲!P$4:P$163,$J58)-INT(C$13),0)*$D$1*$D$2</f>
        <v>17.710016831886147</v>
      </c>
      <c r="L58" s="16">
        <f>MAX(求节点(节奏总纲!$O$4:$O$163,节奏总纲!Q$4:Q$163,$J58)-INT(D$13),0)*$D$1*$D$2</f>
        <v>15.697386630275441</v>
      </c>
      <c r="M58" s="16">
        <f>MAX(求节点(节奏总纲!$O$4:$O$163,节奏总纲!R$4:R$163,$J58)-INT(E$13),0)*$D$1*$D$2</f>
        <v>12.727863053313671</v>
      </c>
      <c r="N58" s="16">
        <f>MAX(求节点(节奏总纲!$O$4:$O$163,节奏总纲!S$4:S$163,$J58)-INT(F$13),0)*$D$1*$D$2</f>
        <v>9.5165629108005287</v>
      </c>
      <c r="O58" s="16">
        <f>MAX(求节点(节奏总纲!$O$4:$O$163,节奏总纲!T$4:T$163,$J58)-INT(G$13),0)*$D$1*$D$2</f>
        <v>5.4842009755055443</v>
      </c>
      <c r="Q58" s="16">
        <v>52</v>
      </c>
      <c r="R58" s="16">
        <f>IF(节奏总纲!P55&lt;C$13,0,求节点($C$18:$C$23,$E$18:$E$23,$Q58)*节奏总纲!W55)*$D$1</f>
        <v>787710.8987980024</v>
      </c>
      <c r="S58" s="16">
        <f>IF(节奏总纲!Q55&lt;D$13,0,求节点($C$18:$C$23,$E$18:$E$23,$Q58)*节奏总纲!X55)*$D$1</f>
        <v>688940.29733777198</v>
      </c>
      <c r="T58" s="16">
        <f>IF(节奏总纲!R55&lt;E$13,0,求节点($C$18:$C$23,$E$18:$E$23,$Q58)*节奏总纲!Y55)*$D$1</f>
        <v>583258.70309071778</v>
      </c>
      <c r="U58" s="16">
        <f>IF(节奏总纲!S55&lt;F$13,0,求节点($C$18:$C$23,$E$18:$E$23,$Q58)*节奏总纲!Z55)*$D$1</f>
        <v>429800.10213130875</v>
      </c>
      <c r="V58" s="16">
        <f>IF(节奏总纲!T55&lt;G$13,0,求节点($C$18:$C$23,$E$18:$E$23,$Q58)*节奏总纲!AA55)*$D$1</f>
        <v>231781.84565905156</v>
      </c>
      <c r="W58" s="16">
        <f>SUM(R$7:R58)</f>
        <v>4615915.6776179876</v>
      </c>
      <c r="X58" s="16">
        <f>SUM(S$7:S58)</f>
        <v>3983613.6920933342</v>
      </c>
      <c r="Y58" s="16">
        <f>SUM(T$7:T58)</f>
        <v>3271104.5670553129</v>
      </c>
      <c r="Z58" s="16">
        <f>SUM(U$7:U58)</f>
        <v>2409410.4396024887</v>
      </c>
      <c r="AA58" s="16">
        <f>SUM(V$7:V58)</f>
        <v>1333173.0728051097</v>
      </c>
      <c r="AC58" s="16">
        <v>52</v>
      </c>
      <c r="AD58" s="16">
        <f>IF(节奏总纲!P55&lt;C$13,0,求节点($C$18:$C$23,$F$18:$F$23,$Q58)*节奏总纲!W55)*$D$1</f>
        <v>7068.7553787161614</v>
      </c>
      <c r="AE58" s="16">
        <f>IF(节奏总纲!Q55&lt;D$13,0,求节点($C$18:$C$23,$F$18:$F$23,$Q58)*节奏总纲!X55)*$D$1</f>
        <v>6182.4083427713485</v>
      </c>
      <c r="AF58" s="16">
        <f>IF(节奏总纲!R55&lt;E$13,0,求节点($C$18:$C$23,$F$18:$F$23,$Q58)*节奏总纲!Y55)*$D$1</f>
        <v>5234.0434808593254</v>
      </c>
      <c r="AG58" s="16">
        <f>IF(节奏总纲!S55&lt;F$13,0,求节点($C$18:$C$23,$F$18:$F$23,$Q58)*节奏总纲!Z55)*$D$1</f>
        <v>3856.9376002661302</v>
      </c>
      <c r="AH58" s="16">
        <f>IF(节奏总纲!T55&lt;G$13,0,求节点($C$18:$C$23,$F$18:$F$23,$Q58)*节奏总纲!AA55)*$D$1</f>
        <v>2079.9625480506747</v>
      </c>
      <c r="AI58" s="16">
        <f>SUM(AD$7:AD58)</f>
        <v>42032.366770895133</v>
      </c>
      <c r="AJ58" s="16">
        <f>SUM(AE$7:AE58)</f>
        <v>36275.547919752018</v>
      </c>
      <c r="AK58" s="16">
        <f>SUM(AF$7:AF58)</f>
        <v>29783.532578420112</v>
      </c>
      <c r="AL58" s="16">
        <f>SUM(AG$7:AG58)</f>
        <v>21936.669386914757</v>
      </c>
      <c r="AM58" s="16">
        <f>SUM(AH$7:AH58)</f>
        <v>12139.240278485024</v>
      </c>
      <c r="AO58" s="16">
        <v>52</v>
      </c>
      <c r="AP58" s="16">
        <f>IF(节奏总纲!P55&lt;C$13,0,求节点($C$18:$C$23,$H$18:$H$23,$Q58)*节奏总纲!W55)*$D$1</f>
        <v>120519.76751609435</v>
      </c>
      <c r="AQ58" s="16">
        <f>IF(节奏总纲!Q55&lt;D$13,0,求节点($C$18:$C$23,$H$18:$H$23,$Q58)*节奏总纲!X55)*$D$1</f>
        <v>105407.86549267911</v>
      </c>
      <c r="AR58" s="16">
        <f>IF(节奏总纲!R55&lt;E$13,0,求节点($C$18:$C$23,$H$18:$H$23,$Q58)*节奏总纲!Y55)*$D$1</f>
        <v>89238.581572879804</v>
      </c>
      <c r="AS58" s="16">
        <f>IF(节奏总纲!S55&lt;F$13,0,求节点($C$18:$C$23,$H$18:$H$23,$Q58)*节奏总纲!Z55)*$D$1</f>
        <v>65759.415626090224</v>
      </c>
      <c r="AT58" s="16">
        <f>IF(节奏总纲!T55&lt;G$13,0,求节点($C$18:$C$23,$H$18:$H$23,$Q58)*节奏总纲!AA55)*$D$1</f>
        <v>35462.622385834889</v>
      </c>
      <c r="AU58" s="16">
        <f>SUM(AP$7:AP58)</f>
        <v>675088.57681984466</v>
      </c>
      <c r="AV58" s="16">
        <f>SUM(AQ$7:AQ58)</f>
        <v>582566.92295579065</v>
      </c>
      <c r="AW58" s="16">
        <f>SUM(AR$7:AR58)</f>
        <v>478561.52548384963</v>
      </c>
      <c r="AX58" s="16">
        <f>SUM(AS$7:AS58)</f>
        <v>352552.37525530986</v>
      </c>
      <c r="AY58" s="16">
        <f>SUM(AT$7:AT58)</f>
        <v>195009.68596000815</v>
      </c>
    </row>
    <row r="59" spans="10:51">
      <c r="J59" s="16">
        <v>53</v>
      </c>
      <c r="K59" s="16">
        <f>MAX(求节点(节奏总纲!$O$4:$O$163,节奏总纲!P$4:P$163,$J59)-INT(C$13),0)*$D$1*$D$2</f>
        <v>20.875945472444769</v>
      </c>
      <c r="L59" s="16">
        <f>MAX(求节点(节奏总纲!$O$4:$O$163,节奏总纲!Q$4:Q$163,$J59)-INT(D$13),0)*$D$1*$D$2</f>
        <v>18.513718128310416</v>
      </c>
      <c r="M59" s="16">
        <f>MAX(求节点(节奏总纲!$O$4:$O$163,节奏总纲!R$4:R$163,$J59)-INT(E$13),0)*$D$1*$D$2</f>
        <v>15.096351632857079</v>
      </c>
      <c r="N59" s="16">
        <f>MAX(求节点(节奏总纲!$O$4:$O$163,节奏总纲!S$4:S$163,$J59)-INT(F$13),0)*$D$1*$D$2</f>
        <v>11.183390344017774</v>
      </c>
      <c r="O59" s="16">
        <f>MAX(求节点(节奏总纲!$O$4:$O$163,节奏总纲!T$4:T$163,$J59)-INT(G$13),0)*$D$1*$D$2</f>
        <v>6.406226698012941</v>
      </c>
      <c r="Q59" s="16">
        <v>53</v>
      </c>
      <c r="R59" s="16">
        <f>IF(节奏总纲!P56&lt;C$13,0,求节点($C$18:$C$23,$E$18:$E$23,$Q59)*节奏总纲!W56)*$D$1</f>
        <v>870630.37615362089</v>
      </c>
      <c r="S59" s="16">
        <f>IF(节奏总纲!Q56&lt;D$13,0,求节点($C$18:$C$23,$E$18:$E$23,$Q59)*节奏总纲!X56)*$D$1</f>
        <v>774491.16195961821</v>
      </c>
      <c r="T59" s="16">
        <f>IF(节奏总纲!R56&lt;E$13,0,求节点($C$18:$C$23,$E$18:$E$23,$Q59)*节奏总纲!Y56)*$D$1</f>
        <v>651334.35937443771</v>
      </c>
      <c r="U59" s="16">
        <f>IF(节奏总纲!S56&lt;F$13,0,求节点($C$18:$C$23,$E$18:$E$23,$Q59)*节奏总纲!Z56)*$D$1</f>
        <v>458377.54413474264</v>
      </c>
      <c r="V59" s="16">
        <f>IF(节奏总纲!T56&lt;G$13,0,求节点($C$18:$C$23,$E$18:$E$23,$Q59)*节奏总纲!AA56)*$D$1</f>
        <v>253557.07368953445</v>
      </c>
      <c r="W59" s="16">
        <f>SUM(R$7:R59)</f>
        <v>5486546.0537716085</v>
      </c>
      <c r="X59" s="16">
        <f>SUM(S$7:S59)</f>
        <v>4758104.8540529525</v>
      </c>
      <c r="Y59" s="16">
        <f>SUM(T$7:T59)</f>
        <v>3922438.9264297504</v>
      </c>
      <c r="Z59" s="16">
        <f>SUM(U$7:U59)</f>
        <v>2867787.9837372312</v>
      </c>
      <c r="AA59" s="16">
        <f>SUM(V$7:V59)</f>
        <v>1586730.1464946442</v>
      </c>
      <c r="AC59" s="16">
        <v>53</v>
      </c>
      <c r="AD59" s="16">
        <f>IF(节奏总纲!P56&lt;C$13,0,求节点($C$18:$C$23,$F$18:$F$23,$Q59)*节奏总纲!W56)*$D$1</f>
        <v>7743.0926144944569</v>
      </c>
      <c r="AE59" s="16">
        <f>IF(节奏总纲!Q56&lt;D$13,0,求节点($C$18:$C$23,$F$18:$F$23,$Q59)*节奏总纲!X56)*$D$1</f>
        <v>6888.0629029449337</v>
      </c>
      <c r="AF59" s="16">
        <f>IF(节奏总纲!R56&lt;E$13,0,求节点($C$18:$C$23,$F$18:$F$23,$Q59)*节奏总纲!Y56)*$D$1</f>
        <v>5792.7478821951881</v>
      </c>
      <c r="AG59" s="16">
        <f>IF(节奏总纲!S56&lt;F$13,0,求节点($C$18:$C$23,$F$18:$F$23,$Q59)*节奏总纲!Z56)*$D$1</f>
        <v>4076.6551154810304</v>
      </c>
      <c r="AH59" s="16">
        <f>IF(节奏总纲!T56&lt;G$13,0,求节点($C$18:$C$23,$F$18:$F$23,$Q59)*节奏总纲!AA56)*$D$1</f>
        <v>2255.0510048960641</v>
      </c>
      <c r="AI59" s="16">
        <f>SUM(AD$7:AD59)</f>
        <v>49775.459385389593</v>
      </c>
      <c r="AJ59" s="16">
        <f>SUM(AE$7:AE59)</f>
        <v>43163.610822696952</v>
      </c>
      <c r="AK59" s="16">
        <f>SUM(AF$7:AF59)</f>
        <v>35576.2804606153</v>
      </c>
      <c r="AL59" s="16">
        <f>SUM(AG$7:AG59)</f>
        <v>26013.324502395786</v>
      </c>
      <c r="AM59" s="16">
        <f>SUM(AH$7:AH59)</f>
        <v>14394.291283381088</v>
      </c>
      <c r="AO59" s="16">
        <v>53</v>
      </c>
      <c r="AP59" s="16">
        <f>IF(节奏总纲!P56&lt;C$13,0,求节点($C$18:$C$23,$H$18:$H$23,$Q59)*节奏总纲!W56)*$D$1</f>
        <v>136768.11727213245</v>
      </c>
      <c r="AQ59" s="16">
        <f>IF(节奏总纲!Q56&lt;D$13,0,求节点($C$18:$C$23,$H$18:$H$23,$Q59)*节奏总纲!X56)*$D$1</f>
        <v>121665.52071511094</v>
      </c>
      <c r="AR59" s="16">
        <f>IF(节奏总纲!R56&lt;E$13,0,求节点($C$18:$C$23,$H$18:$H$23,$Q59)*节奏总纲!Y56)*$D$1</f>
        <v>102318.70663627531</v>
      </c>
      <c r="AS59" s="16">
        <f>IF(节奏总纲!S56&lt;F$13,0,求节点($C$18:$C$23,$H$18:$H$23,$Q59)*节奏总纲!Z56)*$D$1</f>
        <v>72006.945114985021</v>
      </c>
      <c r="AT59" s="16">
        <f>IF(节奏总纲!T56&lt;G$13,0,求节点($C$18:$C$23,$H$18:$H$23,$Q59)*节奏总纲!AA56)*$D$1</f>
        <v>39831.511212319587</v>
      </c>
      <c r="AU59" s="16">
        <f>SUM(AP$7:AP59)</f>
        <v>811856.69409197709</v>
      </c>
      <c r="AV59" s="16">
        <f>SUM(AQ$7:AQ59)</f>
        <v>704232.44367090159</v>
      </c>
      <c r="AW59" s="16">
        <f>SUM(AR$7:AR59)</f>
        <v>580880.23212012497</v>
      </c>
      <c r="AX59" s="16">
        <f>SUM(AS$7:AS59)</f>
        <v>424559.32037029485</v>
      </c>
      <c r="AY59" s="16">
        <f>SUM(AT$7:AT59)</f>
        <v>234841.19717232772</v>
      </c>
    </row>
    <row r="60" spans="10:51">
      <c r="J60" s="16">
        <v>54</v>
      </c>
      <c r="K60" s="16">
        <f>MAX(求节点(节奏总纲!$O$4:$O$163,节奏总纲!P$4:P$163,$J60)-INT(C$13),0)*$D$1*$D$2</f>
        <v>24.269103773679138</v>
      </c>
      <c r="L60" s="16">
        <f>MAX(求节点(节奏总纲!$O$4:$O$163,节奏总纲!Q$4:Q$163,$J60)-INT(D$13),0)*$D$1*$D$2</f>
        <v>21.53705849064821</v>
      </c>
      <c r="M60" s="16">
        <f>MAX(求节点(节奏总纲!$O$4:$O$163,节奏总纲!R$4:R$163,$J60)-INT(E$13),0)*$D$1*$D$2</f>
        <v>17.464400495350574</v>
      </c>
      <c r="N60" s="16">
        <f>MAX(求节点(节奏总纲!$O$4:$O$163,节奏总纲!S$4:S$163,$J60)-INT(F$13),0)*$D$1*$D$2</f>
        <v>12.914739882125218</v>
      </c>
      <c r="O60" s="16">
        <f>MAX(求节点(节奏总纲!$O$4:$O$163,节奏总纲!T$4:T$163,$J60)-INT(G$13),0)*$D$1*$D$2</f>
        <v>7.3340226887069297</v>
      </c>
      <c r="Q60" s="16">
        <v>54</v>
      </c>
      <c r="R60" s="16">
        <f>IF(节奏总纲!P57&lt;C$13,0,求节点($C$18:$C$23,$E$18:$E$23,$Q60)*节奏总纲!W57)*$D$1</f>
        <v>961394.85201640427</v>
      </c>
      <c r="S60" s="16">
        <f>IF(节奏总纲!Q57&lt;D$13,0,求节点($C$18:$C$23,$E$18:$E$23,$Q60)*节奏总纲!X57)*$D$1</f>
        <v>856613.10266237485</v>
      </c>
      <c r="T60" s="16">
        <f>IF(节奏总纲!R57&lt;E$13,0,求节点($C$18:$C$23,$E$18:$E$23,$Q60)*节奏总纲!Y57)*$D$1</f>
        <v>670947.17770648981</v>
      </c>
      <c r="U60" s="16">
        <f>IF(节奏总纲!S57&lt;F$13,0,求节点($C$18:$C$23,$E$18:$E$23,$Q60)*节奏总纲!Z57)*$D$1</f>
        <v>490549.0357971093</v>
      </c>
      <c r="V60" s="16">
        <f>IF(节奏总纲!T57&lt;G$13,0,求节点($C$18:$C$23,$E$18:$E$23,$Q60)*节奏总纲!AA57)*$D$1</f>
        <v>262875.53069663007</v>
      </c>
      <c r="W60" s="16">
        <f>SUM(R$7:R60)</f>
        <v>6447940.9057880128</v>
      </c>
      <c r="X60" s="16">
        <f>SUM(S$7:S60)</f>
        <v>5614717.9567153277</v>
      </c>
      <c r="Y60" s="16">
        <f>SUM(T$7:T60)</f>
        <v>4593386.1041362397</v>
      </c>
      <c r="Z60" s="16">
        <f>SUM(U$7:U60)</f>
        <v>3358337.0195343406</v>
      </c>
      <c r="AA60" s="16">
        <f>SUM(V$7:V60)</f>
        <v>1849605.6771912742</v>
      </c>
      <c r="AC60" s="16">
        <v>54</v>
      </c>
      <c r="AD60" s="16">
        <f>IF(节奏总纲!P57&lt;C$13,0,求节点($C$18:$C$23,$F$18:$F$23,$Q60)*节奏总纲!W57)*$D$1</f>
        <v>8477.8146889443451</v>
      </c>
      <c r="AE60" s="16">
        <f>IF(节奏总纲!Q57&lt;D$13,0,求节点($C$18:$C$23,$F$18:$F$23,$Q60)*节奏总纲!X57)*$D$1</f>
        <v>7553.8236233132629</v>
      </c>
      <c r="AF60" s="16">
        <f>IF(节奏总纲!R57&lt;E$13,0,求节点($C$18:$C$23,$F$18:$F$23,$Q60)*节奏总纲!Y57)*$D$1</f>
        <v>5916.5761359504086</v>
      </c>
      <c r="AG60" s="16">
        <f>IF(节奏总纲!S57&lt;F$13,0,求节点($C$18:$C$23,$F$18:$F$23,$Q60)*节奏总纲!Z57)*$D$1</f>
        <v>4325.7812464937742</v>
      </c>
      <c r="AH60" s="16">
        <f>IF(节奏总纲!T57&lt;G$13,0,求节点($C$18:$C$23,$F$18:$F$23,$Q60)*节奏总纲!AA57)*$D$1</f>
        <v>2318.1006543042145</v>
      </c>
      <c r="AI60" s="16">
        <f>SUM(AD$7:AD60)</f>
        <v>58253.274074333938</v>
      </c>
      <c r="AJ60" s="16">
        <f>SUM(AE$7:AE60)</f>
        <v>50717.434446010215</v>
      </c>
      <c r="AK60" s="16">
        <f>SUM(AF$7:AF60)</f>
        <v>41492.856596565711</v>
      </c>
      <c r="AL60" s="16">
        <f>SUM(AG$7:AG60)</f>
        <v>30339.10574888956</v>
      </c>
      <c r="AM60" s="16">
        <f>SUM(AH$7:AH60)</f>
        <v>16712.391937685301</v>
      </c>
      <c r="AO60" s="16">
        <v>54</v>
      </c>
      <c r="AP60" s="16">
        <f>IF(节奏总纲!P57&lt;C$13,0,求节点($C$18:$C$23,$H$18:$H$23,$Q60)*节奏总纲!W57)*$D$1</f>
        <v>154728.01853628719</v>
      </c>
      <c r="AQ60" s="16">
        <f>IF(节奏总纲!Q57&lt;D$13,0,求节点($C$18:$C$23,$H$18:$H$23,$Q60)*节奏总纲!X57)*$D$1</f>
        <v>137864.3205226034</v>
      </c>
      <c r="AR60" s="16">
        <f>IF(节奏总纲!R57&lt;E$13,0,求节点($C$18:$C$23,$H$18:$H$23,$Q60)*节奏总纲!Y57)*$D$1</f>
        <v>107983.02812970331</v>
      </c>
      <c r="AS60" s="16">
        <f>IF(节奏总纲!S57&lt;F$13,0,求节点($C$18:$C$23,$H$18:$H$23,$Q60)*节奏总纲!Z57)*$D$1</f>
        <v>78949.538937699472</v>
      </c>
      <c r="AT60" s="16">
        <f>IF(节奏总纲!T57&lt;G$13,0,求节点($C$18:$C$23,$H$18:$H$23,$Q60)*节奏总纲!AA57)*$D$1</f>
        <v>42307.497175645869</v>
      </c>
      <c r="AU60" s="16">
        <f>SUM(AP$7:AP60)</f>
        <v>966584.71262826421</v>
      </c>
      <c r="AV60" s="16">
        <f>SUM(AQ$7:AQ60)</f>
        <v>842096.76419350505</v>
      </c>
      <c r="AW60" s="16">
        <f>SUM(AR$7:AR60)</f>
        <v>688863.26024982822</v>
      </c>
      <c r="AX60" s="16">
        <f>SUM(AS$7:AS60)</f>
        <v>503508.85930799431</v>
      </c>
      <c r="AY60" s="16">
        <f>SUM(AT$7:AT60)</f>
        <v>277148.69434797356</v>
      </c>
    </row>
    <row r="61" spans="10:51">
      <c r="J61" s="16">
        <v>55</v>
      </c>
      <c r="K61" s="16">
        <f>MAX(求节点(节奏总纲!$O$4:$O$163,节奏总纲!P$4:P$163,$J61)-INT(C$13),0)*$D$1*$D$2</f>
        <v>27.905800795126858</v>
      </c>
      <c r="L61" s="16">
        <f>MAX(求节点(节奏总纲!$O$4:$O$163,节奏总纲!Q$4:Q$163,$J61)-INT(D$13),0)*$D$1*$D$2</f>
        <v>24.639220752316959</v>
      </c>
      <c r="M61" s="16">
        <f>MAX(求节点(节奏总纲!$O$4:$O$163,节奏总纲!R$4:R$163,$J61)-INT(E$13),0)*$D$1*$D$2</f>
        <v>19.970647568515702</v>
      </c>
      <c r="N61" s="16">
        <f>MAX(求节点(节奏总纲!$O$4:$O$163,节奏总纲!S$4:S$163,$J61)-INT(F$13),0)*$D$1*$D$2</f>
        <v>14.738961798316238</v>
      </c>
      <c r="O61" s="16">
        <f>MAX(求节点(节奏总纲!$O$4:$O$163,节奏总纲!T$4:T$163,$J61)-INT(G$13),0)*$D$1*$D$2</f>
        <v>8.333446732574604</v>
      </c>
      <c r="Q61" s="16">
        <v>55</v>
      </c>
      <c r="R61" s="16">
        <f>IF(节奏总纲!P58&lt;C$13,0,求节点($C$18:$C$23,$E$18:$E$23,$Q61)*节奏总纲!W58)*$D$1</f>
        <v>1060703.2979222508</v>
      </c>
      <c r="S61" s="16">
        <f>IF(节奏总纲!Q58&lt;D$13,0,求节点($C$18:$C$23,$E$18:$E$23,$Q61)*节奏总纲!X58)*$D$1</f>
        <v>904797.3263200511</v>
      </c>
      <c r="T61" s="16">
        <f>IF(节奏总纲!R58&lt;E$13,0,求节点($C$18:$C$23,$E$18:$E$23,$Q61)*节奏总纲!Y58)*$D$1</f>
        <v>730988.7296731614</v>
      </c>
      <c r="U61" s="16">
        <f>IF(节奏总纲!S58&lt;F$13,0,求节点($C$18:$C$23,$E$18:$E$23,$Q61)*节奏总纲!Z58)*$D$1</f>
        <v>532064.72555571375</v>
      </c>
      <c r="V61" s="16">
        <f>IF(节奏总纲!T58&lt;G$13,0,求节点($C$18:$C$23,$E$18:$E$23,$Q61)*节奏总纲!AA58)*$D$1</f>
        <v>291498.67946140474</v>
      </c>
      <c r="W61" s="16">
        <f>SUM(R$7:R61)</f>
        <v>7508644.2037102636</v>
      </c>
      <c r="X61" s="16">
        <f>SUM(S$7:S61)</f>
        <v>6519515.2830353789</v>
      </c>
      <c r="Y61" s="16">
        <f>SUM(T$7:T61)</f>
        <v>5324374.8338094009</v>
      </c>
      <c r="Z61" s="16">
        <f>SUM(U$7:U61)</f>
        <v>3890401.7450900543</v>
      </c>
      <c r="AA61" s="16">
        <f>SUM(V$7:V61)</f>
        <v>2141104.3566526789</v>
      </c>
      <c r="AC61" s="16">
        <v>55</v>
      </c>
      <c r="AD61" s="16">
        <f>IF(节奏总纲!P58&lt;C$13,0,求节点($C$18:$C$23,$F$18:$F$23,$Q61)*节奏总纲!W58)*$D$1</f>
        <v>9278.1158589622682</v>
      </c>
      <c r="AE61" s="16">
        <f>IF(节奏总纲!Q58&lt;D$13,0,求节点($C$18:$C$23,$F$18:$F$23,$Q61)*节奏总纲!X58)*$D$1</f>
        <v>7914.3851432543233</v>
      </c>
      <c r="AF61" s="16">
        <f>IF(节奏总纲!R58&lt;E$13,0,求节点($C$18:$C$23,$F$18:$F$23,$Q61)*节奏总纲!Y58)*$D$1</f>
        <v>6394.0577339473639</v>
      </c>
      <c r="AG61" s="16">
        <f>IF(节奏总纲!S58&lt;F$13,0,求节点($C$18:$C$23,$F$18:$F$23,$Q61)*节奏总纲!Z58)*$D$1</f>
        <v>4654.0424432004766</v>
      </c>
      <c r="AH61" s="16">
        <f>IF(节奏总纲!T58&lt;G$13,0,求节点($C$18:$C$23,$F$18:$F$23,$Q61)*节奏总纲!AA58)*$D$1</f>
        <v>2549.7785536023307</v>
      </c>
      <c r="AI61" s="16">
        <f>SUM(AD$7:AD61)</f>
        <v>67531.389933296203</v>
      </c>
      <c r="AJ61" s="16">
        <f>SUM(AE$7:AE61)</f>
        <v>58631.819589264538</v>
      </c>
      <c r="AK61" s="16">
        <f>SUM(AF$7:AF61)</f>
        <v>47886.914330513071</v>
      </c>
      <c r="AL61" s="16">
        <f>SUM(AG$7:AG61)</f>
        <v>34993.148192090041</v>
      </c>
      <c r="AM61" s="16">
        <f>SUM(AH$7:AH61)</f>
        <v>19262.17049128763</v>
      </c>
      <c r="AO61" s="16">
        <v>55</v>
      </c>
      <c r="AP61" s="16">
        <f>IF(节奏总纲!P58&lt;C$13,0,求节点($C$18:$C$23,$H$18:$H$23,$Q61)*节奏总纲!W58)*$D$1</f>
        <v>174561.45702949038</v>
      </c>
      <c r="AQ61" s="16">
        <f>IF(节奏总纲!Q58&lt;D$13,0,求节点($C$18:$C$23,$H$18:$H$23,$Q61)*节奏总纲!X58)*$D$1</f>
        <v>148903.78856009984</v>
      </c>
      <c r="AR61" s="16">
        <f>IF(节奏总纲!R58&lt;E$13,0,求节点($C$18:$C$23,$H$18:$H$23,$Q61)*节奏总纲!Y58)*$D$1</f>
        <v>120299.85951192598</v>
      </c>
      <c r="AS61" s="16">
        <f>IF(节奏总纲!S58&lt;F$13,0,求节点($C$18:$C$23,$H$18:$H$23,$Q61)*节奏总纲!Z58)*$D$1</f>
        <v>87562.651977168891</v>
      </c>
      <c r="AT61" s="16">
        <f>IF(节奏总纲!T58&lt;G$13,0,求节点($C$18:$C$23,$H$18:$H$23,$Q61)*节奏总纲!AA58)*$D$1</f>
        <v>47972.354105648323</v>
      </c>
      <c r="AU61" s="16">
        <f>SUM(AP$7:AP61)</f>
        <v>1141146.1696577547</v>
      </c>
      <c r="AV61" s="16">
        <f>SUM(AQ$7:AQ61)</f>
        <v>991000.55275360495</v>
      </c>
      <c r="AW61" s="16">
        <f>SUM(AR$7:AR61)</f>
        <v>809163.11976175418</v>
      </c>
      <c r="AX61" s="16">
        <f>SUM(AS$7:AS61)</f>
        <v>591071.51128516323</v>
      </c>
      <c r="AY61" s="16">
        <f>SUM(AT$7:AT61)</f>
        <v>325121.04845362192</v>
      </c>
    </row>
    <row r="62" spans="10:51">
      <c r="J62" s="16">
        <v>56</v>
      </c>
      <c r="K62" s="16">
        <f>MAX(求节点(节奏总纲!$O$4:$O$163,节奏总纲!P$4:P$163,$J62)-INT(C$13),0)*$D$1*$D$2</f>
        <v>31.803516153999269</v>
      </c>
      <c r="L62" s="16">
        <f>MAX(求节点(节奏总纲!$O$4:$O$163,节奏总纲!Q$4:Q$163,$J62)-INT(D$13),0)*$D$1*$D$2</f>
        <v>27.930355186209965</v>
      </c>
      <c r="M62" s="16">
        <f>MAX(求节点(节奏总纲!$O$4:$O$163,节奏总纲!R$4:R$163,$J62)-INT(E$13),0)*$D$1*$D$2</f>
        <v>22.666308424263079</v>
      </c>
      <c r="N62" s="16">
        <f>MAX(求节点(节奏总纲!$O$4:$O$163,节奏总纲!S$4:S$163,$J62)-INT(F$13),0)*$D$1*$D$2</f>
        <v>16.692643871157212</v>
      </c>
      <c r="O62" s="16">
        <f>MAX(求节点(节奏总纲!$O$4:$O$163,节奏总纲!T$4:T$163,$J62)-INT(G$13),0)*$D$1*$D$2</f>
        <v>9.4051242556599881</v>
      </c>
      <c r="Q62" s="16">
        <v>56</v>
      </c>
      <c r="R62" s="16">
        <f>IF(节奏总纲!P59&lt;C$13,0,求节点($C$18:$C$23,$E$18:$E$23,$Q62)*节奏总纲!W59)*$D$1</f>
        <v>1169314.6076617236</v>
      </c>
      <c r="S62" s="16">
        <f>IF(节奏总纲!Q59&lt;D$13,0,求节点($C$18:$C$23,$E$18:$E$23,$Q62)*节奏总纲!X59)*$D$1</f>
        <v>987340.33016790263</v>
      </c>
      <c r="T62" s="16">
        <f>IF(节奏总纲!R59&lt;E$13,0,求节点($C$18:$C$23,$E$18:$E$23,$Q62)*节奏总纲!Y59)*$D$1</f>
        <v>808698.25672421395</v>
      </c>
      <c r="U62" s="16">
        <f>IF(节奏总纲!S59&lt;F$13,0,求节点($C$18:$C$23,$E$18:$E$23,$Q62)*节奏总纲!Z59)*$D$1</f>
        <v>586104.62185229338</v>
      </c>
      <c r="V62" s="16">
        <f>IF(节奏总纲!T59&lt;G$13,0,求节点($C$18:$C$23,$E$18:$E$23,$Q62)*节奏总纲!AA59)*$D$1</f>
        <v>321503.25692561502</v>
      </c>
      <c r="W62" s="16">
        <f>SUM(R$7:R62)</f>
        <v>8677958.8113719877</v>
      </c>
      <c r="X62" s="16">
        <f>SUM(S$7:S62)</f>
        <v>7506855.6132032815</v>
      </c>
      <c r="Y62" s="16">
        <f>SUM(T$7:T62)</f>
        <v>6133073.0905336151</v>
      </c>
      <c r="Z62" s="16">
        <f>SUM(U$7:U62)</f>
        <v>4476506.366942348</v>
      </c>
      <c r="AA62" s="16">
        <f>SUM(V$7:V62)</f>
        <v>2462607.6135782939</v>
      </c>
      <c r="AC62" s="16">
        <v>56</v>
      </c>
      <c r="AD62" s="16">
        <f>IF(节奏总纲!P59&lt;C$13,0,求节点($C$18:$C$23,$F$18:$F$23,$Q62)*节奏总纲!W59)*$D$1</f>
        <v>10149.624932785642</v>
      </c>
      <c r="AE62" s="16">
        <f>IF(节奏总纲!Q59&lt;D$13,0,求节点($C$18:$C$23,$F$18:$F$23,$Q62)*节奏总纲!X59)*$D$1</f>
        <v>8570.0922288623406</v>
      </c>
      <c r="AF62" s="16">
        <f>IF(节奏总纲!R59&lt;E$13,0,求节点($C$18:$C$23,$F$18:$F$23,$Q62)*节奏总纲!Y59)*$D$1</f>
        <v>7019.4829823958653</v>
      </c>
      <c r="AG62" s="16">
        <f>IF(节奏总纲!S59&lt;F$13,0,求节点($C$18:$C$23,$F$18:$F$23,$Q62)*节奏总纲!Z59)*$D$1</f>
        <v>5087.3751548085302</v>
      </c>
      <c r="AH62" s="16">
        <f>IF(节奏总纲!T59&lt;G$13,0,求节点($C$18:$C$23,$F$18:$F$23,$Q62)*节奏总纲!AA59)*$D$1</f>
        <v>2790.6411594303954</v>
      </c>
      <c r="AI62" s="16">
        <f>SUM(AD$7:AD62)</f>
        <v>77681.014866081852</v>
      </c>
      <c r="AJ62" s="16">
        <f>SUM(AE$7:AE62)</f>
        <v>67201.911818126886</v>
      </c>
      <c r="AK62" s="16">
        <f>SUM(AF$7:AF62)</f>
        <v>54906.397312908935</v>
      </c>
      <c r="AL62" s="16">
        <f>SUM(AG$7:AG62)</f>
        <v>40080.523346898568</v>
      </c>
      <c r="AM62" s="16">
        <f>SUM(AH$7:AH62)</f>
        <v>22052.811650718024</v>
      </c>
      <c r="AO62" s="16">
        <v>56</v>
      </c>
      <c r="AP62" s="16">
        <f>IF(节奏总纲!P59&lt;C$13,0,求节点($C$18:$C$23,$H$18:$H$23,$Q62)*节奏总纲!W59)*$D$1</f>
        <v>196444.85408716957</v>
      </c>
      <c r="AQ62" s="16">
        <f>IF(节奏总纲!Q59&lt;D$13,0,求节点($C$18:$C$23,$H$18:$H$23,$Q62)*节奏总纲!X59)*$D$1</f>
        <v>165873.17546820766</v>
      </c>
      <c r="AR62" s="16">
        <f>IF(节奏总纲!R59&lt;E$13,0,求节点($C$18:$C$23,$H$18:$H$23,$Q62)*节奏总纲!Y59)*$D$1</f>
        <v>135861.30712966796</v>
      </c>
      <c r="AS62" s="16">
        <f>IF(节奏总纲!S59&lt;F$13,0,求节点($C$18:$C$23,$H$18:$H$23,$Q62)*节奏总纲!Z59)*$D$1</f>
        <v>98465.576471185283</v>
      </c>
      <c r="AT62" s="16">
        <f>IF(节奏总纲!T59&lt;G$13,0,求节点($C$18:$C$23,$H$18:$H$23,$Q62)*节奏总纲!AA59)*$D$1</f>
        <v>54012.547163503317</v>
      </c>
      <c r="AU62" s="16">
        <f>SUM(AP$7:AP62)</f>
        <v>1337591.0237449242</v>
      </c>
      <c r="AV62" s="16">
        <f>SUM(AQ$7:AQ62)</f>
        <v>1156873.7282218125</v>
      </c>
      <c r="AW62" s="16">
        <f>SUM(AR$7:AR62)</f>
        <v>945024.42689142213</v>
      </c>
      <c r="AX62" s="16">
        <f>SUM(AS$7:AS62)</f>
        <v>689537.08775634854</v>
      </c>
      <c r="AY62" s="16">
        <f>SUM(AT$7:AT62)</f>
        <v>379133.59561712522</v>
      </c>
    </row>
    <row r="63" spans="10:51">
      <c r="J63" s="16">
        <v>57</v>
      </c>
      <c r="K63" s="16">
        <f>MAX(求节点(节奏总纲!$O$4:$O$163,节奏总纲!P$4:P$163,$J63)-INT(C$13),0)*$D$1*$D$2</f>
        <v>35.980984040158894</v>
      </c>
      <c r="L63" s="16">
        <f>MAX(求节点(节奏总纲!$O$4:$O$163,节奏总纲!Q$4:Q$163,$J63)-INT(D$13),0)*$D$1*$D$2</f>
        <v>31.572393229302094</v>
      </c>
      <c r="M63" s="16">
        <f>MAX(求节点(节奏总纲!$O$4:$O$163,节奏总纲!R$4:R$163,$J63)-INT(E$13),0)*$D$1*$D$2</f>
        <v>25.579214931805183</v>
      </c>
      <c r="N63" s="16">
        <f>MAX(求节点(节奏总纲!$O$4:$O$163,节奏总纲!S$4:S$163,$J63)-INT(F$13),0)*$D$1*$D$2</f>
        <v>18.797654653003104</v>
      </c>
      <c r="O63" s="16">
        <f>MAX(求节点(节奏总纲!$O$4:$O$163,节奏总纲!T$4:T$163,$J63)-INT(G$13),0)*$D$1*$D$2</f>
        <v>10.579193962070176</v>
      </c>
      <c r="Q63" s="16">
        <v>57</v>
      </c>
      <c r="R63" s="16">
        <f>IF(节奏总纲!P60&lt;C$13,0,求节点($C$18:$C$23,$E$18:$E$23,$Q63)*节奏总纲!W60)*$D$1</f>
        <v>1288052.5982325519</v>
      </c>
      <c r="S63" s="16">
        <f>IF(节奏总纲!Q60&lt;D$13,0,求节点($C$18:$C$23,$E$18:$E$23,$Q63)*节奏总纲!X60)*$D$1</f>
        <v>1122961.7299534064</v>
      </c>
      <c r="T63" s="16">
        <f>IF(节奏总纲!R60&lt;E$13,0,求节点($C$18:$C$23,$E$18:$E$23,$Q63)*节奏总纲!Y60)*$D$1</f>
        <v>898146.17315881466</v>
      </c>
      <c r="U63" s="16">
        <f>IF(节奏总纲!S60&lt;F$13,0,求节点($C$18:$C$23,$E$18:$E$23,$Q63)*节奏总纲!Z60)*$D$1</f>
        <v>649044.99106914899</v>
      </c>
      <c r="V63" s="16">
        <f>IF(节奏总纲!T60&lt;G$13,0,求节点($C$18:$C$23,$E$18:$E$23,$Q63)*节奏总纲!AA60)*$D$1</f>
        <v>362004.8261431416</v>
      </c>
      <c r="W63" s="16">
        <f>SUM(R$7:R63)</f>
        <v>9966011.4096045401</v>
      </c>
      <c r="X63" s="16">
        <f>SUM(S$7:S63)</f>
        <v>8629817.3431566879</v>
      </c>
      <c r="Y63" s="16">
        <f>SUM(T$7:T63)</f>
        <v>7031219.2636924293</v>
      </c>
      <c r="Z63" s="16">
        <f>SUM(U$7:U63)</f>
        <v>5125551.3580114972</v>
      </c>
      <c r="AA63" s="16">
        <f>SUM(V$7:V63)</f>
        <v>2824612.4397214353</v>
      </c>
      <c r="AC63" s="16">
        <v>57</v>
      </c>
      <c r="AD63" s="16">
        <f>IF(节奏总纲!P60&lt;C$13,0,求节点($C$18:$C$23,$F$18:$F$23,$Q63)*节奏总纲!W60)*$D$1</f>
        <v>11098.44089065108</v>
      </c>
      <c r="AE63" s="16">
        <f>IF(节奏总纲!Q60&lt;D$13,0,求节点($C$18:$C$23,$F$18:$F$23,$Q63)*节奏总纲!X60)*$D$1</f>
        <v>9675.9436683353542</v>
      </c>
      <c r="AF63" s="16">
        <f>IF(节奏总纲!R60&lt;E$13,0,求节点($C$18:$C$23,$F$18:$F$23,$Q63)*节奏总纲!Y60)*$D$1</f>
        <v>7738.8316499229595</v>
      </c>
      <c r="AG63" s="16">
        <f>IF(节奏总纲!S60&lt;F$13,0,求节点($C$18:$C$23,$F$18:$F$23,$Q63)*节奏总纲!Z60)*$D$1</f>
        <v>5592.463753916958</v>
      </c>
      <c r="AH63" s="16">
        <f>IF(节奏总纲!T60&lt;G$13,0,求节点($C$18:$C$23,$F$18:$F$23,$Q63)*节奏总纲!AA60)*$D$1</f>
        <v>3119.1965068764239</v>
      </c>
      <c r="AI63" s="16">
        <f>SUM(AD$7:AD63)</f>
        <v>88779.455756732932</v>
      </c>
      <c r="AJ63" s="16">
        <f>SUM(AE$7:AE63)</f>
        <v>76877.855486462242</v>
      </c>
      <c r="AK63" s="16">
        <f>SUM(AF$7:AF63)</f>
        <v>62645.228962831898</v>
      </c>
      <c r="AL63" s="16">
        <f>SUM(AG$7:AG63)</f>
        <v>45672.987100815524</v>
      </c>
      <c r="AM63" s="16">
        <f>SUM(AH$7:AH63)</f>
        <v>25172.00815759445</v>
      </c>
      <c r="AO63" s="16">
        <v>57</v>
      </c>
      <c r="AP63" s="16">
        <f>IF(节奏总纲!P60&lt;C$13,0,求节点($C$18:$C$23,$H$18:$H$23,$Q63)*节奏总纲!W60)*$D$1</f>
        <v>220570.30438922829</v>
      </c>
      <c r="AQ63" s="16">
        <f>IF(节奏总纲!Q60&lt;D$13,0,求节点($C$18:$C$23,$H$18:$H$23,$Q63)*节奏总纲!X60)*$D$1</f>
        <v>192299.60867526438</v>
      </c>
      <c r="AR63" s="16">
        <f>IF(节奏总纲!R60&lt;E$13,0,求节点($C$18:$C$23,$H$18:$H$23,$Q63)*节奏总纲!Y60)*$D$1</f>
        <v>153801.46359822294</v>
      </c>
      <c r="AS63" s="16">
        <f>IF(节奏总纲!S60&lt;F$13,0,求节点($C$18:$C$23,$H$18:$H$23,$Q63)*节奏总纲!Z60)*$D$1</f>
        <v>111144.5692814629</v>
      </c>
      <c r="AT63" s="16">
        <f>IF(节奏总纲!T60&lt;G$13,0,求节点($C$18:$C$23,$H$18:$H$23,$Q63)*节奏总纲!AA60)*$D$1</f>
        <v>61990.880498457962</v>
      </c>
      <c r="AU63" s="16">
        <f>SUM(AP$7:AP63)</f>
        <v>1558161.3281341526</v>
      </c>
      <c r="AV63" s="16">
        <f>SUM(AQ$7:AQ63)</f>
        <v>1349173.3368970768</v>
      </c>
      <c r="AW63" s="16">
        <f>SUM(AR$7:AR63)</f>
        <v>1098825.8904896451</v>
      </c>
      <c r="AX63" s="16">
        <f>SUM(AS$7:AS63)</f>
        <v>800681.65703781147</v>
      </c>
      <c r="AY63" s="16">
        <f>SUM(AT$7:AT63)</f>
        <v>441124.47611558321</v>
      </c>
    </row>
    <row r="64" spans="10:51">
      <c r="J64" s="16">
        <v>58</v>
      </c>
      <c r="K64" s="16">
        <f>MAX(求节点(节奏总纲!$O$4:$O$163,节奏总纲!P$4:P$163,$J64)-INT(C$13),0)*$D$1*$D$2</f>
        <v>40.458283261142313</v>
      </c>
      <c r="L64" s="16">
        <f>MAX(求节点(节奏总纲!$O$4:$O$163,节奏总纲!Q$4:Q$163,$J64)-INT(D$13),0)*$D$1*$D$2</f>
        <v>35.351994900714836</v>
      </c>
      <c r="M64" s="16">
        <f>MAX(求节点(节奏总纲!$O$4:$O$163,节奏总纲!R$4:R$163,$J64)-INT(E$13),0)*$D$1*$D$2</f>
        <v>28.69617105532441</v>
      </c>
      <c r="N64" s="16">
        <f>MAX(求节点(节奏总纲!$O$4:$O$163,节奏总纲!S$4:S$163,$J64)-INT(F$13),0)*$D$1*$D$2</f>
        <v>21.086755518968513</v>
      </c>
      <c r="O64" s="16">
        <f>MAX(求节点(节奏总纲!$O$4:$O$163,节奏总纲!T$4:T$163,$J64)-INT(G$13),0)*$D$1*$D$2</f>
        <v>11.827770489079041</v>
      </c>
      <c r="Q64" s="16">
        <v>58</v>
      </c>
      <c r="R64" s="16">
        <f>IF(节奏总纲!P61&lt;C$13,0,求节点($C$18:$C$23,$E$18:$E$23,$Q64)*节奏总纲!W61)*$D$1</f>
        <v>1417811.4199780812</v>
      </c>
      <c r="S64" s="16">
        <f>IF(节奏总纲!Q61&lt;D$13,0,求节点($C$18:$C$23,$E$18:$E$23,$Q64)*节奏总纲!X61)*$D$1</f>
        <v>1196873.8626140347</v>
      </c>
      <c r="T64" s="16">
        <f>IF(节奏总纲!R61&lt;E$13,0,求节点($C$18:$C$23,$E$18:$E$23,$Q64)*节奏总纲!Y61)*$D$1</f>
        <v>987036.10578108975</v>
      </c>
      <c r="U64" s="16">
        <f>IF(节奏总纲!S61&lt;F$13,0,求节点($C$18:$C$23,$E$18:$E$23,$Q64)*节奏总纲!Z61)*$D$1</f>
        <v>724881.94088904629</v>
      </c>
      <c r="V64" s="16">
        <f>IF(节奏总纲!T61&lt;G$13,0,求节点($C$18:$C$23,$E$18:$E$23,$Q64)*节奏总纲!AA61)*$D$1</f>
        <v>395382.5668861405</v>
      </c>
      <c r="W64" s="16">
        <f>SUM(R$7:R64)</f>
        <v>11383822.82958262</v>
      </c>
      <c r="X64" s="16">
        <f>SUM(S$7:S64)</f>
        <v>9826691.2057707235</v>
      </c>
      <c r="Y64" s="16">
        <f>SUM(T$7:T64)</f>
        <v>8018255.3694735188</v>
      </c>
      <c r="Z64" s="16">
        <f>SUM(U$7:U64)</f>
        <v>5850433.2989005437</v>
      </c>
      <c r="AA64" s="16">
        <f>SUM(V$7:V64)</f>
        <v>3219995.0066075758</v>
      </c>
      <c r="AC64" s="16">
        <v>58</v>
      </c>
      <c r="AD64" s="16">
        <f>IF(节奏总纲!P61&lt;C$13,0,求节点($C$18:$C$23,$F$18:$F$23,$Q64)*节奏总纲!W61)*$D$1</f>
        <v>12131.171380126918</v>
      </c>
      <c r="AE64" s="16">
        <f>IF(节奏总纲!Q61&lt;D$13,0,求节点($C$18:$C$23,$F$18:$F$23,$Q64)*节奏总纲!X61)*$D$1</f>
        <v>10240.770911543228</v>
      </c>
      <c r="AF64" s="16">
        <f>IF(节奏总纲!R61&lt;E$13,0,求节点($C$18:$C$23,$F$18:$F$23,$Q64)*节奏总纲!Y61)*$D$1</f>
        <v>8445.3432867599513</v>
      </c>
      <c r="AG64" s="16">
        <f>IF(节奏总纲!S61&lt;F$13,0,求节点($C$18:$C$23,$F$18:$F$23,$Q64)*节奏总纲!Z61)*$D$1</f>
        <v>6202.282568312221</v>
      </c>
      <c r="AH64" s="16">
        <f>IF(节奏总纲!T61&lt;G$13,0,求节点($C$18:$C$23,$F$18:$F$23,$Q64)*节奏总纲!AA61)*$D$1</f>
        <v>3382.9983395707286</v>
      </c>
      <c r="AI64" s="16">
        <f>SUM(AD$7:AD64)</f>
        <v>100910.62713685985</v>
      </c>
      <c r="AJ64" s="16">
        <f>SUM(AE$7:AE64)</f>
        <v>87118.626398005465</v>
      </c>
      <c r="AK64" s="16">
        <f>SUM(AF$7:AF64)</f>
        <v>71090.572249591845</v>
      </c>
      <c r="AL64" s="16">
        <f>SUM(AG$7:AG64)</f>
        <v>51875.269669127745</v>
      </c>
      <c r="AM64" s="16">
        <f>SUM(AH$7:AH64)</f>
        <v>28555.006497165177</v>
      </c>
      <c r="AO64" s="16">
        <v>58</v>
      </c>
      <c r="AP64" s="16">
        <f>IF(节奏总纲!P61&lt;C$13,0,求节点($C$18:$C$23,$H$18:$H$23,$Q64)*节奏总纲!W61)*$D$1</f>
        <v>247146.91699828446</v>
      </c>
      <c r="AQ64" s="16">
        <f>IF(节奏总纲!Q61&lt;D$13,0,求节点($C$18:$C$23,$H$18:$H$23,$Q64)*节奏总纲!X61)*$D$1</f>
        <v>208634.01226198324</v>
      </c>
      <c r="AR64" s="16">
        <f>IF(节奏总纲!R61&lt;E$13,0,求节点($C$18:$C$23,$H$18:$H$23,$Q64)*节奏总纲!Y61)*$D$1</f>
        <v>172055.97801826152</v>
      </c>
      <c r="AS64" s="16">
        <f>IF(节奏总纲!S61&lt;F$13,0,求节点($C$18:$C$23,$H$18:$H$23,$Q64)*节奏总纲!Z61)*$D$1</f>
        <v>126358.36780129059</v>
      </c>
      <c r="AT64" s="16">
        <f>IF(节奏总纲!T61&lt;G$13,0,求节点($C$18:$C$23,$H$18:$H$23,$Q64)*节奏总纲!AA61)*$D$1</f>
        <v>68921.42429088935</v>
      </c>
      <c r="AU64" s="16">
        <f>SUM(AP$7:AP64)</f>
        <v>1805308.245132437</v>
      </c>
      <c r="AV64" s="16">
        <f>SUM(AQ$7:AQ64)</f>
        <v>1557807.34915906</v>
      </c>
      <c r="AW64" s="16">
        <f>SUM(AR$7:AR64)</f>
        <v>1270881.8685079066</v>
      </c>
      <c r="AX64" s="16">
        <f>SUM(AS$7:AS64)</f>
        <v>927040.02483910206</v>
      </c>
      <c r="AY64" s="16">
        <f>SUM(AT$7:AT64)</f>
        <v>510045.90040647256</v>
      </c>
    </row>
    <row r="65" spans="10:51">
      <c r="J65" s="16">
        <v>59</v>
      </c>
      <c r="K65" s="16">
        <f>MAX(求节点(节奏总纲!$O$4:$O$163,节奏总纲!P$4:P$163,$J65)-INT(C$13),0)*$D$1*$D$2</f>
        <v>45.256933750026846</v>
      </c>
      <c r="L65" s="16">
        <f>MAX(求节点(节奏总纲!$O$4:$O$163,节奏总纲!Q$4:Q$163,$J65)-INT(D$13),0)*$D$1*$D$2</f>
        <v>39.528435721523294</v>
      </c>
      <c r="M65" s="16">
        <f>MAX(求节点(节奏总纲!$O$4:$O$163,节奏总纲!R$4:R$163,$J65)-INT(E$13),0)*$D$1*$D$2</f>
        <v>32.073742816144076</v>
      </c>
      <c r="N65" s="16">
        <f>MAX(求节点(节奏总纲!$O$4:$O$163,节奏总纲!S$4:S$163,$J65)-INT(F$13),0)*$D$1*$D$2</f>
        <v>23.529199563888994</v>
      </c>
      <c r="O65" s="16">
        <f>MAX(求节点(节奏总纲!$O$4:$O$163,节奏总纲!T$4:T$163,$J65)-INT(G$13),0)*$D$1*$D$2</f>
        <v>13.204328014007778</v>
      </c>
      <c r="Q65" s="16">
        <v>59</v>
      </c>
      <c r="R65" s="16">
        <f>IF(节奏总纲!P62&lt;C$13,0,求节点($C$18:$C$23,$E$18:$E$23,$Q65)*节奏总纲!W62)*$D$1</f>
        <v>1559561.4088874743</v>
      </c>
      <c r="S65" s="16">
        <f>IF(节奏总纲!Q62&lt;D$13,0,求节点($C$18:$C$23,$E$18:$E$23,$Q65)*节奏总纲!X62)*$D$1</f>
        <v>1357343.2667627495</v>
      </c>
      <c r="T65" s="16">
        <f>IF(节奏总纲!R62&lt;E$13,0,求节点($C$18:$C$23,$E$18:$E$23,$Q65)*节奏总纲!Y62)*$D$1</f>
        <v>1097710.8222663903</v>
      </c>
      <c r="U65" s="16">
        <f>IF(节奏总纲!S62&lt;F$13,0,求节点($C$18:$C$23,$E$18:$E$23,$Q65)*节奏总纲!Z62)*$D$1</f>
        <v>793794.31459915591</v>
      </c>
      <c r="V65" s="16">
        <f>IF(节奏总纲!T62&lt;G$13,0,求节点($C$18:$C$23,$E$18:$E$23,$Q65)*节奏总纲!AA62)*$D$1</f>
        <v>447381.19560183946</v>
      </c>
      <c r="W65" s="16">
        <f>SUM(R$7:R65)</f>
        <v>12943384.238470094</v>
      </c>
      <c r="X65" s="16">
        <f>SUM(S$7:S65)</f>
        <v>11184034.472533474</v>
      </c>
      <c r="Y65" s="16">
        <f>SUM(T$7:T65)</f>
        <v>9115966.1917399094</v>
      </c>
      <c r="Z65" s="16">
        <f>SUM(U$7:U65)</f>
        <v>6644227.6134996992</v>
      </c>
      <c r="AA65" s="16">
        <f>SUM(V$7:V65)</f>
        <v>3667376.2022094154</v>
      </c>
      <c r="AC65" s="16">
        <v>59</v>
      </c>
      <c r="AD65" s="16">
        <f>IF(节奏总纲!P62&lt;C$13,0,求节点($C$18:$C$23,$F$18:$F$23,$Q65)*节奏总纲!W62)*$D$1</f>
        <v>13254.974315277323</v>
      </c>
      <c r="AE65" s="16">
        <f>IF(节奏总纲!Q62&lt;D$13,0,求节点($C$18:$C$23,$F$18:$F$23,$Q65)*节奏总纲!X62)*$D$1</f>
        <v>11536.288366348639</v>
      </c>
      <c r="AF65" s="16">
        <f>IF(节奏总纲!R62&lt;E$13,0,求节点($C$18:$C$23,$F$18:$F$23,$Q65)*节奏总纲!Y62)*$D$1</f>
        <v>9329.6286198325524</v>
      </c>
      <c r="AG65" s="16">
        <f>IF(节奏总纲!S62&lt;F$13,0,求节点($C$18:$C$23,$F$18:$F$23,$Q65)*节奏总纲!Z62)*$D$1</f>
        <v>6746.5911836910191</v>
      </c>
      <c r="AH65" s="16">
        <f>IF(节奏总纲!T62&lt;G$13,0,求节点($C$18:$C$23,$F$18:$F$23,$Q65)*节奏总纲!AA62)*$D$1</f>
        <v>3802.3679112903119</v>
      </c>
      <c r="AI65" s="16">
        <f>SUM(AD$7:AD65)</f>
        <v>114165.60145213717</v>
      </c>
      <c r="AJ65" s="16">
        <f>SUM(AE$7:AE65)</f>
        <v>98654.914764354107</v>
      </c>
      <c r="AK65" s="16">
        <f>SUM(AF$7:AF65)</f>
        <v>80420.2008694244</v>
      </c>
      <c r="AL65" s="16">
        <f>SUM(AG$7:AG65)</f>
        <v>58621.860852818761</v>
      </c>
      <c r="AM65" s="16">
        <f>SUM(AH$7:AH65)</f>
        <v>32357.374408455489</v>
      </c>
      <c r="AO65" s="16">
        <v>59</v>
      </c>
      <c r="AP65" s="16">
        <f>IF(节奏总纲!P62&lt;C$13,0,求节点($C$18:$C$23,$H$18:$H$23,$Q65)*节奏总纲!W62)*$D$1</f>
        <v>276402.26815974928</v>
      </c>
      <c r="AQ65" s="16">
        <f>IF(节奏总纲!Q62&lt;D$13,0,求节点($C$18:$C$23,$H$18:$H$23,$Q65)*节奏总纲!X62)*$D$1</f>
        <v>240562.99127856729</v>
      </c>
      <c r="AR65" s="16">
        <f>IF(节奏总纲!R62&lt;E$13,0,求节点($C$18:$C$23,$H$18:$H$23,$Q65)*节奏总纲!Y62)*$D$1</f>
        <v>194548.1334232126</v>
      </c>
      <c r="AS65" s="16">
        <f>IF(节奏总纲!S62&lt;F$13,0,求节点($C$18:$C$23,$H$18:$H$23,$Q65)*节奏总纲!Z62)*$D$1</f>
        <v>140684.77698741964</v>
      </c>
      <c r="AT65" s="16">
        <f>IF(节奏总纲!T62&lt;G$13,0,求节点($C$18:$C$23,$H$18:$H$23,$Q65)*节奏总纲!AA62)*$D$1</f>
        <v>79289.713435895232</v>
      </c>
      <c r="AU65" s="16">
        <f>SUM(AP$7:AP65)</f>
        <v>2081710.5132921862</v>
      </c>
      <c r="AV65" s="16">
        <f>SUM(AQ$7:AQ65)</f>
        <v>1798370.3404376274</v>
      </c>
      <c r="AW65" s="16">
        <f>SUM(AR$7:AR65)</f>
        <v>1465430.0019311192</v>
      </c>
      <c r="AX65" s="16">
        <f>SUM(AS$7:AS65)</f>
        <v>1067724.8018265218</v>
      </c>
      <c r="AY65" s="16">
        <f>SUM(AT$7:AT65)</f>
        <v>589335.61384236778</v>
      </c>
    </row>
    <row r="66" spans="10:51">
      <c r="J66" s="16">
        <v>60</v>
      </c>
      <c r="K66" s="16">
        <f>MAX(求节点(节奏总纲!$O$4:$O$163,节奏总纲!P$4:P$163,$J66)-INT(C$13),0)*$D$1*$D$2</f>
        <v>50.400000000000006</v>
      </c>
      <c r="L66" s="16">
        <f>MAX(求节点(节奏总纲!$O$4:$O$163,节奏总纲!Q$4:Q$163,$J66)-INT(D$13),0)*$D$1*$D$2</f>
        <v>43.907400000000003</v>
      </c>
      <c r="M66" s="16">
        <f>MAX(求节点(节奏总纲!$O$4:$O$163,节奏总纲!R$4:R$163,$J66)-INT(E$13),0)*$D$1*$D$2</f>
        <v>35.660879999999999</v>
      </c>
      <c r="N66" s="16">
        <f>MAX(求节点(节奏总纲!$O$4:$O$163,节奏总纲!S$4:S$163,$J66)-INT(F$13),0)*$D$1*$D$2</f>
        <v>26.172480000000004</v>
      </c>
      <c r="O66" s="16">
        <f>MAX(求节点(节奏总纲!$O$4:$O$163,节奏总纲!T$4:T$163,$J66)-INT(G$13),0)*$D$1*$D$2</f>
        <v>14.731560000000002</v>
      </c>
      <c r="Q66" s="16">
        <v>60</v>
      </c>
      <c r="R66" s="16">
        <f>IF(节奏总纲!P63&lt;C$13,0,求节点($C$18:$C$23,$E$18:$E$23,$Q66)*节奏总纲!W63)*$D$1</f>
        <v>1714355.4166577193</v>
      </c>
      <c r="S66" s="16">
        <f>IF(节奏总纲!Q63&lt;D$13,0,求节点($C$18:$C$23,$E$18:$E$23,$Q66)*节奏总纲!X63)*$D$1</f>
        <v>1459654.7594922357</v>
      </c>
      <c r="T66" s="16">
        <f>IF(节奏总纲!R63&lt;E$13,0,求节点($C$18:$C$23,$E$18:$E$23,$Q66)*节奏总纲!Y63)*$D$1</f>
        <v>1195712.3946186414</v>
      </c>
      <c r="U66" s="16">
        <f>IF(节奏总纲!S63&lt;F$13,0,求节点($C$18:$C$23,$E$18:$E$23,$Q66)*节奏总纲!Z63)*$D$1</f>
        <v>881093.47870366997</v>
      </c>
      <c r="V66" s="16">
        <f>IF(节奏总纲!T63&lt;G$13,0,求节点($C$18:$C$23,$E$18:$E$23,$Q66)*节奏总纲!AA63)*$D$1</f>
        <v>509077.32866407547</v>
      </c>
      <c r="W66" s="16">
        <f>SUM(R$7:R66)</f>
        <v>14657739.655127814</v>
      </c>
      <c r="X66" s="16">
        <f>SUM(S$7:S66)</f>
        <v>12643689.232025709</v>
      </c>
      <c r="Y66" s="16">
        <f>SUM(T$7:T66)</f>
        <v>10311678.586358551</v>
      </c>
      <c r="Z66" s="16">
        <f>SUM(U$7:U66)</f>
        <v>7525321.0922033694</v>
      </c>
      <c r="AA66" s="16">
        <f>SUM(V$7:V66)</f>
        <v>4176453.530873491</v>
      </c>
      <c r="AC66" s="16">
        <v>60</v>
      </c>
      <c r="AD66" s="16">
        <f>IF(节奏总纲!P63&lt;C$13,0,求节点($C$18:$C$23,$F$18:$F$23,$Q66)*节奏总纲!W63)*$D$1</f>
        <v>14477.602826889362</v>
      </c>
      <c r="AE66" s="16">
        <f>IF(节奏总纲!Q63&lt;D$13,0,求节点($C$18:$C$23,$F$18:$F$23,$Q66)*节奏总纲!X63)*$D$1</f>
        <v>12326.674893066524</v>
      </c>
      <c r="AF66" s="16">
        <f>IF(节奏总纲!R63&lt;E$13,0,求节点($C$18:$C$23,$F$18:$F$23,$Q66)*节奏总纲!Y63)*$D$1</f>
        <v>10097.701431262631</v>
      </c>
      <c r="AG66" s="16">
        <f>IF(节奏总纲!S63&lt;F$13,0,求节点($C$18:$C$23,$F$18:$F$23,$Q66)*节奏总纲!Z63)*$D$1</f>
        <v>7440.7682993198541</v>
      </c>
      <c r="AH66" s="16">
        <f>IF(节奏总纲!T63&lt;G$13,0,求节点($C$18:$C$23,$F$18:$F$23,$Q66)*节奏总纲!AA63)*$D$1</f>
        <v>4299.11983300474</v>
      </c>
      <c r="AI66" s="16">
        <f>SUM(AD$7:AD66)</f>
        <v>128643.20427902653</v>
      </c>
      <c r="AJ66" s="16">
        <f>SUM(AE$7:AE66)</f>
        <v>110981.58965742063</v>
      </c>
      <c r="AK66" s="16">
        <f>SUM(AF$7:AF66)</f>
        <v>90517.902300687027</v>
      </c>
      <c r="AL66" s="16">
        <f>SUM(AG$7:AG66)</f>
        <v>66062.629152138616</v>
      </c>
      <c r="AM66" s="16">
        <f>SUM(AH$7:AH66)</f>
        <v>36656.494241460226</v>
      </c>
      <c r="AO66" s="16">
        <v>60</v>
      </c>
      <c r="AP66" s="16">
        <f>IF(节奏总纲!P63&lt;C$13,0,求节点($C$18:$C$23,$H$18:$H$23,$Q66)*节奏总纲!W63)*$D$1</f>
        <v>308583.97499838937</v>
      </c>
      <c r="AQ66" s="16">
        <f>IF(节奏总纲!Q63&lt;D$13,0,求节点($C$18:$C$23,$H$18:$H$23,$Q66)*节奏总纲!X63)*$D$1</f>
        <v>262737.8567086024</v>
      </c>
      <c r="AR66" s="16">
        <f>IF(节奏总纲!R63&lt;E$13,0,求节点($C$18:$C$23,$H$18:$H$23,$Q66)*节奏总纲!Y63)*$D$1</f>
        <v>215228.23103135545</v>
      </c>
      <c r="AS66" s="16">
        <f>IF(节奏总纲!S63&lt;F$13,0,求节点($C$18:$C$23,$H$18:$H$23,$Q66)*节奏总纲!Z63)*$D$1</f>
        <v>158596.82616666061</v>
      </c>
      <c r="AT66" s="16">
        <f>IF(节奏总纲!T63&lt;G$13,0,求节点($C$18:$C$23,$H$18:$H$23,$Q66)*节奏总纲!AA63)*$D$1</f>
        <v>91633.919159533572</v>
      </c>
      <c r="AU66" s="16">
        <f>SUM(AP$7:AP66)</f>
        <v>2390294.4882905753</v>
      </c>
      <c r="AV66" s="16">
        <f>SUM(AQ$7:AQ66)</f>
        <v>2061108.1971462299</v>
      </c>
      <c r="AW66" s="16">
        <f>SUM(AR$7:AR66)</f>
        <v>1680658.2329624747</v>
      </c>
      <c r="AX66" s="16">
        <f>SUM(AS$7:AS66)</f>
        <v>1226321.6279931823</v>
      </c>
      <c r="AY66" s="16">
        <f>SUM(AT$7:AT66)</f>
        <v>680969.53300190135</v>
      </c>
    </row>
    <row r="67" spans="10:51">
      <c r="J67" s="16">
        <v>61</v>
      </c>
      <c r="K67" s="16">
        <f>MAX(求节点(节奏总纲!$O$4:$O$163,节奏总纲!P$4:P$163,$J67)-INT(C$13),0)*$D$1*$D$2</f>
        <v>55.912201922787283</v>
      </c>
      <c r="L67" s="16">
        <f>MAX(求节点(节奏总纲!$O$4:$O$163,节奏总纲!Q$4:Q$163,$J67)-INT(D$13),0)*$D$1*$D$2</f>
        <v>48.716167846864295</v>
      </c>
      <c r="M67" s="16">
        <f>MAX(求节点(节奏总纲!$O$4:$O$163,节奏总纲!R$4:R$163,$J67)-INT(E$13),0)*$D$1*$D$2</f>
        <v>39.573440924794411</v>
      </c>
      <c r="N67" s="16">
        <f>MAX(求节点(节奏总纲!$O$4:$O$163,节奏总纲!S$4:S$163,$J67)-INT(F$13),0)*$D$1*$D$2</f>
        <v>29.075679642156729</v>
      </c>
      <c r="O67" s="16">
        <f>MAX(求节点(节奏总纲!$O$4:$O$163,节奏总纲!T$4:T$163,$J67)-INT(G$13),0)*$D$1*$D$2</f>
        <v>16.322538557608311</v>
      </c>
      <c r="Q67" s="16">
        <v>61</v>
      </c>
      <c r="R67" s="16">
        <f>IF(节奏总纲!P64&lt;C$13,0,求节点($C$18:$C$23,$E$18:$E$23,$Q67)*节奏总纲!W64)*$D$1</f>
        <v>1883335.6569523206</v>
      </c>
      <c r="S67" s="16">
        <f>IF(节奏总纲!Q64&lt;D$13,0,求节点($C$18:$C$23,$E$18:$E$23,$Q67)*节奏总纲!X64)*$D$1</f>
        <v>1642995.6810119655</v>
      </c>
      <c r="T67" s="16">
        <f>IF(节奏总纲!R64&lt;E$13,0,求节点($C$18:$C$23,$E$18:$E$23,$Q67)*节奏总纲!Y64)*$D$1</f>
        <v>1336791.6493047583</v>
      </c>
      <c r="U67" s="16">
        <f>IF(节奏总纲!S64&lt;F$13,0,求节点($C$18:$C$23,$E$18:$E$23,$Q67)*节奏总纲!Z64)*$D$1</f>
        <v>991926.54440354859</v>
      </c>
      <c r="V67" s="16">
        <f>IF(节奏总纲!T64&lt;G$13,0,求节点($C$18:$C$23,$E$18:$E$23,$Q67)*节奏总纲!AA64)*$D$1</f>
        <v>543584.34051617153</v>
      </c>
      <c r="W67" s="16">
        <f>SUM(R$7:R67)</f>
        <v>16541075.312080134</v>
      </c>
      <c r="X67" s="16">
        <f>SUM(S$7:S67)</f>
        <v>14286684.913037675</v>
      </c>
      <c r="Y67" s="16">
        <f>SUM(T$7:T67)</f>
        <v>11648470.23566331</v>
      </c>
      <c r="Z67" s="16">
        <f>SUM(U$7:U67)</f>
        <v>8517247.6366069186</v>
      </c>
      <c r="AA67" s="16">
        <f>SUM(V$7:V67)</f>
        <v>4720037.8713896628</v>
      </c>
      <c r="AC67" s="16">
        <v>61</v>
      </c>
      <c r="AD67" s="16">
        <f>IF(节奏总纲!P64&lt;C$13,0,求节点($C$18:$C$23,$F$18:$F$23,$Q67)*节奏总纲!W64)*$D$1</f>
        <v>15807.453830514154</v>
      </c>
      <c r="AE67" s="16">
        <f>IF(节奏总纲!Q64&lt;D$13,0,求节点($C$18:$C$23,$F$18:$F$23,$Q67)*节奏总纲!X64)*$D$1</f>
        <v>13790.20159017162</v>
      </c>
      <c r="AF67" s="16">
        <f>IF(节奏总纲!R64&lt;E$13,0,求节点($C$18:$C$23,$F$18:$F$23,$Q67)*节奏总纲!Y64)*$D$1</f>
        <v>11220.130728898959</v>
      </c>
      <c r="AG67" s="16">
        <f>IF(节奏总纲!S64&lt;F$13,0,求节点($C$18:$C$23,$F$18:$F$23,$Q67)*节奏总纲!Z64)*$D$1</f>
        <v>8325.5648009628821</v>
      </c>
      <c r="AH67" s="16">
        <f>IF(节奏总纲!T64&lt;G$13,0,求节点($C$18:$C$23,$F$18:$F$23,$Q67)*节奏总纲!AA64)*$D$1</f>
        <v>4562.4816447243657</v>
      </c>
      <c r="AI67" s="16">
        <f>SUM(AD$7:AD67)</f>
        <v>144450.65810954067</v>
      </c>
      <c r="AJ67" s="16">
        <f>SUM(AE$7:AE67)</f>
        <v>124771.79124759225</v>
      </c>
      <c r="AK67" s="16">
        <f>SUM(AF$7:AF67)</f>
        <v>101738.03302958599</v>
      </c>
      <c r="AL67" s="16">
        <f>SUM(AG$7:AG67)</f>
        <v>74388.193953101494</v>
      </c>
      <c r="AM67" s="16">
        <f>SUM(AH$7:AH67)</f>
        <v>41218.975886184591</v>
      </c>
      <c r="AO67" s="16">
        <v>61</v>
      </c>
      <c r="AP67" s="16">
        <f>IF(节奏总纲!P64&lt;C$13,0,求节点($C$18:$C$23,$H$18:$H$23,$Q67)*节奏总纲!W64)*$D$1</f>
        <v>343961.3999819262</v>
      </c>
      <c r="AQ67" s="16">
        <f>IF(节奏总纲!Q64&lt;D$13,0,求节点($C$18:$C$23,$H$18:$H$23,$Q67)*节奏总纲!X64)*$D$1</f>
        <v>300067.11364433158</v>
      </c>
      <c r="AR67" s="16">
        <f>IF(节奏总纲!R64&lt;E$13,0,求节点($C$18:$C$23,$H$18:$H$23,$Q67)*节奏总纲!Y64)*$D$1</f>
        <v>244143.80170717146</v>
      </c>
      <c r="AS67" s="16">
        <f>IF(节奏总纲!S64&lt;F$13,0,求节点($C$18:$C$23,$H$18:$H$23,$Q67)*节奏总纲!Z64)*$D$1</f>
        <v>181159.65767057979</v>
      </c>
      <c r="AT67" s="16">
        <f>IF(节奏总纲!T64&lt;G$13,0,求节点($C$18:$C$23,$H$18:$H$23,$Q67)*节奏总纲!AA64)*$D$1</f>
        <v>99277.061994758347</v>
      </c>
      <c r="AU67" s="16">
        <f>SUM(AP$7:AP67)</f>
        <v>2734255.8882725015</v>
      </c>
      <c r="AV67" s="16">
        <f>SUM(AQ$7:AQ67)</f>
        <v>2361175.3107905616</v>
      </c>
      <c r="AW67" s="16">
        <f>SUM(AR$7:AR67)</f>
        <v>1924802.0346696461</v>
      </c>
      <c r="AX67" s="16">
        <f>SUM(AS$7:AS67)</f>
        <v>1407481.2856637621</v>
      </c>
      <c r="AY67" s="16">
        <f>SUM(AT$7:AT67)</f>
        <v>780246.59499665967</v>
      </c>
    </row>
    <row r="68" spans="10:51">
      <c r="J68" s="16">
        <v>62</v>
      </c>
      <c r="K68" s="16">
        <f>MAX(求节点(节奏总纲!$O$4:$O$163,节奏总纲!P$4:P$163,$J68)-INT(C$13),0)*$D$1*$D$2</f>
        <v>61.820033663772257</v>
      </c>
      <c r="L68" s="16">
        <f>MAX(求节点(节奏总纲!$O$4:$O$163,节奏总纲!Q$4:Q$163,$J68)-INT(D$13),0)*$D$1*$D$2</f>
        <v>53.811561173025055</v>
      </c>
      <c r="M68" s="16">
        <f>MAX(求节点(节奏总纲!$O$4:$O$163,节奏总纲!R$4:R$163,$J68)-INT(E$13),0)*$D$1*$D$2</f>
        <v>43.810329911377437</v>
      </c>
      <c r="N68" s="16">
        <f>MAX(求节点(节奏总纲!$O$4:$O$163,节奏总纲!S$4:S$163,$J68)-INT(F$13),0)*$D$1*$D$2</f>
        <v>32.215755569122749</v>
      </c>
      <c r="O68" s="16">
        <f>MAX(求节点(节奏总纲!$O$4:$O$163,节奏总纲!T$4:T$163,$J68)-INT(G$13),0)*$D$1*$D$2</f>
        <v>18.148935806256858</v>
      </c>
      <c r="Q68" s="16">
        <v>62</v>
      </c>
      <c r="R68" s="16">
        <f>IF(节奏总纲!P65&lt;C$13,0,求节点($C$18:$C$23,$E$18:$E$23,$Q68)*节奏总纲!W65)*$D$1</f>
        <v>2067741.1093447441</v>
      </c>
      <c r="S68" s="16">
        <f>IF(节奏总纲!Q65&lt;D$13,0,求节点($C$18:$C$23,$E$18:$E$23,$Q68)*节奏总纲!X65)*$D$1</f>
        <v>1783387.6641562651</v>
      </c>
      <c r="T68" s="16">
        <f>IF(节奏总纲!R65&lt;E$13,0,求节点($C$18:$C$23,$E$18:$E$23,$Q68)*节奏总纲!Y65)*$D$1</f>
        <v>1482911.1453040598</v>
      </c>
      <c r="U68" s="16">
        <f>IF(节奏总纲!S65&lt;F$13,0,求节点($C$18:$C$23,$E$18:$E$23,$Q68)*节奏总纲!Z65)*$D$1</f>
        <v>1099026.5744381049</v>
      </c>
      <c r="V68" s="16">
        <f>IF(节奏总纲!T65&lt;G$13,0,求节点($C$18:$C$23,$E$18:$E$23,$Q68)*节奏总纲!AA65)*$D$1</f>
        <v>639239.03702699207</v>
      </c>
      <c r="W68" s="16">
        <f>SUM(R$7:R68)</f>
        <v>18608816.421424877</v>
      </c>
      <c r="X68" s="16">
        <f>SUM(S$7:S68)</f>
        <v>16070072.57719394</v>
      </c>
      <c r="Y68" s="16">
        <f>SUM(T$7:T68)</f>
        <v>13131381.380967369</v>
      </c>
      <c r="Z68" s="16">
        <f>SUM(U$7:U68)</f>
        <v>9616274.2110450231</v>
      </c>
      <c r="AA68" s="16">
        <f>SUM(V$7:V68)</f>
        <v>5359276.9084166549</v>
      </c>
      <c r="AC68" s="16">
        <v>62</v>
      </c>
      <c r="AD68" s="16">
        <f>IF(节奏总纲!P65&lt;C$13,0,求节点($C$18:$C$23,$F$18:$F$23,$Q68)*节奏总纲!W65)*$D$1</f>
        <v>17253.620500077406</v>
      </c>
      <c r="AE68" s="16">
        <f>IF(节奏总纲!Q65&lt;D$13,0,求节点($C$18:$C$23,$F$18:$F$23,$Q68)*节奏总纲!X65)*$D$1</f>
        <v>14880.921902076274</v>
      </c>
      <c r="AF68" s="16">
        <f>IF(节奏总纲!R65&lt;E$13,0,求节点($C$18:$C$23,$F$18:$F$23,$Q68)*节奏总纲!Y65)*$D$1</f>
        <v>12373.689346689695</v>
      </c>
      <c r="AG68" s="16">
        <f>IF(节奏总纲!S65&lt;F$13,0,求节点($C$18:$C$23,$F$18:$F$23,$Q68)*节奏总纲!Z65)*$D$1</f>
        <v>9170.4843266689932</v>
      </c>
      <c r="AH68" s="16">
        <f>IF(节奏总纲!T65&lt;G$13,0,求节点($C$18:$C$23,$F$18:$F$23,$Q68)*节奏总纲!AA65)*$D$1</f>
        <v>5333.9306859327944</v>
      </c>
      <c r="AI68" s="16">
        <f>SUM(AD$7:AD68)</f>
        <v>161704.27860961808</v>
      </c>
      <c r="AJ68" s="16">
        <f>SUM(AE$7:AE68)</f>
        <v>139652.71314966853</v>
      </c>
      <c r="AK68" s="16">
        <f>SUM(AF$7:AF68)</f>
        <v>114111.72237627569</v>
      </c>
      <c r="AL68" s="16">
        <f>SUM(AG$7:AG68)</f>
        <v>83558.67827977048</v>
      </c>
      <c r="AM68" s="16">
        <f>SUM(AH$7:AH68)</f>
        <v>46552.906572117383</v>
      </c>
      <c r="AO68" s="16">
        <v>62</v>
      </c>
      <c r="AP68" s="16">
        <f>IF(节奏总纲!P65&lt;C$13,0,求节点($C$18:$C$23,$H$18:$H$23,$Q68)*节奏总纲!W65)*$D$1</f>
        <v>382827.49681582686</v>
      </c>
      <c r="AQ68" s="16">
        <f>IF(节奏总纲!Q65&lt;D$13,0,求节点($C$18:$C$23,$H$18:$H$23,$Q68)*节奏总纲!X65)*$D$1</f>
        <v>330181.48753521708</v>
      </c>
      <c r="AR68" s="16">
        <f>IF(节奏总纲!R65&lt;E$13,0,求节点($C$18:$C$23,$H$18:$H$23,$Q68)*节奏总纲!Y65)*$D$1</f>
        <v>274550.40633058024</v>
      </c>
      <c r="AS68" s="16">
        <f>IF(节奏总纲!S65&lt;F$13,0,求节点($C$18:$C$23,$H$18:$H$23,$Q68)*节奏总纲!Z65)*$D$1</f>
        <v>203476.9200673977</v>
      </c>
      <c r="AT68" s="16">
        <f>IF(节奏总纲!T65&lt;G$13,0,求节点($C$18:$C$23,$H$18:$H$23,$Q68)*节奏总纲!AA65)*$D$1</f>
        <v>118350.54171242594</v>
      </c>
      <c r="AU68" s="16">
        <f>SUM(AP$7:AP68)</f>
        <v>3117083.3850883283</v>
      </c>
      <c r="AV68" s="16">
        <f>SUM(AQ$7:AQ68)</f>
        <v>2691356.7983257789</v>
      </c>
      <c r="AW68" s="16">
        <f>SUM(AR$7:AR68)</f>
        <v>2199352.4410002264</v>
      </c>
      <c r="AX68" s="16">
        <f>SUM(AS$7:AS68)</f>
        <v>1610958.2057311598</v>
      </c>
      <c r="AY68" s="16">
        <f>SUM(AT$7:AT68)</f>
        <v>898597.13670908567</v>
      </c>
    </row>
    <row r="69" spans="10:51">
      <c r="J69" s="16">
        <v>63</v>
      </c>
      <c r="K69" s="16">
        <f>MAX(求节点(节奏总纲!$O$4:$O$163,节奏总纲!P$4:P$163,$J69)-INT(C$13),0)*$D$1*$D$2</f>
        <v>68.15189094488953</v>
      </c>
      <c r="L69" s="16">
        <f>MAX(求节点(节奏总纲!$O$4:$O$163,节奏总纲!Q$4:Q$163,$J69)-INT(D$13),0)*$D$1*$D$2</f>
        <v>59.364095016502688</v>
      </c>
      <c r="M69" s="16">
        <f>MAX(求节点(节奏总纲!$O$4:$O$163,节奏总纲!R$4:R$163,$J69)-INT(E$13),0)*$D$1*$D$2</f>
        <v>48.335853705438502</v>
      </c>
      <c r="N69" s="16">
        <f>MAX(求节点(节奏总纲!$O$4:$O$163,节奏总纲!S$4:S$163,$J69)-INT(F$13),0)*$D$1*$D$2</f>
        <v>35.61370377508274</v>
      </c>
      <c r="O69" s="16">
        <f>MAX(求节点(节奏总纲!$O$4:$O$163,节奏总纲!T$4:T$163,$J69)-INT(G$13),0)*$D$1*$D$2</f>
        <v>20.040081777718768</v>
      </c>
      <c r="Q69" s="16">
        <v>63</v>
      </c>
      <c r="R69" s="16">
        <f>IF(节奏总纲!P66&lt;C$13,0,求节点($C$18:$C$23,$E$18:$E$23,$Q69)*节奏总纲!W66)*$D$1</f>
        <v>2268915.5257336912</v>
      </c>
      <c r="S69" s="16">
        <f>IF(节奏总纲!Q66&lt;D$13,0,求节点($C$18:$C$23,$E$18:$E$23,$Q69)*节奏总纲!X66)*$D$1</f>
        <v>1989657.9605794884</v>
      </c>
      <c r="T69" s="16">
        <f>IF(节奏总纲!R66&lt;E$13,0,求节点($C$18:$C$23,$E$18:$E$23,$Q69)*节奏总纲!Y66)*$D$1</f>
        <v>1621646.0262052147</v>
      </c>
      <c r="U69" s="16">
        <f>IF(节奏总纲!S66&lt;F$13,0,求节点($C$18:$C$23,$E$18:$E$23,$Q69)*节奏总纲!Z66)*$D$1</f>
        <v>1217598.1071356658</v>
      </c>
      <c r="V69" s="16">
        <f>IF(节奏总纲!T66&lt;G$13,0,求节点($C$18:$C$23,$E$18:$E$23,$Q69)*节奏总纲!AA66)*$D$1</f>
        <v>677660.63977385161</v>
      </c>
      <c r="W69" s="16">
        <f>SUM(R$7:R69)</f>
        <v>20877731.947158568</v>
      </c>
      <c r="X69" s="16">
        <f>SUM(S$7:S69)</f>
        <v>18059730.53777343</v>
      </c>
      <c r="Y69" s="16">
        <f>SUM(T$7:T69)</f>
        <v>14753027.407172583</v>
      </c>
      <c r="Z69" s="16">
        <f>SUM(U$7:U69)</f>
        <v>10833872.31818069</v>
      </c>
      <c r="AA69" s="16">
        <f>SUM(V$7:V69)</f>
        <v>6036937.5481905062</v>
      </c>
      <c r="AC69" s="16">
        <v>63</v>
      </c>
      <c r="AD69" s="16">
        <f>IF(节奏总纲!P66&lt;C$13,0,求节点($C$18:$C$23,$F$18:$F$23,$Q69)*节奏总纲!W66)*$D$1</f>
        <v>18825.948957506869</v>
      </c>
      <c r="AE69" s="16">
        <f>IF(节奏总纲!Q66&lt;D$13,0,求节点($C$18:$C$23,$F$18:$F$23,$Q69)*节奏总纲!X66)*$D$1</f>
        <v>16508.855787680441</v>
      </c>
      <c r="AF69" s="16">
        <f>IF(节奏总纲!R66&lt;E$13,0,求节点($C$18:$C$23,$F$18:$F$23,$Q69)*节奏总纲!Y66)*$D$1</f>
        <v>13455.338010704985</v>
      </c>
      <c r="AG69" s="16">
        <f>IF(节奏总纲!S66&lt;F$13,0,求节点($C$18:$C$23,$F$18:$F$23,$Q69)*节奏总纲!Z66)*$D$1</f>
        <v>10102.81764821574</v>
      </c>
      <c r="AH69" s="16">
        <f>IF(节奏总纲!T66&lt;G$13,0,求节点($C$18:$C$23,$F$18:$F$23,$Q69)*节奏总纲!AA66)*$D$1</f>
        <v>5622.7763749682126</v>
      </c>
      <c r="AI69" s="16">
        <f>SUM(AD$7:AD69)</f>
        <v>180530.22756712494</v>
      </c>
      <c r="AJ69" s="16">
        <f>SUM(AE$7:AE69)</f>
        <v>156161.56893734896</v>
      </c>
      <c r="AK69" s="16">
        <f>SUM(AF$7:AF69)</f>
        <v>127567.06038698068</v>
      </c>
      <c r="AL69" s="16">
        <f>SUM(AG$7:AG69)</f>
        <v>93661.495927986223</v>
      </c>
      <c r="AM69" s="16">
        <f>SUM(AH$7:AH69)</f>
        <v>52175.682947085596</v>
      </c>
      <c r="AO69" s="16">
        <v>63</v>
      </c>
      <c r="AP69" s="16">
        <f>IF(节奏总纲!P66&lt;C$13,0,求节点($C$18:$C$23,$H$18:$H$23,$Q69)*节奏总纲!W66)*$D$1</f>
        <v>425500.80929108098</v>
      </c>
      <c r="AQ69" s="16">
        <f>IF(节奏总纲!Q66&lt;D$13,0,求节点($C$18:$C$23,$H$18:$H$23,$Q69)*节奏总纲!X66)*$D$1</f>
        <v>373130.27428169752</v>
      </c>
      <c r="AR69" s="16">
        <f>IF(节奏总纲!R66&lt;E$13,0,求节点($C$18:$C$23,$H$18:$H$23,$Q69)*节奏总纲!Y66)*$D$1</f>
        <v>304115.19896090351</v>
      </c>
      <c r="AS69" s="16">
        <f>IF(节奏总纲!S66&lt;F$13,0,求节点($C$18:$C$23,$H$18:$H$23,$Q69)*节奏总纲!Z66)*$D$1</f>
        <v>228342.11944051183</v>
      </c>
      <c r="AT69" s="16">
        <f>IF(节奏总纲!T66&lt;G$13,0,求节点($C$18:$C$23,$H$18:$H$23,$Q69)*节奏总纲!AA66)*$D$1</f>
        <v>127085.00928224044</v>
      </c>
      <c r="AU69" s="16">
        <f>SUM(AP$7:AP69)</f>
        <v>3542584.1943794093</v>
      </c>
      <c r="AV69" s="16">
        <f>SUM(AQ$7:AQ69)</f>
        <v>3064487.0726074763</v>
      </c>
      <c r="AW69" s="16">
        <f>SUM(AR$7:AR69)</f>
        <v>2503467.63996113</v>
      </c>
      <c r="AX69" s="16">
        <f>SUM(AS$7:AS69)</f>
        <v>1839300.3251716716</v>
      </c>
      <c r="AY69" s="16">
        <f>SUM(AT$7:AT69)</f>
        <v>1025682.1459913261</v>
      </c>
    </row>
    <row r="70" spans="10:51">
      <c r="J70" s="16">
        <v>64</v>
      </c>
      <c r="K70" s="16">
        <f>MAX(求节点(节奏总纲!$O$4:$O$163,节奏总纲!P$4:P$163,$J70)-INT(C$13),0)*$D$1*$D$2</f>
        <v>74.938207547358246</v>
      </c>
      <c r="L70" s="16">
        <f>MAX(求节点(节奏总纲!$O$4:$O$163,节奏总纲!Q$4:Q$163,$J70)-INT(D$13),0)*$D$1*$D$2</f>
        <v>65.279908868088</v>
      </c>
      <c r="M70" s="16">
        <f>MAX(求节点(节奏总纲!$O$4:$O$163,节奏总纲!R$4:R$163,$J70)-INT(E$13),0)*$D$1*$D$2</f>
        <v>53.238320849190657</v>
      </c>
      <c r="N70" s="16">
        <f>MAX(求节点(节奏总纲!$O$4:$O$163,节奏总纲!S$4:S$163,$J70)-INT(F$13),0)*$D$1*$D$2</f>
        <v>39.262406934060984</v>
      </c>
      <c r="O70" s="16">
        <f>MAX(求节点(节奏总纲!$O$4:$O$163,节奏总纲!T$4:T$163,$J70)-INT(G$13),0)*$D$1*$D$2</f>
        <v>22.010315141564401</v>
      </c>
      <c r="Q70" s="16">
        <v>64</v>
      </c>
      <c r="R70" s="16">
        <f>IF(节奏总纲!P67&lt;C$13,0,求节点($C$18:$C$23,$E$18:$E$23,$Q70)*节奏总纲!W67)*$D$1</f>
        <v>2488316.0875718575</v>
      </c>
      <c r="S70" s="16">
        <f>IF(节奏总纲!Q67&lt;D$13,0,求节点($C$18:$C$23,$E$18:$E$23,$Q70)*节奏总纲!X67)*$D$1</f>
        <v>2169131.7455812837</v>
      </c>
      <c r="T70" s="16">
        <f>IF(节奏总纲!R67&lt;E$13,0,求节点($C$18:$C$23,$E$18:$E$23,$Q70)*节奏总纲!Y67)*$D$1</f>
        <v>1797571.2860424565</v>
      </c>
      <c r="U70" s="16">
        <f>IF(节奏总纲!S67&lt;F$13,0,求节点($C$18:$C$23,$E$18:$E$23,$Q70)*节奏总纲!Z67)*$D$1</f>
        <v>1337857.82495869</v>
      </c>
      <c r="V70" s="16">
        <f>IF(节奏总纲!T67&lt;G$13,0,求节点($C$18:$C$23,$E$18:$E$23,$Q70)*节奏总纲!AA67)*$D$1</f>
        <v>722418.90007673146</v>
      </c>
      <c r="W70" s="16">
        <f>SUM(R$7:R70)</f>
        <v>23366048.034730427</v>
      </c>
      <c r="X70" s="16">
        <f>SUM(S$7:S70)</f>
        <v>20228862.283354715</v>
      </c>
      <c r="Y70" s="16">
        <f>SUM(T$7:T70)</f>
        <v>16550598.693215039</v>
      </c>
      <c r="Z70" s="16">
        <f>SUM(U$7:U70)</f>
        <v>12171730.143139379</v>
      </c>
      <c r="AA70" s="16">
        <f>SUM(V$7:V70)</f>
        <v>6759356.4482672373</v>
      </c>
      <c r="AC70" s="16">
        <v>64</v>
      </c>
      <c r="AD70" s="16">
        <f>IF(节奏总纲!P67&lt;C$13,0,求节点($C$18:$C$23,$F$18:$F$23,$Q70)*节奏总纲!W67)*$D$1</f>
        <v>20535.099513255322</v>
      </c>
      <c r="AE70" s="16">
        <f>IF(节奏总纲!Q67&lt;D$13,0,求节点($C$18:$C$23,$F$18:$F$23,$Q70)*节奏总纲!X67)*$D$1</f>
        <v>17900.995968859832</v>
      </c>
      <c r="AF70" s="16">
        <f>IF(节奏总纲!R67&lt;E$13,0,求节点($C$18:$C$23,$F$18:$F$23,$Q70)*节奏总纲!Y67)*$D$1</f>
        <v>14834.652810155178</v>
      </c>
      <c r="AG70" s="16">
        <f>IF(节奏总纲!S67&lt;F$13,0,求节点($C$18:$C$23,$F$18:$F$23,$Q70)*节奏总纲!Z67)*$D$1</f>
        <v>11040.817405526119</v>
      </c>
      <c r="AH70" s="16">
        <f>IF(节奏总纲!T67&lt;G$13,0,求节点($C$18:$C$23,$F$18:$F$23,$Q70)*节奏总纲!AA67)*$D$1</f>
        <v>5961.8406509634124</v>
      </c>
      <c r="AI70" s="16">
        <f>SUM(AD$7:AD70)</f>
        <v>201065.32708038026</v>
      </c>
      <c r="AJ70" s="16">
        <f>SUM(AE$7:AE70)</f>
        <v>174062.56490620878</v>
      </c>
      <c r="AK70" s="16">
        <f>SUM(AF$7:AF70)</f>
        <v>142401.71319713586</v>
      </c>
      <c r="AL70" s="16">
        <f>SUM(AG$7:AG70)</f>
        <v>104702.31333351234</v>
      </c>
      <c r="AM70" s="16">
        <f>SUM(AH$7:AH70)</f>
        <v>58137.523598049011</v>
      </c>
      <c r="AO70" s="16">
        <v>64</v>
      </c>
      <c r="AP70" s="16">
        <f>IF(节奏总纲!P67&lt;C$13,0,求节点($C$18:$C$23,$H$18:$H$23,$Q70)*节奏总纲!W67)*$D$1</f>
        <v>472327.63553182164</v>
      </c>
      <c r="AQ70" s="16">
        <f>IF(节奏总纲!Q67&lt;D$13,0,求节点($C$18:$C$23,$H$18:$H$23,$Q70)*节奏总纲!X67)*$D$1</f>
        <v>411740.64407033811</v>
      </c>
      <c r="AR70" s="16">
        <f>IF(节奏总纲!R67&lt;E$13,0,求节点($C$18:$C$23,$H$18:$H$23,$Q70)*节奏总纲!Y67)*$D$1</f>
        <v>341211.71320514986</v>
      </c>
      <c r="AS70" s="16">
        <f>IF(节奏总纲!S67&lt;F$13,0,求节点($C$18:$C$23,$H$18:$H$23,$Q70)*节奏总纲!Z67)*$D$1</f>
        <v>253949.73986488587</v>
      </c>
      <c r="AT70" s="16">
        <f>IF(节奏总纲!T67&lt;G$13,0,求节点($C$18:$C$23,$H$18:$H$23,$Q70)*节奏总纲!AA67)*$D$1</f>
        <v>137128.24212365592</v>
      </c>
      <c r="AU70" s="16">
        <f>SUM(AP$7:AP70)</f>
        <v>4014911.8299112311</v>
      </c>
      <c r="AV70" s="16">
        <f>SUM(AQ$7:AQ70)</f>
        <v>3476227.7166778143</v>
      </c>
      <c r="AW70" s="16">
        <f>SUM(AR$7:AR70)</f>
        <v>2844679.3531662798</v>
      </c>
      <c r="AX70" s="16">
        <f>SUM(AS$7:AS70)</f>
        <v>2093250.0650365574</v>
      </c>
      <c r="AY70" s="16">
        <f>SUM(AT$7:AT70)</f>
        <v>1162810.3881149821</v>
      </c>
    </row>
    <row r="71" spans="10:51">
      <c r="J71" s="16">
        <v>65</v>
      </c>
      <c r="K71" s="16">
        <f>MAX(求节点(节奏总纲!$O$4:$O$163,节奏总纲!P$4:P$163,$J71)-INT(C$13),0)*$D$1*$D$2</f>
        <v>82.211601590253679</v>
      </c>
      <c r="L71" s="16">
        <f>MAX(求节点(节奏总纲!$O$4:$O$163,节奏总纲!Q$4:Q$163,$J71)-INT(D$13),0)*$D$1*$D$2</f>
        <v>71.579564379545062</v>
      </c>
      <c r="M71" s="16">
        <f>MAX(求节点(节奏总纲!$O$4:$O$163,节奏总纲!R$4:R$163,$J71)-INT(E$13),0)*$D$1*$D$2</f>
        <v>58.562989613532821</v>
      </c>
      <c r="N71" s="16">
        <f>MAX(求节点(节奏总纲!$O$4:$O$163,节奏总纲!S$4:S$163,$J71)-INT(F$13),0)*$D$1*$D$2</f>
        <v>43.115902713770005</v>
      </c>
      <c r="O71" s="16">
        <f>MAX(求节点(节奏总纲!$O$4:$O$163,节奏总纲!T$4:T$163,$J71)-INT(G$13),0)*$D$1*$D$2</f>
        <v>23.99232910180967</v>
      </c>
      <c r="Q71" s="16">
        <v>65</v>
      </c>
      <c r="R71" s="16">
        <f>IF(节奏总纲!P68&lt;C$13,0,求节点($C$18:$C$23,$E$18:$E$23,$Q71)*节奏总纲!W68)*$D$1</f>
        <v>2727522.7660857872</v>
      </c>
      <c r="S71" s="16">
        <f>IF(节奏总纲!Q68&lt;D$13,0,求节点($C$18:$C$23,$E$18:$E$23,$Q71)*节奏总纲!X68)*$D$1</f>
        <v>2362370.8167963969</v>
      </c>
      <c r="T71" s="16">
        <f>IF(节奏总纲!R68&lt;E$13,0,求节点($C$18:$C$23,$E$18:$E$23,$Q71)*节奏总纲!Y68)*$D$1</f>
        <v>1996750.7866283092</v>
      </c>
      <c r="U71" s="16">
        <f>IF(节奏总纲!S68&lt;F$13,0,求节点($C$18:$C$23,$E$18:$E$23,$Q71)*节奏总纲!Z68)*$D$1</f>
        <v>1445060.9173908811</v>
      </c>
      <c r="V71" s="16">
        <f>IF(节奏总纲!T68&lt;G$13,0,求节点($C$18:$C$23,$E$18:$E$23,$Q71)*节奏总纲!AA68)*$D$1</f>
        <v>743255.23509197461</v>
      </c>
      <c r="W71" s="16">
        <f>SUM(R$7:R71)</f>
        <v>26093570.800816216</v>
      </c>
      <c r="X71" s="16">
        <f>SUM(S$7:S71)</f>
        <v>22591233.10015111</v>
      </c>
      <c r="Y71" s="16">
        <f>SUM(T$7:T71)</f>
        <v>18547349.479843348</v>
      </c>
      <c r="Z71" s="16">
        <f>SUM(U$7:U71)</f>
        <v>13616791.06053026</v>
      </c>
      <c r="AA71" s="16">
        <f>SUM(V$7:V71)</f>
        <v>7502611.6833592122</v>
      </c>
      <c r="AC71" s="16">
        <v>65</v>
      </c>
      <c r="AD71" s="16">
        <f>IF(节奏总纲!P68&lt;C$13,0,求节点($C$18:$C$23,$F$18:$F$23,$Q71)*节奏总纲!W68)*$D$1</f>
        <v>22392.612818951791</v>
      </c>
      <c r="AE71" s="16">
        <f>IF(节奏总纲!Q68&lt;D$13,0,求节点($C$18:$C$23,$F$18:$F$23,$Q71)*节奏总纲!X68)*$D$1</f>
        <v>19394.76205041098</v>
      </c>
      <c r="AF71" s="16">
        <f>IF(节奏总纲!R68&lt;E$13,0,求节点($C$18:$C$23,$F$18:$F$23,$Q71)*节奏总纲!Y68)*$D$1</f>
        <v>16393.068397764873</v>
      </c>
      <c r="AG71" s="16">
        <f>IF(节奏总纲!S68&lt;F$13,0,求节点($C$18:$C$23,$F$18:$F$23,$Q71)*节奏总纲!Z68)*$D$1</f>
        <v>11863.76518109529</v>
      </c>
      <c r="AH71" s="16">
        <f>IF(节奏总纲!T68&lt;G$13,0,求节点($C$18:$C$23,$F$18:$F$23,$Q71)*节奏总纲!AA68)*$D$1</f>
        <v>6102.0303522372506</v>
      </c>
      <c r="AI71" s="16">
        <f>SUM(AD$7:AD71)</f>
        <v>223457.93989933206</v>
      </c>
      <c r="AJ71" s="16">
        <f>SUM(AE$7:AE71)</f>
        <v>193457.32695661974</v>
      </c>
      <c r="AK71" s="16">
        <f>SUM(AF$7:AF71)</f>
        <v>158794.78159490073</v>
      </c>
      <c r="AL71" s="16">
        <f>SUM(AG$7:AG71)</f>
        <v>116566.07851460764</v>
      </c>
      <c r="AM71" s="16">
        <f>SUM(AH$7:AH71)</f>
        <v>64239.553950286259</v>
      </c>
      <c r="AO71" s="16">
        <v>65</v>
      </c>
      <c r="AP71" s="16">
        <f>IF(节奏总纲!P68&lt;C$13,0,求节点($C$18:$C$23,$H$18:$H$23,$Q71)*节奏总纲!W68)*$D$1</f>
        <v>523684.37108847115</v>
      </c>
      <c r="AQ71" s="16">
        <f>IF(节奏总纲!Q68&lt;D$13,0,求节点($C$18:$C$23,$H$18:$H$23,$Q71)*节奏总纲!X68)*$D$1</f>
        <v>453575.1968249082</v>
      </c>
      <c r="AR71" s="16">
        <f>IF(节奏总纲!R68&lt;E$13,0,求节点($C$18:$C$23,$H$18:$H$23,$Q71)*节奏总纲!Y68)*$D$1</f>
        <v>383376.15103263536</v>
      </c>
      <c r="AS71" s="16">
        <f>IF(节奏总纲!S68&lt;F$13,0,求节点($C$18:$C$23,$H$18:$H$23,$Q71)*节奏总纲!Z68)*$D$1</f>
        <v>277451.69613904913</v>
      </c>
      <c r="AT71" s="16">
        <f>IF(节奏总纲!T68&lt;G$13,0,求节点($C$18:$C$23,$H$18:$H$23,$Q71)*节奏总纲!AA68)*$D$1</f>
        <v>142705.00513765911</v>
      </c>
      <c r="AU71" s="16">
        <f>SUM(AP$7:AP71)</f>
        <v>4538596.2009997023</v>
      </c>
      <c r="AV71" s="16">
        <f>SUM(AQ$7:AQ71)</f>
        <v>3929802.9135027225</v>
      </c>
      <c r="AW71" s="16">
        <f>SUM(AR$7:AR71)</f>
        <v>3228055.5041989153</v>
      </c>
      <c r="AX71" s="16">
        <f>SUM(AS$7:AS71)</f>
        <v>2370701.7611756064</v>
      </c>
      <c r="AY71" s="16">
        <f>SUM(AT$7:AT71)</f>
        <v>1305515.3932526412</v>
      </c>
    </row>
    <row r="72" spans="10:51">
      <c r="J72" s="16">
        <v>66</v>
      </c>
      <c r="K72" s="16">
        <f>MAX(求节点(节奏总纲!$O$4:$O$163,节奏总纲!P$4:P$163,$J72)-INT(C$13),0)*$D$1*$D$2</f>
        <v>90.007032307998543</v>
      </c>
      <c r="L72" s="16">
        <f>MAX(求节点(节奏总纲!$O$4:$O$163,节奏总纲!Q$4:Q$163,$J72)-INT(D$13),0)*$D$1*$D$2</f>
        <v>78.422745449804324</v>
      </c>
      <c r="M72" s="16">
        <f>MAX(求节点(节奏总纲!$O$4:$O$163,节奏总纲!R$4:R$163,$J72)-INT(E$13),0)*$D$1*$D$2</f>
        <v>64.188696848526149</v>
      </c>
      <c r="N72" s="16">
        <f>MAX(求节点(节奏总纲!$O$4:$O$163,节奏总纲!S$4:S$163,$J72)-INT(F$13),0)*$D$1*$D$2</f>
        <v>46.995674380929238</v>
      </c>
      <c r="O72" s="16">
        <f>MAX(求节点(节奏总纲!$O$4:$O$163,节奏总纲!T$4:T$163,$J72)-INT(G$13),0)*$D$1*$D$2</f>
        <v>26.221560072550382</v>
      </c>
      <c r="Q72" s="16">
        <v>66</v>
      </c>
      <c r="R72" s="16">
        <f>IF(节奏总纲!P69&lt;C$13,0,求节点($C$18:$C$23,$E$18:$E$23,$Q72)*节奏总纲!W69)*$D$1</f>
        <v>3020729.4031261327</v>
      </c>
      <c r="S72" s="16">
        <f>IF(节奏总纲!Q69&lt;D$13,0,求节点($C$18:$C$23,$E$18:$E$23,$Q72)*节奏总纲!X69)*$D$1</f>
        <v>2651732.664725461</v>
      </c>
      <c r="T72" s="16">
        <f>IF(节奏总纲!R69&lt;E$13,0,求节点($C$18:$C$23,$E$18:$E$23,$Q72)*节奏总纲!Y69)*$D$1</f>
        <v>2179961.553559917</v>
      </c>
      <c r="U72" s="16">
        <f>IF(节奏总纲!S69&lt;F$13,0,求节点($C$18:$C$23,$E$18:$E$23,$Q72)*节奏总纲!Z69)*$D$1</f>
        <v>1503411.5210242015</v>
      </c>
      <c r="V72" s="16">
        <f>IF(节奏总纲!T69&lt;G$13,0,求节点($C$18:$C$23,$E$18:$E$23,$Q72)*节奏总纲!AA69)*$D$1</f>
        <v>863827.00116202561</v>
      </c>
      <c r="W72" s="16">
        <f>SUM(R$7:R72)</f>
        <v>29114300.203942347</v>
      </c>
      <c r="X72" s="16">
        <f>SUM(S$7:S72)</f>
        <v>25242965.764876571</v>
      </c>
      <c r="Y72" s="16">
        <f>SUM(T$7:T72)</f>
        <v>20727311.033403266</v>
      </c>
      <c r="Z72" s="16">
        <f>SUM(U$7:U72)</f>
        <v>15120202.581554461</v>
      </c>
      <c r="AA72" s="16">
        <f>SUM(V$7:V72)</f>
        <v>8366438.6845212374</v>
      </c>
      <c r="AC72" s="16">
        <v>66</v>
      </c>
      <c r="AD72" s="16">
        <f>IF(节奏总纲!P69&lt;C$13,0,求节点($C$18:$C$23,$F$18:$F$23,$Q72)*节奏总纲!W69)*$D$1</f>
        <v>24525.390583355751</v>
      </c>
      <c r="AE72" s="16">
        <f>IF(节奏总纲!Q69&lt;D$13,0,求节点($C$18:$C$23,$F$18:$F$23,$Q72)*节奏总纲!X69)*$D$1</f>
        <v>21529.495246323826</v>
      </c>
      <c r="AF72" s="16">
        <f>IF(节奏总纲!R69&lt;E$13,0,求节点($C$18:$C$23,$F$18:$F$23,$Q72)*节奏总纲!Y69)*$D$1</f>
        <v>17699.171763755468</v>
      </c>
      <c r="AG72" s="16">
        <f>IF(节奏总纲!S69&lt;F$13,0,求节点($C$18:$C$23,$F$18:$F$23,$Q72)*节奏总纲!Z69)*$D$1</f>
        <v>12206.242215034941</v>
      </c>
      <c r="AH72" s="16">
        <f>IF(节奏总纲!T69&lt;G$13,0,求节点($C$18:$C$23,$F$18:$F$23,$Q72)*节奏总纲!AA69)*$D$1</f>
        <v>7013.4367474367773</v>
      </c>
      <c r="AI72" s="16">
        <f>SUM(AD$7:AD72)</f>
        <v>247983.3304826878</v>
      </c>
      <c r="AJ72" s="16">
        <f>SUM(AE$7:AE72)</f>
        <v>214986.82220294356</v>
      </c>
      <c r="AK72" s="16">
        <f>SUM(AF$7:AF72)</f>
        <v>176493.9533586562</v>
      </c>
      <c r="AL72" s="16">
        <f>SUM(AG$7:AG72)</f>
        <v>128772.32072964258</v>
      </c>
      <c r="AM72" s="16">
        <f>SUM(AH$7:AH72)</f>
        <v>71252.990697723042</v>
      </c>
      <c r="AO72" s="16">
        <v>66</v>
      </c>
      <c r="AP72" s="16">
        <f>IF(节奏总纲!P69&lt;C$13,0,求节点($C$18:$C$23,$H$18:$H$23,$Q72)*节奏总纲!W69)*$D$1</f>
        <v>589334.56226151122</v>
      </c>
      <c r="AQ72" s="16">
        <f>IF(节奏总纲!Q69&lt;D$13,0,求节点($C$18:$C$23,$H$18:$H$23,$Q72)*节奏总纲!X69)*$D$1</f>
        <v>517344.48891159962</v>
      </c>
      <c r="AR72" s="16">
        <f>IF(节奏总纲!R69&lt;E$13,0,求节点($C$18:$C$23,$H$18:$H$23,$Q72)*节奏总纲!Y69)*$D$1</f>
        <v>425303.46696549602</v>
      </c>
      <c r="AS72" s="16">
        <f>IF(节奏总纲!S69&lt;F$13,0,求节点($C$18:$C$23,$H$18:$H$23,$Q72)*节奏总纲!Z69)*$D$1</f>
        <v>293310.73803723778</v>
      </c>
      <c r="AT72" s="16">
        <f>IF(节奏总纲!T69&lt;G$13,0,求节点($C$18:$C$23,$H$18:$H$23,$Q72)*节奏总纲!AA69)*$D$1</f>
        <v>168529.86138799778</v>
      </c>
      <c r="AU72" s="16">
        <f>SUM(AP$7:AP72)</f>
        <v>5127930.7632612139</v>
      </c>
      <c r="AV72" s="16">
        <f>SUM(AQ$7:AQ72)</f>
        <v>4447147.4024143219</v>
      </c>
      <c r="AW72" s="16">
        <f>SUM(AR$7:AR72)</f>
        <v>3653358.9711644114</v>
      </c>
      <c r="AX72" s="16">
        <f>SUM(AS$7:AS72)</f>
        <v>2664012.4992128443</v>
      </c>
      <c r="AY72" s="16">
        <f>SUM(AT$7:AT72)</f>
        <v>1474045.2546406391</v>
      </c>
    </row>
    <row r="73" spans="10:51">
      <c r="J73" s="16">
        <v>67</v>
      </c>
      <c r="K73" s="16">
        <f>MAX(求节点(节奏总纲!$O$4:$O$163,节奏总纲!P$4:P$163,$J73)-INT(C$13),0)*$D$1*$D$2</f>
        <v>98.361968080317737</v>
      </c>
      <c r="L73" s="16">
        <f>MAX(求节点(节奏总纲!$O$4:$O$163,节奏总纲!Q$4:Q$163,$J73)-INT(D$13),0)*$D$1*$D$2</f>
        <v>85.762994064988078</v>
      </c>
      <c r="M73" s="16">
        <f>MAX(求节点(节奏总纲!$O$4:$O$163,节奏总纲!R$4:R$163,$J73)-INT(E$13),0)*$D$1*$D$2</f>
        <v>69.951408879570167</v>
      </c>
      <c r="N73" s="16">
        <f>MAX(求节点(节奏总纲!$O$4:$O$163,节奏总纲!S$4:S$163,$J73)-INT(F$13),0)*$D$1*$D$2</f>
        <v>51.151072976229486</v>
      </c>
      <c r="O73" s="16">
        <f>MAX(求节点(节奏总纲!$O$4:$O$163,节奏总纲!T$4:T$163,$J73)-INT(G$13),0)*$D$1*$D$2</f>
        <v>28.558833562443954</v>
      </c>
      <c r="Q73" s="16">
        <v>67</v>
      </c>
      <c r="R73" s="16">
        <f>IF(节奏总纲!P70&lt;C$13,0,求节点($C$18:$C$23,$E$18:$E$23,$Q73)*节奏总纲!W70)*$D$1</f>
        <v>3341974.3089276813</v>
      </c>
      <c r="S73" s="16">
        <f>IF(节奏总纲!Q70&lt;D$13,0,求节点($C$18:$C$23,$E$18:$E$23,$Q73)*节奏总纲!X70)*$D$1</f>
        <v>2936099.4460735014</v>
      </c>
      <c r="T73" s="16">
        <f>IF(节奏总纲!R70&lt;E$13,0,求节点($C$18:$C$23,$E$18:$E$23,$Q73)*节奏总纲!Y70)*$D$1</f>
        <v>2305084.8124176059</v>
      </c>
      <c r="U73" s="16">
        <f>IF(节奏总纲!S70&lt;F$13,0,求节点($C$18:$C$23,$E$18:$E$23,$Q73)*节奏总纲!Z70)*$D$1</f>
        <v>1662159.4381201011</v>
      </c>
      <c r="V73" s="16">
        <f>IF(节奏总纲!T70&lt;G$13,0,求节点($C$18:$C$23,$E$18:$E$23,$Q73)*节奏总纲!AA70)*$D$1</f>
        <v>934909.39595742919</v>
      </c>
      <c r="W73" s="16">
        <f>SUM(R$7:R73)</f>
        <v>32456274.512870029</v>
      </c>
      <c r="X73" s="16">
        <f>SUM(S$7:S73)</f>
        <v>28179065.210950073</v>
      </c>
      <c r="Y73" s="16">
        <f>SUM(T$7:T73)</f>
        <v>23032395.845820874</v>
      </c>
      <c r="Z73" s="16">
        <f>SUM(U$7:U73)</f>
        <v>16782362.019674562</v>
      </c>
      <c r="AA73" s="16">
        <f>SUM(V$7:V73)</f>
        <v>9301348.0804786664</v>
      </c>
      <c r="AC73" s="16">
        <v>67</v>
      </c>
      <c r="AD73" s="16">
        <f>IF(节奏总纲!P70&lt;C$13,0,求节点($C$18:$C$23,$F$18:$F$23,$Q73)*节奏总纲!W70)*$D$1</f>
        <v>26848.968061941083</v>
      </c>
      <c r="AE73" s="16">
        <f>IF(节奏总纲!Q70&lt;D$13,0,求节点($C$18:$C$23,$F$18:$F$23,$Q73)*节奏总纲!X70)*$D$1</f>
        <v>23588.224494641443</v>
      </c>
      <c r="AF73" s="16">
        <f>IF(节奏总纲!R70&lt;E$13,0,求节点($C$18:$C$23,$F$18:$F$23,$Q73)*节奏总纲!Y70)*$D$1</f>
        <v>18518.738562213468</v>
      </c>
      <c r="AG73" s="16">
        <f>IF(节奏总纲!S70&lt;F$13,0,求节点($C$18:$C$23,$F$18:$F$23,$Q73)*节奏总纲!Z70)*$D$1</f>
        <v>13353.563355865474</v>
      </c>
      <c r="AH73" s="16">
        <f>IF(节奏总纲!T70&lt;G$13,0,求节点($C$18:$C$23,$F$18:$F$23,$Q73)*节奏总纲!AA70)*$D$1</f>
        <v>7510.9352115048914</v>
      </c>
      <c r="AI73" s="16">
        <f>SUM(AD$7:AD73)</f>
        <v>274832.29854462889</v>
      </c>
      <c r="AJ73" s="16">
        <f>SUM(AE$7:AE73)</f>
        <v>238575.046697585</v>
      </c>
      <c r="AK73" s="16">
        <f>SUM(AF$7:AF73)</f>
        <v>195012.69192086966</v>
      </c>
      <c r="AL73" s="16">
        <f>SUM(AG$7:AG73)</f>
        <v>142125.88408550806</v>
      </c>
      <c r="AM73" s="16">
        <f>SUM(AH$7:AH73)</f>
        <v>78763.925909227939</v>
      </c>
      <c r="AO73" s="16">
        <v>67</v>
      </c>
      <c r="AP73" s="16">
        <f>IF(节奏总纲!P70&lt;C$13,0,求节点($C$18:$C$23,$H$18:$H$23,$Q73)*节奏总纲!W70)*$D$1</f>
        <v>661710.91316768085</v>
      </c>
      <c r="AQ73" s="16">
        <f>IF(节奏总纲!Q70&lt;D$13,0,求节点($C$18:$C$23,$H$18:$H$23,$Q73)*节奏总纲!X70)*$D$1</f>
        <v>581347.69032255327</v>
      </c>
      <c r="AR73" s="16">
        <f>IF(节奏总纲!R70&lt;E$13,0,求节点($C$18:$C$23,$H$18:$H$23,$Q73)*节奏总纲!Y70)*$D$1</f>
        <v>456406.79285868601</v>
      </c>
      <c r="AS73" s="16">
        <f>IF(节奏总纲!S70&lt;F$13,0,求节点($C$18:$C$23,$H$18:$H$23,$Q73)*节奏总纲!Z70)*$D$1</f>
        <v>329107.56874777999</v>
      </c>
      <c r="AT73" s="16">
        <f>IF(节奏总纲!T70&lt;G$13,0,求节点($C$18:$C$23,$H$18:$H$23,$Q73)*节奏总纲!AA70)*$D$1</f>
        <v>185112.06039957103</v>
      </c>
      <c r="AU73" s="16">
        <f>SUM(AP$7:AP73)</f>
        <v>5789641.6764288945</v>
      </c>
      <c r="AV73" s="16">
        <f>SUM(AQ$7:AQ73)</f>
        <v>5028495.0927368756</v>
      </c>
      <c r="AW73" s="16">
        <f>SUM(AR$7:AR73)</f>
        <v>4109765.7640230972</v>
      </c>
      <c r="AX73" s="16">
        <f>SUM(AS$7:AS73)</f>
        <v>2993120.0679606241</v>
      </c>
      <c r="AY73" s="16">
        <f>SUM(AT$7:AT73)</f>
        <v>1659157.31504021</v>
      </c>
    </row>
    <row r="74" spans="10:51">
      <c r="J74" s="16">
        <v>68</v>
      </c>
      <c r="K74" s="16">
        <f>MAX(求节点(节奏总纲!$O$4:$O$163,节奏总纲!P$4:P$163,$J74)-INT(C$13),0)*$D$1*$D$2</f>
        <v>107.31656652228463</v>
      </c>
      <c r="L74" s="16">
        <f>MAX(求节点(节奏总纲!$O$4:$O$163,节奏总纲!Q$4:Q$163,$J74)-INT(D$13),0)*$D$1*$D$2</f>
        <v>93.397876428038614</v>
      </c>
      <c r="M74" s="16">
        <f>MAX(求节点(节奏总纲!$O$4:$O$163,节奏总纲!R$4:R$163,$J74)-INT(E$13),0)*$D$1*$D$2</f>
        <v>75.9012390376909</v>
      </c>
      <c r="N74" s="16">
        <f>MAX(求节点(节奏总纲!$O$4:$O$163,节奏总纲!S$4:S$163,$J74)-INT(F$13),0)*$D$1*$D$2</f>
        <v>55.695362934935787</v>
      </c>
      <c r="O74" s="16">
        <f>MAX(求节点(节奏总纲!$O$4:$O$163,节奏总纲!T$4:T$163,$J74)-INT(G$13),0)*$D$1*$D$2</f>
        <v>31.03102944167912</v>
      </c>
      <c r="Q74" s="16">
        <v>68</v>
      </c>
      <c r="R74" s="16">
        <f>IF(节奏总纲!P71&lt;C$13,0,求节点($C$18:$C$23,$E$18:$E$23,$Q74)*节奏总纲!W71)*$D$1</f>
        <v>3693771.8573113452</v>
      </c>
      <c r="S74" s="16">
        <f>IF(节奏总纲!Q71&lt;D$13,0,求节点($C$18:$C$23,$E$18:$E$23,$Q74)*节奏总纲!X71)*$D$1</f>
        <v>3149388.9747583438</v>
      </c>
      <c r="T74" s="16">
        <f>IF(节奏总纲!R71&lt;E$13,0,求节点($C$18:$C$23,$E$18:$E$23,$Q74)*节奏总纲!Y71)*$D$1</f>
        <v>2454304.9402248026</v>
      </c>
      <c r="U74" s="16">
        <f>IF(节奏总纲!S71&lt;F$13,0,求节点($C$18:$C$23,$E$18:$E$23,$Q74)*节奏总纲!Z71)*$D$1</f>
        <v>1874519.6079663481</v>
      </c>
      <c r="V74" s="16">
        <f>IF(节奏总纲!T71&lt;G$13,0,求节点($C$18:$C$23,$E$18:$E$23,$Q74)*节奏总纲!AA71)*$D$1</f>
        <v>1019780.8001845053</v>
      </c>
      <c r="W74" s="16">
        <f>SUM(R$7:R74)</f>
        <v>36150046.370181374</v>
      </c>
      <c r="X74" s="16">
        <f>SUM(S$7:S74)</f>
        <v>31328454.185708418</v>
      </c>
      <c r="Y74" s="16">
        <f>SUM(T$7:T74)</f>
        <v>25486700.786045678</v>
      </c>
      <c r="Z74" s="16">
        <f>SUM(U$7:U74)</f>
        <v>18656881.62764091</v>
      </c>
      <c r="AA74" s="16">
        <f>SUM(V$7:V74)</f>
        <v>10321128.880663171</v>
      </c>
      <c r="AC74" s="16">
        <v>68</v>
      </c>
      <c r="AD74" s="16">
        <f>IF(节奏总纲!P71&lt;C$13,0,求节点($C$18:$C$23,$F$18:$F$23,$Q74)*节奏总纲!W71)*$D$1</f>
        <v>29379.74711178532</v>
      </c>
      <c r="AE74" s="16">
        <f>IF(节奏总纲!Q71&lt;D$13,0,求节点($C$18:$C$23,$F$18:$F$23,$Q74)*节奏总纲!X71)*$D$1</f>
        <v>25049.80145211114</v>
      </c>
      <c r="AF74" s="16">
        <f>IF(节奏总纲!R71&lt;E$13,0,求节点($C$18:$C$23,$F$18:$F$23,$Q74)*节奏总纲!Y71)*$D$1</f>
        <v>19521.199809967653</v>
      </c>
      <c r="AG74" s="16">
        <f>IF(节奏总纲!S71&lt;F$13,0,求节点($C$18:$C$23,$F$18:$F$23,$Q74)*节奏总纲!Z71)*$D$1</f>
        <v>14909.667994011201</v>
      </c>
      <c r="AH74" s="16">
        <f>IF(节奏总纲!T71&lt;G$13,0,求节点($C$18:$C$23,$F$18:$F$23,$Q74)*节奏总纲!AA71)*$D$1</f>
        <v>8111.1945123440964</v>
      </c>
      <c r="AI74" s="16">
        <f>SUM(AD$7:AD74)</f>
        <v>304212.04565641424</v>
      </c>
      <c r="AJ74" s="16">
        <f>SUM(AE$7:AE74)</f>
        <v>263624.84814969613</v>
      </c>
      <c r="AK74" s="16">
        <f>SUM(AF$7:AF74)</f>
        <v>214533.89173083732</v>
      </c>
      <c r="AL74" s="16">
        <f>SUM(AG$7:AG74)</f>
        <v>157035.55207951926</v>
      </c>
      <c r="AM74" s="16">
        <f>SUM(AH$7:AH74)</f>
        <v>86875.120421572035</v>
      </c>
      <c r="AO74" s="16">
        <v>68</v>
      </c>
      <c r="AP74" s="16">
        <f>IF(节奏总纲!P71&lt;C$13,0,求节点($C$18:$C$23,$H$18:$H$23,$Q74)*节奏总纲!W71)*$D$1</f>
        <v>741440.75099485903</v>
      </c>
      <c r="AQ74" s="16">
        <f>IF(节奏总纲!Q71&lt;D$13,0,求节点($C$18:$C$23,$H$18:$H$23,$Q74)*节奏总纲!X71)*$D$1</f>
        <v>632168.25966058392</v>
      </c>
      <c r="AR74" s="16">
        <f>IF(节奏总纲!R71&lt;E$13,0,求节点($C$18:$C$23,$H$18:$H$23,$Q74)*节奏总纲!Y71)*$D$1</f>
        <v>492645.93709239666</v>
      </c>
      <c r="AS74" s="16">
        <f>IF(节奏总纲!S71&lt;F$13,0,求节点($C$18:$C$23,$H$18:$H$23,$Q74)*节奏总纲!Z71)*$D$1</f>
        <v>376267.20858088147</v>
      </c>
      <c r="AT74" s="16">
        <f>IF(节奏总纲!T71&lt;G$13,0,求节点($C$18:$C$23,$H$18:$H$23,$Q74)*节奏总纲!AA71)*$D$1</f>
        <v>204697.81880067161</v>
      </c>
      <c r="AU74" s="16">
        <f>SUM(AP$7:AP74)</f>
        <v>6531082.4274237538</v>
      </c>
      <c r="AV74" s="16">
        <f>SUM(AQ$7:AQ74)</f>
        <v>5660663.3523974596</v>
      </c>
      <c r="AW74" s="16">
        <f>SUM(AR$7:AR74)</f>
        <v>4602411.7011154937</v>
      </c>
      <c r="AX74" s="16">
        <f>SUM(AS$7:AS74)</f>
        <v>3369387.2765415055</v>
      </c>
      <c r="AY74" s="16">
        <f>SUM(AT$7:AT74)</f>
        <v>1863855.1338408818</v>
      </c>
    </row>
    <row r="75" spans="10:51">
      <c r="J75" s="16">
        <v>69</v>
      </c>
      <c r="K75" s="16">
        <f>MAX(求节点(节奏总纲!$O$4:$O$163,节奏总纲!P$4:P$163,$J75)-INT(C$13),0)*$D$1*$D$2</f>
        <v>116.91386750005358</v>
      </c>
      <c r="L75" s="16">
        <f>MAX(求节点(节奏总纲!$O$4:$O$163,节奏总纲!Q$4:Q$163,$J75)-INT(D$13),0)*$D$1*$D$2</f>
        <v>101.4137637080464</v>
      </c>
      <c r="M75" s="16">
        <f>MAX(求节点(节奏总纲!$O$4:$O$163,节奏总纲!R$4:R$163,$J75)-INT(E$13),0)*$D$1*$D$2</f>
        <v>82.673463737037977</v>
      </c>
      <c r="N75" s="16">
        <f>MAX(求节点(节奏总纲!$O$4:$O$163,节奏总纲!S$4:S$163,$J75)-INT(F$13),0)*$D$1*$D$2</f>
        <v>60.642365553027837</v>
      </c>
      <c r="O75" s="16">
        <f>MAX(求节点(节奏总纲!$O$4:$O$163,节奏总纲!T$4:T$163,$J75)-INT(G$13),0)*$D$1*$D$2</f>
        <v>33.671948293015411</v>
      </c>
      <c r="Q75" s="16">
        <v>69</v>
      </c>
      <c r="R75" s="16">
        <f>IF(节奏总纲!P72&lt;C$13,0,求节点($C$18:$C$23,$E$18:$E$23,$Q75)*节奏总纲!W72)*$D$1</f>
        <v>4078852.9155518049</v>
      </c>
      <c r="S75" s="16">
        <f>IF(节奏总纲!Q72&lt;D$13,0,求节点($C$18:$C$23,$E$18:$E$23,$Q75)*节奏总纲!X72)*$D$1</f>
        <v>3406752.0940033086</v>
      </c>
      <c r="T75" s="16">
        <f>IF(节奏总纲!R72&lt;E$13,0,求节点($C$18:$C$23,$E$18:$E$23,$Q75)*节奏总纲!Y72)*$D$1</f>
        <v>2878195.4972225032</v>
      </c>
      <c r="U75" s="16">
        <f>IF(节奏总纲!S72&lt;F$13,0,求节点($C$18:$C$23,$E$18:$E$23,$Q75)*节奏总纲!Z72)*$D$1</f>
        <v>2102476.112689123</v>
      </c>
      <c r="V75" s="16">
        <f>IF(节奏总纲!T72&lt;G$13,0,求节点($C$18:$C$23,$E$18:$E$23,$Q75)*节奏总纲!AA72)*$D$1</f>
        <v>1122390.5118179251</v>
      </c>
      <c r="W75" s="16">
        <f>SUM(R$7:R75)</f>
        <v>40228899.285733178</v>
      </c>
      <c r="X75" s="16">
        <f>SUM(S$7:S75)</f>
        <v>34735206.279711723</v>
      </c>
      <c r="Y75" s="16">
        <f>SUM(T$7:T75)</f>
        <v>28364896.28326818</v>
      </c>
      <c r="Z75" s="16">
        <f>SUM(U$7:U75)</f>
        <v>20759357.740330033</v>
      </c>
      <c r="AA75" s="16">
        <f>SUM(V$7:V75)</f>
        <v>11443519.392481096</v>
      </c>
      <c r="AC75" s="16">
        <v>69</v>
      </c>
      <c r="AD75" s="16">
        <f>IF(节奏总纲!P72&lt;C$13,0,求节点($C$18:$C$23,$F$18:$F$23,$Q75)*节奏总纲!W72)*$D$1</f>
        <v>32135.501134757942</v>
      </c>
      <c r="AE75" s="16">
        <f>IF(节奏总纲!Q72&lt;D$13,0,求节点($C$18:$C$23,$F$18:$F$23,$Q75)*节奏总纲!X72)*$D$1</f>
        <v>26840.312227309558</v>
      </c>
      <c r="AF75" s="16">
        <f>IF(节奏总纲!R72&lt;E$13,0,求节点($C$18:$C$23,$F$18:$F$23,$Q75)*节奏总纲!Y72)*$D$1</f>
        <v>22676.045589777343</v>
      </c>
      <c r="AG75" s="16">
        <f>IF(节奏总纲!S72&lt;F$13,0,求节点($C$18:$C$23,$F$18:$F$23,$Q75)*节奏总纲!Z72)*$D$1</f>
        <v>16564.491268492435</v>
      </c>
      <c r="AH75" s="16">
        <f>IF(节奏总纲!T72&lt;G$13,0,求节点($C$18:$C$23,$F$18:$F$23,$Q75)*节奏总纲!AA72)*$D$1</f>
        <v>8842.8247629730904</v>
      </c>
      <c r="AI75" s="16">
        <f>SUM(AD$7:AD75)</f>
        <v>336347.54679117218</v>
      </c>
      <c r="AJ75" s="16">
        <f>SUM(AE$7:AE75)</f>
        <v>290465.1603770057</v>
      </c>
      <c r="AK75" s="16">
        <f>SUM(AF$7:AF75)</f>
        <v>237209.93732061467</v>
      </c>
      <c r="AL75" s="16">
        <f>SUM(AG$7:AG75)</f>
        <v>173600.04334801168</v>
      </c>
      <c r="AM75" s="16">
        <f>SUM(AH$7:AH75)</f>
        <v>95717.945184545126</v>
      </c>
      <c r="AO75" s="16">
        <v>69</v>
      </c>
      <c r="AP75" s="16">
        <f>IF(节奏总纲!P72&lt;C$13,0,求节点($C$18:$C$23,$H$18:$H$23,$Q75)*节奏总纲!W72)*$D$1</f>
        <v>829206.80447923753</v>
      </c>
      <c r="AQ75" s="16">
        <f>IF(节奏总纲!Q72&lt;D$13,0,求节点($C$18:$C$23,$H$18:$H$23,$Q75)*节奏总纲!X72)*$D$1</f>
        <v>692572.66099267267</v>
      </c>
      <c r="AR75" s="16">
        <f>IF(节奏总纲!R72&lt;E$13,0,求节点($C$18:$C$23,$H$18:$H$23,$Q75)*节奏总纲!Y72)*$D$1</f>
        <v>585120.21402358648</v>
      </c>
      <c r="AS75" s="16">
        <f>IF(节奏总纲!S72&lt;F$13,0,求节点($C$18:$C$23,$H$18:$H$23,$Q75)*节奏总纲!Z72)*$D$1</f>
        <v>427421.02620315342</v>
      </c>
      <c r="AT75" s="16">
        <f>IF(节奏总纲!T72&lt;G$13,0,求节点($C$18:$C$23,$H$18:$H$23,$Q75)*节奏总纲!AA72)*$D$1</f>
        <v>228175.3887554559</v>
      </c>
      <c r="AU75" s="16">
        <f>SUM(AP$7:AP75)</f>
        <v>7360289.2319029914</v>
      </c>
      <c r="AV75" s="16">
        <f>SUM(AQ$7:AQ75)</f>
        <v>6353236.0133901322</v>
      </c>
      <c r="AW75" s="16">
        <f>SUM(AR$7:AR75)</f>
        <v>5187531.91513908</v>
      </c>
      <c r="AX75" s="16">
        <f>SUM(AS$7:AS75)</f>
        <v>3796808.3027446587</v>
      </c>
      <c r="AY75" s="16">
        <f>SUM(AT$7:AT75)</f>
        <v>2092030.5225963376</v>
      </c>
    </row>
    <row r="76" spans="10:51">
      <c r="J76" s="16">
        <v>70</v>
      </c>
      <c r="K76" s="16">
        <f>MAX(求节点(节奏总纲!$O$4:$O$163,节奏总纲!P$4:P$163,$J76)-INT(C$13),0)*$D$1*$D$2</f>
        <v>127.2</v>
      </c>
      <c r="L76" s="16">
        <f>MAX(求节点(节奏总纲!$O$4:$O$163,节奏总纲!Q$4:Q$163,$J76)-INT(D$13),0)*$D$1*$D$2</f>
        <v>110.36316000000002</v>
      </c>
      <c r="M76" s="16">
        <f>MAX(求节点(节奏总纲!$O$4:$O$163,节奏总纲!R$4:R$163,$J76)-INT(E$13),0)*$D$1*$D$2</f>
        <v>90.127800000000008</v>
      </c>
      <c r="N76" s="16">
        <f>MAX(求节点(节奏总纲!$O$4:$O$163,节奏总纲!S$4:S$163,$J76)-INT(F$13),0)*$D$1*$D$2</f>
        <v>65.910840000000007</v>
      </c>
      <c r="O76" s="16">
        <f>MAX(求节点(节奏总纲!$O$4:$O$163,节奏总纲!T$4:T$163,$J76)-INT(G$13),0)*$D$1*$D$2</f>
        <v>36.599760000000003</v>
      </c>
      <c r="Q76" s="16">
        <v>70</v>
      </c>
      <c r="R76" s="16">
        <f>IF(节奏总纲!P73&lt;C$13,0,求节点($C$18:$C$23,$E$18:$E$23,$Q76)*节奏总纲!W73)*$D$1</f>
        <v>4500182.9687265567</v>
      </c>
      <c r="S76" s="16">
        <f>IF(节奏总纲!Q73&lt;D$13,0,求节点($C$18:$C$23,$E$18:$E$23,$Q76)*节奏总纲!X73)*$D$1</f>
        <v>3915360.8777297065</v>
      </c>
      <c r="T76" s="16">
        <f>IF(节奏总纲!R73&lt;E$13,0,求节点($C$18:$C$23,$E$18:$E$23,$Q76)*节奏总纲!Y73)*$D$1</f>
        <v>3261272.1150458897</v>
      </c>
      <c r="U76" s="16">
        <f>IF(节奏总纲!S73&lt;F$13,0,求节点($C$18:$C$23,$E$18:$E$23,$Q76)*节奏总纲!Z73)*$D$1</f>
        <v>2304957.5705503253</v>
      </c>
      <c r="V76" s="16">
        <f>IF(节奏总纲!T73&lt;G$13,0,求节点($C$18:$C$23,$E$18:$E$23,$Q76)*节奏总纲!AA73)*$D$1</f>
        <v>1280917.6218057584</v>
      </c>
      <c r="W76" s="16">
        <f>SUM(R$7:R76)</f>
        <v>44729082.254459739</v>
      </c>
      <c r="X76" s="16">
        <f>SUM(S$7:S76)</f>
        <v>38650567.15744143</v>
      </c>
      <c r="Y76" s="16">
        <f>SUM(T$7:T76)</f>
        <v>31626168.39831407</v>
      </c>
      <c r="Z76" s="16">
        <f>SUM(U$7:U76)</f>
        <v>23064315.310880359</v>
      </c>
      <c r="AA76" s="16">
        <f>SUM(V$7:V76)</f>
        <v>12724437.014286855</v>
      </c>
      <c r="AC76" s="16">
        <v>70</v>
      </c>
      <c r="AD76" s="16">
        <f>IF(节奏总纲!P73&lt;C$13,0,求节点($C$18:$C$23,$F$18:$F$23,$Q76)*节奏总纲!W73)*$D$1</f>
        <v>35135.487465540442</v>
      </c>
      <c r="AE76" s="16">
        <f>IF(节奏总纲!Q73&lt;D$13,0,求节点($C$18:$C$23,$F$18:$F$23,$Q76)*节奏总纲!X73)*$D$1</f>
        <v>30569.448842091861</v>
      </c>
      <c r="AF76" s="16">
        <f>IF(节奏总纲!R73&lt;E$13,0,求节点($C$18:$C$23,$F$18:$F$23,$Q76)*节奏总纲!Y73)*$D$1</f>
        <v>25462.605924295698</v>
      </c>
      <c r="AG76" s="16">
        <f>IF(节奏总纲!S73&lt;F$13,0,求节点($C$18:$C$23,$F$18:$F$23,$Q76)*节奏总纲!Z73)*$D$1</f>
        <v>17996.114467228104</v>
      </c>
      <c r="AH76" s="16">
        <f>IF(节奏总纲!T73&lt;G$13,0,求节点($C$18:$C$23,$F$18:$F$23,$Q76)*节奏总纲!AA73)*$D$1</f>
        <v>10000.852267142733</v>
      </c>
      <c r="AI76" s="16">
        <f>SUM(AD$7:AD76)</f>
        <v>371483.03425671265</v>
      </c>
      <c r="AJ76" s="16">
        <f>SUM(AE$7:AE76)</f>
        <v>321034.60921909753</v>
      </c>
      <c r="AK76" s="16">
        <f>SUM(AF$7:AF76)</f>
        <v>262672.54324491037</v>
      </c>
      <c r="AL76" s="16">
        <f>SUM(AG$7:AG76)</f>
        <v>191596.15781523977</v>
      </c>
      <c r="AM76" s="16">
        <f>SUM(AH$7:AH76)</f>
        <v>105718.79745168786</v>
      </c>
      <c r="AO76" s="16">
        <v>70</v>
      </c>
      <c r="AP76" s="16">
        <f>IF(节奏总纲!P73&lt;C$13,0,求节点($C$18:$C$23,$H$18:$H$23,$Q76)*节奏总纲!W73)*$D$1</f>
        <v>925751.92499517743</v>
      </c>
      <c r="AQ76" s="16">
        <f>IF(节奏总纲!Q73&lt;D$13,0,求节点($C$18:$C$23,$H$18:$H$23,$Q76)*节奏总纲!X73)*$D$1</f>
        <v>805445.66627582547</v>
      </c>
      <c r="AR76" s="16">
        <f>IF(节奏总纲!R73&lt;E$13,0,求节点($C$18:$C$23,$H$18:$H$23,$Q76)*节奏总纲!Y73)*$D$1</f>
        <v>670890.26366658299</v>
      </c>
      <c r="AS76" s="16">
        <f>IF(节奏总纲!S73&lt;F$13,0,求节点($C$18:$C$23,$H$18:$H$23,$Q76)*节奏总纲!Z73)*$D$1</f>
        <v>474162.70022749552</v>
      </c>
      <c r="AT76" s="16">
        <f>IF(节奏总纲!T73&lt;G$13,0,求节点($C$18:$C$23,$H$18:$H$23,$Q76)*节奏总纲!AA73)*$D$1</f>
        <v>263503.05362861312</v>
      </c>
      <c r="AU76" s="16">
        <f>SUM(AP$7:AP76)</f>
        <v>8286041.1568981688</v>
      </c>
      <c r="AV76" s="16">
        <f>SUM(AQ$7:AQ76)</f>
        <v>7158681.6796659576</v>
      </c>
      <c r="AW76" s="16">
        <f>SUM(AR$7:AR76)</f>
        <v>5858422.1788056633</v>
      </c>
      <c r="AX76" s="16">
        <f>SUM(AS$7:AS76)</f>
        <v>4270971.0029721539</v>
      </c>
      <c r="AY76" s="16">
        <f>SUM(AT$7:AT76)</f>
        <v>2355533.5762249506</v>
      </c>
    </row>
    <row r="77" spans="10:51">
      <c r="J77" s="16">
        <v>71</v>
      </c>
      <c r="K77" s="16">
        <f>MAX(求节点(节奏总纲!$O$4:$O$163,节奏总纲!P$4:P$163,$J77)-INT(C$13),0)*$D$1*$D$2</f>
        <v>138.22440384557459</v>
      </c>
      <c r="L77" s="16">
        <f>MAX(求节点(节奏总纲!$O$4:$O$163,节奏总纲!Q$4:Q$163,$J77)-INT(D$13),0)*$D$1*$D$2</f>
        <v>120.03993081295951</v>
      </c>
      <c r="M77" s="16">
        <f>MAX(求节点(节奏总纲!$O$4:$O$163,节奏总纲!R$4:R$163,$J77)-INT(E$13),0)*$D$1*$D$2</f>
        <v>97.900587207281504</v>
      </c>
      <c r="N77" s="16">
        <f>MAX(求节点(节奏总纲!$O$4:$O$163,节奏总纲!S$4:S$163,$J77)-INT(F$13),0)*$D$1*$D$2</f>
        <v>71.535553393930428</v>
      </c>
      <c r="O77" s="16">
        <f>MAX(求节点(节奏总纲!$O$4:$O$163,节奏总纲!T$4:T$163,$J77)-INT(G$13),0)*$D$1*$D$2</f>
        <v>39.75183122483358</v>
      </c>
      <c r="Q77" s="16">
        <v>71</v>
      </c>
      <c r="R77" s="16">
        <f>IF(节奏总纲!P74&lt;C$13,0,求节点($C$18:$C$23,$E$18:$E$23,$Q77)*节奏总纲!W74)*$D$1</f>
        <v>4960981.7305085659</v>
      </c>
      <c r="S77" s="16">
        <f>IF(节奏总纲!Q74&lt;D$13,0,求节点($C$18:$C$23,$E$18:$E$23,$Q77)*节奏总纲!X74)*$D$1</f>
        <v>4354546.8658317728</v>
      </c>
      <c r="T77" s="16">
        <f>IF(节奏总纲!R74&lt;E$13,0,求节点($C$18:$C$23,$E$18:$E$23,$Q77)*节奏总纲!Y74)*$D$1</f>
        <v>3497754.2432766771</v>
      </c>
      <c r="U77" s="16">
        <f>IF(节奏总纲!S74&lt;F$13,0,求节点($C$18:$C$23,$E$18:$E$23,$Q77)*节奏总纲!Z74)*$D$1</f>
        <v>2531121.0272686845</v>
      </c>
      <c r="V77" s="16">
        <f>IF(节奏总纲!T74&lt;G$13,0,求节点($C$18:$C$23,$E$18:$E$23,$Q77)*节奏总纲!AA74)*$D$1</f>
        <v>1418432.0511751096</v>
      </c>
      <c r="W77" s="16">
        <f>SUM(R$7:R77)</f>
        <v>49690063.984968305</v>
      </c>
      <c r="X77" s="16">
        <f>SUM(S$7:S77)</f>
        <v>43005114.0232732</v>
      </c>
      <c r="Y77" s="16">
        <f>SUM(T$7:T77)</f>
        <v>35123922.641590744</v>
      </c>
      <c r="Z77" s="16">
        <f>SUM(U$7:U77)</f>
        <v>25595436.338149045</v>
      </c>
      <c r="AA77" s="16">
        <f>SUM(V$7:V77)</f>
        <v>14142869.065461965</v>
      </c>
      <c r="AC77" s="16">
        <v>71</v>
      </c>
      <c r="AD77" s="16">
        <f>IF(节奏总纲!P74&lt;C$13,0,求节点($C$18:$C$23,$F$18:$F$23,$Q77)*节奏总纲!W74)*$D$1</f>
        <v>38400.56882718343</v>
      </c>
      <c r="AE77" s="16">
        <f>IF(节奏总纲!Q74&lt;D$13,0,求节点($C$18:$C$23,$F$18:$F$23,$Q77)*节奏总纲!X74)*$D$1</f>
        <v>33706.448786987756</v>
      </c>
      <c r="AF77" s="16">
        <f>IF(节奏总纲!R74&lt;E$13,0,求节点($C$18:$C$23,$F$18:$F$23,$Q77)*节奏总纲!Y74)*$D$1</f>
        <v>27074.429993063044</v>
      </c>
      <c r="AG77" s="16">
        <f>IF(节奏总纲!S74&lt;F$13,0,求节点($C$18:$C$23,$F$18:$F$23,$Q77)*节奏总纲!Z74)*$D$1</f>
        <v>19592.188098543633</v>
      </c>
      <c r="AH77" s="16">
        <f>IF(节奏总纲!T74&lt;G$13,0,求节点($C$18:$C$23,$F$18:$F$23,$Q77)*节奏总纲!AA74)*$D$1</f>
        <v>10979.398950991301</v>
      </c>
      <c r="AI77" s="16">
        <f>SUM(AD$7:AD77)</f>
        <v>409883.6030838961</v>
      </c>
      <c r="AJ77" s="16">
        <f>SUM(AE$7:AE77)</f>
        <v>354741.05800608528</v>
      </c>
      <c r="AK77" s="16">
        <f>SUM(AF$7:AF77)</f>
        <v>289746.97323797341</v>
      </c>
      <c r="AL77" s="16">
        <f>SUM(AG$7:AG77)</f>
        <v>211188.34591378341</v>
      </c>
      <c r="AM77" s="16">
        <f>SUM(AH$7:AH77)</f>
        <v>116698.19640267917</v>
      </c>
      <c r="AO77" s="16">
        <v>71</v>
      </c>
      <c r="AP77" s="16">
        <f>IF(节奏总纲!P74&lt;C$13,0,求节点($C$18:$C$23,$H$18:$H$23,$Q77)*节奏总纲!W74)*$D$1</f>
        <v>1031884.1999457817</v>
      </c>
      <c r="AQ77" s="16">
        <f>IF(节奏总纲!Q74&lt;D$13,0,求节点($C$18:$C$23,$H$18:$H$23,$Q77)*节奏总纲!X74)*$D$1</f>
        <v>905745.74809300876</v>
      </c>
      <c r="AR77" s="16">
        <f>IF(节奏总纲!R74&lt;E$13,0,求节点($C$18:$C$23,$H$18:$H$23,$Q77)*节奏总纲!Y74)*$D$1</f>
        <v>727532.8826015488</v>
      </c>
      <c r="AS77" s="16">
        <f>IF(节奏总纲!S74&lt;F$13,0,求节点($C$18:$C$23,$H$18:$H$23,$Q77)*节奏总纲!Z74)*$D$1</f>
        <v>526473.17367188632</v>
      </c>
      <c r="AT77" s="16">
        <f>IF(节奏总纲!T74&lt;G$13,0,求节点($C$18:$C$23,$H$18:$H$23,$Q77)*节奏总纲!AA74)*$D$1</f>
        <v>295033.86664442281</v>
      </c>
      <c r="AU77" s="16">
        <f>SUM(AP$7:AP77)</f>
        <v>9317925.3568439502</v>
      </c>
      <c r="AV77" s="16">
        <f>SUM(AQ$7:AQ77)</f>
        <v>8064427.4277589666</v>
      </c>
      <c r="AW77" s="16">
        <f>SUM(AR$7:AR77)</f>
        <v>6585955.0614072122</v>
      </c>
      <c r="AX77" s="16">
        <f>SUM(AS$7:AS77)</f>
        <v>4797444.1766440403</v>
      </c>
      <c r="AY77" s="16">
        <f>SUM(AT$7:AT77)</f>
        <v>2650567.4428693736</v>
      </c>
    </row>
    <row r="78" spans="10:51">
      <c r="J78" s="16">
        <v>72</v>
      </c>
      <c r="K78" s="16">
        <f>MAX(求节点(节奏总纲!$O$4:$O$163,节奏总纲!P$4:P$163,$J78)-INT(C$13),0)*$D$1*$D$2</f>
        <v>150.04006732754451</v>
      </c>
      <c r="L78" s="16">
        <f>MAX(求节点(节奏总纲!$O$4:$O$163,节奏总纲!Q$4:Q$163,$J78)-INT(D$13),0)*$D$1*$D$2</f>
        <v>130.29809035951561</v>
      </c>
      <c r="M78" s="16">
        <f>MAX(求节点(节奏总纲!$O$4:$O$163,节奏总纲!R$4:R$163,$J78)-INT(E$13),0)*$D$1*$D$2</f>
        <v>105.98234763423775</v>
      </c>
      <c r="N78" s="16">
        <f>MAX(求节点(节奏总纲!$O$4:$O$163,节奏总纲!S$4:S$163,$J78)-INT(F$13),0)*$D$1*$D$2</f>
        <v>77.504258848737038</v>
      </c>
      <c r="O78" s="16">
        <f>MAX(求节点(节奏总纲!$O$4:$O$163,节奏总纲!T$4:T$163,$J78)-INT(G$13),0)*$D$1*$D$2</f>
        <v>43.076375316272518</v>
      </c>
      <c r="Q78" s="16">
        <v>72</v>
      </c>
      <c r="R78" s="16">
        <f>IF(节奏总纲!P75&lt;C$13,0,求节点($C$18:$C$23,$E$18:$E$23,$Q78)*节奏总纲!W75)*$D$1</f>
        <v>5464744.3604110936</v>
      </c>
      <c r="S78" s="16">
        <f>IF(节奏总纲!Q75&lt;D$13,0,求节点($C$18:$C$23,$E$18:$E$23,$Q78)*节奏总纲!X75)*$D$1</f>
        <v>4744398.7902821936</v>
      </c>
      <c r="T78" s="16">
        <f>IF(节奏总纲!R75&lt;E$13,0,求节点($C$18:$C$23,$E$18:$E$23,$Q78)*节奏总纲!Y75)*$D$1</f>
        <v>3737814.1974672675</v>
      </c>
      <c r="U78" s="16">
        <f>IF(节奏总纲!S75&lt;F$13,0,求节点($C$18:$C$23,$E$18:$E$23,$Q78)*节奏总纲!Z75)*$D$1</f>
        <v>2760526.2728480622</v>
      </c>
      <c r="V78" s="16">
        <f>IF(节奏总纲!T75&lt;G$13,0,求节点($C$18:$C$23,$E$18:$E$23,$Q78)*节奏总纲!AA75)*$D$1</f>
        <v>1537601.64229051</v>
      </c>
      <c r="W78" s="16">
        <f>SUM(R$7:R78)</f>
        <v>55154808.345379397</v>
      </c>
      <c r="X78" s="16">
        <f>SUM(S$7:S78)</f>
        <v>47749512.81355539</v>
      </c>
      <c r="Y78" s="16">
        <f>SUM(T$7:T78)</f>
        <v>38861736.839058012</v>
      </c>
      <c r="Z78" s="16">
        <f>SUM(U$7:U78)</f>
        <v>28355962.610997107</v>
      </c>
      <c r="AA78" s="16">
        <f>SUM(V$7:V78)</f>
        <v>15680470.707752476</v>
      </c>
      <c r="AC78" s="16">
        <v>72</v>
      </c>
      <c r="AD78" s="16">
        <f>IF(节奏总纲!P75&lt;C$13,0,求节点($C$18:$C$23,$F$18:$F$23,$Q78)*节奏总纲!W75)*$D$1</f>
        <v>41953.344576862371</v>
      </c>
      <c r="AE78" s="16">
        <f>IF(节奏总纲!Q75&lt;D$13,0,求节点($C$18:$C$23,$F$18:$F$23,$Q78)*节奏总纲!X75)*$D$1</f>
        <v>36423.185446827483</v>
      </c>
      <c r="AF78" s="16">
        <f>IF(节奏总纲!R75&lt;E$13,0,求节点($C$18:$C$23,$F$18:$F$23,$Q78)*节奏总纲!Y75)*$D$1</f>
        <v>28695.543038876207</v>
      </c>
      <c r="AG78" s="16">
        <f>IF(节奏总纲!S75&lt;F$13,0,求节点($C$18:$C$23,$F$18:$F$23,$Q78)*节奏总纲!Z75)*$D$1</f>
        <v>21192.813844555418</v>
      </c>
      <c r="AH78" s="16">
        <f>IF(节奏总纲!T75&lt;G$13,0,求节点($C$18:$C$23,$F$18:$F$23,$Q78)*节奏总纲!AA75)*$D$1</f>
        <v>11804.309088689111</v>
      </c>
      <c r="AI78" s="16">
        <f>SUM(AD$7:AD78)</f>
        <v>451836.94766075845</v>
      </c>
      <c r="AJ78" s="16">
        <f>SUM(AE$7:AE78)</f>
        <v>391164.24345291278</v>
      </c>
      <c r="AK78" s="16">
        <f>SUM(AF$7:AF78)</f>
        <v>318442.51627684961</v>
      </c>
      <c r="AL78" s="16">
        <f>SUM(AG$7:AG78)</f>
        <v>232381.15975833882</v>
      </c>
      <c r="AM78" s="16">
        <f>SUM(AH$7:AH78)</f>
        <v>128502.50549136828</v>
      </c>
      <c r="AO78" s="16">
        <v>72</v>
      </c>
      <c r="AP78" s="16">
        <f>IF(节奏总纲!P75&lt;C$13,0,求节点($C$18:$C$23,$H$18:$H$23,$Q78)*节奏总纲!W75)*$D$1</f>
        <v>1148482.4904474774</v>
      </c>
      <c r="AQ78" s="16">
        <f>IF(节奏总纲!Q75&lt;D$13,0,求节点($C$18:$C$23,$H$18:$H$23,$Q78)*节奏总纲!X75)*$D$1</f>
        <v>997093.10792525252</v>
      </c>
      <c r="AR78" s="16">
        <f>IF(节奏总纲!R75&lt;E$13,0,求节点($C$18:$C$23,$H$18:$H$23,$Q78)*节奏总纲!Y75)*$D$1</f>
        <v>785547.11350014783</v>
      </c>
      <c r="AS78" s="16">
        <f>IF(节奏总纲!S75&lt;F$13,0,求节点($C$18:$C$23,$H$18:$H$23,$Q78)*节奏总纲!Z75)*$D$1</f>
        <v>580158.1702072036</v>
      </c>
      <c r="AT78" s="16">
        <f>IF(节奏总纲!T75&lt;G$13,0,求节点($C$18:$C$23,$H$18:$H$23,$Q78)*节奏总纲!AA75)*$D$1</f>
        <v>323145.68568786501</v>
      </c>
      <c r="AU78" s="16">
        <f>SUM(AP$7:AP78)</f>
        <v>10466407.847291429</v>
      </c>
      <c r="AV78" s="16">
        <f>SUM(AQ$7:AQ78)</f>
        <v>9061520.5356842186</v>
      </c>
      <c r="AW78" s="16">
        <f>SUM(AR$7:AR78)</f>
        <v>7371502.1749073602</v>
      </c>
      <c r="AX78" s="16">
        <f>SUM(AS$7:AS78)</f>
        <v>5377602.3468512436</v>
      </c>
      <c r="AY78" s="16">
        <f>SUM(AT$7:AT78)</f>
        <v>2973713.1285572387</v>
      </c>
    </row>
    <row r="79" spans="10:51">
      <c r="J79" s="16">
        <v>73</v>
      </c>
      <c r="K79" s="16">
        <f>MAX(求节点(节奏总纲!$O$4:$O$163,节奏总纲!P$4:P$163,$J79)-INT(C$13),0)*$D$1*$D$2</f>
        <v>162.70378188977912</v>
      </c>
      <c r="L79" s="16">
        <f>MAX(求节点(节奏总纲!$O$4:$O$163,节奏总纲!Q$4:Q$163,$J79)-INT(D$13),0)*$D$1*$D$2</f>
        <v>140.89919057828098</v>
      </c>
      <c r="M79" s="16">
        <f>MAX(求节点(节奏总纲!$O$4:$O$163,节奏总纲!R$4:R$163,$J79)-INT(E$13),0)*$D$1*$D$2</f>
        <v>114.69765077056202</v>
      </c>
      <c r="N79" s="16">
        <f>MAX(求节点(节奏总纲!$O$4:$O$163,节奏总纲!S$4:S$163,$J79)-INT(F$13),0)*$D$1*$D$2</f>
        <v>83.946255237015819</v>
      </c>
      <c r="O79" s="16">
        <f>MAX(求节点(节奏总纲!$O$4:$O$163,节奏总纲!T$4:T$163,$J79)-INT(G$13),0)*$D$1*$D$2</f>
        <v>46.6532238896107</v>
      </c>
      <c r="Q79" s="16">
        <v>73</v>
      </c>
      <c r="R79" s="16">
        <f>IF(节奏总纲!P76&lt;C$13,0,求节点($C$18:$C$23,$E$18:$E$23,$Q79)*节奏总纲!W76)*$D$1</f>
        <v>6015264.4170614295</v>
      </c>
      <c r="S79" s="16">
        <f>IF(节奏总纲!Q76&lt;D$13,0,求节点($C$18:$C$23,$E$18:$E$23,$Q79)*节奏总纲!X76)*$D$1</f>
        <v>5035522.6039135577</v>
      </c>
      <c r="T79" s="16">
        <f>IF(节奏总纲!R76&lt;E$13,0,求节点($C$18:$C$23,$E$18:$E$23,$Q79)*节奏总纲!Y76)*$D$1</f>
        <v>4139768.9897540249</v>
      </c>
      <c r="U79" s="16">
        <f>IF(节奏总纲!S76&lt;F$13,0,求节点($C$18:$C$23,$E$18:$E$23,$Q79)*节奏总纲!Z76)*$D$1</f>
        <v>3059948.2844324172</v>
      </c>
      <c r="V79" s="16">
        <f>IF(节奏总纲!T76&lt;G$13,0,求节点($C$18:$C$23,$E$18:$E$23,$Q79)*节奏总纲!AA76)*$D$1</f>
        <v>1699003.0723356339</v>
      </c>
      <c r="W79" s="16">
        <f>SUM(R$7:R79)</f>
        <v>61170072.76244083</v>
      </c>
      <c r="X79" s="16">
        <f>SUM(S$7:S79)</f>
        <v>52785035.41746895</v>
      </c>
      <c r="Y79" s="16">
        <f>SUM(T$7:T79)</f>
        <v>43001505.828812033</v>
      </c>
      <c r="Z79" s="16">
        <f>SUM(U$7:U79)</f>
        <v>31415910.895429526</v>
      </c>
      <c r="AA79" s="16">
        <f>SUM(V$7:V79)</f>
        <v>17379473.780088108</v>
      </c>
      <c r="AC79" s="16">
        <v>73</v>
      </c>
      <c r="AD79" s="16">
        <f>IF(节奏总纲!P76&lt;C$13,0,求节点($C$18:$C$23,$F$18:$F$23,$Q79)*节奏总纲!W76)*$D$1</f>
        <v>45818.292521508018</v>
      </c>
      <c r="AE79" s="16">
        <f>IF(节奏总纲!Q76&lt;D$13,0,求节点($C$18:$C$23,$F$18:$F$23,$Q79)*节奏总纲!X76)*$D$1</f>
        <v>38355.595310220422</v>
      </c>
      <c r="AF79" s="16">
        <f>IF(节奏总纲!R76&lt;E$13,0,求节点($C$18:$C$23,$F$18:$F$23,$Q79)*节奏总纲!Y76)*$D$1</f>
        <v>31532.636538142164</v>
      </c>
      <c r="AG79" s="16">
        <f>IF(节奏总纲!S76&lt;F$13,0,求节点($C$18:$C$23,$F$18:$F$23,$Q79)*节奏总纲!Z76)*$D$1</f>
        <v>23307.638014905791</v>
      </c>
      <c r="AH79" s="16">
        <f>IF(节奏总纲!T76&lt;G$13,0,求节点($C$18:$C$23,$F$18:$F$23,$Q79)*节奏总纲!AA76)*$D$1</f>
        <v>12941.313027307266</v>
      </c>
      <c r="AI79" s="16">
        <f>SUM(AD$7:AD79)</f>
        <v>497655.24018226645</v>
      </c>
      <c r="AJ79" s="16">
        <f>SUM(AE$7:AE79)</f>
        <v>429519.83876313322</v>
      </c>
      <c r="AK79" s="16">
        <f>SUM(AF$7:AF79)</f>
        <v>349975.15281499177</v>
      </c>
      <c r="AL79" s="16">
        <f>SUM(AG$7:AG79)</f>
        <v>255688.79777324462</v>
      </c>
      <c r="AM79" s="16">
        <f>SUM(AH$7:AH79)</f>
        <v>141443.81851867554</v>
      </c>
      <c r="AO79" s="16">
        <v>73</v>
      </c>
      <c r="AP79" s="16">
        <f>IF(节奏总纲!P76&lt;C$13,0,求节点($C$18:$C$23,$H$18:$H$23,$Q79)*节奏总纲!W76)*$D$1</f>
        <v>1276502.4278732464</v>
      </c>
      <c r="AQ79" s="16">
        <f>IF(节奏总纲!Q76&lt;D$13,0,求节点($C$18:$C$23,$H$18:$H$23,$Q79)*节奏总纲!X76)*$D$1</f>
        <v>1068590.9020515508</v>
      </c>
      <c r="AR79" s="16">
        <f>IF(节奏总纲!R76&lt;E$13,0,求节点($C$18:$C$23,$H$18:$H$23,$Q79)*节奏总纲!Y76)*$D$1</f>
        <v>878502.55614148581</v>
      </c>
      <c r="AS79" s="16">
        <f>IF(节奏总纲!S76&lt;F$13,0,求节点($C$18:$C$23,$H$18:$H$23,$Q79)*节奏总纲!Z76)*$D$1</f>
        <v>649353.23593850038</v>
      </c>
      <c r="AT79" s="16">
        <f>IF(节奏总纲!T76&lt;G$13,0,求节点($C$18:$C$23,$H$18:$H$23,$Q79)*节奏总纲!AA76)*$D$1</f>
        <v>360546.3361924882</v>
      </c>
      <c r="AU79" s="16">
        <f>SUM(AP$7:AP79)</f>
        <v>11742910.275164675</v>
      </c>
      <c r="AV79" s="16">
        <f>SUM(AQ$7:AQ79)</f>
        <v>10130111.43773577</v>
      </c>
      <c r="AW79" s="16">
        <f>SUM(AR$7:AR79)</f>
        <v>8250004.7310488457</v>
      </c>
      <c r="AX79" s="16">
        <f>SUM(AS$7:AS79)</f>
        <v>6026955.5827897443</v>
      </c>
      <c r="AY79" s="16">
        <f>SUM(AT$7:AT79)</f>
        <v>3334259.4647497269</v>
      </c>
    </row>
    <row r="80" spans="10:51">
      <c r="J80" s="16">
        <v>74</v>
      </c>
      <c r="K80" s="16">
        <f>MAX(求节点(节奏总纲!$O$4:$O$163,节奏总纲!P$4:P$163,$J80)-INT(C$13),0)*$D$1*$D$2</f>
        <v>176.27641509471653</v>
      </c>
      <c r="L80" s="16">
        <f>MAX(求节点(节奏总纲!$O$4:$O$163,节奏总纲!Q$4:Q$163,$J80)-INT(D$13),0)*$D$1*$D$2</f>
        <v>152.59650849089192</v>
      </c>
      <c r="M80" s="16">
        <f>MAX(求节点(节奏总纲!$O$4:$O$163,节奏总纲!R$4:R$163,$J80)-INT(E$13),0)*$D$1*$D$2</f>
        <v>124.44382547196456</v>
      </c>
      <c r="N80" s="16">
        <f>MAX(求节点(节奏总纲!$O$4:$O$163,节奏总纲!S$4:S$163,$J80)-INT(F$13),0)*$D$1*$D$2</f>
        <v>91.043897170006318</v>
      </c>
      <c r="O80" s="16">
        <f>MAX(求节点(节奏总纲!$O$4:$O$163,节奏总纲!T$4:T$163,$J80)-INT(G$13),0)*$D$1*$D$2</f>
        <v>50.603583490674168</v>
      </c>
      <c r="Q80" s="16">
        <v>74</v>
      </c>
      <c r="R80" s="16">
        <f>IF(节奏总纲!P77&lt;C$13,0,求节点($C$18:$C$23,$E$18:$E$23,$Q80)*节奏总纲!W77)*$D$1</f>
        <v>6616658.6874069832</v>
      </c>
      <c r="S80" s="16">
        <f>IF(节奏总纲!Q77&lt;D$13,0,求节点($C$18:$C$23,$E$18:$E$23,$Q80)*节奏总纲!X77)*$D$1</f>
        <v>5702442.482397831</v>
      </c>
      <c r="T80" s="16">
        <f>IF(节奏总纲!R77&lt;E$13,0,求节点($C$18:$C$23,$E$18:$E$23,$Q80)*节奏总纲!Y77)*$D$1</f>
        <v>4751260.1669337424</v>
      </c>
      <c r="U80" s="16">
        <f>IF(节奏总纲!S77&lt;F$13,0,求节点($C$18:$C$23,$E$18:$E$23,$Q80)*节奏总纲!Z77)*$D$1</f>
        <v>3460100.4423328694</v>
      </c>
      <c r="V80" s="16">
        <f>IF(节奏总纲!T77&lt;G$13,0,求节点($C$18:$C$23,$E$18:$E$23,$Q80)*节奏总纲!AA77)*$D$1</f>
        <v>1925800.3055184423</v>
      </c>
      <c r="W80" s="16">
        <f>SUM(R$7:R80)</f>
        <v>67786731.449847817</v>
      </c>
      <c r="X80" s="16">
        <f>SUM(S$7:S80)</f>
        <v>58487477.899866782</v>
      </c>
      <c r="Y80" s="16">
        <f>SUM(T$7:T80)</f>
        <v>47752765.995745778</v>
      </c>
      <c r="Z80" s="16">
        <f>SUM(U$7:U80)</f>
        <v>34876011.337762393</v>
      </c>
      <c r="AA80" s="16">
        <f>SUM(V$7:V80)</f>
        <v>19305274.085606549</v>
      </c>
      <c r="AC80" s="16">
        <v>74</v>
      </c>
      <c r="AD80" s="16">
        <f>IF(节奏总纲!P77&lt;C$13,0,求节点($C$18:$C$23,$F$18:$F$23,$Q80)*节奏总纲!W77)*$D$1</f>
        <v>50021.922144488912</v>
      </c>
      <c r="AE80" s="16">
        <f>IF(节奏总纲!Q77&lt;D$13,0,求节点($C$18:$C$23,$F$18:$F$23,$Q80)*节奏总纲!X77)*$D$1</f>
        <v>43110.450057038754</v>
      </c>
      <c r="AF80" s="16">
        <f>IF(节奏总纲!R77&lt;E$13,0,求节点($C$18:$C$23,$F$18:$F$23,$Q80)*节奏总纲!Y77)*$D$1</f>
        <v>35919.514272499211</v>
      </c>
      <c r="AG80" s="16">
        <f>IF(节奏总纲!S77&lt;F$13,0,求节点($C$18:$C$23,$F$18:$F$23,$Q80)*节奏总纲!Z77)*$D$1</f>
        <v>26158.350175731292</v>
      </c>
      <c r="AH80" s="16">
        <f>IF(节奏总纲!T77&lt;G$13,0,求节点($C$18:$C$23,$F$18:$F$23,$Q80)*节奏总纲!AA77)*$D$1</f>
        <v>14559.04520688346</v>
      </c>
      <c r="AI80" s="16">
        <f>SUM(AD$7:AD80)</f>
        <v>547677.16232675535</v>
      </c>
      <c r="AJ80" s="16">
        <f>SUM(AE$7:AE80)</f>
        <v>472630.28882017196</v>
      </c>
      <c r="AK80" s="16">
        <f>SUM(AF$7:AF80)</f>
        <v>385894.66708749096</v>
      </c>
      <c r="AL80" s="16">
        <f>SUM(AG$7:AG80)</f>
        <v>281847.14794897591</v>
      </c>
      <c r="AM80" s="16">
        <f>SUM(AH$7:AH80)</f>
        <v>156002.863725559</v>
      </c>
      <c r="AO80" s="16">
        <v>74</v>
      </c>
      <c r="AP80" s="16">
        <f>IF(节奏总纲!P77&lt;C$13,0,求节点($C$18:$C$23,$H$18:$H$23,$Q80)*节奏总纲!W77)*$D$1</f>
        <v>1416982.9065954648</v>
      </c>
      <c r="AQ80" s="16">
        <f>IF(节奏总纲!Q77&lt;D$13,0,求节点($C$18:$C$23,$H$18:$H$23,$Q80)*节奏总纲!X77)*$D$1</f>
        <v>1221199.9900765817</v>
      </c>
      <c r="AR80" s="16">
        <f>IF(节奏总纲!R77&lt;E$13,0,求节点($C$18:$C$23,$H$18:$H$23,$Q80)*节奏总纲!Y77)*$D$1</f>
        <v>1017500.6388264261</v>
      </c>
      <c r="AS80" s="16">
        <f>IF(节奏总纲!S77&lt;F$13,0,求节点($C$18:$C$23,$H$18:$H$23,$Q80)*节奏总纲!Z77)*$D$1</f>
        <v>740993.81780420837</v>
      </c>
      <c r="AT80" s="16">
        <f>IF(节奏总纲!T77&lt;G$13,0,求节点($C$18:$C$23,$H$18:$H$23,$Q80)*节奏总纲!AA77)*$D$1</f>
        <v>412417.54235102632</v>
      </c>
      <c r="AU80" s="16">
        <f>SUM(AP$7:AP80)</f>
        <v>13159893.18176014</v>
      </c>
      <c r="AV80" s="16">
        <f>SUM(AQ$7:AQ80)</f>
        <v>11351311.427812351</v>
      </c>
      <c r="AW80" s="16">
        <f>SUM(AR$7:AR80)</f>
        <v>9267505.3698752709</v>
      </c>
      <c r="AX80" s="16">
        <f>SUM(AS$7:AS80)</f>
        <v>6767949.4005939523</v>
      </c>
      <c r="AY80" s="16">
        <f>SUM(AT$7:AT80)</f>
        <v>3746677.0071007535</v>
      </c>
    </row>
    <row r="81" spans="10:51">
      <c r="J81" s="16">
        <v>75</v>
      </c>
      <c r="K81" s="16">
        <f>MAX(求节点(节奏总纲!$O$4:$O$163,节奏总纲!P$4:P$163,$J81)-INT(C$13),0)*$D$1*$D$2</f>
        <v>190.82320318050733</v>
      </c>
      <c r="L81" s="16">
        <f>MAX(求节点(节奏总纲!$O$4:$O$163,节奏总纲!Q$4:Q$163,$J81)-INT(D$13),0)*$D$1*$D$2</f>
        <v>165.30327539177495</v>
      </c>
      <c r="M81" s="16">
        <f>MAX(求节点(节奏总纲!$O$4:$O$163,节奏总纲!R$4:R$163,$J81)-INT(E$13),0)*$D$1*$D$2</f>
        <v>134.85801857052701</v>
      </c>
      <c r="N81" s="16">
        <f>MAX(求节点(节奏总纲!$O$4:$O$163,节奏总纲!S$4:S$163,$J81)-INT(F$13),0)*$D$1*$D$2</f>
        <v>98.656814606866718</v>
      </c>
      <c r="O81" s="16">
        <f>MAX(求节点(节奏总纲!$O$4:$O$163,节奏总纲!T$4:T$163,$J81)-INT(G$13),0)*$D$1*$D$2</f>
        <v>54.906670914395853</v>
      </c>
      <c r="Q81" s="16">
        <v>75</v>
      </c>
      <c r="R81" s="16">
        <f>IF(节奏总纲!P78&lt;C$13,0,求节点($C$18:$C$23,$E$18:$E$23,$Q81)*节奏总纲!W78)*$D$1</f>
        <v>7273394.0428954158</v>
      </c>
      <c r="S81" s="16">
        <f>IF(节奏总纲!Q78&lt;D$13,0,求节点($C$18:$C$23,$E$18:$E$23,$Q81)*节奏总纲!X78)*$D$1</f>
        <v>6353383.4504415095</v>
      </c>
      <c r="T81" s="16">
        <f>IF(节奏总纲!R78&lt;E$13,0,求节点($C$18:$C$23,$E$18:$E$23,$Q81)*节奏总纲!Y78)*$D$1</f>
        <v>5207096.5492812153</v>
      </c>
      <c r="U81" s="16">
        <f>IF(节奏总纲!S78&lt;F$13,0,求节点($C$18:$C$23,$E$18:$E$23,$Q81)*节奏总纲!Z78)*$D$1</f>
        <v>3806458.7184302043</v>
      </c>
      <c r="V81" s="16">
        <f>IF(节奏总纲!T78&lt;G$13,0,求节点($C$18:$C$23,$E$18:$E$23,$Q81)*节奏总纲!AA78)*$D$1</f>
        <v>2151543.7118608449</v>
      </c>
      <c r="W81" s="16">
        <f>SUM(R$7:R81)</f>
        <v>75060125.492743239</v>
      </c>
      <c r="X81" s="16">
        <f>SUM(S$7:S81)</f>
        <v>64840861.350308292</v>
      </c>
      <c r="Y81" s="16">
        <f>SUM(T$7:T81)</f>
        <v>52959862.545026995</v>
      </c>
      <c r="Z81" s="16">
        <f>SUM(U$7:U81)</f>
        <v>38682470.056192599</v>
      </c>
      <c r="AA81" s="16">
        <f>SUM(V$7:V81)</f>
        <v>21456817.797467396</v>
      </c>
      <c r="AC81" s="16">
        <v>75</v>
      </c>
      <c r="AD81" s="16">
        <f>IF(节奏总纲!P78&lt;C$13,0,求节点($C$18:$C$23,$F$18:$F$23,$Q81)*节奏总纲!W78)*$D$1</f>
        <v>54592.940150810478</v>
      </c>
      <c r="AE81" s="16">
        <f>IF(节奏总纲!Q78&lt;D$13,0,求节点($C$18:$C$23,$F$18:$F$23,$Q81)*节奏总纲!X78)*$D$1</f>
        <v>47687.486807332112</v>
      </c>
      <c r="AF81" s="16">
        <f>IF(节奏总纲!R78&lt;E$13,0,求节点($C$18:$C$23,$F$18:$F$23,$Q81)*节奏总纲!Y78)*$D$1</f>
        <v>39083.639439564548</v>
      </c>
      <c r="AG81" s="16">
        <f>IF(节奏总纲!S78&lt;F$13,0,求节点($C$18:$C$23,$F$18:$F$23,$Q81)*节奏总纲!Z78)*$D$1</f>
        <v>28570.674402657125</v>
      </c>
      <c r="AH81" s="16">
        <f>IF(节奏总纲!T78&lt;G$13,0,求节点($C$18:$C$23,$F$18:$F$23,$Q81)*节奏总纲!AA78)*$D$1</f>
        <v>16149.145282209023</v>
      </c>
      <c r="AI81" s="16">
        <f>SUM(AD$7:AD81)</f>
        <v>602270.10247756587</v>
      </c>
      <c r="AJ81" s="16">
        <f>SUM(AE$7:AE81)</f>
        <v>520317.7756275041</v>
      </c>
      <c r="AK81" s="16">
        <f>SUM(AF$7:AF81)</f>
        <v>424978.30652705551</v>
      </c>
      <c r="AL81" s="16">
        <f>SUM(AG$7:AG81)</f>
        <v>310417.82235163305</v>
      </c>
      <c r="AM81" s="16">
        <f>SUM(AH$7:AH81)</f>
        <v>172152.00900776804</v>
      </c>
      <c r="AO81" s="16">
        <v>75</v>
      </c>
      <c r="AP81" s="16">
        <f>IF(节奏总纲!P78&lt;C$13,0,求节点($C$18:$C$23,$H$18:$H$23,$Q81)*节奏总纲!W78)*$D$1</f>
        <v>1571053.1132654098</v>
      </c>
      <c r="AQ81" s="16">
        <f>IF(节奏总纲!Q78&lt;D$13,0,求节点($C$18:$C$23,$H$18:$H$23,$Q81)*节奏总纲!X78)*$D$1</f>
        <v>1372330.8252953661</v>
      </c>
      <c r="AR81" s="16">
        <f>IF(节奏总纲!R78&lt;E$13,0,求节点($C$18:$C$23,$H$18:$H$23,$Q81)*节奏总纲!Y78)*$D$1</f>
        <v>1124732.8546447423</v>
      </c>
      <c r="AS81" s="16">
        <f>IF(节奏总纲!S78&lt;F$13,0,求节点($C$18:$C$23,$H$18:$H$23,$Q81)*节奏总纲!Z78)*$D$1</f>
        <v>822195.08318092406</v>
      </c>
      <c r="AT81" s="16">
        <f>IF(节奏总纲!T78&lt;G$13,0,求节点($C$18:$C$23,$H$18:$H$23,$Q81)*节奏总纲!AA78)*$D$1</f>
        <v>464733.44176194241</v>
      </c>
      <c r="AU81" s="16">
        <f>SUM(AP$7:AP81)</f>
        <v>14730946.29502555</v>
      </c>
      <c r="AV81" s="16">
        <f>SUM(AQ$7:AQ81)</f>
        <v>12723642.253107717</v>
      </c>
      <c r="AW81" s="16">
        <f>SUM(AR$7:AR81)</f>
        <v>10392238.224520013</v>
      </c>
      <c r="AX81" s="16">
        <f>SUM(AS$7:AS81)</f>
        <v>7590144.4837748762</v>
      </c>
      <c r="AY81" s="16">
        <f>SUM(AT$7:AT81)</f>
        <v>4211410.4488626961</v>
      </c>
    </row>
    <row r="82" spans="10:51">
      <c r="J82" s="16">
        <v>76</v>
      </c>
      <c r="K82" s="16">
        <f>MAX(求节点(节奏总纲!$O$4:$O$163,节奏总纲!P$4:P$163,$J82)-INT(C$13),0)*$D$1*$D$2</f>
        <v>206.41406461599709</v>
      </c>
      <c r="L82" s="16">
        <f>MAX(求节点(节奏总纲!$O$4:$O$163,节奏总纲!Q$4:Q$163,$J82)-INT(D$13),0)*$D$1*$D$2</f>
        <v>178.76932729929911</v>
      </c>
      <c r="M82" s="16">
        <f>MAX(求节点(节奏总纲!$O$4:$O$163,节奏总纲!R$4:R$163,$J82)-INT(E$13),0)*$D$1*$D$2</f>
        <v>145.82062790289476</v>
      </c>
      <c r="N82" s="16">
        <f>MAX(求节点(节奏总纲!$O$4:$O$163,节奏总纲!S$4:S$163,$J82)-INT(F$13),0)*$D$1*$D$2</f>
        <v>106.84556969047128</v>
      </c>
      <c r="O82" s="16">
        <f>MAX(求节点(节奏总纲!$O$4:$O$163,节奏总纲!T$4:T$163,$J82)-INT(G$13),0)*$D$1*$D$2</f>
        <v>59.597496235253566</v>
      </c>
      <c r="Q82" s="16">
        <v>76</v>
      </c>
      <c r="R82" s="16">
        <f>IF(节奏总纲!P79&lt;C$13,0,求节点($C$18:$C$23,$E$18:$E$23,$Q82)*节奏总纲!W79)*$D$1</f>
        <v>7795430.7177448757</v>
      </c>
      <c r="S82" s="16">
        <f>IF(节奏总纲!Q79&lt;D$13,0,求节点($C$18:$C$23,$E$18:$E$23,$Q82)*节奏总纲!X79)*$D$1</f>
        <v>6733025.9537620693</v>
      </c>
      <c r="T82" s="16">
        <f>IF(节奏总纲!R79&lt;E$13,0,求节点($C$18:$C$23,$E$18:$E$23,$Q82)*节奏总纲!Y79)*$D$1</f>
        <v>5481304.6661838768</v>
      </c>
      <c r="U82" s="16">
        <f>IF(节奏总纲!S79&lt;F$13,0,求节点($C$18:$C$23,$E$18:$E$23,$Q82)*节奏总纲!Z79)*$D$1</f>
        <v>4094377.5418022824</v>
      </c>
      <c r="V82" s="16">
        <f>IF(节奏总纲!T79&lt;G$13,0,求节点($C$18:$C$23,$E$18:$E$23,$Q82)*节奏总纲!AA79)*$D$1</f>
        <v>2345412.6604288518</v>
      </c>
      <c r="W82" s="16">
        <f>SUM(R$7:R82)</f>
        <v>82855556.210488111</v>
      </c>
      <c r="X82" s="16">
        <f>SUM(S$7:S82)</f>
        <v>71573887.304070354</v>
      </c>
      <c r="Y82" s="16">
        <f>SUM(T$7:T82)</f>
        <v>58441167.211210869</v>
      </c>
      <c r="Z82" s="16">
        <f>SUM(U$7:U82)</f>
        <v>42776847.597994879</v>
      </c>
      <c r="AA82" s="16">
        <f>SUM(V$7:V82)</f>
        <v>23802230.457896248</v>
      </c>
      <c r="AC82" s="16">
        <v>76</v>
      </c>
      <c r="AD82" s="16">
        <f>IF(节奏总纲!P79&lt;C$13,0,求节点($C$18:$C$23,$F$18:$F$23,$Q82)*节奏总纲!W79)*$D$1</f>
        <v>59792.628538605371</v>
      </c>
      <c r="AE82" s="16">
        <f>IF(节奏总纲!Q79&lt;D$13,0,求节点($C$18:$C$23,$F$18:$F$23,$Q82)*节奏总纲!X79)*$D$1</f>
        <v>51643.755729580473</v>
      </c>
      <c r="AF82" s="16">
        <f>IF(节奏总纲!R79&lt;E$13,0,求节点($C$18:$C$23,$F$18:$F$23,$Q82)*节奏总纲!Y79)*$D$1</f>
        <v>42042.784507854441</v>
      </c>
      <c r="AG82" s="16">
        <f>IF(节奏总纲!S79&lt;F$13,0,求节点($C$18:$C$23,$F$18:$F$23,$Q82)*节奏总纲!Z79)*$D$1</f>
        <v>31404.755467394327</v>
      </c>
      <c r="AH82" s="16">
        <f>IF(节奏总纲!T79&lt;G$13,0,求节点($C$18:$C$23,$F$18:$F$23,$Q82)*节奏总纲!AA79)*$D$1</f>
        <v>17989.819043037278</v>
      </c>
      <c r="AI82" s="16">
        <f>SUM(AD$7:AD82)</f>
        <v>662062.73101617128</v>
      </c>
      <c r="AJ82" s="16">
        <f>SUM(AE$7:AE82)</f>
        <v>571961.53135708463</v>
      </c>
      <c r="AK82" s="16">
        <f>SUM(AF$7:AF82)</f>
        <v>467021.09103490994</v>
      </c>
      <c r="AL82" s="16">
        <f>SUM(AG$7:AG82)</f>
        <v>341822.57781902736</v>
      </c>
      <c r="AM82" s="16">
        <f>SUM(AH$7:AH82)</f>
        <v>190141.82805080531</v>
      </c>
      <c r="AO82" s="16">
        <v>76</v>
      </c>
      <c r="AP82" s="16">
        <f>IF(节奏总纲!P79&lt;C$13,0,求节点($C$18:$C$23,$H$18:$H$23,$Q82)*节奏总纲!W79)*$D$1</f>
        <v>1683813.0350328931</v>
      </c>
      <c r="AQ82" s="16">
        <f>IF(节奏总纲!Q79&lt;D$13,0,求节点($C$18:$C$23,$H$18:$H$23,$Q82)*节奏总纲!X79)*$D$1</f>
        <v>1454333.606012607</v>
      </c>
      <c r="AR82" s="16">
        <f>IF(节奏总纲!R79&lt;E$13,0,求节点($C$18:$C$23,$H$18:$H$23,$Q82)*节奏总纲!Y79)*$D$1</f>
        <v>1183961.8078957174</v>
      </c>
      <c r="AS82" s="16">
        <f>IF(节奏总纲!S79&lt;F$13,0,求节点($C$18:$C$23,$H$18:$H$23,$Q82)*节奏总纲!Z79)*$D$1</f>
        <v>884385.549029293</v>
      </c>
      <c r="AT82" s="16">
        <f>IF(节奏总纲!T79&lt;G$13,0,求节点($C$18:$C$23,$H$18:$H$23,$Q82)*节奏总纲!AA79)*$D$1</f>
        <v>506609.13465263206</v>
      </c>
      <c r="AU82" s="16">
        <f>SUM(AP$7:AP82)</f>
        <v>16414759.330058442</v>
      </c>
      <c r="AV82" s="16">
        <f>SUM(AQ$7:AQ82)</f>
        <v>14177975.859120324</v>
      </c>
      <c r="AW82" s="16">
        <f>SUM(AR$7:AR82)</f>
        <v>11576200.032415731</v>
      </c>
      <c r="AX82" s="16">
        <f>SUM(AS$7:AS82)</f>
        <v>8474530.0328041688</v>
      </c>
      <c r="AY82" s="16">
        <f>SUM(AT$7:AT82)</f>
        <v>4718019.5835153284</v>
      </c>
    </row>
    <row r="83" spans="10:51">
      <c r="J83" s="16">
        <v>77</v>
      </c>
      <c r="K83" s="16">
        <f>MAX(求节点(节奏总纲!$O$4:$O$163,节奏总纲!P$4:P$163,$J83)-INT(C$13),0)*$D$1*$D$2</f>
        <v>223.12393616063551</v>
      </c>
      <c r="L83" s="16">
        <f>MAX(求节点(节奏总纲!$O$4:$O$163,节奏总纲!Q$4:Q$163,$J83)-INT(D$13),0)*$D$1*$D$2</f>
        <v>193.34919914064611</v>
      </c>
      <c r="M83" s="16">
        <f>MAX(求节点(节奏总纲!$O$4:$O$163,节奏总纲!R$4:R$163,$J83)-INT(E$13),0)*$D$1*$D$2</f>
        <v>157.83817919534602</v>
      </c>
      <c r="N83" s="16">
        <f>MAX(求节点(节奏总纲!$O$4:$O$163,节奏总纲!S$4:S$163,$J83)-INT(F$13),0)*$D$1*$D$2</f>
        <v>115.7049552609859</v>
      </c>
      <c r="O83" s="16">
        <f>MAX(求节点(节奏总纲!$O$4:$O$163,节奏总纲!T$4:T$163,$J83)-INT(G$13),0)*$D$1*$D$2</f>
        <v>64.242796433414838</v>
      </c>
      <c r="Q83" s="16">
        <v>77</v>
      </c>
      <c r="R83" s="16">
        <f>IF(节奏总纲!P80&lt;C$13,0,求节点($C$18:$C$23,$E$18:$E$23,$Q83)*节奏总纲!W80)*$D$1</f>
        <v>8354935.7723192032</v>
      </c>
      <c r="S83" s="16">
        <f>IF(节奏总纲!Q80&lt;D$13,0,求节点($C$18:$C$23,$E$18:$E$23,$Q83)*节奏总纲!X80)*$D$1</f>
        <v>7289935.9206735138</v>
      </c>
      <c r="T83" s="16">
        <f>IF(节奏总纲!R80&lt;E$13,0,求节点($C$18:$C$23,$E$18:$E$23,$Q83)*节奏总纲!Y80)*$D$1</f>
        <v>6008775.6462256154</v>
      </c>
      <c r="U83" s="16">
        <f>IF(节奏总纲!S80&lt;F$13,0,求节点($C$18:$C$23,$E$18:$E$23,$Q83)*节奏总纲!Z80)*$D$1</f>
        <v>4429692.785257305</v>
      </c>
      <c r="V83" s="16">
        <f>IF(节奏总纲!T80&lt;G$13,0,求节点($C$18:$C$23,$E$18:$E$23,$Q83)*节奏总纲!AA80)*$D$1</f>
        <v>2322650.0990806399</v>
      </c>
      <c r="W83" s="16">
        <f>SUM(R$7:R83)</f>
        <v>91210491.982807308</v>
      </c>
      <c r="X83" s="16">
        <f>SUM(S$7:S83)</f>
        <v>78863823.224743873</v>
      </c>
      <c r="Y83" s="16">
        <f>SUM(T$7:T83)</f>
        <v>64449942.857436486</v>
      </c>
      <c r="Z83" s="16">
        <f>SUM(U$7:U83)</f>
        <v>47206540.383252181</v>
      </c>
      <c r="AA83" s="16">
        <f>SUM(V$7:V83)</f>
        <v>26124880.556976888</v>
      </c>
      <c r="AC83" s="16">
        <v>77</v>
      </c>
      <c r="AD83" s="16">
        <f>IF(节奏总纲!P80&lt;C$13,0,求节点($C$18:$C$23,$F$18:$F$23,$Q83)*节奏总纲!W80)*$D$1</f>
        <v>65457.48450024725</v>
      </c>
      <c r="AE83" s="16">
        <f>IF(节奏总纲!Q80&lt;D$13,0,求节点($C$18:$C$23,$F$18:$F$23,$Q83)*节奏总纲!X80)*$D$1</f>
        <v>57113.64881059093</v>
      </c>
      <c r="AF83" s="16">
        <f>IF(节奏总纲!R80&lt;E$13,0,求节点($C$18:$C$23,$F$18:$F$23,$Q83)*节奏总纲!Y80)*$D$1</f>
        <v>47076.28513810788</v>
      </c>
      <c r="AG83" s="16">
        <f>IF(节奏总纲!S80&lt;F$13,0,求节点($C$18:$C$23,$F$18:$F$23,$Q83)*节奏总纲!Z80)*$D$1</f>
        <v>34704.820567561299</v>
      </c>
      <c r="AH83" s="16">
        <f>IF(节奏总纲!T80&lt;G$13,0,求节点($C$18:$C$23,$F$18:$F$23,$Q83)*节奏总纲!AA80)*$D$1</f>
        <v>18197.00797267364</v>
      </c>
      <c r="AI83" s="16">
        <f>SUM(AD$7:AD83)</f>
        <v>727520.21551641857</v>
      </c>
      <c r="AJ83" s="16">
        <f>SUM(AE$7:AE83)</f>
        <v>629075.1801676756</v>
      </c>
      <c r="AK83" s="16">
        <f>SUM(AF$7:AF83)</f>
        <v>514097.37617301784</v>
      </c>
      <c r="AL83" s="16">
        <f>SUM(AG$7:AG83)</f>
        <v>376527.39838658867</v>
      </c>
      <c r="AM83" s="16">
        <f>SUM(AH$7:AH83)</f>
        <v>208338.83602347894</v>
      </c>
      <c r="AO83" s="16">
        <v>77</v>
      </c>
      <c r="AP83" s="16">
        <f>IF(节奏总纲!P80&lt;C$13,0,求节点($C$18:$C$23,$H$18:$H$23,$Q83)*节奏总纲!W80)*$D$1</f>
        <v>1804666.126820948</v>
      </c>
      <c r="AQ83" s="16">
        <f>IF(节奏总纲!Q80&lt;D$13,0,求节点($C$18:$C$23,$H$18:$H$23,$Q83)*节奏总纲!X80)*$D$1</f>
        <v>1574626.1588654793</v>
      </c>
      <c r="AR83" s="16">
        <f>IF(节奏总纲!R80&lt;E$13,0,求节点($C$18:$C$23,$H$18:$H$23,$Q83)*节奏总纲!Y80)*$D$1</f>
        <v>1297895.5395847331</v>
      </c>
      <c r="AS83" s="16">
        <f>IF(节奏总纲!S80&lt;F$13,0,求节点($C$18:$C$23,$H$18:$H$23,$Q83)*节奏总纲!Z80)*$D$1</f>
        <v>956813.64161557774</v>
      </c>
      <c r="AT83" s="16">
        <f>IF(节奏总纲!T80&lt;G$13,0,求节点($C$18:$C$23,$H$18:$H$23,$Q83)*节奏总纲!AA80)*$D$1</f>
        <v>501692.42140141828</v>
      </c>
      <c r="AU83" s="16">
        <f>SUM(AP$7:AP83)</f>
        <v>18219425.456879392</v>
      </c>
      <c r="AV83" s="16">
        <f>SUM(AQ$7:AQ83)</f>
        <v>15752602.017985804</v>
      </c>
      <c r="AW83" s="16">
        <f>SUM(AR$7:AR83)</f>
        <v>12874095.572000464</v>
      </c>
      <c r="AX83" s="16">
        <f>SUM(AS$7:AS83)</f>
        <v>9431343.6744197458</v>
      </c>
      <c r="AY83" s="16">
        <f>SUM(AT$7:AT83)</f>
        <v>5219712.0049167462</v>
      </c>
    </row>
    <row r="84" spans="10:51">
      <c r="J84" s="16">
        <v>78</v>
      </c>
      <c r="K84" s="16">
        <f>MAX(求节点(节奏总纲!$O$4:$O$163,节奏总纲!P$4:P$163,$J84)-INT(C$13),0)*$D$1*$D$2</f>
        <v>241.0331330445693</v>
      </c>
      <c r="L84" s="16">
        <f>MAX(求节点(节奏总纲!$O$4:$O$163,节奏总纲!Q$4:Q$163,$J84)-INT(D$13),0)*$D$1*$D$2</f>
        <v>208.85139996337921</v>
      </c>
      <c r="M84" s="16">
        <f>MAX(求节点(节奏总纲!$O$4:$O$163,节奏总纲!R$4:R$163,$J84)-INT(E$13),0)*$D$1*$D$2</f>
        <v>170.67942138868625</v>
      </c>
      <c r="N84" s="16">
        <f>MAX(求节点(节奏总纲!$O$4:$O$163,节奏总纲!S$4:S$163,$J84)-INT(F$13),0)*$D$1*$D$2</f>
        <v>125.00161936343594</v>
      </c>
      <c r="O84" s="16">
        <f>MAX(求节点(节奏总纲!$O$4:$O$163,节奏总纲!T$4:T$163,$J84)-INT(G$13),0)*$D$1*$D$2</f>
        <v>69.182285870486936</v>
      </c>
      <c r="Q84" s="16">
        <v>78</v>
      </c>
      <c r="R84" s="16">
        <f>IF(节奏总纲!P81&lt;C$13,0,求节点($C$18:$C$23,$E$18:$E$23,$Q84)*节奏总纲!W81)*$D$1</f>
        <v>8954598.4419668969</v>
      </c>
      <c r="S84" s="16">
        <f>IF(节奏总纲!Q81&lt;D$13,0,求节点($C$18:$C$23,$E$18:$E$23,$Q84)*节奏总纲!X81)*$D$1</f>
        <v>7751100.411366554</v>
      </c>
      <c r="T84" s="16">
        <f>IF(节奏总纲!R81&lt;E$13,0,求节点($C$18:$C$23,$E$18:$E$23,$Q84)*节奏总纲!Y81)*$D$1</f>
        <v>6420621.0966701349</v>
      </c>
      <c r="U84" s="16">
        <f>IF(节奏总纲!S81&lt;F$13,0,求节点($C$18:$C$23,$E$18:$E$23,$Q84)*节奏总纲!Z81)*$D$1</f>
        <v>4648332.0512250112</v>
      </c>
      <c r="V84" s="16">
        <f>IF(节奏总纲!T81&lt;G$13,0,求节点($C$18:$C$23,$E$18:$E$23,$Q84)*节奏总纲!AA81)*$D$1</f>
        <v>2469744.7185360435</v>
      </c>
      <c r="W84" s="16">
        <f>SUM(R$7:R84)</f>
        <v>100165090.4247742</v>
      </c>
      <c r="X84" s="16">
        <f>SUM(S$7:S84)</f>
        <v>86614923.636110425</v>
      </c>
      <c r="Y84" s="16">
        <f>SUM(T$7:T84)</f>
        <v>70870563.954106614</v>
      </c>
      <c r="Z84" s="16">
        <f>SUM(U$7:U84)</f>
        <v>51854872.434477195</v>
      </c>
      <c r="AA84" s="16">
        <f>SUM(V$7:V84)</f>
        <v>28594625.275512934</v>
      </c>
      <c r="AC84" s="16">
        <v>78</v>
      </c>
      <c r="AD84" s="16">
        <f>IF(节奏总纲!P81&lt;C$13,0,求节点($C$18:$C$23,$F$18:$F$23,$Q84)*节奏总纲!W81)*$D$1</f>
        <v>71627.495580246788</v>
      </c>
      <c r="AE84" s="16">
        <f>IF(节奏总纲!Q81&lt;D$13,0,求节点($C$18:$C$23,$F$18:$F$23,$Q84)*节奏总纲!X81)*$D$1</f>
        <v>62000.760174261683</v>
      </c>
      <c r="AF84" s="16">
        <f>IF(节奏总纲!R81&lt;E$13,0,求节点($C$18:$C$23,$F$18:$F$23,$Q84)*节奏总纲!Y81)*$D$1</f>
        <v>51358.306260706304</v>
      </c>
      <c r="AG84" s="16">
        <f>IF(节奏总纲!S81&lt;F$13,0,求节点($C$18:$C$23,$F$18:$F$23,$Q84)*节奏总纲!Z81)*$D$1</f>
        <v>37181.832955706072</v>
      </c>
      <c r="AH84" s="16">
        <f>IF(节奏总纲!T81&lt;G$13,0,求节点($C$18:$C$23,$F$18:$F$23,$Q84)*节奏总纲!AA81)*$D$1</f>
        <v>19755.39495799227</v>
      </c>
      <c r="AI84" s="16">
        <f>SUM(AD$7:AD84)</f>
        <v>799147.71109666536</v>
      </c>
      <c r="AJ84" s="16">
        <f>SUM(AE$7:AE84)</f>
        <v>691075.94034193724</v>
      </c>
      <c r="AK84" s="16">
        <f>SUM(AF$7:AF84)</f>
        <v>565455.68243372417</v>
      </c>
      <c r="AL84" s="16">
        <f>SUM(AG$7:AG84)</f>
        <v>413709.23134229472</v>
      </c>
      <c r="AM84" s="16">
        <f>SUM(AH$7:AH84)</f>
        <v>228094.23098147122</v>
      </c>
      <c r="AO84" s="16">
        <v>78</v>
      </c>
      <c r="AP84" s="16">
        <f>IF(节奏总纲!P81&lt;C$13,0,求节点($C$18:$C$23,$H$18:$H$23,$Q84)*节奏总纲!W81)*$D$1</f>
        <v>1934193.2634648497</v>
      </c>
      <c r="AQ84" s="16">
        <f>IF(节奏总纲!Q81&lt;D$13,0,求节点($C$18:$C$23,$H$18:$H$23,$Q84)*节奏总纲!X81)*$D$1</f>
        <v>1674237.6888551754</v>
      </c>
      <c r="AR84" s="16">
        <f>IF(节奏总纲!R81&lt;E$13,0,求节点($C$18:$C$23,$H$18:$H$23,$Q84)*节奏总纲!Y81)*$D$1</f>
        <v>1386854.1568807492</v>
      </c>
      <c r="AS84" s="16">
        <f>IF(节奏总纲!S81&lt;F$13,0,求节点($C$18:$C$23,$H$18:$H$23,$Q84)*节奏总纲!Z81)*$D$1</f>
        <v>1004039.7230646025</v>
      </c>
      <c r="AT84" s="16">
        <f>IF(节奏总纲!T81&lt;G$13,0,求节点($C$18:$C$23,$H$18:$H$23,$Q84)*节奏总纲!AA81)*$D$1</f>
        <v>533464.85920378531</v>
      </c>
      <c r="AU84" s="16">
        <f>SUM(AP$7:AP84)</f>
        <v>20153618.720344242</v>
      </c>
      <c r="AV84" s="16">
        <f>SUM(AQ$7:AQ84)</f>
        <v>17426839.706840981</v>
      </c>
      <c r="AW84" s="16">
        <f>SUM(AR$7:AR84)</f>
        <v>14260949.728881214</v>
      </c>
      <c r="AX84" s="16">
        <f>SUM(AS$7:AS84)</f>
        <v>10435383.397484349</v>
      </c>
      <c r="AY84" s="16">
        <f>SUM(AT$7:AT84)</f>
        <v>5753176.8641205318</v>
      </c>
    </row>
    <row r="85" spans="10:51">
      <c r="J85" s="16">
        <v>79</v>
      </c>
      <c r="K85" s="16">
        <f>MAX(求节点(节奏总纲!$O$4:$O$163,节奏总纲!P$4:P$163,$J85)-INT(C$13),0)*$D$1*$D$2</f>
        <v>260.2277350001072</v>
      </c>
      <c r="L85" s="16">
        <f>MAX(求节点(节奏总纲!$O$4:$O$163,节奏总纲!Q$4:Q$163,$J85)-INT(D$13),0)*$D$1*$D$2</f>
        <v>225.69458960409284</v>
      </c>
      <c r="M85" s="16">
        <f>MAX(求节点(节奏总纲!$O$4:$O$163,节奏总纲!R$4:R$163,$J85)-INT(E$13),0)*$D$1*$D$2</f>
        <v>184.48243520907604</v>
      </c>
      <c r="N85" s="16">
        <f>MAX(求节点(节奏总纲!$O$4:$O$163,节奏总纲!S$4:S$163,$J85)-INT(F$13),0)*$D$1*$D$2</f>
        <v>134.53739563605546</v>
      </c>
      <c r="O85" s="16">
        <f>MAX(求节点(节奏总纲!$O$4:$O$163,节奏总纲!T$4:T$163,$J85)-INT(G$13),0)*$D$1*$D$2</f>
        <v>74.546503304030679</v>
      </c>
      <c r="Q85" s="16">
        <v>79</v>
      </c>
      <c r="R85" s="16">
        <f>IF(节奏总纲!P82&lt;C$13,0,求节点($C$18:$C$23,$E$18:$E$23,$Q85)*节奏总纲!W82)*$D$1</f>
        <v>9597300.9777689353</v>
      </c>
      <c r="S85" s="16">
        <f>IF(节奏总纲!Q82&lt;D$13,0,求节点($C$18:$C$23,$E$18:$E$23,$Q85)*节奏总纲!X82)*$D$1</f>
        <v>8421594.8203568086</v>
      </c>
      <c r="T85" s="16">
        <f>IF(节奏总纲!R82&lt;E$13,0,求节点($C$18:$C$23,$E$18:$E$23,$Q85)*节奏总纲!Y82)*$D$1</f>
        <v>6901506.9101948943</v>
      </c>
      <c r="U85" s="16">
        <f>IF(节奏总纲!S82&lt;F$13,0,求节点($C$18:$C$23,$E$18:$E$23,$Q85)*节奏总纲!Z82)*$D$1</f>
        <v>4767888.1363097671</v>
      </c>
      <c r="V85" s="16">
        <f>IF(节奏总纲!T82&lt;G$13,0,求节点($C$18:$C$23,$E$18:$E$23,$Q85)*节奏总纲!AA82)*$D$1</f>
        <v>2682108.7167718788</v>
      </c>
      <c r="W85" s="16">
        <f>SUM(R$7:R85)</f>
        <v>109762391.40254313</v>
      </c>
      <c r="X85" s="16">
        <f>SUM(S$7:S85)</f>
        <v>95036518.456467241</v>
      </c>
      <c r="Y85" s="16">
        <f>SUM(T$7:T85)</f>
        <v>77772070.864301503</v>
      </c>
      <c r="Z85" s="16">
        <f>SUM(U$7:U85)</f>
        <v>56622760.57078696</v>
      </c>
      <c r="AA85" s="16">
        <f>SUM(V$7:V85)</f>
        <v>31276733.992284812</v>
      </c>
      <c r="AC85" s="16">
        <v>79</v>
      </c>
      <c r="AD85" s="16">
        <f>IF(节奏总纲!P82&lt;C$13,0,求节点($C$18:$C$23,$F$18:$F$23,$Q85)*节奏总纲!W82)*$D$1</f>
        <v>78345.993134010118</v>
      </c>
      <c r="AE85" s="16">
        <f>IF(节奏总纲!Q82&lt;D$13,0,求节点($C$18:$C$23,$F$18:$F$23,$Q85)*节奏总纲!X82)*$D$1</f>
        <v>68748.308665263045</v>
      </c>
      <c r="AF85" s="16">
        <f>IF(节奏总纲!R82&lt;E$13,0,求节点($C$18:$C$23,$F$18:$F$23,$Q85)*节奏总纲!Y82)*$D$1</f>
        <v>56339.320216479144</v>
      </c>
      <c r="AG85" s="16">
        <f>IF(节奏总纲!S82&lt;F$13,0,求节点($C$18:$C$23,$F$18:$F$23,$Q85)*节奏总纲!Z82)*$D$1</f>
        <v>38921.87314499441</v>
      </c>
      <c r="AH85" s="16">
        <f>IF(节奏总纲!T82&lt;G$13,0,求节点($C$18:$C$23,$F$18:$F$23,$Q85)*节奏总纲!AA82)*$D$1</f>
        <v>21894.95479985742</v>
      </c>
      <c r="AI85" s="16">
        <f>SUM(AD$7:AD85)</f>
        <v>877493.70423067547</v>
      </c>
      <c r="AJ85" s="16">
        <f>SUM(AE$7:AE85)</f>
        <v>759824.24900720024</v>
      </c>
      <c r="AK85" s="16">
        <f>SUM(AF$7:AF85)</f>
        <v>621795.0026502033</v>
      </c>
      <c r="AL85" s="16">
        <f>SUM(AG$7:AG85)</f>
        <v>452631.10448728915</v>
      </c>
      <c r="AM85" s="16">
        <f>SUM(AH$7:AH85)</f>
        <v>249989.18578132865</v>
      </c>
      <c r="AO85" s="16">
        <v>79</v>
      </c>
      <c r="AP85" s="16">
        <f>IF(节奏总纲!P82&lt;C$13,0,求节点($C$18:$C$23,$H$18:$H$23,$Q85)*节奏总纲!W82)*$D$1</f>
        <v>2073017.0111980902</v>
      </c>
      <c r="AQ85" s="16">
        <f>IF(节奏总纲!Q82&lt;D$13,0,求节点($C$18:$C$23,$H$18:$H$23,$Q85)*节奏总纲!X82)*$D$1</f>
        <v>1819064.4811970706</v>
      </c>
      <c r="AR85" s="16">
        <f>IF(节奏总纲!R82&lt;E$13,0,求节点($C$18:$C$23,$H$18:$H$23,$Q85)*节奏总纲!Y82)*$D$1</f>
        <v>1490725.4926020969</v>
      </c>
      <c r="AS85" s="16">
        <f>IF(节奏总纲!S82&lt;F$13,0,求节点($C$18:$C$23,$H$18:$H$23,$Q85)*节奏总纲!Z82)*$D$1</f>
        <v>1029863.8374429097</v>
      </c>
      <c r="AT85" s="16">
        <f>IF(节奏总纲!T82&lt;G$13,0,求节点($C$18:$C$23,$H$18:$H$23,$Q85)*节奏总纲!AA82)*$D$1</f>
        <v>579335.48282272578</v>
      </c>
      <c r="AU85" s="16">
        <f>SUM(AP$7:AP85)</f>
        <v>22226635.73154233</v>
      </c>
      <c r="AV85" s="16">
        <f>SUM(AQ$7:AQ85)</f>
        <v>19245904.188038051</v>
      </c>
      <c r="AW85" s="16">
        <f>SUM(AR$7:AR85)</f>
        <v>15751675.221483311</v>
      </c>
      <c r="AX85" s="16">
        <f>SUM(AS$7:AS85)</f>
        <v>11465247.234927259</v>
      </c>
      <c r="AY85" s="16">
        <f>SUM(AT$7:AT85)</f>
        <v>6332512.3469432574</v>
      </c>
    </row>
    <row r="86" spans="10:51">
      <c r="J86" s="16">
        <v>80</v>
      </c>
      <c r="K86" s="16">
        <f>MAX(求节点(节奏总纲!$O$4:$O$163,节奏总纲!P$4:P$163,$J86)-INT(C$13),0)*$D$1*$D$2</f>
        <v>280.8</v>
      </c>
      <c r="L86" s="16">
        <f>MAX(求节点(节奏总纲!$O$4:$O$163,节奏总纲!Q$4:Q$163,$J86)-INT(D$13),0)*$D$1*$D$2</f>
        <v>243.702</v>
      </c>
      <c r="M86" s="16">
        <f>MAX(求节点(节奏总纲!$O$4:$O$163,节奏总纲!R$4:R$163,$J86)-INT(E$13),0)*$D$1*$D$2</f>
        <v>198.40320000000003</v>
      </c>
      <c r="N86" s="16">
        <f>MAX(求节点(节奏总纲!$O$4:$O$163,节奏总纲!S$4:S$163,$J86)-INT(F$13),0)*$D$1*$D$2</f>
        <v>144.696</v>
      </c>
      <c r="O86" s="16">
        <f>MAX(求节点(节奏总纲!$O$4:$O$163,节奏总纲!T$4:T$163,$J86)-INT(G$13),0)*$D$1*$D$2</f>
        <v>80.132400000000018</v>
      </c>
      <c r="Q86" s="16">
        <v>80</v>
      </c>
      <c r="R86" s="16">
        <f>IF(节奏总纲!P83&lt;C$13,0,求节点($C$18:$C$23,$E$18:$E$23,$Q86)*节奏总纲!W83)*$D$1</f>
        <v>10286132.499946415</v>
      </c>
      <c r="S86" s="16">
        <f>IF(节奏总纲!Q83&lt;D$13,0,求节点($C$18:$C$23,$E$18:$E$23,$Q86)*节奏总纲!X83)*$D$1</f>
        <v>9003705.197953593</v>
      </c>
      <c r="T86" s="16">
        <f>IF(节奏总纲!R83&lt;E$13,0,求节点($C$18:$C$23,$E$18:$E$23,$Q86)*节奏总纲!Y83)*$D$1</f>
        <v>6960382.3954619877</v>
      </c>
      <c r="U86" s="16">
        <f>IF(节奏总纲!S83&lt;F$13,0,求节点($C$18:$C$23,$E$18:$E$23,$Q86)*节奏总纲!Z83)*$D$1</f>
        <v>5079302.1819722811</v>
      </c>
      <c r="V86" s="16">
        <f>IF(节奏总纲!T83&lt;G$13,0,求节点($C$18:$C$23,$E$18:$E$23,$Q86)*节奏总纲!AA83)*$D$1</f>
        <v>2792948.3479846595</v>
      </c>
      <c r="W86" s="16">
        <f>SUM(R$7:R86)</f>
        <v>120048523.90248954</v>
      </c>
      <c r="X86" s="16">
        <f>SUM(S$7:S86)</f>
        <v>104040223.65442084</v>
      </c>
      <c r="Y86" s="16">
        <f>SUM(T$7:T86)</f>
        <v>84732453.259763494</v>
      </c>
      <c r="Z86" s="16">
        <f>SUM(U$7:U86)</f>
        <v>61702062.752759241</v>
      </c>
      <c r="AA86" s="16">
        <f>SUM(V$7:V86)</f>
        <v>34069682.340269469</v>
      </c>
      <c r="AC86" s="16">
        <v>80</v>
      </c>
      <c r="AD86" s="16">
        <f>IF(节奏总纲!P83&lt;C$13,0,求节点($C$18:$C$23,$F$18:$F$23,$Q86)*节奏总纲!W83)*$D$1</f>
        <v>85659.92632857908</v>
      </c>
      <c r="AE86" s="16">
        <f>IF(节奏总纲!Q83&lt;D$13,0,求节点($C$18:$C$23,$F$18:$F$23,$Q86)*节奏总纲!X83)*$D$1</f>
        <v>74980.243929870339</v>
      </c>
      <c r="AF86" s="16">
        <f>IF(节奏总纲!R83&lt;E$13,0,求节点($C$18:$C$23,$F$18:$F$23,$Q86)*节奏总纲!Y83)*$D$1</f>
        <v>57964.044621933339</v>
      </c>
      <c r="AG86" s="16">
        <f>IF(节奏总纲!S83&lt;F$13,0,求节点($C$18:$C$23,$F$18:$F$23,$Q86)*节奏总纲!Z83)*$D$1</f>
        <v>42298.954510901269</v>
      </c>
      <c r="AH86" s="16">
        <f>IF(节奏总纲!T83&lt;G$13,0,求节点($C$18:$C$23,$F$18:$F$23,$Q86)*节奏总纲!AA83)*$D$1</f>
        <v>23258.863302522976</v>
      </c>
      <c r="AI86" s="16">
        <f>SUM(AD$7:AD86)</f>
        <v>963153.63055925455</v>
      </c>
      <c r="AJ86" s="16">
        <f>SUM(AE$7:AE86)</f>
        <v>834804.49293707055</v>
      </c>
      <c r="AK86" s="16">
        <f>SUM(AF$7:AF86)</f>
        <v>679759.04727213667</v>
      </c>
      <c r="AL86" s="16">
        <f>SUM(AG$7:AG86)</f>
        <v>494930.05899819045</v>
      </c>
      <c r="AM86" s="16">
        <f>SUM(AH$7:AH86)</f>
        <v>273248.04908385163</v>
      </c>
      <c r="AO86" s="16">
        <v>80</v>
      </c>
      <c r="AP86" s="16">
        <f>IF(节奏总纲!P83&lt;C$13,0,求节点($C$18:$C$23,$H$18:$H$23,$Q86)*节奏总纲!W83)*$D$1</f>
        <v>2221804.6199884256</v>
      </c>
      <c r="AQ86" s="16">
        <f>IF(节奏总纲!Q83&lt;D$13,0,求节点($C$18:$C$23,$H$18:$H$23,$Q86)*节奏总纲!X83)*$D$1</f>
        <v>1944800.3227579761</v>
      </c>
      <c r="AR86" s="16">
        <f>IF(节奏总纲!R83&lt;E$13,0,求节点($C$18:$C$23,$H$18:$H$23,$Q86)*节奏总纲!Y83)*$D$1</f>
        <v>1503442.5974197895</v>
      </c>
      <c r="AS86" s="16">
        <f>IF(节奏总纲!S83&lt;F$13,0,求节点($C$18:$C$23,$H$18:$H$23,$Q86)*节奏总纲!Z83)*$D$1</f>
        <v>1097129.2713060128</v>
      </c>
      <c r="AT86" s="16">
        <f>IF(节奏总纲!T83&lt;G$13,0,求节点($C$18:$C$23,$H$18:$H$23,$Q86)*节奏总纲!AA83)*$D$1</f>
        <v>603276.84316468646</v>
      </c>
      <c r="AU86" s="16">
        <f>SUM(AP$7:AP86)</f>
        <v>24448440.351530757</v>
      </c>
      <c r="AV86" s="16">
        <f>SUM(AQ$7:AQ86)</f>
        <v>21190704.510796025</v>
      </c>
      <c r="AW86" s="16">
        <f>SUM(AR$7:AR86)</f>
        <v>17255117.8189031</v>
      </c>
      <c r="AX86" s="16">
        <f>SUM(AS$7:AS86)</f>
        <v>12562376.506233271</v>
      </c>
      <c r="AY86" s="16">
        <f>SUM(AT$7:AT86)</f>
        <v>6935789.1901079435</v>
      </c>
    </row>
    <row r="87" spans="10:51">
      <c r="J87" s="16">
        <v>81</v>
      </c>
      <c r="K87" s="16">
        <f>MAX(求节点(节奏总纲!$O$4:$O$163,节奏总纲!P$4:P$163,$J87)-INT(C$13),0)*$D$1*$D$2</f>
        <v>302.84880769114915</v>
      </c>
      <c r="L87" s="16">
        <f>MAX(求节点(节奏总纲!$O$4:$O$163,节奏总纲!Q$4:Q$163,$J87)-INT(D$13),0)*$D$1*$D$2</f>
        <v>262.03099912976762</v>
      </c>
      <c r="M87" s="16">
        <f>MAX(求节点(节奏总纲!$O$4:$O$163,节奏总纲!R$4:R$163,$J87)-INT(E$13),0)*$D$1*$D$2</f>
        <v>213.20879966072195</v>
      </c>
      <c r="N87" s="16">
        <f>MAX(求节点(节奏总纲!$O$4:$O$163,节奏总纲!S$4:S$163,$J87)-INT(F$13),0)*$D$1*$D$2</f>
        <v>155.71233108017273</v>
      </c>
      <c r="O87" s="16">
        <f>MAX(求节点(节奏总纲!$O$4:$O$163,节奏总纲!T$4:T$163,$J87)-INT(G$13),0)*$D$1*$D$2</f>
        <v>86.22830043043929</v>
      </c>
      <c r="Q87" s="16">
        <v>81</v>
      </c>
      <c r="R87" s="16">
        <f>IF(节奏总纲!P84&lt;C$13,0,求节点($C$18:$C$23,$E$18:$E$23,$Q87)*节奏总纲!W84)*$D$1</f>
        <v>11024403.845574591</v>
      </c>
      <c r="S87" s="16">
        <f>IF(节奏总纲!Q84&lt;D$13,0,求节点($C$18:$C$23,$E$18:$E$23,$Q87)*节奏总纲!X84)*$D$1</f>
        <v>9164499.5648838002</v>
      </c>
      <c r="T87" s="16">
        <f>IF(节奏总纲!R84&lt;E$13,0,求节点($C$18:$C$23,$E$18:$E$23,$Q87)*节奏总纲!Y84)*$D$1</f>
        <v>7402799.8303609658</v>
      </c>
      <c r="U87" s="16">
        <f>IF(节奏总纲!S84&lt;F$13,0,求节点($C$18:$C$23,$E$18:$E$23,$Q87)*节奏总纲!Z84)*$D$1</f>
        <v>5508165.5400863551</v>
      </c>
      <c r="V87" s="16">
        <f>IF(节奏总纲!T84&lt;G$13,0,求节点($C$18:$C$23,$E$18:$E$23,$Q87)*节奏总纲!AA84)*$D$1</f>
        <v>3047950.2152196434</v>
      </c>
      <c r="W87" s="16">
        <f>SUM(R$7:R87)</f>
        <v>131072927.74806413</v>
      </c>
      <c r="X87" s="16">
        <f>SUM(S$7:S87)</f>
        <v>113204723.21930464</v>
      </c>
      <c r="Y87" s="16">
        <f>SUM(T$7:T87)</f>
        <v>92135253.090124458</v>
      </c>
      <c r="Z87" s="16">
        <f>SUM(U$7:U87)</f>
        <v>67210228.292845592</v>
      </c>
      <c r="AA87" s="16">
        <f>SUM(V$7:V87)</f>
        <v>37117632.555489115</v>
      </c>
      <c r="AC87" s="16">
        <v>81</v>
      </c>
      <c r="AD87" s="16">
        <f>IF(节奏总纲!P84&lt;C$13,0,求节点($C$18:$C$23,$F$18:$F$23,$Q87)*节奏总纲!W84)*$D$1</f>
        <v>93620.158249922417</v>
      </c>
      <c r="AE87" s="16">
        <f>IF(节奏总纲!Q84&lt;D$13,0,求节点($C$18:$C$23,$F$18:$F$23,$Q87)*节奏总纲!X84)*$D$1</f>
        <v>77825.695753170105</v>
      </c>
      <c r="AF87" s="16">
        <f>IF(节奏总纲!R84&lt;E$13,0,求节点($C$18:$C$23,$F$18:$F$23,$Q87)*节奏总纲!Y84)*$D$1</f>
        <v>62865.194464832362</v>
      </c>
      <c r="AG87" s="16">
        <f>IF(节奏总纲!S84&lt;F$13,0,求节点($C$18:$C$23,$F$18:$F$23,$Q87)*节奏总纲!Z84)*$D$1</f>
        <v>46775.801825933297</v>
      </c>
      <c r="AH87" s="16">
        <f>IF(节奏总纲!T84&lt;G$13,0,求节点($C$18:$C$23,$F$18:$F$23,$Q87)*节奏总纲!AA84)*$D$1</f>
        <v>25883.44780214968</v>
      </c>
      <c r="AI87" s="16">
        <f>SUM(AD$7:AD87)</f>
        <v>1056773.788809177</v>
      </c>
      <c r="AJ87" s="16">
        <f>SUM(AE$7:AE87)</f>
        <v>912630.18869024061</v>
      </c>
      <c r="AK87" s="16">
        <f>SUM(AF$7:AF87)</f>
        <v>742624.24173696898</v>
      </c>
      <c r="AL87" s="16">
        <f>SUM(AG$7:AG87)</f>
        <v>541705.86082412372</v>
      </c>
      <c r="AM87" s="16">
        <f>SUM(AH$7:AH87)</f>
        <v>299131.49688600132</v>
      </c>
      <c r="AO87" s="16">
        <v>81</v>
      </c>
      <c r="AP87" s="16">
        <f>IF(节奏总纲!P84&lt;C$13,0,求节点($C$18:$C$23,$H$18:$H$23,$Q87)*节奏总纲!W84)*$D$1</f>
        <v>2381271.2306441115</v>
      </c>
      <c r="AQ87" s="16">
        <f>IF(节奏总纲!Q84&lt;D$13,0,求节点($C$18:$C$23,$H$18:$H$23,$Q87)*节奏总纲!X84)*$D$1</f>
        <v>1979531.9060149009</v>
      </c>
      <c r="AR87" s="16">
        <f>IF(节奏总纲!R84&lt;E$13,0,求节点($C$18:$C$23,$H$18:$H$23,$Q87)*节奏总纲!Y84)*$D$1</f>
        <v>1599004.7633579685</v>
      </c>
      <c r="AS87" s="16">
        <f>IF(节奏总纲!S84&lt;F$13,0,求节点($C$18:$C$23,$H$18:$H$23,$Q87)*节奏总纲!Z84)*$D$1</f>
        <v>1189763.7566586528</v>
      </c>
      <c r="AT87" s="16">
        <f>IF(节奏总纲!T84&lt;G$13,0,求节点($C$18:$C$23,$H$18:$H$23,$Q87)*节奏总纲!AA84)*$D$1</f>
        <v>658357.24648744299</v>
      </c>
      <c r="AU87" s="16">
        <f>SUM(AP$7:AP87)</f>
        <v>26829711.582174867</v>
      </c>
      <c r="AV87" s="16">
        <f>SUM(AQ$7:AQ87)</f>
        <v>23170236.416810926</v>
      </c>
      <c r="AW87" s="16">
        <f>SUM(AR$7:AR87)</f>
        <v>18854122.582261067</v>
      </c>
      <c r="AX87" s="16">
        <f>SUM(AS$7:AS87)</f>
        <v>13752140.262891924</v>
      </c>
      <c r="AY87" s="16">
        <f>SUM(AT$7:AT87)</f>
        <v>7594146.4365953868</v>
      </c>
    </row>
    <row r="88" spans="10:51">
      <c r="J88" s="16">
        <v>82</v>
      </c>
      <c r="K88" s="16">
        <f>MAX(求节点(节奏总纲!$O$4:$O$163,节奏总纲!P$4:P$163,$J88)-INT(C$13),0)*$D$1*$D$2</f>
        <v>326.48013465508876</v>
      </c>
      <c r="L88" s="16">
        <f>MAX(求节点(节奏总纲!$O$4:$O$163,节奏总纲!Q$4:Q$163,$J88)-INT(D$13),0)*$D$1*$D$2</f>
        <v>282.1813003150657</v>
      </c>
      <c r="M88" s="16">
        <f>MAX(求节点(节奏总纲!$O$4:$O$163,节奏总纲!R$4:R$163,$J88)-INT(E$13),0)*$D$1*$D$2</f>
        <v>229.65315082411354</v>
      </c>
      <c r="N88" s="16">
        <f>MAX(求节点(节奏总纲!$O$4:$O$163,节奏总纲!S$4:S$163,$J88)-INT(F$13),0)*$D$1*$D$2</f>
        <v>167.77459729350869</v>
      </c>
      <c r="O88" s="16">
        <f>MAX(求节点(节奏总纲!$O$4:$O$163,节奏总纲!T$4:T$163,$J88)-INT(G$13),0)*$D$1*$D$2</f>
        <v>92.677158242045209</v>
      </c>
      <c r="Q88" s="16">
        <v>82</v>
      </c>
      <c r="R88" s="16">
        <f>IF(节奏总纲!P85&lt;C$13,0,求节点($C$18:$C$23,$E$18:$E$23,$Q88)*节奏总纲!W85)*$D$1</f>
        <v>11815663.481969796</v>
      </c>
      <c r="S88" s="16">
        <f>IF(节奏总纲!Q85&lt;D$13,0,求节点($C$18:$C$23,$E$18:$E$23,$Q88)*节奏总纲!X85)*$D$1</f>
        <v>10075150.592649044</v>
      </c>
      <c r="T88" s="16">
        <f>IF(节奏总纲!R85&lt;E$13,0,求节点($C$18:$C$23,$E$18:$E$23,$Q88)*节奏总纲!Y85)*$D$1</f>
        <v>8222175.5816957848</v>
      </c>
      <c r="U88" s="16">
        <f>IF(节奏总纲!S85&lt;F$13,0,求节点($C$18:$C$23,$E$18:$E$23,$Q88)*节奏总纲!Z85)*$D$1</f>
        <v>6031133.1066679657</v>
      </c>
      <c r="V88" s="16">
        <f>IF(节奏总纲!T85&lt;G$13,0,求节点($C$18:$C$23,$E$18:$E$23,$Q88)*节奏总纲!AA85)*$D$1</f>
        <v>3224428.9058029577</v>
      </c>
      <c r="W88" s="16">
        <f>SUM(R$7:R88)</f>
        <v>142888591.23003393</v>
      </c>
      <c r="X88" s="16">
        <f>SUM(S$7:S88)</f>
        <v>123279873.81195368</v>
      </c>
      <c r="Y88" s="16">
        <f>SUM(T$7:T88)</f>
        <v>100357428.67182024</v>
      </c>
      <c r="Z88" s="16">
        <f>SUM(U$7:U88)</f>
        <v>73241361.399513558</v>
      </c>
      <c r="AA88" s="16">
        <f>SUM(V$7:V88)</f>
        <v>40342061.461292073</v>
      </c>
      <c r="AC88" s="16">
        <v>82</v>
      </c>
      <c r="AD88" s="16">
        <f>IF(节奏总纲!P85&lt;C$13,0,求节点($C$18:$C$23,$F$18:$F$23,$Q88)*节奏总纲!W85)*$D$1</f>
        <v>102281.78587862391</v>
      </c>
      <c r="AE88" s="16">
        <f>IF(节奏总纲!Q85&lt;D$13,0,求节点($C$18:$C$23,$F$18:$F$23,$Q88)*节奏总纲!X85)*$D$1</f>
        <v>87215.110449339263</v>
      </c>
      <c r="AF88" s="16">
        <f>IF(节奏总纲!R85&lt;E$13,0,求节点($C$18:$C$23,$F$18:$F$23,$Q88)*节奏总纲!Y85)*$D$1</f>
        <v>71174.911471264932</v>
      </c>
      <c r="AG88" s="16">
        <f>IF(节奏总纲!S85&lt;F$13,0,求节点($C$18:$C$23,$F$18:$F$23,$Q88)*节奏总纲!Z85)*$D$1</f>
        <v>52208.245940908695</v>
      </c>
      <c r="AH88" s="16">
        <f>IF(节奏总纲!T85&lt;G$13,0,求节点($C$18:$C$23,$F$18:$F$23,$Q88)*节奏总纲!AA85)*$D$1</f>
        <v>27912.130996913133</v>
      </c>
      <c r="AI88" s="16">
        <f>SUM(AD$7:AD88)</f>
        <v>1159055.5746878008</v>
      </c>
      <c r="AJ88" s="16">
        <f>SUM(AE$7:AE88)</f>
        <v>999845.29913957987</v>
      </c>
      <c r="AK88" s="16">
        <f>SUM(AF$7:AF88)</f>
        <v>813799.15320823388</v>
      </c>
      <c r="AL88" s="16">
        <f>SUM(AG$7:AG88)</f>
        <v>593914.1067650324</v>
      </c>
      <c r="AM88" s="16">
        <f>SUM(AH$7:AH88)</f>
        <v>327043.62788291444</v>
      </c>
      <c r="AO88" s="16">
        <v>82</v>
      </c>
      <c r="AP88" s="16">
        <f>IF(节奏总纲!P85&lt;C$13,0,求节点($C$18:$C$23,$H$18:$H$23,$Q88)*节奏总纲!W85)*$D$1</f>
        <v>2552183.3121054759</v>
      </c>
      <c r="AQ88" s="16">
        <f>IF(节奏总纲!Q85&lt;D$13,0,求节点($C$18:$C$23,$H$18:$H$23,$Q88)*节奏总纲!X85)*$D$1</f>
        <v>2176232.5280121933</v>
      </c>
      <c r="AR88" s="16">
        <f>IF(节奏总纲!R85&lt;E$13,0,求节点($C$18:$C$23,$H$18:$H$23,$Q88)*节奏总纲!Y85)*$D$1</f>
        <v>1775989.9256462897</v>
      </c>
      <c r="AS88" s="16">
        <f>IF(节奏总纲!S85&lt;F$13,0,求节点($C$18:$C$23,$H$18:$H$23,$Q88)*节奏总纲!Z85)*$D$1</f>
        <v>1302724.7510402806</v>
      </c>
      <c r="AT88" s="16">
        <f>IF(节奏总纲!T85&lt;G$13,0,求节点($C$18:$C$23,$H$18:$H$23,$Q88)*节奏总纲!AA85)*$D$1</f>
        <v>696476.64365343889</v>
      </c>
      <c r="AU88" s="16">
        <f>SUM(AP$7:AP88)</f>
        <v>29381894.894280344</v>
      </c>
      <c r="AV88" s="16">
        <f>SUM(AQ$7:AQ88)</f>
        <v>25346468.94482312</v>
      </c>
      <c r="AW88" s="16">
        <f>SUM(AR$7:AR88)</f>
        <v>20630112.507907357</v>
      </c>
      <c r="AX88" s="16">
        <f>SUM(AS$7:AS88)</f>
        <v>15054865.013932204</v>
      </c>
      <c r="AY88" s="16">
        <f>SUM(AT$7:AT88)</f>
        <v>8290623.0802488253</v>
      </c>
    </row>
    <row r="89" spans="10:51">
      <c r="J89" s="16">
        <v>83</v>
      </c>
      <c r="K89" s="16">
        <f>MAX(求节点(节奏总纲!$O$4:$O$163,节奏总纲!P$4:P$163,$J89)-INT(C$13),0)*$D$1*$D$2</f>
        <v>351.80756377955862</v>
      </c>
      <c r="L89" s="16">
        <f>MAX(求节点(节奏总纲!$O$4:$O$163,节奏总纲!Q$4:Q$163,$J89)-INT(D$13),0)*$D$1*$D$2</f>
        <v>304.24763737467242</v>
      </c>
      <c r="M89" s="16">
        <f>MAX(求节点(节奏总纲!$O$4:$O$163,节奏总纲!R$4:R$163,$J89)-INT(E$13),0)*$D$1*$D$2</f>
        <v>247.86573397734475</v>
      </c>
      <c r="N89" s="16">
        <f>MAX(求节点(节奏总纲!$O$4:$O$163,节奏总纲!S$4:S$163,$J89)-INT(F$13),0)*$D$1*$D$2</f>
        <v>180.69499005182695</v>
      </c>
      <c r="O89" s="16">
        <f>MAX(求节点(节奏总纲!$O$4:$O$163,节奏总纲!T$4:T$163,$J89)-INT(G$13),0)*$D$1*$D$2</f>
        <v>99.83244735701669</v>
      </c>
      <c r="Q89" s="16">
        <v>83</v>
      </c>
      <c r="R89" s="16">
        <f>IF(节奏总纲!P86&lt;C$13,0,求节点($C$18:$C$23,$E$18:$E$23,$Q89)*节奏总纲!W86)*$D$1</f>
        <v>12663714.562234893</v>
      </c>
      <c r="S89" s="16">
        <f>IF(节奏总纲!Q86&lt;D$13,0,求节点($C$18:$C$23,$E$18:$E$23,$Q89)*节奏总纲!X86)*$D$1</f>
        <v>11033168.529803362</v>
      </c>
      <c r="T89" s="16">
        <f>IF(节奏总纲!R86&lt;E$13,0,求节点($C$18:$C$23,$E$18:$E$23,$Q89)*节奏总纲!Y86)*$D$1</f>
        <v>9106291.5766155981</v>
      </c>
      <c r="U89" s="16">
        <f>IF(节奏总纲!S86&lt;F$13,0,求节点($C$18:$C$23,$E$18:$E$23,$Q89)*节奏总纲!Z86)*$D$1</f>
        <v>6460196.379159146</v>
      </c>
      <c r="V89" s="16">
        <f>IF(节奏总纲!T86&lt;G$13,0,求节点($C$18:$C$23,$E$18:$E$23,$Q89)*节奏总纲!AA86)*$D$1</f>
        <v>3577644.5574857374</v>
      </c>
      <c r="W89" s="16">
        <f>SUM(R$7:R89)</f>
        <v>155552305.79226881</v>
      </c>
      <c r="X89" s="16">
        <f>SUM(S$7:S89)</f>
        <v>134313042.34175703</v>
      </c>
      <c r="Y89" s="16">
        <f>SUM(T$7:T89)</f>
        <v>109463720.24843584</v>
      </c>
      <c r="Z89" s="16">
        <f>SUM(U$7:U89)</f>
        <v>79701557.77867271</v>
      </c>
      <c r="AA89" s="16">
        <f>SUM(V$7:V89)</f>
        <v>43919706.01877781</v>
      </c>
      <c r="AC89" s="16">
        <v>83</v>
      </c>
      <c r="AD89" s="16">
        <f>IF(节奏总纲!P86&lt;C$13,0,求节点($C$18:$C$23,$F$18:$F$23,$Q89)*节奏总纲!W86)*$D$1</f>
        <v>111704.4858348143</v>
      </c>
      <c r="AE89" s="16">
        <f>IF(节奏总纲!Q86&lt;D$13,0,求节点($C$18:$C$23,$F$18:$F$23,$Q89)*节奏总纲!X86)*$D$1</f>
        <v>97321.714864444541</v>
      </c>
      <c r="AF89" s="16">
        <f>IF(节奏总纲!R86&lt;E$13,0,求节点($C$18:$C$23,$F$18:$F$23,$Q89)*节奏总纲!Y86)*$D$1</f>
        <v>80325.05892554071</v>
      </c>
      <c r="AG89" s="16">
        <f>IF(节奏总纲!S86&lt;F$13,0,求节点($C$18:$C$23,$F$18:$F$23,$Q89)*节奏总纲!Z86)*$D$1</f>
        <v>56984.300410396143</v>
      </c>
      <c r="AH89" s="16">
        <f>IF(节奏总纲!T86&lt;G$13,0,求节点($C$18:$C$23,$F$18:$F$23,$Q89)*节奏总纲!AA86)*$D$1</f>
        <v>31557.797977020862</v>
      </c>
      <c r="AI89" s="16">
        <f>SUM(AD$7:AD89)</f>
        <v>1270760.0605226152</v>
      </c>
      <c r="AJ89" s="16">
        <f>SUM(AE$7:AE89)</f>
        <v>1097167.0140040244</v>
      </c>
      <c r="AK89" s="16">
        <f>SUM(AF$7:AF89)</f>
        <v>894124.21213377453</v>
      </c>
      <c r="AL89" s="16">
        <f>SUM(AG$7:AG89)</f>
        <v>650898.40717542858</v>
      </c>
      <c r="AM89" s="16">
        <f>SUM(AH$7:AH89)</f>
        <v>358601.42585993529</v>
      </c>
      <c r="AO89" s="16">
        <v>83</v>
      </c>
      <c r="AP89" s="16">
        <f>IF(节奏总纲!P86&lt;C$13,0,求节点($C$18:$C$23,$H$18:$H$23,$Q89)*节奏总纲!W86)*$D$1</f>
        <v>2735362.3454427375</v>
      </c>
      <c r="AQ89" s="16">
        <f>IF(节奏总纲!Q86&lt;D$13,0,求节点($C$18:$C$23,$H$18:$H$23,$Q89)*节奏总纲!X86)*$D$1</f>
        <v>2383164.4024375263</v>
      </c>
      <c r="AR89" s="16">
        <f>IF(节奏总纲!R86&lt;E$13,0,求节点($C$18:$C$23,$H$18:$H$23,$Q89)*节奏总纲!Y86)*$D$1</f>
        <v>1966958.980548969</v>
      </c>
      <c r="AS89" s="16">
        <f>IF(节奏总纲!S86&lt;F$13,0,求节点($C$18:$C$23,$H$18:$H$23,$Q89)*节奏总纲!Z86)*$D$1</f>
        <v>1395402.4178983755</v>
      </c>
      <c r="AT89" s="16">
        <f>IF(节奏总纲!T86&lt;G$13,0,求节点($C$18:$C$23,$H$18:$H$23,$Q89)*节奏总纲!AA86)*$D$1</f>
        <v>772771.22441691929</v>
      </c>
      <c r="AU89" s="16">
        <f>SUM(AP$7:AP89)</f>
        <v>32117257.239723083</v>
      </c>
      <c r="AV89" s="16">
        <f>SUM(AQ$7:AQ89)</f>
        <v>27729633.347260647</v>
      </c>
      <c r="AW89" s="16">
        <f>SUM(AR$7:AR89)</f>
        <v>22597071.488456327</v>
      </c>
      <c r="AX89" s="16">
        <f>SUM(AS$7:AS89)</f>
        <v>16450267.431830579</v>
      </c>
      <c r="AY89" s="16">
        <f>SUM(AT$7:AT89)</f>
        <v>9063394.3046657443</v>
      </c>
    </row>
    <row r="90" spans="10:51">
      <c r="J90" s="16">
        <v>84</v>
      </c>
      <c r="K90" s="16">
        <f>MAX(求节点(节奏总纲!$O$4:$O$163,节奏总纲!P$4:P$163,$J90)-INT(C$13),0)*$D$1*$D$2</f>
        <v>378.95283018943303</v>
      </c>
      <c r="L90" s="16">
        <f>MAX(求节点(节奏总纲!$O$4:$O$163,节奏总纲!Q$4:Q$163,$J90)-INT(D$13),0)*$D$1*$D$2</f>
        <v>327.91136754782178</v>
      </c>
      <c r="M90" s="16">
        <f>MAX(求节点(节奏总纲!$O$4:$O$163,节奏总纲!R$4:R$163,$J90)-INT(E$13),0)*$D$1*$D$2</f>
        <v>266.72566886845556</v>
      </c>
      <c r="N90" s="16">
        <f>MAX(求节点(节奏总纲!$O$4:$O$163,节奏总纲!S$4:S$163,$J90)-INT(F$13),0)*$D$1*$D$2</f>
        <v>194.37289358529279</v>
      </c>
      <c r="O90" s="16">
        <f>MAX(求节点(节奏总纲!$O$4:$O$163,节奏总纲!T$4:T$163,$J90)-INT(G$13),0)*$D$1*$D$2</f>
        <v>107.57940377379899</v>
      </c>
      <c r="Q90" s="16">
        <v>84</v>
      </c>
      <c r="R90" s="16">
        <f>IF(节奏总纲!P87&lt;C$13,0,求节点($C$18:$C$23,$E$18:$E$23,$Q90)*节奏总纲!W87)*$D$1</f>
        <v>13572633.204937235</v>
      </c>
      <c r="S90" s="16">
        <f>IF(节奏总纲!Q87&lt;D$13,0,求节点($C$18:$C$23,$E$18:$E$23,$Q90)*节奏总纲!X87)*$D$1</f>
        <v>11831865.086574648</v>
      </c>
      <c r="T90" s="16">
        <f>IF(节奏总纲!R87&lt;E$13,0,求节点($C$18:$C$23,$E$18:$E$23,$Q90)*节奏总纲!Y87)*$D$1</f>
        <v>9429967.4455554336</v>
      </c>
      <c r="U90" s="16">
        <f>IF(节奏总纲!S87&lt;F$13,0,求节点($C$18:$C$23,$E$18:$E$23,$Q90)*节奏总纲!Z87)*$D$1</f>
        <v>6838951.7667329125</v>
      </c>
      <c r="V90" s="16">
        <f>IF(节奏总纲!T87&lt;G$13,0,求节点($C$18:$C$23,$E$18:$E$23,$Q90)*节奏总纲!AA87)*$D$1</f>
        <v>3873478.2083911481</v>
      </c>
      <c r="W90" s="16">
        <f>SUM(R$7:R90)</f>
        <v>169124938.99720603</v>
      </c>
      <c r="X90" s="16">
        <f>SUM(S$7:S90)</f>
        <v>146144907.42833167</v>
      </c>
      <c r="Y90" s="16">
        <f>SUM(T$7:T90)</f>
        <v>118893687.69399127</v>
      </c>
      <c r="Z90" s="16">
        <f>SUM(U$7:U90)</f>
        <v>86540509.545405626</v>
      </c>
      <c r="AA90" s="16">
        <f>SUM(V$7:V90)</f>
        <v>47793184.227168955</v>
      </c>
      <c r="AC90" s="16">
        <v>84</v>
      </c>
      <c r="AD90" s="16">
        <f>IF(节奏总纲!P87&lt;C$13,0,求节点($C$18:$C$23,$F$18:$F$23,$Q90)*节奏总纲!W87)*$D$1</f>
        <v>121952.88794308681</v>
      </c>
      <c r="AE90" s="16">
        <f>IF(节奏总纲!Q87&lt;D$13,0,求节点($C$18:$C$23,$F$18:$F$23,$Q90)*节奏总纲!X87)*$D$1</f>
        <v>106311.73002861915</v>
      </c>
      <c r="AF90" s="16">
        <f>IF(节奏总纲!R87&lt;E$13,0,求节点($C$18:$C$23,$F$18:$F$23,$Q90)*节奏总纲!Y87)*$D$1</f>
        <v>84730.188006292374</v>
      </c>
      <c r="AG90" s="16">
        <f>IF(节奏总纲!S87&lt;F$13,0,求节点($C$18:$C$23,$F$18:$F$23,$Q90)*节奏总纲!Z87)*$D$1</f>
        <v>61449.381697957069</v>
      </c>
      <c r="AH90" s="16">
        <f>IF(节奏总纲!T87&lt;G$13,0,求节点($C$18:$C$23,$F$18:$F$23,$Q90)*节奏总纲!AA87)*$D$1</f>
        <v>34803.994682924087</v>
      </c>
      <c r="AI90" s="16">
        <f>SUM(AD$7:AD90)</f>
        <v>1392712.9484657021</v>
      </c>
      <c r="AJ90" s="16">
        <f>SUM(AE$7:AE90)</f>
        <v>1203478.7440326435</v>
      </c>
      <c r="AK90" s="16">
        <f>SUM(AF$7:AF90)</f>
        <v>978854.40014006686</v>
      </c>
      <c r="AL90" s="16">
        <f>SUM(AG$7:AG90)</f>
        <v>712347.78887338564</v>
      </c>
      <c r="AM90" s="16">
        <f>SUM(AH$7:AH90)</f>
        <v>393405.42054285936</v>
      </c>
      <c r="AO90" s="16">
        <v>84</v>
      </c>
      <c r="AP90" s="16">
        <f>IF(节奏总纲!P87&lt;C$13,0,求节点($C$18:$C$23,$H$18:$H$23,$Q90)*节奏总纲!W87)*$D$1</f>
        <v>2931688.7722664424</v>
      </c>
      <c r="AQ90" s="16">
        <f>IF(节奏总纲!Q87&lt;D$13,0,求节点($C$18:$C$23,$H$18:$H$23,$Q90)*节奏总纲!X87)*$D$1</f>
        <v>2555682.8587001236</v>
      </c>
      <c r="AR90" s="16">
        <f>IF(节奏总纲!R87&lt;E$13,0,求节点($C$18:$C$23,$H$18:$H$23,$Q90)*节奏总纲!Y87)*$D$1</f>
        <v>2036872.9682399738</v>
      </c>
      <c r="AS90" s="16">
        <f>IF(节奏总纲!S87&lt;F$13,0,求节点($C$18:$C$23,$H$18:$H$23,$Q90)*节奏总纲!Z87)*$D$1</f>
        <v>1477213.5816143092</v>
      </c>
      <c r="AT90" s="16">
        <f>IF(节奏总纲!T87&lt;G$13,0,求节点($C$18:$C$23,$H$18:$H$23,$Q90)*节奏总纲!AA87)*$D$1</f>
        <v>836671.29301248817</v>
      </c>
      <c r="AU90" s="16">
        <f>SUM(AP$7:AP90)</f>
        <v>35048946.011989526</v>
      </c>
      <c r="AV90" s="16">
        <f>SUM(AQ$7:AQ90)</f>
        <v>30285316.205960769</v>
      </c>
      <c r="AW90" s="16">
        <f>SUM(AR$7:AR90)</f>
        <v>24633944.456696302</v>
      </c>
      <c r="AX90" s="16">
        <f>SUM(AS$7:AS90)</f>
        <v>17927481.013444889</v>
      </c>
      <c r="AY90" s="16">
        <f>SUM(AT$7:AT90)</f>
        <v>9900065.5976782329</v>
      </c>
    </row>
    <row r="91" spans="10:51">
      <c r="J91" s="16">
        <v>85</v>
      </c>
      <c r="K91" s="16">
        <f>MAX(求节点(节奏总纲!$O$4:$O$163,节奏总纲!P$4:P$163,$J91)-INT(C$13),0)*$D$1*$D$2</f>
        <v>408.04640636101476</v>
      </c>
      <c r="L91" s="16">
        <f>MAX(求节点(节奏总纲!$O$4:$O$163,节奏总纲!Q$4:Q$163,$J91)-INT(D$13),0)*$D$1*$D$2</f>
        <v>352.4649472521001</v>
      </c>
      <c r="M91" s="16">
        <f>MAX(求节点(节奏总纲!$O$4:$O$163,节奏总纲!R$4:R$163,$J91)-INT(E$13),0)*$D$1*$D$2</f>
        <v>286.70219759370173</v>
      </c>
      <c r="N91" s="16">
        <f>MAX(求节点(节奏总纲!$O$4:$O$163,节奏总纲!S$4:S$163,$J91)-INT(F$13),0)*$D$1*$D$2</f>
        <v>209.48865286956163</v>
      </c>
      <c r="O91" s="16">
        <f>MAX(求节点(节奏总纲!$O$4:$O$163,节奏总纲!T$4:T$163,$J91)-INT(G$13),0)*$D$1*$D$2</f>
        <v>115.8419794065282</v>
      </c>
      <c r="Q91" s="16">
        <v>85</v>
      </c>
      <c r="R91" s="16">
        <f>IF(节奏总纲!P88&lt;C$13,0,求节点($C$18:$C$23,$E$18:$E$23,$Q91)*节奏总纲!W88)*$D$1</f>
        <v>14546788.085790865</v>
      </c>
      <c r="S91" s="16">
        <f>IF(节奏总纲!Q88&lt;D$13,0,求节点($C$18:$C$23,$E$18:$E$23,$Q91)*节奏总纲!X88)*$D$1</f>
        <v>12276789.852139188</v>
      </c>
      <c r="T91" s="16">
        <f>IF(节奏总纲!R88&lt;E$13,0,求节点($C$18:$C$23,$E$18:$E$23,$Q91)*节奏总纲!Y88)*$D$1</f>
        <v>9988264.362623062</v>
      </c>
      <c r="U91" s="16">
        <f>IF(节奏总纲!S88&lt;F$13,0,求节点($C$18:$C$23,$E$18:$E$23,$Q91)*节奏总纲!Z88)*$D$1</f>
        <v>7557879.6421344075</v>
      </c>
      <c r="V91" s="16">
        <f>IF(节奏总纲!T88&lt;G$13,0,求节点($C$18:$C$23,$E$18:$E$23,$Q91)*节奏总纲!AA88)*$D$1</f>
        <v>4131287.816364605</v>
      </c>
      <c r="W91" s="16">
        <f>SUM(R$7:R91)</f>
        <v>183671727.0829969</v>
      </c>
      <c r="X91" s="16">
        <f>SUM(S$7:S91)</f>
        <v>158421697.28047085</v>
      </c>
      <c r="Y91" s="16">
        <f>SUM(T$7:T91)</f>
        <v>128881952.05661434</v>
      </c>
      <c r="Z91" s="16">
        <f>SUM(U$7:U91)</f>
        <v>94098389.187540039</v>
      </c>
      <c r="AA91" s="16">
        <f>SUM(V$7:V91)</f>
        <v>51924472.043533564</v>
      </c>
      <c r="AC91" s="16">
        <v>85</v>
      </c>
      <c r="AD91" s="16">
        <f>IF(节奏总纲!P88&lt;C$13,0,求节点($C$18:$C$23,$F$18:$F$23,$Q91)*节奏总纲!W88)*$D$1</f>
        <v>133096.97882989174</v>
      </c>
      <c r="AE91" s="16">
        <f>IF(节奏总纲!Q88&lt;D$13,0,求节点($C$18:$C$23,$F$18:$F$23,$Q91)*节奏总纲!X88)*$D$1</f>
        <v>112327.45190295824</v>
      </c>
      <c r="AF91" s="16">
        <f>IF(节奏总纲!R88&lt;E$13,0,求节点($C$18:$C$23,$F$18:$F$23,$Q91)*节奏总纲!Y88)*$D$1</f>
        <v>91388.408394974424</v>
      </c>
      <c r="AG91" s="16">
        <f>IF(节奏总纲!S88&lt;F$13,0,求节点($C$18:$C$23,$F$18:$F$23,$Q91)*节奏总纲!Z88)*$D$1</f>
        <v>69151.412723927337</v>
      </c>
      <c r="AH91" s="16">
        <f>IF(节奏总纲!T88&lt;G$13,0,求节点($C$18:$C$23,$F$18:$F$23,$Q91)*节奏总纲!AA88)*$D$1</f>
        <v>37799.541987689248</v>
      </c>
      <c r="AI91" s="16">
        <f>SUM(AD$7:AD91)</f>
        <v>1525809.9272955938</v>
      </c>
      <c r="AJ91" s="16">
        <f>SUM(AE$7:AE91)</f>
        <v>1315806.1959356018</v>
      </c>
      <c r="AK91" s="16">
        <f>SUM(AF$7:AF91)</f>
        <v>1070242.8085350413</v>
      </c>
      <c r="AL91" s="16">
        <f>SUM(AG$7:AG91)</f>
        <v>781499.20159731293</v>
      </c>
      <c r="AM91" s="16">
        <f>SUM(AH$7:AH91)</f>
        <v>431204.96253054863</v>
      </c>
      <c r="AO91" s="16">
        <v>85</v>
      </c>
      <c r="AP91" s="16">
        <f>IF(节奏总纲!P88&lt;C$13,0,求节点($C$18:$C$23,$H$18:$H$23,$Q91)*节奏总纲!W88)*$D$1</f>
        <v>3142106.2265308267</v>
      </c>
      <c r="AQ91" s="16">
        <f>IF(节奏总纲!Q88&lt;D$13,0,求节点($C$18:$C$23,$H$18:$H$23,$Q91)*节奏总纲!X88)*$D$1</f>
        <v>2651786.6080620647</v>
      </c>
      <c r="AR91" s="16">
        <f>IF(节奏总纲!R88&lt;E$13,0,求节点($C$18:$C$23,$H$18:$H$23,$Q91)*节奏总纲!Y88)*$D$1</f>
        <v>2157465.1023265813</v>
      </c>
      <c r="AS91" s="16">
        <f>IF(节奏总纲!S88&lt;F$13,0,求节点($C$18:$C$23,$H$18:$H$23,$Q91)*节奏总纲!Z88)*$D$1</f>
        <v>1632502.0027010317</v>
      </c>
      <c r="AT91" s="16">
        <f>IF(节奏总纲!T88&lt;G$13,0,求节点($C$18:$C$23,$H$18:$H$23,$Q91)*节奏总纲!AA88)*$D$1</f>
        <v>892358.16833475465</v>
      </c>
      <c r="AU91" s="16">
        <f>SUM(AP$7:AP91)</f>
        <v>38191052.238520354</v>
      </c>
      <c r="AV91" s="16">
        <f>SUM(AQ$7:AQ91)</f>
        <v>32937102.814022835</v>
      </c>
      <c r="AW91" s="16">
        <f>SUM(AR$7:AR91)</f>
        <v>26791409.559022881</v>
      </c>
      <c r="AX91" s="16">
        <f>SUM(AS$7:AS91)</f>
        <v>19559983.016145922</v>
      </c>
      <c r="AY91" s="16">
        <f>SUM(AT$7:AT91)</f>
        <v>10792423.766012987</v>
      </c>
    </row>
    <row r="92" spans="10:51">
      <c r="J92" s="16">
        <v>86</v>
      </c>
      <c r="K92" s="16">
        <f>MAX(求节点(节奏总纲!$O$4:$O$163,节奏总纲!P$4:P$163,$J92)-INT(C$13),0)*$D$1*$D$2</f>
        <v>439.22812923199427</v>
      </c>
      <c r="L92" s="16">
        <f>MAX(求节点(节奏总纲!$O$4:$O$163,节奏总纲!Q$4:Q$163,$J92)-INT(D$13),0)*$D$1*$D$2</f>
        <v>379.20147552721102</v>
      </c>
      <c r="M92" s="16">
        <f>MAX(求节点(节奏总纲!$O$4:$O$163,节奏总纲!R$4:R$163,$J92)-INT(E$13),0)*$D$1*$D$2</f>
        <v>308.67874610178478</v>
      </c>
      <c r="N92" s="16">
        <f>MAX(求节点(节奏总纲!$O$4:$O$163,节奏总纲!S$4:S$163,$J92)-INT(F$13),0)*$D$1*$D$2</f>
        <v>226.07337218032345</v>
      </c>
      <c r="O92" s="16">
        <f>MAX(求节点(节奏总纲!$O$4:$O$163,节奏总纲!T$4:T$163,$J92)-INT(G$13),0)*$D$1*$D$2</f>
        <v>123.53651837880639</v>
      </c>
      <c r="Q92" s="16">
        <v>86</v>
      </c>
      <c r="R92" s="16">
        <f>IF(节奏总纲!P89&lt;C$13,0,求节点($C$18:$C$23,$E$18:$E$23,$Q92)*节奏总纲!W89)*$D$1</f>
        <v>15980632.971376995</v>
      </c>
      <c r="S92" s="16">
        <f>IF(节奏总纲!Q89&lt;D$13,0,求节点($C$18:$C$23,$E$18:$E$23,$Q92)*节奏总纲!X89)*$D$1</f>
        <v>13702470.740994355</v>
      </c>
      <c r="T92" s="16">
        <f>IF(节奏总纲!R89&lt;E$13,0,求节点($C$18:$C$23,$E$18:$E$23,$Q92)*节奏总纲!Y89)*$D$1</f>
        <v>11262981.110392578</v>
      </c>
      <c r="U92" s="16">
        <f>IF(节奏总纲!S89&lt;F$13,0,求节点($C$18:$C$23,$E$18:$E$23,$Q92)*节奏总纲!Z89)*$D$1</f>
        <v>8499668.6467654426</v>
      </c>
      <c r="V92" s="16">
        <f>IF(节奏总纲!T89&lt;G$13,0,求节点($C$18:$C$23,$E$18:$E$23,$Q92)*节奏总纲!AA89)*$D$1</f>
        <v>3943451.2232925724</v>
      </c>
      <c r="W92" s="16">
        <f>SUM(R$7:R92)</f>
        <v>199652360.05437389</v>
      </c>
      <c r="X92" s="16">
        <f>SUM(S$7:S92)</f>
        <v>172124168.02146521</v>
      </c>
      <c r="Y92" s="16">
        <f>SUM(T$7:T92)</f>
        <v>140144933.16700691</v>
      </c>
      <c r="Z92" s="16">
        <f>SUM(U$7:U92)</f>
        <v>102598057.83430548</v>
      </c>
      <c r="AA92" s="16">
        <f>SUM(V$7:V92)</f>
        <v>55867923.266826138</v>
      </c>
      <c r="AC92" s="16">
        <v>86</v>
      </c>
      <c r="AD92" s="16">
        <f>IF(节奏总纲!P89&lt;C$13,0,求节点($C$18:$C$23,$F$18:$F$23,$Q92)*节奏总纲!W89)*$D$1</f>
        <v>145773.76109075849</v>
      </c>
      <c r="AE92" s="16">
        <f>IF(节奏总纲!Q89&lt;D$13,0,求节点($C$18:$C$23,$F$18:$F$23,$Q92)*节奏总纲!X89)*$D$1</f>
        <v>124992.5894505232</v>
      </c>
      <c r="AF92" s="16">
        <f>IF(节奏总纲!R89&lt;E$13,0,求节点($C$18:$C$23,$F$18:$F$23,$Q92)*节奏总纲!Y89)*$D$1</f>
        <v>102739.80514393988</v>
      </c>
      <c r="AG92" s="16">
        <f>IF(节奏总纲!S89&lt;F$13,0,求节点($C$18:$C$23,$F$18:$F$23,$Q92)*节奏总纲!Z89)*$D$1</f>
        <v>77533.140826363233</v>
      </c>
      <c r="AH92" s="16">
        <f>IF(节奏总纲!T89&lt;G$13,0,求节点($C$18:$C$23,$F$18:$F$23,$Q92)*节奏总纲!AA89)*$D$1</f>
        <v>35971.77392953902</v>
      </c>
      <c r="AI92" s="16">
        <f>SUM(AD$7:AD92)</f>
        <v>1671583.6883863523</v>
      </c>
      <c r="AJ92" s="16">
        <f>SUM(AE$7:AE92)</f>
        <v>1440798.7853861251</v>
      </c>
      <c r="AK92" s="16">
        <f>SUM(AF$7:AF92)</f>
        <v>1172982.6136789811</v>
      </c>
      <c r="AL92" s="16">
        <f>SUM(AG$7:AG92)</f>
        <v>859032.34242367616</v>
      </c>
      <c r="AM92" s="16">
        <f>SUM(AH$7:AH92)</f>
        <v>467176.73646008765</v>
      </c>
      <c r="AO92" s="16">
        <v>86</v>
      </c>
      <c r="AP92" s="16">
        <f>IF(节奏总纲!P89&lt;C$13,0,求节点($C$18:$C$23,$H$18:$H$23,$Q92)*节奏总纲!W89)*$D$1</f>
        <v>3367626.0700657861</v>
      </c>
      <c r="AQ92" s="16">
        <f>IF(节奏总纲!Q89&lt;D$13,0,求节点($C$18:$C$23,$H$18:$H$23,$Q92)*节奏总纲!X89)*$D$1</f>
        <v>2887545.053711981</v>
      </c>
      <c r="AR92" s="16">
        <f>IF(节奏总纲!R89&lt;E$13,0,求节点($C$18:$C$23,$H$18:$H$23,$Q92)*节奏总纲!Y89)*$D$1</f>
        <v>2373467.2388729723</v>
      </c>
      <c r="AS92" s="16">
        <f>IF(节奏总纲!S89&lt;F$13,0,求节点($C$18:$C$23,$H$18:$H$23,$Q92)*节奏总纲!Z89)*$D$1</f>
        <v>1791149.6855622786</v>
      </c>
      <c r="AT92" s="16">
        <f>IF(节奏总纲!T89&lt;G$13,0,求节点($C$18:$C$23,$H$18:$H$23,$Q92)*节奏总纲!AA89)*$D$1</f>
        <v>831010.20900604455</v>
      </c>
      <c r="AU92" s="16">
        <f>SUM(AP$7:AP92)</f>
        <v>41558678.308586143</v>
      </c>
      <c r="AV92" s="16">
        <f>SUM(AQ$7:AQ92)</f>
        <v>35824647.86773482</v>
      </c>
      <c r="AW92" s="16">
        <f>SUM(AR$7:AR92)</f>
        <v>29164876.797895852</v>
      </c>
      <c r="AX92" s="16">
        <f>SUM(AS$7:AS92)</f>
        <v>21351132.701708201</v>
      </c>
      <c r="AY92" s="16">
        <f>SUM(AT$7:AT92)</f>
        <v>11623433.975019032</v>
      </c>
    </row>
    <row r="93" spans="10:51">
      <c r="J93" s="16">
        <v>87</v>
      </c>
      <c r="K93" s="16">
        <f>MAX(求节点(节奏总纲!$O$4:$O$163,节奏总纲!P$4:P$163,$J93)-INT(C$13),0)*$D$1*$D$2</f>
        <v>472.6478723212706</v>
      </c>
      <c r="L93" s="16">
        <f>MAX(求节点(节奏总纲!$O$4:$O$163,节奏总纲!Q$4:Q$163,$J93)-INT(D$13),0)*$D$1*$D$2</f>
        <v>408.34142253664936</v>
      </c>
      <c r="M93" s="16">
        <f>MAX(求节点(节奏总纲!$O$4:$O$163,节奏总纲!R$4:R$163,$J93)-INT(E$13),0)*$D$1*$D$2</f>
        <v>332.88318041203155</v>
      </c>
      <c r="N93" s="16">
        <f>MAX(求节点(节奏总纲!$O$4:$O$163,节奏总纲!S$4:S$163,$J93)-INT(F$13),0)*$D$1*$D$2</f>
        <v>241.89724977741903</v>
      </c>
      <c r="O93" s="16">
        <f>MAX(求节点(节奏总纲!$O$4:$O$163,节奏总纲!T$4:T$163,$J93)-INT(G$13),0)*$D$1*$D$2</f>
        <v>131.69955637763451</v>
      </c>
      <c r="Q93" s="16">
        <v>87</v>
      </c>
      <c r="R93" s="16">
        <f>IF(节奏总纲!P90&lt;C$13,0,求节点($C$18:$C$23,$E$18:$E$23,$Q93)*节奏总纲!W90)*$D$1</f>
        <v>17545365.121870074</v>
      </c>
      <c r="S93" s="16">
        <f>IF(节奏总纲!Q90&lt;D$13,0,求节点($C$18:$C$23,$E$18:$E$23,$Q93)*节奏总纲!X90)*$D$1</f>
        <v>15298472.179955089</v>
      </c>
      <c r="T93" s="16">
        <f>IF(节奏总纲!R90&lt;E$13,0,求节点($C$18:$C$23,$E$18:$E$23,$Q93)*节奏总纲!Y90)*$D$1</f>
        <v>12707328.012879536</v>
      </c>
      <c r="U93" s="16">
        <f>IF(节奏总纲!S90&lt;F$13,0,求节点($C$18:$C$23,$E$18:$E$23,$Q93)*节奏总纲!Z90)*$D$1</f>
        <v>8307535.7384751895</v>
      </c>
      <c r="V93" s="16">
        <f>IF(节奏总纲!T90&lt;G$13,0,求节点($C$18:$C$23,$E$18:$E$23,$Q93)*节奏总纲!AA90)*$D$1</f>
        <v>4285594.9493847704</v>
      </c>
      <c r="W93" s="16">
        <f>SUM(R$7:R93)</f>
        <v>217197725.17624396</v>
      </c>
      <c r="X93" s="16">
        <f>SUM(S$7:S93)</f>
        <v>187422640.20142031</v>
      </c>
      <c r="Y93" s="16">
        <f>SUM(T$7:T93)</f>
        <v>152852261.17988646</v>
      </c>
      <c r="Z93" s="16">
        <f>SUM(U$7:U93)</f>
        <v>110905593.57278067</v>
      </c>
      <c r="AA93" s="16">
        <f>SUM(V$7:V93)</f>
        <v>60153518.216210909</v>
      </c>
      <c r="AC93" s="16">
        <v>87</v>
      </c>
      <c r="AD93" s="16">
        <f>IF(节奏总纲!P90&lt;C$13,0,求节点($C$18:$C$23,$F$18:$F$23,$Q93)*节奏总纲!W90)*$D$1</f>
        <v>159584.61670538713</v>
      </c>
      <c r="AE93" s="16">
        <f>IF(节奏总纲!Q90&lt;D$13,0,求节点($C$18:$C$23,$F$18:$F$23,$Q93)*节奏总纲!X90)*$D$1</f>
        <v>139147.90613123158</v>
      </c>
      <c r="AF93" s="16">
        <f>IF(节奏总纲!R90&lt;E$13,0,求节点($C$18:$C$23,$F$18:$F$23,$Q93)*节奏总纲!Y90)*$D$1</f>
        <v>115580.04385769466</v>
      </c>
      <c r="AG93" s="16">
        <f>IF(节奏总纲!S90&lt;F$13,0,求节点($C$18:$C$23,$F$18:$F$23,$Q93)*节奏总纲!Z90)*$D$1</f>
        <v>75561.54559236455</v>
      </c>
      <c r="AH93" s="16">
        <f>IF(节奏总纲!T90&lt;G$13,0,求节点($C$18:$C$23,$F$18:$F$23,$Q93)*节奏总纲!AA90)*$D$1</f>
        <v>38979.811625556889</v>
      </c>
      <c r="AI93" s="16">
        <f>SUM(AD$7:AD93)</f>
        <v>1831168.3050917394</v>
      </c>
      <c r="AJ93" s="16">
        <f>SUM(AE$7:AE93)</f>
        <v>1579946.6915173568</v>
      </c>
      <c r="AK93" s="16">
        <f>SUM(AF$7:AF93)</f>
        <v>1288562.6575366757</v>
      </c>
      <c r="AL93" s="16">
        <f>SUM(AG$7:AG93)</f>
        <v>934593.88801604067</v>
      </c>
      <c r="AM93" s="16">
        <f>SUM(AH$7:AH93)</f>
        <v>506156.54808564455</v>
      </c>
      <c r="AO93" s="16">
        <v>87</v>
      </c>
      <c r="AP93" s="16">
        <f>IF(节奏总纲!P90&lt;C$13,0,求节点($C$18:$C$23,$H$18:$H$23,$Q93)*节奏总纲!W90)*$D$1</f>
        <v>3609332.2536418438</v>
      </c>
      <c r="AQ93" s="16">
        <f>IF(节奏总纲!Q90&lt;D$13,0,求节点($C$18:$C$23,$H$18:$H$23,$Q93)*节奏总纲!X90)*$D$1</f>
        <v>3147114.2770193331</v>
      </c>
      <c r="AR93" s="16">
        <f>IF(节奏总纲!R90&lt;E$13,0,求节点($C$18:$C$23,$H$18:$H$23,$Q93)*节奏总纲!Y90)*$D$1</f>
        <v>2614078.9055066472</v>
      </c>
      <c r="AS93" s="16">
        <f>IF(节奏总纲!S90&lt;F$13,0,求节点($C$18:$C$23,$H$18:$H$23,$Q93)*节奏总纲!Z90)*$D$1</f>
        <v>1708978.7804863248</v>
      </c>
      <c r="AT93" s="16">
        <f>IF(节奏总纲!T90&lt;G$13,0,求节点($C$18:$C$23,$H$18:$H$23,$Q93)*节奏总纲!AA90)*$D$1</f>
        <v>881608.10387343843</v>
      </c>
      <c r="AU93" s="16">
        <f>SUM(AP$7:AP93)</f>
        <v>45168010.562227987</v>
      </c>
      <c r="AV93" s="16">
        <f>SUM(AQ$7:AQ93)</f>
        <v>38971762.144754156</v>
      </c>
      <c r="AW93" s="16">
        <f>SUM(AR$7:AR93)</f>
        <v>31778955.703402501</v>
      </c>
      <c r="AX93" s="16">
        <f>SUM(AS$7:AS93)</f>
        <v>23060111.482194528</v>
      </c>
      <c r="AY93" s="16">
        <f>SUM(AT$7:AT93)</f>
        <v>12505042.078892471</v>
      </c>
    </row>
    <row r="94" spans="10:51">
      <c r="J94" s="16">
        <v>88</v>
      </c>
      <c r="K94" s="16">
        <f>MAX(求节点(节奏总纲!$O$4:$O$163,节奏总纲!P$4:P$163,$J94)-INT(C$13),0)*$D$1*$D$2</f>
        <v>508.46626608913857</v>
      </c>
      <c r="L94" s="16">
        <f>MAX(求节点(节奏总纲!$O$4:$O$163,节奏总纲!Q$4:Q$163,$J94)-INT(D$13),0)*$D$1*$D$2</f>
        <v>440.12805342032271</v>
      </c>
      <c r="M94" s="16">
        <f>MAX(求节点(节奏总纲!$O$4:$O$163,节奏总纲!R$4:R$163,$J94)-INT(E$13),0)*$D$1*$D$2</f>
        <v>357.48758482031792</v>
      </c>
      <c r="N94" s="16">
        <f>MAX(求节点(节奏总纲!$O$4:$O$163,节奏总纲!S$4:S$163,$J94)-INT(F$13),0)*$D$1*$D$2</f>
        <v>258.00919642650024</v>
      </c>
      <c r="O94" s="16">
        <f>MAX(求节点(节奏总纲!$O$4:$O$163,节奏总纲!T$4:T$163,$J94)-INT(G$13),0)*$D$1*$D$2</f>
        <v>140.62555570669142</v>
      </c>
      <c r="Q94" s="16">
        <v>88</v>
      </c>
      <c r="R94" s="16">
        <f>IF(节奏总纲!P91&lt;C$13,0,求节点($C$18:$C$23,$E$18:$E$23,$Q94)*节奏总纲!W91)*$D$1</f>
        <v>19252386.650229048</v>
      </c>
      <c r="S94" s="16">
        <f>IF(节奏总纲!Q91&lt;D$13,0,求节点($C$18:$C$23,$E$18:$E$23,$Q94)*节奏总纲!X91)*$D$1</f>
        <v>17085314.099974446</v>
      </c>
      <c r="T94" s="16">
        <f>IF(节奏总纲!R91&lt;E$13,0,求节点($C$18:$C$23,$E$18:$E$23,$Q94)*节奏总纲!Y91)*$D$1</f>
        <v>13224867.369453944</v>
      </c>
      <c r="U94" s="16">
        <f>IF(节奏总纲!S91&lt;F$13,0,求节点($C$18:$C$23,$E$18:$E$23,$Q94)*节奏总纲!Z91)*$D$1</f>
        <v>8660171.3238811493</v>
      </c>
      <c r="V94" s="16">
        <f>IF(节奏总纲!T91&lt;G$13,0,求节点($C$18:$C$23,$E$18:$E$23,$Q94)*节奏总纲!AA91)*$D$1</f>
        <v>4797724.6393680787</v>
      </c>
      <c r="W94" s="16">
        <f>SUM(R$7:R94)</f>
        <v>236450111.826473</v>
      </c>
      <c r="X94" s="16">
        <f>SUM(S$7:S94)</f>
        <v>204507954.30139476</v>
      </c>
      <c r="Y94" s="16">
        <f>SUM(T$7:T94)</f>
        <v>166077128.5493404</v>
      </c>
      <c r="Z94" s="16">
        <f>SUM(U$7:U94)</f>
        <v>119565764.89666182</v>
      </c>
      <c r="AA94" s="16">
        <f>SUM(V$7:V94)</f>
        <v>64951242.855578989</v>
      </c>
      <c r="AC94" s="16">
        <v>88</v>
      </c>
      <c r="AD94" s="16">
        <f>IF(节奏总纲!P91&lt;C$13,0,求节点($C$18:$C$23,$F$18:$F$23,$Q94)*节奏总纲!W91)*$D$1</f>
        <v>174627.03486104193</v>
      </c>
      <c r="AE94" s="16">
        <f>IF(节奏总纲!Q91&lt;D$13,0,求节点($C$18:$C$23,$F$18:$F$23,$Q94)*节奏总纲!X91)*$D$1</f>
        <v>154970.79895352057</v>
      </c>
      <c r="AF94" s="16">
        <f>IF(节奏总纲!R91&lt;E$13,0,求节点($C$18:$C$23,$F$18:$F$23,$Q94)*节奏总纲!Y91)*$D$1</f>
        <v>119954.9654344187</v>
      </c>
      <c r="AG94" s="16">
        <f>IF(节奏总纲!S91&lt;F$13,0,求节点($C$18:$C$23,$F$18:$F$23,$Q94)*节奏总纲!Z91)*$D$1</f>
        <v>78551.302088045137</v>
      </c>
      <c r="AH94" s="16">
        <f>IF(节奏总纲!T91&lt;G$13,0,求节点($C$18:$C$23,$F$18:$F$23,$Q94)*节奏总纲!AA91)*$D$1</f>
        <v>43517.32816682454</v>
      </c>
      <c r="AI94" s="16">
        <f>SUM(AD$7:AD94)</f>
        <v>2005795.3399527813</v>
      </c>
      <c r="AJ94" s="16">
        <f>SUM(AE$7:AE94)</f>
        <v>1734917.4904708774</v>
      </c>
      <c r="AK94" s="16">
        <f>SUM(AF$7:AF94)</f>
        <v>1408517.6229710944</v>
      </c>
      <c r="AL94" s="16">
        <f>SUM(AG$7:AG94)</f>
        <v>1013145.1901040858</v>
      </c>
      <c r="AM94" s="16">
        <f>SUM(AH$7:AH94)</f>
        <v>549673.87625246914</v>
      </c>
      <c r="AO94" s="16">
        <v>88</v>
      </c>
      <c r="AP94" s="16">
        <f>IF(节奏总纲!P91&lt;C$13,0,求节点($C$18:$C$23,$H$18:$H$23,$Q94)*节奏总纲!W91)*$D$1</f>
        <v>3868386.5269297436</v>
      </c>
      <c r="AQ94" s="16">
        <f>IF(节奏总纲!Q91&lt;D$13,0,求节点($C$18:$C$23,$H$18:$H$23,$Q94)*节奏总纲!X91)*$D$1</f>
        <v>3432956.1354367258</v>
      </c>
      <c r="AR94" s="16">
        <f>IF(节奏总纲!R91&lt;E$13,0,求节点($C$18:$C$23,$H$18:$H$23,$Q94)*节奏总纲!Y91)*$D$1</f>
        <v>2657275.6760949316</v>
      </c>
      <c r="AS94" s="16">
        <f>IF(节奏总纲!S91&lt;F$13,0,求节点($C$18:$C$23,$H$18:$H$23,$Q94)*节奏总纲!Z91)*$D$1</f>
        <v>1740090.2381007706</v>
      </c>
      <c r="AT94" s="16">
        <f>IF(节奏总纲!T91&lt;G$13,0,求节点($C$18:$C$23,$H$18:$H$23,$Q94)*节奏总纲!AA91)*$D$1</f>
        <v>964007.92753814417</v>
      </c>
      <c r="AU94" s="16">
        <f>SUM(AP$7:AP94)</f>
        <v>49036397.08915773</v>
      </c>
      <c r="AV94" s="16">
        <f>SUM(AQ$7:AQ94)</f>
        <v>42404718.280190885</v>
      </c>
      <c r="AW94" s="16">
        <f>SUM(AR$7:AR94)</f>
        <v>34436231.379497431</v>
      </c>
      <c r="AX94" s="16">
        <f>SUM(AS$7:AS94)</f>
        <v>24800201.720295299</v>
      </c>
      <c r="AY94" s="16">
        <f>SUM(AT$7:AT94)</f>
        <v>13469050.006430615</v>
      </c>
    </row>
    <row r="95" spans="10:51">
      <c r="J95" s="16">
        <v>89</v>
      </c>
      <c r="K95" s="16">
        <f>MAX(求节点(节奏总纲!$O$4:$O$163,节奏总纲!P$4:P$163,$J95)-INT(C$13),0)*$D$1*$D$2</f>
        <v>546.8554700002145</v>
      </c>
      <c r="L95" s="16">
        <f>MAX(求节点(节奏总纲!$O$4:$O$163,节奏总纲!Q$4:Q$163,$J95)-INT(D$13),0)*$D$1*$D$2</f>
        <v>472.54151498618523</v>
      </c>
      <c r="M95" s="16">
        <f>MAX(求节点(节奏总纲!$O$4:$O$163,节奏总纲!R$4:R$163,$J95)-INT(E$13),0)*$D$1*$D$2</f>
        <v>381.12310141914963</v>
      </c>
      <c r="N95" s="16">
        <f>MAX(求节点(节奏总纲!$O$4:$O$163,节奏总纲!S$4:S$163,$J95)-INT(F$13),0)*$D$1*$D$2</f>
        <v>275.17316242710808</v>
      </c>
      <c r="O95" s="16">
        <f>MAX(求节点(节奏总纲!$O$4:$O$163,节奏总纲!T$4:T$163,$J95)-INT(G$13),0)*$D$1*$D$2</f>
        <v>149.54319878005876</v>
      </c>
      <c r="Q95" s="16">
        <v>89</v>
      </c>
      <c r="R95" s="16">
        <f>IF(节奏总纲!P92&lt;C$13,0,求节点($C$18:$C$23,$E$18:$E$23,$Q95)*节奏总纲!W92)*$D$1</f>
        <v>21114062.151091695</v>
      </c>
      <c r="S95" s="16">
        <f>IF(节奏总纲!Q92&lt;D$13,0,求节点($C$18:$C$23,$E$18:$E$23,$Q95)*节奏总纲!X92)*$D$1</f>
        <v>17827403.861224405</v>
      </c>
      <c r="T95" s="16">
        <f>IF(节奏总纲!R92&lt;E$13,0,求节点($C$18:$C$23,$E$18:$E$23,$Q95)*节奏总纲!Y92)*$D$1</f>
        <v>12999534.129357405</v>
      </c>
      <c r="U95" s="16">
        <f>IF(节奏总纲!S92&lt;F$13,0,求节点($C$18:$C$23,$E$18:$E$23,$Q95)*节奏总纲!Z92)*$D$1</f>
        <v>9440181.3003343064</v>
      </c>
      <c r="V95" s="16">
        <f>IF(节奏总纲!T92&lt;G$13,0,求节点($C$18:$C$23,$E$18:$E$23,$Q95)*节奏总纲!AA92)*$D$1</f>
        <v>4904703.690352045</v>
      </c>
      <c r="W95" s="16">
        <f>SUM(R$7:R95)</f>
        <v>257564173.97756469</v>
      </c>
      <c r="X95" s="16">
        <f>SUM(S$7:S95)</f>
        <v>222335358.16261917</v>
      </c>
      <c r="Y95" s="16">
        <f>SUM(T$7:T95)</f>
        <v>179076662.67869779</v>
      </c>
      <c r="Z95" s="16">
        <f>SUM(U$7:U95)</f>
        <v>129005946.19699612</v>
      </c>
      <c r="AA95" s="16">
        <f>SUM(V$7:V95)</f>
        <v>69855946.545931041</v>
      </c>
      <c r="AC95" s="16">
        <v>89</v>
      </c>
      <c r="AD95" s="16">
        <f>IF(节奏总纲!P92&lt;C$13,0,求节点($C$18:$C$23,$F$18:$F$23,$Q95)*节奏总纲!W92)*$D$1</f>
        <v>191006.65691861213</v>
      </c>
      <c r="AE95" s="16">
        <f>IF(节奏总纲!Q92&lt;D$13,0,求节点($C$18:$C$23,$F$18:$F$23,$Q95)*节奏总纲!X92)*$D$1</f>
        <v>161274.16831035371</v>
      </c>
      <c r="AF95" s="16">
        <f>IF(节奏总纲!R92&lt;E$13,0,求节点($C$18:$C$23,$F$18:$F$23,$Q95)*节奏总纲!Y92)*$D$1</f>
        <v>117599.23494492396</v>
      </c>
      <c r="AG95" s="16">
        <f>IF(节奏总纲!S92&lt;F$13,0,求节点($C$18:$C$23,$F$18:$F$23,$Q95)*节奏总纲!Z92)*$D$1</f>
        <v>85399.837225979849</v>
      </c>
      <c r="AH95" s="16">
        <f>IF(节奏总纲!T92&lt;G$13,0,求节点($C$18:$C$23,$F$18:$F$23,$Q95)*节奏总纲!AA92)*$D$1</f>
        <v>44370.005561534519</v>
      </c>
      <c r="AI95" s="16">
        <f>SUM(AD$7:AD95)</f>
        <v>2196801.9968713936</v>
      </c>
      <c r="AJ95" s="16">
        <f>SUM(AE$7:AE95)</f>
        <v>1896191.6587812311</v>
      </c>
      <c r="AK95" s="16">
        <f>SUM(AF$7:AF95)</f>
        <v>1526116.8579160185</v>
      </c>
      <c r="AL95" s="16">
        <f>SUM(AG$7:AG95)</f>
        <v>1098545.0273300656</v>
      </c>
      <c r="AM95" s="16">
        <f>SUM(AH$7:AH95)</f>
        <v>594043.88181400369</v>
      </c>
      <c r="AO95" s="16">
        <v>89</v>
      </c>
      <c r="AP95" s="16">
        <f>IF(节奏总纲!P92&lt;C$13,0,求节点($C$18:$C$23,$H$18:$H$23,$Q95)*节奏总纲!W92)*$D$1</f>
        <v>4146034.0223961873</v>
      </c>
      <c r="AQ95" s="16">
        <f>IF(节奏总纲!Q92&lt;D$13,0,求节点($C$18:$C$23,$H$18:$H$23,$Q95)*节奏总纲!X92)*$D$1</f>
        <v>3500653.8491131556</v>
      </c>
      <c r="AR95" s="16">
        <f>IF(节奏总纲!R92&lt;E$13,0,求节点($C$18:$C$23,$H$18:$H$23,$Q95)*节奏总纲!Y92)*$D$1</f>
        <v>2552635.7926738178</v>
      </c>
      <c r="AS95" s="16">
        <f>IF(节奏总纲!S92&lt;F$13,0,求节点($C$18:$C$23,$H$18:$H$23,$Q95)*节奏总纲!Z92)*$D$1</f>
        <v>1853708.3280656459</v>
      </c>
      <c r="AT95" s="16">
        <f>IF(节奏总纲!T92&lt;G$13,0,求节点($C$18:$C$23,$H$18:$H$23,$Q95)*节奏总纲!AA92)*$D$1</f>
        <v>963105.45192367444</v>
      </c>
      <c r="AU95" s="16">
        <f>SUM(AP$7:AP95)</f>
        <v>53182431.111553915</v>
      </c>
      <c r="AV95" s="16">
        <f>SUM(AQ$7:AQ95)</f>
        <v>45905372.129304044</v>
      </c>
      <c r="AW95" s="16">
        <f>SUM(AR$7:AR95)</f>
        <v>36988867.17217125</v>
      </c>
      <c r="AX95" s="16">
        <f>SUM(AS$7:AS95)</f>
        <v>26653910.048360944</v>
      </c>
      <c r="AY95" s="16">
        <f>SUM(AT$7:AT95)</f>
        <v>14432155.458354289</v>
      </c>
    </row>
    <row r="96" spans="10:51">
      <c r="J96" s="16">
        <v>90</v>
      </c>
      <c r="K96" s="16">
        <f>MAX(求节点(节奏总纲!$O$4:$O$163,节奏总纲!P$4:P$163,$J96)-INT(C$13),0)*$D$1*$D$2</f>
        <v>588</v>
      </c>
      <c r="L96" s="16">
        <f>MAX(求节点(节奏总纲!$O$4:$O$163,节奏总纲!Q$4:Q$163,$J96)-INT(D$13),0)*$D$1*$D$2</f>
        <v>504.15768000000008</v>
      </c>
      <c r="M96" s="16">
        <f>MAX(求节点(节奏总纲!$O$4:$O$163,节奏总纲!R$4:R$163,$J96)-INT(E$13),0)*$D$1*$D$2</f>
        <v>406.94759999999997</v>
      </c>
      <c r="N96" s="16">
        <f>MAX(求节点(节奏总纲!$O$4:$O$163,节奏总纲!S$4:S$163,$J96)-INT(F$13),0)*$D$1*$D$2</f>
        <v>292.66416000000004</v>
      </c>
      <c r="O96" s="16">
        <f>MAX(求节点(节奏总纲!$O$4:$O$163,节奏总纲!T$4:T$163,$J96)-INT(G$13),0)*$D$1*$D$2</f>
        <v>158.97720000000004</v>
      </c>
      <c r="Q96" s="16">
        <v>90</v>
      </c>
      <c r="R96" s="16">
        <f>IF(节奏总纲!P93&lt;C$13,0,求节点($C$18:$C$23,$E$18:$E$23,$Q96)*节奏总纲!W93)*$D$1</f>
        <v>23143798.124879397</v>
      </c>
      <c r="S96" s="16">
        <f>IF(节奏总纲!Q93&lt;D$13,0,求节点($C$18:$C$23,$E$18:$E$23,$Q96)*节奏总纲!X93)*$D$1</f>
        <v>17784092.820270836</v>
      </c>
      <c r="T96" s="16">
        <f>IF(节奏总纲!R93&lt;E$13,0,求节点($C$18:$C$23,$E$18:$E$23,$Q96)*节奏总纲!Y93)*$D$1</f>
        <v>14526280.451728363</v>
      </c>
      <c r="U96" s="16">
        <f>IF(节奏总纲!S93&lt;F$13,0,求节点($C$18:$C$23,$E$18:$E$23,$Q96)*节奏总纲!Z93)*$D$1</f>
        <v>9838686.1347517259</v>
      </c>
      <c r="V96" s="16">
        <f>IF(节奏总纲!T93&lt;G$13,0,求节点($C$18:$C$23,$E$18:$E$23,$Q96)*节奏总纲!AA93)*$D$1</f>
        <v>5306625.6862169672</v>
      </c>
      <c r="W96" s="16">
        <f>SUM(R$7:R96)</f>
        <v>280707972.10244411</v>
      </c>
      <c r="X96" s="16">
        <f>SUM(S$7:S96)</f>
        <v>240119450.98289001</v>
      </c>
      <c r="Y96" s="16">
        <f>SUM(T$7:T96)</f>
        <v>193602943.13042617</v>
      </c>
      <c r="Z96" s="16">
        <f>SUM(U$7:U96)</f>
        <v>138844632.33174786</v>
      </c>
      <c r="AA96" s="16">
        <f>SUM(V$7:V96)</f>
        <v>75162572.232148007</v>
      </c>
      <c r="AC96" s="16">
        <v>90</v>
      </c>
      <c r="AD96" s="16">
        <f>IF(节奏总纲!P93&lt;C$13,0,求节点($C$18:$C$23,$F$18:$F$23,$Q96)*节奏总纲!W93)*$D$1</f>
        <v>208837.94442339946</v>
      </c>
      <c r="AE96" s="16">
        <f>IF(节奏总纲!Q93&lt;D$13,0,求节点($C$18:$C$23,$F$18:$F$23,$Q96)*节奏总纲!X93)*$D$1</f>
        <v>160474.67092394765</v>
      </c>
      <c r="AF96" s="16">
        <f>IF(节奏总纲!R93&lt;E$13,0,求节点($C$18:$C$23,$F$18:$F$23,$Q96)*节奏总纲!Y93)*$D$1</f>
        <v>131077.81762042007</v>
      </c>
      <c r="AG96" s="16">
        <f>IF(节奏总纲!S93&lt;F$13,0,求节点($C$18:$C$23,$F$18:$F$23,$Q96)*节奏总纲!Z93)*$D$1</f>
        <v>88779.334192332724</v>
      </c>
      <c r="AH96" s="16">
        <f>IF(节奏总纲!T93&lt;G$13,0,求节点($C$18:$C$23,$F$18:$F$23,$Q96)*节奏总纲!AA93)*$D$1</f>
        <v>47884.309833424879</v>
      </c>
      <c r="AI96" s="16">
        <f>SUM(AD$7:AD96)</f>
        <v>2405639.941294793</v>
      </c>
      <c r="AJ96" s="16">
        <f>SUM(AE$7:AE96)</f>
        <v>2056666.3297051787</v>
      </c>
      <c r="AK96" s="16">
        <f>SUM(AF$7:AF96)</f>
        <v>1657194.6755364386</v>
      </c>
      <c r="AL96" s="16">
        <f>SUM(AG$7:AG96)</f>
        <v>1187324.3615223984</v>
      </c>
      <c r="AM96" s="16">
        <f>SUM(AH$7:AH96)</f>
        <v>641928.19164742855</v>
      </c>
      <c r="AO96" s="16">
        <v>90</v>
      </c>
      <c r="AP96" s="16">
        <f>IF(节奏总纲!P93&lt;C$13,0,求节点($C$18:$C$23,$H$18:$H$23,$Q96)*节奏总纲!W93)*$D$1</f>
        <v>4443609.2399768448</v>
      </c>
      <c r="AQ96" s="16">
        <f>IF(节奏总纲!Q93&lt;D$13,0,求节点($C$18:$C$23,$H$18:$H$23,$Q96)*节奏总纲!X93)*$D$1</f>
        <v>3414545.8214920005</v>
      </c>
      <c r="AR96" s="16">
        <f>IF(节奏总纲!R93&lt;E$13,0,求节点($C$18:$C$23,$H$18:$H$23,$Q96)*节奏总纲!Y93)*$D$1</f>
        <v>2789045.8467318453</v>
      </c>
      <c r="AS96" s="16">
        <f>IF(节奏总纲!S93&lt;F$13,0,求节点($C$18:$C$23,$H$18:$H$23,$Q96)*节奏总纲!Z93)*$D$1</f>
        <v>1889027.7378723314</v>
      </c>
      <c r="AT96" s="16">
        <f>IF(节奏总纲!T93&lt;G$13,0,求节点($C$18:$C$23,$H$18:$H$23,$Q96)*节奏总纲!AA93)*$D$1</f>
        <v>1018872.1317536576</v>
      </c>
      <c r="AU96" s="16">
        <f>SUM(AP$7:AP96)</f>
        <v>57626040.351530761</v>
      </c>
      <c r="AV96" s="16">
        <f>SUM(AQ$7:AQ96)</f>
        <v>49319917.950796045</v>
      </c>
      <c r="AW96" s="16">
        <f>SUM(AR$7:AR96)</f>
        <v>39777913.018903092</v>
      </c>
      <c r="AX96" s="16">
        <f>SUM(AS$7:AS96)</f>
        <v>28542937.786233276</v>
      </c>
      <c r="AY96" s="16">
        <f>SUM(AT$7:AT96)</f>
        <v>15451027.590107946</v>
      </c>
    </row>
    <row r="97" spans="10:51">
      <c r="J97" s="16">
        <v>91</v>
      </c>
      <c r="K97" s="16">
        <f>MAX(求节点(节奏总纲!$O$4:$O$163,节奏总纲!P$4:P$163,$J97)-INT(C$13),0)*$D$1*$D$2</f>
        <v>632.0976153822985</v>
      </c>
      <c r="L97" s="16">
        <f>MAX(求节点(节奏总纲!$O$4:$O$163,节奏总纲!Q$4:Q$163,$J97)-INT(D$13),0)*$D$1*$D$2</f>
        <v>541.9669754287828</v>
      </c>
      <c r="M97" s="16">
        <f>MAX(求节点(节奏总纲!$O$4:$O$163,节奏总纲!R$4:R$163,$J97)-INT(E$13),0)*$D$1*$D$2</f>
        <v>436.12692246763004</v>
      </c>
      <c r="N97" s="16">
        <f>MAX(求节点(节奏总纲!$O$4:$O$163,节奏总纲!S$4:S$163,$J97)-INT(F$13),0)*$D$1*$D$2</f>
        <v>313.93702317576992</v>
      </c>
      <c r="O97" s="16">
        <f>MAX(求节点(节奏总纲!$O$4:$O$163,节奏总纲!T$4:T$163,$J97)-INT(G$13),0)*$D$1*$D$2</f>
        <v>170.27035615322063</v>
      </c>
      <c r="Q97" s="16">
        <v>91</v>
      </c>
      <c r="R97" s="16">
        <f>IF(节奏总纲!P94&lt;C$13,0,求节点($C$18:$C$23,$E$18:$E$23,$Q97)*节奏总纲!W94)*$D$1</f>
        <v>25356128.844821636</v>
      </c>
      <c r="S97" s="16">
        <f>IF(节奏总纲!Q94&lt;D$13,0,求节点($C$18:$C$23,$E$18:$E$23,$Q97)*节奏总纲!X94)*$D$1</f>
        <v>21740344.871550057</v>
      </c>
      <c r="T97" s="16">
        <f>IF(节奏总纲!R94&lt;E$13,0,求节点($C$18:$C$23,$E$18:$E$23,$Q97)*节奏总纲!Y94)*$D$1</f>
        <v>16778110.41888728</v>
      </c>
      <c r="U97" s="16">
        <f>IF(节奏总纲!S94&lt;F$13,0,求节点($C$18:$C$23,$E$18:$E$23,$Q97)*节奏总纲!Z94)*$D$1</f>
        <v>12231896.32606769</v>
      </c>
      <c r="V97" s="16">
        <f>IF(节奏总纲!T94&lt;G$13,0,求节点($C$18:$C$23,$E$18:$E$23,$Q97)*节奏总纲!AA94)*$D$1</f>
        <v>6493564.7881018408</v>
      </c>
      <c r="W97" s="16">
        <f>SUM(R$7:R97)</f>
        <v>306064100.94726574</v>
      </c>
      <c r="X97" s="16">
        <f>SUM(S$7:S97)</f>
        <v>261859795.85444006</v>
      </c>
      <c r="Y97" s="16">
        <f>SUM(T$7:T97)</f>
        <v>210381053.54931346</v>
      </c>
      <c r="Z97" s="16">
        <f>SUM(U$7:U97)</f>
        <v>151076528.65781555</v>
      </c>
      <c r="AA97" s="16">
        <f>SUM(V$7:V97)</f>
        <v>81656137.020249844</v>
      </c>
      <c r="AC97" s="16">
        <v>91</v>
      </c>
      <c r="AD97" s="16">
        <f>IF(节奏总纲!P94&lt;C$13,0,求节点($C$18:$C$23,$F$18:$F$23,$Q97)*节奏总纲!W94)*$D$1</f>
        <v>228244.90101136389</v>
      </c>
      <c r="AE97" s="16">
        <f>IF(节奏总纲!Q94&lt;D$13,0,求节点($C$18:$C$23,$F$18:$F$23,$Q97)*节奏总纲!X94)*$D$1</f>
        <v>195697.17812714324</v>
      </c>
      <c r="AF97" s="16">
        <f>IF(节奏总纲!R94&lt;E$13,0,求节点($C$18:$C$23,$F$18:$F$23,$Q97)*节奏总纲!Y94)*$D$1</f>
        <v>151029.29059688636</v>
      </c>
      <c r="AG97" s="16">
        <f>IF(节奏总纲!S94&lt;F$13,0,求节点($C$18:$C$23,$F$18:$F$23,$Q97)*节奏总纲!Z94)*$D$1</f>
        <v>110106.23834618807</v>
      </c>
      <c r="AH97" s="16">
        <f>IF(节奏总纲!T94&lt;G$13,0,求节点($C$18:$C$23,$F$18:$F$23,$Q97)*节奏总纲!AA94)*$D$1</f>
        <v>58452.260648370619</v>
      </c>
      <c r="AI97" s="16">
        <f>SUM(AD$7:AD97)</f>
        <v>2633884.8423061571</v>
      </c>
      <c r="AJ97" s="16">
        <f>SUM(AE$7:AE97)</f>
        <v>2252363.5078323218</v>
      </c>
      <c r="AK97" s="16">
        <f>SUM(AF$7:AF97)</f>
        <v>1808223.9661333249</v>
      </c>
      <c r="AL97" s="16">
        <f>SUM(AG$7:AG97)</f>
        <v>1297430.5998685865</v>
      </c>
      <c r="AM97" s="16">
        <f>SUM(AH$7:AH97)</f>
        <v>700380.45229579916</v>
      </c>
      <c r="AO97" s="16">
        <v>91</v>
      </c>
      <c r="AP97" s="16">
        <f>IF(节奏总纲!P94&lt;C$13,0,求节点($C$18:$C$23,$H$18:$H$23,$Q97)*节奏总纲!W94)*$D$1</f>
        <v>4762542.4612882379</v>
      </c>
      <c r="AQ97" s="16">
        <f>IF(节奏总纲!Q94&lt;D$13,0,求节点($C$18:$C$23,$H$18:$H$23,$Q97)*节奏总纲!X94)*$D$1</f>
        <v>4083403.9063085327</v>
      </c>
      <c r="AR97" s="16">
        <f>IF(节奏总纲!R94&lt;E$13,0,求节点($C$18:$C$23,$H$18:$H$23,$Q97)*节奏总纲!Y94)*$D$1</f>
        <v>3151366.8265040452</v>
      </c>
      <c r="AS97" s="16">
        <f>IF(节奏总纲!S94&lt;F$13,0,求节点($C$18:$C$23,$H$18:$H$23,$Q97)*节奏总纲!Z94)*$D$1</f>
        <v>2297469.2229831489</v>
      </c>
      <c r="AT97" s="16">
        <f>IF(节奏总纲!T94&lt;G$13,0,求节点($C$18:$C$23,$H$18:$H$23,$Q97)*节奏总纲!AA94)*$D$1</f>
        <v>1219660.864547824</v>
      </c>
      <c r="AU97" s="16">
        <f>SUM(AP$7:AP97)</f>
        <v>62388582.812818997</v>
      </c>
      <c r="AV97" s="16">
        <f>SUM(AQ$7:AQ97)</f>
        <v>53403321.857104577</v>
      </c>
      <c r="AW97" s="16">
        <f>SUM(AR$7:AR97)</f>
        <v>42929279.845407136</v>
      </c>
      <c r="AX97" s="16">
        <f>SUM(AS$7:AS97)</f>
        <v>30840407.009216424</v>
      </c>
      <c r="AY97" s="16">
        <f>SUM(AT$7:AT97)</f>
        <v>16670688.45465577</v>
      </c>
    </row>
    <row r="98" spans="10:51">
      <c r="J98" s="16">
        <v>92</v>
      </c>
      <c r="K98" s="16">
        <f>MAX(求节点(节奏总纲!$O$4:$O$163,节奏总纲!P$4:P$163,$J98)-INT(C$13),0)*$D$1*$D$2</f>
        <v>679.36026931017773</v>
      </c>
      <c r="L98" s="16">
        <f>MAX(求节点(节奏总纲!$O$4:$O$163,节奏总纲!Q$4:Q$163,$J98)-INT(D$13),0)*$D$1*$D$2</f>
        <v>581.15131039485698</v>
      </c>
      <c r="M98" s="16">
        <f>MAX(求节点(节奏总纲!$O$4:$O$163,节奏总纲!R$4:R$163,$J98)-INT(E$13),0)*$D$1*$D$2</f>
        <v>468.14658582402257</v>
      </c>
      <c r="N98" s="16">
        <f>MAX(求节点(节奏总纲!$O$4:$O$163,节奏总纲!S$4:S$163,$J98)-INT(F$13),0)*$D$1*$D$2</f>
        <v>336.68462973943429</v>
      </c>
      <c r="O98" s="16">
        <f>MAX(求节点(节奏总纲!$O$4:$O$163,节奏总纲!T$4:T$163,$J98)-INT(G$13),0)*$D$1*$D$2</f>
        <v>181.97443230978274</v>
      </c>
      <c r="Q98" s="16">
        <v>92</v>
      </c>
      <c r="R98" s="16">
        <f>IF(节奏总纲!P95&lt;C$13,0,求节点($C$18:$C$23,$E$18:$E$23,$Q98)*节奏总纲!W95)*$D$1</f>
        <v>27766809.182629019</v>
      </c>
      <c r="S98" s="16">
        <f>IF(节奏总纲!Q95&lt;D$13,0,求节点($C$18:$C$23,$E$18:$E$23,$Q98)*节奏总纲!X95)*$D$1</f>
        <v>23020796.792568617</v>
      </c>
      <c r="T98" s="16">
        <f>IF(节奏总纲!R95&lt;E$13,0,求节点($C$18:$C$23,$E$18:$E$23,$Q98)*节奏总纲!Y95)*$D$1</f>
        <v>18811552.221880604</v>
      </c>
      <c r="U98" s="16">
        <f>IF(节奏总纲!S95&lt;F$13,0,求节点($C$18:$C$23,$E$18:$E$23,$Q98)*节奏总纲!Z95)*$D$1</f>
        <v>13364218.856152784</v>
      </c>
      <c r="V98" s="16">
        <f>IF(节奏总纲!T95&lt;G$13,0,求节点($C$18:$C$23,$E$18:$E$23,$Q98)*节奏总纲!AA95)*$D$1</f>
        <v>6876144.7419802323</v>
      </c>
      <c r="W98" s="16">
        <f>SUM(R$7:R98)</f>
        <v>333830910.12989473</v>
      </c>
      <c r="X98" s="16">
        <f>SUM(S$7:S98)</f>
        <v>284880592.64700866</v>
      </c>
      <c r="Y98" s="16">
        <f>SUM(T$7:T98)</f>
        <v>229192605.77119407</v>
      </c>
      <c r="Z98" s="16">
        <f>SUM(U$7:U98)</f>
        <v>164440747.51396832</v>
      </c>
      <c r="AA98" s="16">
        <f>SUM(V$7:V98)</f>
        <v>88532281.762230068</v>
      </c>
      <c r="AC98" s="16">
        <v>92</v>
      </c>
      <c r="AD98" s="16">
        <f>IF(节奏总纲!P95&lt;C$13,0,求节点($C$18:$C$23,$F$18:$F$23,$Q98)*节奏总纲!W95)*$D$1</f>
        <v>249361.85250628216</v>
      </c>
      <c r="AE98" s="16">
        <f>IF(节奏总纲!Q95&lt;D$13,0,求节点($C$18:$C$23,$F$18:$F$23,$Q98)*节奏总纲!X95)*$D$1</f>
        <v>206739.94251946185</v>
      </c>
      <c r="AF98" s="16">
        <f>IF(节奏总纲!R95&lt;E$13,0,求节点($C$18:$C$23,$F$18:$F$23,$Q98)*节奏总纲!Y95)*$D$1</f>
        <v>168938.5150347575</v>
      </c>
      <c r="AG98" s="16">
        <f>IF(节奏总纲!S95&lt;F$13,0,求节点($C$18:$C$23,$F$18:$F$23,$Q98)*节奏总纲!Z95)*$D$1</f>
        <v>120018.34093902595</v>
      </c>
      <c r="AH98" s="16">
        <f>IF(节奏总纲!T95&lt;G$13,0,求节点($C$18:$C$23,$F$18:$F$23,$Q98)*节奏总纲!AA95)*$D$1</f>
        <v>61751.718740308497</v>
      </c>
      <c r="AI98" s="16">
        <f>SUM(AD$7:AD98)</f>
        <v>2883246.6948124394</v>
      </c>
      <c r="AJ98" s="16">
        <f>SUM(AE$7:AE98)</f>
        <v>2459103.4503517835</v>
      </c>
      <c r="AK98" s="16">
        <f>SUM(AF$7:AF98)</f>
        <v>1977162.4811680824</v>
      </c>
      <c r="AL98" s="16">
        <f>SUM(AG$7:AG98)</f>
        <v>1417448.9408076124</v>
      </c>
      <c r="AM98" s="16">
        <f>SUM(AH$7:AH98)</f>
        <v>762132.1710361077</v>
      </c>
      <c r="AO98" s="16">
        <v>92</v>
      </c>
      <c r="AP98" s="16">
        <f>IF(节奏总纲!P95&lt;C$13,0,求节点($C$18:$C$23,$H$18:$H$23,$Q98)*节奏总纲!W95)*$D$1</f>
        <v>5104366.6242109518</v>
      </c>
      <c r="AQ98" s="16">
        <f>IF(节奏总纲!Q95&lt;D$13,0,求节点($C$18:$C$23,$H$18:$H$23,$Q98)*节奏总纲!X95)*$D$1</f>
        <v>4231908.1763360184</v>
      </c>
      <c r="AR98" s="16">
        <f>IF(节奏总纲!R95&lt;E$13,0,求节点($C$18:$C$23,$H$18:$H$23,$Q98)*节奏总纲!Y95)*$D$1</f>
        <v>3458123.6424903916</v>
      </c>
      <c r="AS98" s="16">
        <f>IF(节奏总纲!S95&lt;F$13,0,求节点($C$18:$C$23,$H$18:$H$23,$Q98)*节奏总纲!Z95)*$D$1</f>
        <v>2456741.5088757463</v>
      </c>
      <c r="AT98" s="16">
        <f>IF(节奏总纲!T95&lt;G$13,0,求节点($C$18:$C$23,$H$18:$H$23,$Q98)*节奏总纲!AA95)*$D$1</f>
        <v>1264040.2249087067</v>
      </c>
      <c r="AU98" s="16">
        <f>SUM(AP$7:AP98)</f>
        <v>67492949.437029943</v>
      </c>
      <c r="AV98" s="16">
        <f>SUM(AQ$7:AQ98)</f>
        <v>57635230.033440597</v>
      </c>
      <c r="AW98" s="16">
        <f>SUM(AR$7:AR98)</f>
        <v>46387403.48789753</v>
      </c>
      <c r="AX98" s="16">
        <f>SUM(AS$7:AS98)</f>
        <v>33297148.51809217</v>
      </c>
      <c r="AY98" s="16">
        <f>SUM(AT$7:AT98)</f>
        <v>17934728.679564476</v>
      </c>
    </row>
    <row r="99" spans="10:51">
      <c r="J99" s="16">
        <v>93</v>
      </c>
      <c r="K99" s="16">
        <f>MAX(求节点(节奏总纲!$O$4:$O$163,节奏总纲!P$4:P$163,$J99)-INT(C$13),0)*$D$1*$D$2</f>
        <v>730.01512755911654</v>
      </c>
      <c r="L99" s="16">
        <f>MAX(求节点(节奏总纲!$O$4:$O$163,节奏总纲!Q$4:Q$163,$J99)-INT(D$13),0)*$D$1*$D$2</f>
        <v>624.41102011406838</v>
      </c>
      <c r="M99" s="16">
        <f>MAX(求节点(节奏总纲!$O$4:$O$163,节奏总纲!R$4:R$163,$J99)-INT(E$13),0)*$D$1*$D$2</f>
        <v>502.41874440098718</v>
      </c>
      <c r="N99" s="16">
        <f>MAX(求节点(节奏总纲!$O$4:$O$163,节奏总纲!S$4:S$163,$J99)-INT(F$13),0)*$D$1*$D$2</f>
        <v>360.6314881417627</v>
      </c>
      <c r="O99" s="16">
        <f>MAX(求节点(节奏总纲!$O$4:$O$163,节奏总纲!T$4:T$163,$J99)-INT(G$13),0)*$D$1*$D$2</f>
        <v>194.82004662206367</v>
      </c>
      <c r="Q99" s="16">
        <v>93</v>
      </c>
      <c r="R99" s="16">
        <f>IF(节奏总纲!P96&lt;C$13,0,求节点($C$18:$C$23,$E$18:$E$23,$Q99)*节奏总纲!W96)*$D$1</f>
        <v>30392914.949363254</v>
      </c>
      <c r="S99" s="16">
        <f>IF(节奏总纲!Q96&lt;D$13,0,求节点($C$18:$C$23,$E$18:$E$23,$Q99)*节奏总纲!X96)*$D$1</f>
        <v>25955825.831526775</v>
      </c>
      <c r="T99" s="16">
        <f>IF(节奏总纲!R96&lt;E$13,0,求节点($C$18:$C$23,$E$18:$E$23,$Q99)*节奏总纲!Y96)*$D$1</f>
        <v>20563295.146178789</v>
      </c>
      <c r="U99" s="16">
        <f>IF(节奏总纲!S96&lt;F$13,0,求节点($C$18:$C$23,$E$18:$E$23,$Q99)*节奏总纲!Z96)*$D$1</f>
        <v>14368115.04139705</v>
      </c>
      <c r="V99" s="16">
        <f>IF(节奏总纲!T96&lt;G$13,0,求节点($C$18:$C$23,$E$18:$E$23,$Q99)*节奏总纲!AA96)*$D$1</f>
        <v>7707368.5873685647</v>
      </c>
      <c r="W99" s="16">
        <f>SUM(R$7:R99)</f>
        <v>364223825.07925797</v>
      </c>
      <c r="X99" s="16">
        <f>SUM(S$7:S99)</f>
        <v>310836418.47853541</v>
      </c>
      <c r="Y99" s="16">
        <f>SUM(T$7:T99)</f>
        <v>249755900.91737285</v>
      </c>
      <c r="Z99" s="16">
        <f>SUM(U$7:U99)</f>
        <v>178808862.55536538</v>
      </c>
      <c r="AA99" s="16">
        <f>SUM(V$7:V99)</f>
        <v>96239650.349598631</v>
      </c>
      <c r="AC99" s="16">
        <v>93</v>
      </c>
      <c r="AD99" s="16">
        <f>IF(节奏总纲!P96&lt;C$13,0,求节点($C$18:$C$23,$F$18:$F$23,$Q99)*节奏总纲!W96)*$D$1</f>
        <v>272334.2898420397</v>
      </c>
      <c r="AE99" s="16">
        <f>IF(节奏总纲!Q96&lt;D$13,0,求节点($C$18:$C$23,$F$18:$F$23,$Q99)*节奏总纲!X96)*$D$1</f>
        <v>232575.96077472006</v>
      </c>
      <c r="AF99" s="16">
        <f>IF(节奏总纲!R96&lt;E$13,0,求节点($C$18:$C$23,$F$18:$F$23,$Q99)*节奏总纲!Y96)*$D$1</f>
        <v>184256.44232469995</v>
      </c>
      <c r="AG99" s="16">
        <f>IF(节奏总纲!S96&lt;F$13,0,求节点($C$18:$C$23,$F$18:$F$23,$Q99)*节奏总纲!Z96)*$D$1</f>
        <v>128744.82137323165</v>
      </c>
      <c r="AH99" s="16">
        <f>IF(节奏总纲!T96&lt;G$13,0,求节点($C$18:$C$23,$F$18:$F$23,$Q99)*节奏总纲!AA96)*$D$1</f>
        <v>69061.514971134311</v>
      </c>
      <c r="AI99" s="16">
        <f>SUM(AD$7:AD99)</f>
        <v>3155580.9846544792</v>
      </c>
      <c r="AJ99" s="16">
        <f>SUM(AE$7:AE99)</f>
        <v>2691679.4111265037</v>
      </c>
      <c r="AK99" s="16">
        <f>SUM(AF$7:AF99)</f>
        <v>2161418.9234927823</v>
      </c>
      <c r="AL99" s="16">
        <f>SUM(AG$7:AG99)</f>
        <v>1546193.7621808441</v>
      </c>
      <c r="AM99" s="16">
        <f>SUM(AH$7:AH99)</f>
        <v>831193.68600724195</v>
      </c>
      <c r="AO99" s="16">
        <v>93</v>
      </c>
      <c r="AP99" s="16">
        <f>IF(节奏总纲!P96&lt;C$13,0,求节点($C$18:$C$23,$H$18:$H$23,$Q99)*节奏总纲!W96)*$D$1</f>
        <v>5470724.6908853864</v>
      </c>
      <c r="AQ99" s="16">
        <f>IF(节奏总纲!Q96&lt;D$13,0,求节点($C$18:$C$23,$H$18:$H$23,$Q99)*节奏总纲!X96)*$D$1</f>
        <v>4672048.6496748198</v>
      </c>
      <c r="AR99" s="16">
        <f>IF(节奏总纲!R96&lt;E$13,0,求节点($C$18:$C$23,$H$18:$H$23,$Q99)*节奏总纲!Y96)*$D$1</f>
        <v>3701393.1263121818</v>
      </c>
      <c r="AS99" s="16">
        <f>IF(节奏总纲!S96&lt;F$13,0,求节点($C$18:$C$23,$H$18:$H$23,$Q99)*节奏总纲!Z96)*$D$1</f>
        <v>2586260.7074514693</v>
      </c>
      <c r="AT99" s="16">
        <f>IF(节奏总纲!T96&lt;G$13,0,求节点($C$18:$C$23,$H$18:$H$23,$Q99)*节奏总纲!AA96)*$D$1</f>
        <v>1387326.3457263417</v>
      </c>
      <c r="AU99" s="16">
        <f>SUM(AP$7:AP99)</f>
        <v>72963674.127915323</v>
      </c>
      <c r="AV99" s="16">
        <f>SUM(AQ$7:AQ99)</f>
        <v>62307278.683115415</v>
      </c>
      <c r="AW99" s="16">
        <f>SUM(AR$7:AR99)</f>
        <v>50088796.614209712</v>
      </c>
      <c r="AX99" s="16">
        <f>SUM(AS$7:AS99)</f>
        <v>35883409.225543641</v>
      </c>
      <c r="AY99" s="16">
        <f>SUM(AT$7:AT99)</f>
        <v>19322055.025290817</v>
      </c>
    </row>
    <row r="100" spans="10:51">
      <c r="J100" s="16">
        <v>94</v>
      </c>
      <c r="K100" s="16">
        <f>MAX(求节点(节奏总纲!$O$4:$O$163,节奏总纲!P$4:P$163,$J100)-INT(C$13),0)*$D$1*$D$2</f>
        <v>784.30566037886626</v>
      </c>
      <c r="L100" s="16">
        <f>MAX(求节点(节奏总纲!$O$4:$O$163,节奏总纲!Q$4:Q$163,$J100)-INT(D$13),0)*$D$1*$D$2</f>
        <v>669.96068566166548</v>
      </c>
      <c r="M100" s="16">
        <f>MAX(求节点(节奏总纲!$O$4:$O$163,节奏总纲!R$4:R$163,$J100)-INT(E$13),0)*$D$1*$D$2</f>
        <v>538.85894377462216</v>
      </c>
      <c r="N100" s="16">
        <f>MAX(求节点(节奏总纲!$O$4:$O$163,节奏总纲!S$4:S$163,$J100)-INT(F$13),0)*$D$1*$D$2</f>
        <v>386.0481916988569</v>
      </c>
      <c r="O100" s="16">
        <f>MAX(求节点(节奏总纲!$O$4:$O$163,节奏总纲!T$4:T$163,$J100)-INT(G$13),0)*$D$1*$D$2</f>
        <v>208.37135735889206</v>
      </c>
      <c r="Q100" s="16">
        <v>94</v>
      </c>
      <c r="R100" s="16">
        <f>IF(节奏总纲!P97&lt;C$13,0,求节点($C$18:$C$23,$E$18:$E$23,$Q100)*节奏总纲!W97)*$D$1</f>
        <v>33252951.352096722</v>
      </c>
      <c r="S100" s="16">
        <f>IF(节奏总纲!Q97&lt;D$13,0,求节点($C$18:$C$23,$E$18:$E$23,$Q100)*节奏总纲!X97)*$D$1</f>
        <v>27899170.147903211</v>
      </c>
      <c r="T100" s="16">
        <f>IF(节奏总纲!R97&lt;E$13,0,求节点($C$18:$C$23,$E$18:$E$23,$Q100)*节奏总纲!Y97)*$D$1</f>
        <v>22319622.116351344</v>
      </c>
      <c r="U100" s="16">
        <f>IF(节奏总纲!S97&lt;F$13,0,求节点($C$18:$C$23,$E$18:$E$23,$Q100)*节奏总纲!Z97)*$D$1</f>
        <v>15567730.928720187</v>
      </c>
      <c r="V100" s="16">
        <f>IF(节奏总纲!T97&lt;G$13,0,求节点($C$18:$C$23,$E$18:$E$23,$Q100)*节奏总纲!AA97)*$D$1</f>
        <v>8300177.8263073843</v>
      </c>
      <c r="W100" s="16">
        <f>SUM(R$7:R100)</f>
        <v>397476776.4313547</v>
      </c>
      <c r="X100" s="16">
        <f>SUM(S$7:S100)</f>
        <v>338735588.62643862</v>
      </c>
      <c r="Y100" s="16">
        <f>SUM(T$7:T100)</f>
        <v>272075523.03372419</v>
      </c>
      <c r="Z100" s="16">
        <f>SUM(U$7:U100)</f>
        <v>194376593.48408556</v>
      </c>
      <c r="AA100" s="16">
        <f>SUM(V$7:V100)</f>
        <v>104539828.17590602</v>
      </c>
      <c r="AC100" s="16">
        <v>94</v>
      </c>
      <c r="AD100" s="16">
        <f>IF(节奏总纲!P97&lt;C$13,0,求节点($C$18:$C$23,$F$18:$F$23,$Q100)*节奏总纲!W97)*$D$1</f>
        <v>297319.77980974194</v>
      </c>
      <c r="AE100" s="16">
        <f>IF(节奏总纲!Q97&lt;D$13,0,求节点($C$18:$C$23,$F$18:$F$23,$Q100)*节奏总纲!X97)*$D$1</f>
        <v>249450.79422930919</v>
      </c>
      <c r="AF100" s="16">
        <f>IF(节奏总纲!R97&lt;E$13,0,求节点($C$18:$C$23,$F$18:$F$23,$Q100)*节奏总纲!Y97)*$D$1</f>
        <v>199563.19253604536</v>
      </c>
      <c r="AG100" s="16">
        <f>IF(节奏总纲!S97&lt;F$13,0,求节点($C$18:$C$23,$F$18:$F$23,$Q100)*节奏总纲!Z97)*$D$1</f>
        <v>139193.48940955117</v>
      </c>
      <c r="AH100" s="16">
        <f>IF(节奏总纲!T97&lt;G$13,0,求节点($C$18:$C$23,$F$18:$F$23,$Q100)*节奏总纲!AA97)*$D$1</f>
        <v>74213.173368258329</v>
      </c>
      <c r="AI100" s="16">
        <f>SUM(AD$7:AD100)</f>
        <v>3452900.764464221</v>
      </c>
      <c r="AJ100" s="16">
        <f>SUM(AE$7:AE100)</f>
        <v>2941130.2053558128</v>
      </c>
      <c r="AK100" s="16">
        <f>SUM(AF$7:AF100)</f>
        <v>2360982.1160288276</v>
      </c>
      <c r="AL100" s="16">
        <f>SUM(AG$7:AG100)</f>
        <v>1685387.2515903953</v>
      </c>
      <c r="AM100" s="16">
        <f>SUM(AH$7:AH100)</f>
        <v>905406.85937550024</v>
      </c>
      <c r="AO100" s="16">
        <v>94</v>
      </c>
      <c r="AP100" s="16">
        <f>IF(节奏总纲!P97&lt;C$13,0,求节点($C$18:$C$23,$H$18:$H$23,$Q100)*节奏总纲!W97)*$D$1</f>
        <v>5863377.5445329733</v>
      </c>
      <c r="AQ100" s="16">
        <f>IF(节奏总纲!Q97&lt;D$13,0,求节点($C$18:$C$23,$H$18:$H$23,$Q100)*节奏总纲!X97)*$D$1</f>
        <v>4919363.8791404851</v>
      </c>
      <c r="AR100" s="16">
        <f>IF(节奏总纲!R97&lt;E$13,0,求节点($C$18:$C$23,$H$18:$H$23,$Q100)*节奏总纲!Y97)*$D$1</f>
        <v>3935541.5323525639</v>
      </c>
      <c r="AS100" s="16">
        <f>IF(节奏总纲!S97&lt;F$13,0,求节点($C$18:$C$23,$H$18:$H$23,$Q100)*节奏总纲!Z97)*$D$1</f>
        <v>2745003.9841661719</v>
      </c>
      <c r="AT100" s="16">
        <f>IF(节奏总纲!T97&lt;G$13,0,求节点($C$18:$C$23,$H$18:$H$23,$Q100)*节奏总纲!AA97)*$D$1</f>
        <v>1463541.5595774655</v>
      </c>
      <c r="AU100" s="16">
        <f>SUM(AP$7:AP100)</f>
        <v>78827051.672448292</v>
      </c>
      <c r="AV100" s="16">
        <f>SUM(AQ$7:AQ100)</f>
        <v>67226642.562255904</v>
      </c>
      <c r="AW100" s="16">
        <f>SUM(AR$7:AR100)</f>
        <v>54024338.146562278</v>
      </c>
      <c r="AX100" s="16">
        <f>SUM(AS$7:AS100)</f>
        <v>38628413.209709816</v>
      </c>
      <c r="AY100" s="16">
        <f>SUM(AT$7:AT100)</f>
        <v>20785596.584868282</v>
      </c>
    </row>
    <row r="101" spans="10:51">
      <c r="J101" s="16">
        <v>95</v>
      </c>
      <c r="K101" s="16">
        <f>MAX(求节点(节奏总纲!$O$4:$O$163,节奏总纲!P$4:P$163,$J101)-INT(C$13),0)*$D$1*$D$2</f>
        <v>842.49281272202961</v>
      </c>
      <c r="L101" s="16">
        <f>MAX(求节点(节奏总纲!$O$4:$O$163,节奏总纲!Q$4:Q$163,$J101)-INT(D$13),0)*$D$1*$D$2</f>
        <v>720.1905855960631</v>
      </c>
      <c r="M101" s="16">
        <f>MAX(求节点(节奏总纲!$O$4:$O$163,节奏总纲!R$4:R$163,$J101)-INT(E$13),0)*$D$1*$D$2</f>
        <v>577.15050024604011</v>
      </c>
      <c r="N101" s="16">
        <f>MAX(求节点(节奏总纲!$O$4:$O$163,节奏总纲!S$4:S$163,$J101)-INT(F$13),0)*$D$1*$D$2</f>
        <v>413.27101745287746</v>
      </c>
      <c r="O101" s="16">
        <f>MAX(求节点(节奏总纲!$O$4:$O$163,节奏总纲!T$4:T$163,$J101)-INT(G$13),0)*$D$1*$D$2</f>
        <v>224.2136731529653</v>
      </c>
      <c r="Q101" s="16">
        <v>95</v>
      </c>
      <c r="R101" s="16">
        <f>IF(节奏总纲!P98&lt;C$13,0,求节点($C$18:$C$23,$E$18:$E$23,$Q101)*节奏总纲!W98)*$D$1</f>
        <v>36366970.214477077</v>
      </c>
      <c r="S101" s="16">
        <f>IF(节奏总纲!Q98&lt;D$13,0,求节点($C$18:$C$23,$E$18:$E$23,$Q101)*节奏总纲!X98)*$D$1</f>
        <v>31393687.458998557</v>
      </c>
      <c r="T101" s="16">
        <f>IF(节奏总纲!R98&lt;E$13,0,求节点($C$18:$C$23,$E$18:$E$23,$Q101)*节奏总纲!Y98)*$D$1</f>
        <v>23932222.794636246</v>
      </c>
      <c r="U101" s="16">
        <f>IF(节奏总纲!S98&lt;F$13,0,求节点($C$18:$C$23,$E$18:$E$23,$Q101)*节奏总纲!Z98)*$D$1</f>
        <v>17014266.096262902</v>
      </c>
      <c r="V101" s="16">
        <f>IF(节奏总纲!T98&lt;G$13,0,求节点($C$18:$C$23,$E$18:$E$23,$Q101)*节奏总纲!AA98)*$D$1</f>
        <v>9901447.3712957669</v>
      </c>
      <c r="W101" s="16">
        <f>SUM(R$7:R101)</f>
        <v>433843746.64583176</v>
      </c>
      <c r="X101" s="16">
        <f>SUM(S$7:S101)</f>
        <v>370129276.08543718</v>
      </c>
      <c r="Y101" s="16">
        <f>SUM(T$7:T101)</f>
        <v>296007745.82836044</v>
      </c>
      <c r="Z101" s="16">
        <f>SUM(U$7:U101)</f>
        <v>211390859.58034846</v>
      </c>
      <c r="AA101" s="16">
        <f>SUM(V$7:V101)</f>
        <v>114441275.54720178</v>
      </c>
      <c r="AC101" s="16">
        <v>95</v>
      </c>
      <c r="AD101" s="16">
        <f>IF(节奏总纲!P98&lt;C$13,0,求节点($C$18:$C$23,$F$18:$F$23,$Q101)*节奏总纲!W98)*$D$1</f>
        <v>324488.94902359595</v>
      </c>
      <c r="AE101" s="16">
        <f>IF(节奏总纲!Q98&lt;D$13,0,求节点($C$18:$C$23,$F$18:$F$23,$Q101)*节奏总纲!X98)*$D$1</f>
        <v>280114.19674137305</v>
      </c>
      <c r="AF101" s="16">
        <f>IF(节奏总纲!R98&lt;E$13,0,求节点($C$18:$C$23,$F$18:$F$23,$Q101)*节奏总纲!Y98)*$D$1</f>
        <v>213538.32273161571</v>
      </c>
      <c r="AG101" s="16">
        <f>IF(节奏总纲!S98&lt;F$13,0,求节点($C$18:$C$23,$F$18:$F$23,$Q101)*节奏总纲!Z98)*$D$1</f>
        <v>151811.96815197862</v>
      </c>
      <c r="AH101" s="16">
        <f>IF(节奏总纲!T98&lt;G$13,0,求节点($C$18:$C$23,$F$18:$F$23,$Q101)*节奏总纲!AA98)*$D$1</f>
        <v>88346.932185326921</v>
      </c>
      <c r="AI101" s="16">
        <f>SUM(AD$7:AD101)</f>
        <v>3777389.713487817</v>
      </c>
      <c r="AJ101" s="16">
        <f>SUM(AE$7:AE101)</f>
        <v>3221244.4020971861</v>
      </c>
      <c r="AK101" s="16">
        <f>SUM(AF$7:AF101)</f>
        <v>2574520.4387604431</v>
      </c>
      <c r="AL101" s="16">
        <f>SUM(AG$7:AG101)</f>
        <v>1837199.219742374</v>
      </c>
      <c r="AM101" s="16">
        <f>SUM(AH$7:AH101)</f>
        <v>993753.79156082717</v>
      </c>
      <c r="AO101" s="16">
        <v>95</v>
      </c>
      <c r="AP101" s="16">
        <f>IF(节奏总纲!P98&lt;C$13,0,求节点($C$18:$C$23,$H$18:$H$23,$Q101)*节奏总纲!W98)*$D$1</f>
        <v>6284212.4530616393</v>
      </c>
      <c r="AQ101" s="16">
        <f>IF(节奏总纲!Q98&lt;D$13,0,求节点($C$18:$C$23,$H$18:$H$23,$Q101)*节奏总纲!X98)*$D$1</f>
        <v>5424829.1929149497</v>
      </c>
      <c r="AR101" s="16">
        <f>IF(节奏总纲!R98&lt;E$13,0,求节点($C$18:$C$23,$H$18:$H$23,$Q101)*节奏总纲!Y98)*$D$1</f>
        <v>4135488.0989131434</v>
      </c>
      <c r="AS101" s="16">
        <f>IF(节奏总纲!S98&lt;F$13,0,求节点($C$18:$C$23,$H$18:$H$23,$Q101)*节奏总纲!Z98)*$D$1</f>
        <v>2940065.181434229</v>
      </c>
      <c r="AT101" s="16">
        <f>IF(节奏总纲!T98&lt;G$13,0,求节点($C$18:$C$23,$H$18:$H$23,$Q101)*节奏总纲!AA98)*$D$1</f>
        <v>1710970.1057599084</v>
      </c>
      <c r="AU101" s="16">
        <f>SUM(AP$7:AP101)</f>
        <v>85111264.125509933</v>
      </c>
      <c r="AV101" s="16">
        <f>SUM(AQ$7:AQ101)</f>
        <v>72651471.755170852</v>
      </c>
      <c r="AW101" s="16">
        <f>SUM(AR$7:AR101)</f>
        <v>58159826.245475419</v>
      </c>
      <c r="AX101" s="16">
        <f>SUM(AS$7:AS101)</f>
        <v>41568478.391144045</v>
      </c>
      <c r="AY101" s="16">
        <f>SUM(AT$7:AT101)</f>
        <v>22496566.69062819</v>
      </c>
    </row>
    <row r="102" spans="10:51">
      <c r="J102" s="16">
        <v>96</v>
      </c>
      <c r="K102" s="16">
        <f>MAX(求节点(节奏总纲!$O$4:$O$163,节奏总纲!P$4:P$163,$J102)-INT(C$13),0)*$D$1*$D$2</f>
        <v>904.85625846398852</v>
      </c>
      <c r="L102" s="16">
        <f>MAX(求节点(节奏总纲!$O$4:$O$163,节奏总纲!Q$4:Q$163,$J102)-INT(D$13),0)*$D$1*$D$2</f>
        <v>771.64498284393585</v>
      </c>
      <c r="M102" s="16">
        <f>MAX(求节点(节奏总纲!$O$4:$O$163,节奏总纲!R$4:R$163,$J102)-INT(E$13),0)*$D$1*$D$2</f>
        <v>617.97246953767535</v>
      </c>
      <c r="N102" s="16">
        <f>MAX(求节点(节奏总纲!$O$4:$O$163,节奏总纲!S$4:S$163,$J102)-INT(F$13),0)*$D$1*$D$2</f>
        <v>443.64363415751126</v>
      </c>
      <c r="O102" s="16">
        <f>MAX(求节点(节奏总纲!$O$4:$O$163,节奏总纲!T$4:T$163,$J102)-INT(G$13),0)*$D$1*$D$2</f>
        <v>241.03201538403857</v>
      </c>
      <c r="Q102" s="16">
        <v>96</v>
      </c>
      <c r="R102" s="16">
        <f>IF(节奏总纲!P99&lt;C$13,0,求节点($C$18:$C$23,$E$18:$E$23,$Q102)*节奏总纲!W99)*$D$1</f>
        <v>38977153.588724375</v>
      </c>
      <c r="S102" s="16">
        <f>IF(节奏总纲!Q99&lt;D$13,0,求节点($C$18:$C$23,$E$18:$E$23,$Q102)*节奏总纲!X99)*$D$1</f>
        <v>32158998.27992044</v>
      </c>
      <c r="T102" s="16">
        <f>IF(节奏总纲!R99&lt;E$13,0,求节点($C$18:$C$23,$E$18:$E$23,$Q102)*节奏总纲!Y99)*$D$1</f>
        <v>25513730.807272069</v>
      </c>
      <c r="U102" s="16">
        <f>IF(节奏总纲!S99&lt;F$13,0,求节点($C$18:$C$23,$E$18:$E$23,$Q102)*节奏总纲!Z99)*$D$1</f>
        <v>18982885.440396059</v>
      </c>
      <c r="V102" s="16">
        <f>IF(节奏总纲!T99&lt;G$13,0,求节点($C$18:$C$23,$E$18:$E$23,$Q102)*节奏总纲!AA99)*$D$1</f>
        <v>10511463.894420799</v>
      </c>
      <c r="W102" s="16">
        <f>SUM(R$7:R102)</f>
        <v>472820900.23455614</v>
      </c>
      <c r="X102" s="16">
        <f>SUM(S$7:S102)</f>
        <v>402288274.36535764</v>
      </c>
      <c r="Y102" s="16">
        <f>SUM(T$7:T102)</f>
        <v>321521476.63563251</v>
      </c>
      <c r="Z102" s="16">
        <f>SUM(U$7:U102)</f>
        <v>230373745.02074453</v>
      </c>
      <c r="AA102" s="16">
        <f>SUM(V$7:V102)</f>
        <v>124952739.44162259</v>
      </c>
      <c r="AC102" s="16">
        <v>96</v>
      </c>
      <c r="AD102" s="16">
        <f>IF(节奏总纲!P99&lt;C$13,0,求节点($C$18:$C$23,$F$18:$F$23,$Q102)*节奏总纲!W99)*$D$1</f>
        <v>347778.64444978256</v>
      </c>
      <c r="AE102" s="16">
        <f>IF(节奏总纲!Q99&lt;D$13,0,求节点($C$18:$C$23,$F$18:$F$23,$Q102)*节奏总纲!X99)*$D$1</f>
        <v>286942.78054950316</v>
      </c>
      <c r="AF102" s="16">
        <f>IF(节奏总纲!R99&lt;E$13,0,求节点($C$18:$C$23,$F$18:$F$23,$Q102)*节奏总纲!Y99)*$D$1</f>
        <v>227649.53050795957</v>
      </c>
      <c r="AG102" s="16">
        <f>IF(节奏总纲!S99&lt;F$13,0,求节点($C$18:$C$23,$F$18:$F$23,$Q102)*节奏总纲!Z99)*$D$1</f>
        <v>169377.22635847601</v>
      </c>
      <c r="AH102" s="16">
        <f>IF(节奏总纲!T99&lt;G$13,0,求节点($C$18:$C$23,$F$18:$F$23,$Q102)*节奏总纲!AA99)*$D$1</f>
        <v>93789.882733818638</v>
      </c>
      <c r="AI102" s="16">
        <f>SUM(AD$7:AD102)</f>
        <v>4125168.3579375995</v>
      </c>
      <c r="AJ102" s="16">
        <f>SUM(AE$7:AE102)</f>
        <v>3508187.182646689</v>
      </c>
      <c r="AK102" s="16">
        <f>SUM(AF$7:AF102)</f>
        <v>2802169.9692684026</v>
      </c>
      <c r="AL102" s="16">
        <f>SUM(AG$7:AG102)</f>
        <v>2006576.4461008501</v>
      </c>
      <c r="AM102" s="16">
        <f>SUM(AH$7:AH102)</f>
        <v>1087543.6742946459</v>
      </c>
      <c r="AO102" s="16">
        <v>96</v>
      </c>
      <c r="AP102" s="16">
        <f>IF(节奏总纲!P99&lt;C$13,0,求节点($C$18:$C$23,$H$18:$H$23,$Q102)*节奏总纲!W99)*$D$1</f>
        <v>6735252.1401315723</v>
      </c>
      <c r="AQ102" s="16">
        <f>IF(节奏总纲!Q99&lt;D$13,0,求节点($C$18:$C$23,$H$18:$H$23,$Q102)*节奏总纲!X99)*$D$1</f>
        <v>5557074.902770252</v>
      </c>
      <c r="AR102" s="16">
        <f>IF(节奏总纲!R99&lt;E$13,0,求节点($C$18:$C$23,$H$18:$H$23,$Q102)*节奏总纲!Y99)*$D$1</f>
        <v>4408772.6834966131</v>
      </c>
      <c r="AS102" s="16">
        <f>IF(节奏总纲!S99&lt;F$13,0,求节点($C$18:$C$23,$H$18:$H$23,$Q102)*节奏总纲!Z99)*$D$1</f>
        <v>3280242.6041004397</v>
      </c>
      <c r="AT102" s="16">
        <f>IF(节奏总纲!T99&lt;G$13,0,求节点($C$18:$C$23,$H$18:$H$23,$Q102)*节奏总纲!AA99)*$D$1</f>
        <v>1816380.9609559143</v>
      </c>
      <c r="AU102" s="16">
        <f>SUM(AP$7:AP102)</f>
        <v>91846516.26564151</v>
      </c>
      <c r="AV102" s="16">
        <f>SUM(AQ$7:AQ102)</f>
        <v>78208546.657941103</v>
      </c>
      <c r="AW102" s="16">
        <f>SUM(AR$7:AR102)</f>
        <v>62568598.928972036</v>
      </c>
      <c r="AX102" s="16">
        <f>SUM(AS$7:AS102)</f>
        <v>44848720.995244488</v>
      </c>
      <c r="AY102" s="16">
        <f>SUM(AT$7:AT102)</f>
        <v>24312947.651584104</v>
      </c>
    </row>
    <row r="103" spans="10:51">
      <c r="J103" s="16">
        <v>97</v>
      </c>
      <c r="K103" s="16">
        <f>MAX(求节点(节奏总纲!$O$4:$O$163,节奏总纲!P$4:P$163,$J103)-INT(C$13),0)*$D$1*$D$2</f>
        <v>971.69574464254129</v>
      </c>
      <c r="L103" s="16">
        <f>MAX(求节点(节奏总纲!$O$4:$O$163,节奏总纲!Q$4:Q$163,$J103)-INT(D$13),0)*$D$1*$D$2</f>
        <v>827.65548486098089</v>
      </c>
      <c r="M103" s="16">
        <f>MAX(求节点(节奏总纲!$O$4:$O$163,节奏总纲!R$4:R$163,$J103)-INT(E$13),0)*$D$1*$D$2</f>
        <v>665.17265380353365</v>
      </c>
      <c r="N103" s="16">
        <f>MAX(求节点(节奏总纲!$O$4:$O$163,节奏总纲!S$4:S$163,$J103)-INT(F$13),0)*$D$1*$D$2</f>
        <v>478.56867083216571</v>
      </c>
      <c r="O103" s="16">
        <f>MAX(求节点(节奏总纲!$O$4:$O$163,节奏总纲!T$4:T$163,$J103)-INT(G$13),0)*$D$1*$D$2</f>
        <v>260.76557615991504</v>
      </c>
      <c r="Q103" s="16">
        <v>97</v>
      </c>
      <c r="R103" s="16">
        <f>IF(节奏总纲!P100&lt;C$13,0,求节点($C$18:$C$23,$E$18:$E$23,$Q103)*节奏总纲!W100)*$D$1</f>
        <v>41774678.861595504</v>
      </c>
      <c r="S103" s="16">
        <f>IF(节奏总纲!Q100&lt;D$13,0,求节点($C$18:$C$23,$E$18:$E$23,$Q103)*节奏总纲!X100)*$D$1</f>
        <v>35006563.76065322</v>
      </c>
      <c r="T103" s="16">
        <f>IF(节奏总纲!R100&lt;E$13,0,求节点($C$18:$C$23,$E$18:$E$23,$Q103)*节奏总纲!Y100)*$D$1</f>
        <v>29500115.16616144</v>
      </c>
      <c r="U103" s="16">
        <f>IF(节奏总纲!S100&lt;F$13,0,求节点($C$18:$C$23,$E$18:$E$23,$Q103)*节奏总纲!Z100)*$D$1</f>
        <v>21828147.921659037</v>
      </c>
      <c r="V103" s="16">
        <f>IF(节奏总纲!T100&lt;G$13,0,求节点($C$18:$C$23,$E$18:$E$23,$Q103)*节奏总纲!AA100)*$D$1</f>
        <v>12333475.48492283</v>
      </c>
      <c r="W103" s="16">
        <f>SUM(R$7:R103)</f>
        <v>514595579.09615165</v>
      </c>
      <c r="X103" s="16">
        <f>SUM(S$7:S103)</f>
        <v>437294838.12601084</v>
      </c>
      <c r="Y103" s="16">
        <f>SUM(T$7:T103)</f>
        <v>351021591.80179393</v>
      </c>
      <c r="Z103" s="16">
        <f>SUM(U$7:U103)</f>
        <v>252201892.94240355</v>
      </c>
      <c r="AA103" s="16">
        <f>SUM(V$7:V103)</f>
        <v>137286214.92654541</v>
      </c>
      <c r="AC103" s="16">
        <v>97</v>
      </c>
      <c r="AD103" s="16">
        <f>IF(节奏总纲!P100&lt;C$13,0,求节点($C$18:$C$23,$F$18:$F$23,$Q103)*节奏总纲!W100)*$D$1</f>
        <v>372739.92195811716</v>
      </c>
      <c r="AE103" s="16">
        <f>IF(节奏总纲!Q100&lt;D$13,0,求节点($C$18:$C$23,$F$18:$F$23,$Q103)*节奏总纲!X100)*$D$1</f>
        <v>312350.54822081223</v>
      </c>
      <c r="AF103" s="16">
        <f>IF(节奏总纲!R100&lt;E$13,0,求节点($C$18:$C$23,$F$18:$F$23,$Q103)*节奏总纲!Y100)*$D$1</f>
        <v>263218.55546085973</v>
      </c>
      <c r="AG103" s="16">
        <f>IF(节奏总纲!S100&lt;F$13,0,求节点($C$18:$C$23,$F$18:$F$23,$Q103)*节奏总纲!Z100)*$D$1</f>
        <v>194764.4452220854</v>
      </c>
      <c r="AH103" s="16">
        <f>IF(节奏总纲!T100&lt;G$13,0,求节点($C$18:$C$23,$F$18:$F$23,$Q103)*节奏总纲!AA100)*$D$1</f>
        <v>110047.01448342636</v>
      </c>
      <c r="AI103" s="16">
        <f>SUM(AD$7:AD103)</f>
        <v>4497908.2798957163</v>
      </c>
      <c r="AJ103" s="16">
        <f>SUM(AE$7:AE103)</f>
        <v>3820537.7308675013</v>
      </c>
      <c r="AK103" s="16">
        <f>SUM(AF$7:AF103)</f>
        <v>3065388.5247292621</v>
      </c>
      <c r="AL103" s="16">
        <f>SUM(AG$7:AG103)</f>
        <v>2201340.8913229355</v>
      </c>
      <c r="AM103" s="16">
        <f>SUM(AH$7:AH103)</f>
        <v>1197590.6887780724</v>
      </c>
      <c r="AO103" s="16">
        <v>97</v>
      </c>
      <c r="AP103" s="16">
        <f>IF(节奏总纲!P100&lt;C$13,0,求节点($C$18:$C$23,$H$18:$H$23,$Q103)*节奏总纲!W100)*$D$1</f>
        <v>7218664.5072837034</v>
      </c>
      <c r="AQ103" s="16">
        <f>IF(节奏总纲!Q100&lt;D$13,0,求节点($C$18:$C$23,$H$18:$H$23,$Q103)*节奏总纲!X100)*$D$1</f>
        <v>6049134.2178408764</v>
      </c>
      <c r="AR103" s="16">
        <f>IF(节奏总纲!R100&lt;E$13,0,求节点($C$18:$C$23,$H$18:$H$23,$Q103)*节奏总纲!Y100)*$D$1</f>
        <v>5097619.9007126968</v>
      </c>
      <c r="AS103" s="16">
        <f>IF(节奏总纲!S100&lt;F$13,0,求节点($C$18:$C$23,$H$18:$H$23,$Q103)*节奏总纲!Z100)*$D$1</f>
        <v>3771903.9608626817</v>
      </c>
      <c r="AT103" s="16">
        <f>IF(节奏总纲!T100&lt;G$13,0,求节点($C$18:$C$23,$H$18:$H$23,$Q103)*节奏总纲!AA100)*$D$1</f>
        <v>2131224.563794665</v>
      </c>
      <c r="AU103" s="16">
        <f>SUM(AP$7:AP103)</f>
        <v>99065180.772925213</v>
      </c>
      <c r="AV103" s="16">
        <f>SUM(AQ$7:AQ103)</f>
        <v>84257680.875781983</v>
      </c>
      <c r="AW103" s="16">
        <f>SUM(AR$7:AR103)</f>
        <v>67666218.829684734</v>
      </c>
      <c r="AX103" s="16">
        <f>SUM(AS$7:AS103)</f>
        <v>48620624.956107169</v>
      </c>
      <c r="AY103" s="16">
        <f>SUM(AT$7:AT103)</f>
        <v>26444172.215378769</v>
      </c>
    </row>
    <row r="104" spans="10:51">
      <c r="J104" s="16">
        <v>98</v>
      </c>
      <c r="K104" s="16">
        <f>MAX(求节点(节奏总纲!$O$4:$O$163,节奏总纲!P$4:P$163,$J104)-INT(C$13),0)*$D$1*$D$2</f>
        <v>1043.3325321782775</v>
      </c>
      <c r="L104" s="16">
        <f>MAX(求节点(节奏总纲!$O$4:$O$163,节奏总纲!Q$4:Q$163,$J104)-INT(D$13),0)*$D$1*$D$2</f>
        <v>890.81992922703103</v>
      </c>
      <c r="M104" s="16">
        <f>MAX(求节点(节奏总纲!$O$4:$O$163,节奏总纲!R$4:R$163,$J104)-INT(E$13),0)*$D$1*$D$2</f>
        <v>717.57779515152617</v>
      </c>
      <c r="N104" s="16">
        <f>MAX(求节点(节奏总纲!$O$4:$O$163,节奏总纲!S$4:S$163,$J104)-INT(F$13),0)*$D$1*$D$2</f>
        <v>517.11269572007905</v>
      </c>
      <c r="O104" s="16">
        <f>MAX(求节点(节奏总纲!$O$4:$O$163,节奏总纲!T$4:T$163,$J104)-INT(G$13),0)*$D$1*$D$2</f>
        <v>281.73119670100613</v>
      </c>
      <c r="Q104" s="16">
        <v>98</v>
      </c>
      <c r="R104" s="16">
        <f>IF(节奏总纲!P101&lt;C$13,0,求节点($C$18:$C$23,$E$18:$E$23,$Q104)*节奏总纲!W101)*$D$1</f>
        <v>44772992.209835</v>
      </c>
      <c r="S104" s="16">
        <f>IF(节奏总纲!Q101&lt;D$13,0,求节点($C$18:$C$23,$E$18:$E$23,$Q104)*节奏总纲!X101)*$D$1</f>
        <v>39477777.72878132</v>
      </c>
      <c r="T104" s="16">
        <f>IF(节奏总纲!R101&lt;E$13,0,求节点($C$18:$C$23,$E$18:$E$23,$Q104)*节奏总纲!Y101)*$D$1</f>
        <v>32753213.342495315</v>
      </c>
      <c r="U104" s="16">
        <f>IF(节奏总纲!S101&lt;F$13,0,求节点($C$18:$C$23,$E$18:$E$23,$Q104)*节奏总纲!Z101)*$D$1</f>
        <v>24090015.554945879</v>
      </c>
      <c r="V104" s="16">
        <f>IF(节奏总纲!T101&lt;G$13,0,求节点($C$18:$C$23,$E$18:$E$23,$Q104)*节奏总纲!AA101)*$D$1</f>
        <v>13103512.83818192</v>
      </c>
      <c r="W104" s="16">
        <f>SUM(R$7:R104)</f>
        <v>559368571.30598664</v>
      </c>
      <c r="X104" s="16">
        <f>SUM(S$7:S104)</f>
        <v>476772615.85479218</v>
      </c>
      <c r="Y104" s="16">
        <f>SUM(T$7:T104)</f>
        <v>383774805.14428926</v>
      </c>
      <c r="Z104" s="16">
        <f>SUM(U$7:U104)</f>
        <v>276291908.49734944</v>
      </c>
      <c r="AA104" s="16">
        <f>SUM(V$7:V104)</f>
        <v>150389727.76472732</v>
      </c>
      <c r="AC104" s="16">
        <v>98</v>
      </c>
      <c r="AD104" s="16">
        <f>IF(节奏总纲!P101&lt;C$13,0,求节点($C$18:$C$23,$F$18:$F$23,$Q104)*节奏总纲!W101)*$D$1</f>
        <v>399492.75678256853</v>
      </c>
      <c r="AE104" s="16">
        <f>IF(节奏总纲!Q101&lt;D$13,0,求节点($C$18:$C$23,$F$18:$F$23,$Q104)*节奏总纲!X101)*$D$1</f>
        <v>352245.52745116747</v>
      </c>
      <c r="AF104" s="16">
        <f>IF(节奏总纲!R101&lt;E$13,0,求节点($C$18:$C$23,$F$18:$F$23,$Q104)*节奏总纲!Y101)*$D$1</f>
        <v>292244.74054264429</v>
      </c>
      <c r="AG104" s="16">
        <f>IF(节奏总纲!S101&lt;F$13,0,求节点($C$18:$C$23,$F$18:$F$23,$Q104)*节奏总纲!Z101)*$D$1</f>
        <v>214946.24884298648</v>
      </c>
      <c r="AH104" s="16">
        <f>IF(节奏总纲!T101&lt;G$13,0,求节点($C$18:$C$23,$F$18:$F$23,$Q104)*节奏总纲!AA101)*$D$1</f>
        <v>116917.77138163192</v>
      </c>
      <c r="AI104" s="16">
        <f>SUM(AD$7:AD104)</f>
        <v>4897401.0366782844</v>
      </c>
      <c r="AJ104" s="16">
        <f>SUM(AE$7:AE104)</f>
        <v>4172783.2583186687</v>
      </c>
      <c r="AK104" s="16">
        <f>SUM(AF$7:AF104)</f>
        <v>3357633.2652719063</v>
      </c>
      <c r="AL104" s="16">
        <f>SUM(AG$7:AG104)</f>
        <v>2416287.1401659218</v>
      </c>
      <c r="AM104" s="16">
        <f>SUM(AH$7:AH104)</f>
        <v>1314508.4601597043</v>
      </c>
      <c r="AO104" s="16">
        <v>98</v>
      </c>
      <c r="AP104" s="16">
        <f>IF(节奏总纲!P101&lt;C$13,0,求节点($C$18:$C$23,$H$18:$H$23,$Q104)*节奏总纲!W101)*$D$1</f>
        <v>7736773.0538594872</v>
      </c>
      <c r="AQ104" s="16">
        <f>IF(节奏总纲!Q101&lt;D$13,0,求节点($C$18:$C$23,$H$18:$H$23,$Q104)*节奏总纲!X101)*$D$1</f>
        <v>6821759.9915334117</v>
      </c>
      <c r="AR104" s="16">
        <f>IF(节奏总纲!R101&lt;E$13,0,求节点($C$18:$C$23,$H$18:$H$23,$Q104)*节奏总纲!Y101)*$D$1</f>
        <v>5659755.2655831911</v>
      </c>
      <c r="AS104" s="16">
        <f>IF(节奏总纲!S101&lt;F$13,0,求节点($C$18:$C$23,$H$18:$H$23,$Q104)*节奏总纲!Z101)*$D$1</f>
        <v>4162754.6878946479</v>
      </c>
      <c r="AT104" s="16">
        <f>IF(节奏总纲!T101&lt;G$13,0,求节点($C$18:$C$23,$H$18:$H$23,$Q104)*节奏总纲!AA101)*$D$1</f>
        <v>2264287.0184378359</v>
      </c>
      <c r="AU104" s="16">
        <f>SUM(AP$7:AP104)</f>
        <v>106801953.8267847</v>
      </c>
      <c r="AV104" s="16">
        <f>SUM(AQ$7:AQ104)</f>
        <v>91079440.867315397</v>
      </c>
      <c r="AW104" s="16">
        <f>SUM(AR$7:AR104)</f>
        <v>73325974.095267922</v>
      </c>
      <c r="AX104" s="16">
        <f>SUM(AS$7:AS104)</f>
        <v>52783379.644001819</v>
      </c>
      <c r="AY104" s="16">
        <f>SUM(AT$7:AT104)</f>
        <v>28708459.233816605</v>
      </c>
    </row>
    <row r="105" spans="10:51">
      <c r="J105" s="16">
        <v>99</v>
      </c>
      <c r="K105" s="16">
        <f>MAX(求节点(节奏总纲!$O$4:$O$163,节奏总纲!P$4:P$163,$J105)-INT(C$13),0)*$D$1*$D$2</f>
        <v>1120.1109400004291</v>
      </c>
      <c r="L105" s="16">
        <f>MAX(求节点(节奏总纲!$O$4:$O$163,节奏总纲!Q$4:Q$163,$J105)-INT(D$13),0)*$D$1*$D$2</f>
        <v>958.21350917036716</v>
      </c>
      <c r="M105" s="16">
        <f>MAX(求节点(节奏总纲!$O$4:$O$163,节奏总纲!R$4:R$163,$J105)-INT(E$13),0)*$D$1*$D$2</f>
        <v>772.37907969429625</v>
      </c>
      <c r="N105" s="16">
        <f>MAX(求节点(节奏总纲!$O$4:$O$163,节奏总纲!S$4:S$163,$J105)-INT(F$13),0)*$D$1*$D$2</f>
        <v>557.27937921421369</v>
      </c>
      <c r="O105" s="16">
        <f>MAX(求节点(节奏总纲!$O$4:$O$163,节奏总纲!T$4:T$163,$J105)-INT(G$13),0)*$D$1*$D$2</f>
        <v>301.91942270611571</v>
      </c>
      <c r="Q105" s="16">
        <v>99</v>
      </c>
      <c r="R105" s="16">
        <f>IF(节奏总纲!P102&lt;C$13,0,求节点($C$18:$C$23,$E$18:$E$23,$Q105)*节奏总纲!W102)*$D$1</f>
        <v>47986504.888844766</v>
      </c>
      <c r="S105" s="16">
        <f>IF(节奏总纲!Q102&lt;D$13,0,求节点($C$18:$C$23,$E$18:$E$23,$Q105)*节奏总纲!X102)*$D$1</f>
        <v>42120987.464584999</v>
      </c>
      <c r="T105" s="16">
        <f>IF(节奏总纲!R102&lt;E$13,0,求节点($C$18:$C$23,$E$18:$E$23,$Q105)*节奏总纲!Y102)*$D$1</f>
        <v>34250802.839231223</v>
      </c>
      <c r="U105" s="16">
        <f>IF(节奏总纲!S102&lt;F$13,0,求节点($C$18:$C$23,$E$18:$E$23,$Q105)*节奏总纲!Z102)*$D$1</f>
        <v>25104177.183834139</v>
      </c>
      <c r="V105" s="16">
        <f>IF(节奏总纲!T102&lt;G$13,0,求节点($C$18:$C$23,$E$18:$E$23,$Q105)*节奏总纲!AA102)*$D$1</f>
        <v>12617641.253193475</v>
      </c>
      <c r="W105" s="16">
        <f>SUM(R$7:R105)</f>
        <v>607355076.19483137</v>
      </c>
      <c r="X105" s="16">
        <f>SUM(S$7:S105)</f>
        <v>518893603.31937718</v>
      </c>
      <c r="Y105" s="16">
        <f>SUM(T$7:T105)</f>
        <v>418025607.98352051</v>
      </c>
      <c r="Z105" s="16">
        <f>SUM(U$7:U105)</f>
        <v>301396085.68118358</v>
      </c>
      <c r="AA105" s="16">
        <f>SUM(V$7:V105)</f>
        <v>163007369.01792079</v>
      </c>
      <c r="AC105" s="16">
        <v>99</v>
      </c>
      <c r="AD105" s="16">
        <f>IF(节奏总纲!P102&lt;C$13,0,求节点($C$18:$C$23,$F$18:$F$23,$Q105)*节奏总纲!W102)*$D$1</f>
        <v>428165.73519501765</v>
      </c>
      <c r="AE105" s="16">
        <f>IF(节奏总纲!Q102&lt;D$13,0,求节点($C$18:$C$23,$F$18:$F$23,$Q105)*节奏总纲!X102)*$D$1</f>
        <v>375829.90481781535</v>
      </c>
      <c r="AF105" s="16">
        <f>IF(节奏总纲!R102&lt;E$13,0,求节点($C$18:$C$23,$F$18:$F$23,$Q105)*节奏总纲!Y102)*$D$1</f>
        <v>305607.17461396439</v>
      </c>
      <c r="AG105" s="16">
        <f>IF(节奏总纲!S102&lt;F$13,0,求节点($C$18:$C$23,$F$18:$F$23,$Q105)*节奏总纲!Z102)*$D$1</f>
        <v>223995.23585392552</v>
      </c>
      <c r="AH105" s="16">
        <f>IF(节奏总纲!T102&lt;G$13,0,求节点($C$18:$C$23,$F$18:$F$23,$Q105)*节奏总纲!AA102)*$D$1</f>
        <v>112582.51994211091</v>
      </c>
      <c r="AI105" s="16">
        <f>SUM(AD$7:AD105)</f>
        <v>5325566.7718733018</v>
      </c>
      <c r="AJ105" s="16">
        <f>SUM(AE$7:AE105)</f>
        <v>4548613.1631364841</v>
      </c>
      <c r="AK105" s="16">
        <f>SUM(AF$7:AF105)</f>
        <v>3663240.4398858706</v>
      </c>
      <c r="AL105" s="16">
        <f>SUM(AG$7:AG105)</f>
        <v>2640282.3760198471</v>
      </c>
      <c r="AM105" s="16">
        <f>SUM(AH$7:AH105)</f>
        <v>1427090.9801018152</v>
      </c>
      <c r="AO105" s="16">
        <v>99</v>
      </c>
      <c r="AP105" s="16">
        <f>IF(节奏总纲!P102&lt;C$13,0,求节点($C$18:$C$23,$H$18:$H$23,$Q105)*节奏总纲!W102)*$D$1</f>
        <v>8292068.0447923746</v>
      </c>
      <c r="AQ105" s="16">
        <f>IF(节奏总纲!Q102&lt;D$13,0,求节点($C$18:$C$23,$H$18:$H$23,$Q105)*节奏总纲!X102)*$D$1</f>
        <v>7278506.6338802883</v>
      </c>
      <c r="AR105" s="16">
        <f>IF(节奏总纲!R102&lt;E$13,0,求节点($C$18:$C$23,$H$18:$H$23,$Q105)*节奏总纲!Y102)*$D$1</f>
        <v>5918538.7306191558</v>
      </c>
      <c r="AS105" s="16">
        <f>IF(节奏总纲!S102&lt;F$13,0,求节点($C$18:$C$23,$H$18:$H$23,$Q105)*节奏总纲!Z102)*$D$1</f>
        <v>4338001.8173665395</v>
      </c>
      <c r="AT105" s="16">
        <f>IF(节奏总纲!T102&lt;G$13,0,求节点($C$18:$C$23,$H$18:$H$23,$Q105)*节奏总纲!AA102)*$D$1</f>
        <v>2180328.4085518327</v>
      </c>
      <c r="AU105" s="16">
        <f>SUM(AP$7:AP105)</f>
        <v>115094021.87157707</v>
      </c>
      <c r="AV105" s="16">
        <f>SUM(AQ$7:AQ105)</f>
        <v>98357947.501195684</v>
      </c>
      <c r="AW105" s="16">
        <f>SUM(AR$7:AR105)</f>
        <v>79244512.825887084</v>
      </c>
      <c r="AX105" s="16">
        <f>SUM(AS$7:AS105)</f>
        <v>57121381.46136836</v>
      </c>
      <c r="AY105" s="16">
        <f>SUM(AT$7:AT105)</f>
        <v>30888787.642368436</v>
      </c>
    </row>
    <row r="106" spans="10:51">
      <c r="J106" s="16">
        <v>100</v>
      </c>
      <c r="K106" s="16">
        <f>MAX(求节点(节奏总纲!$O$4:$O$163,节奏总纲!P$4:P$163,$J106)-INT(C$13),0)*$D$1*$D$2</f>
        <v>1202.4000000000001</v>
      </c>
      <c r="L106" s="16">
        <f>MAX(求节点(节奏总纲!$O$4:$O$163,节奏总纲!Q$4:Q$163,$J106)-INT(D$13),0)*$D$1*$D$2</f>
        <v>1028.8573200000001</v>
      </c>
      <c r="M106" s="16">
        <f>MAX(求节点(节奏总纲!$O$4:$O$163,节奏总纲!R$4:R$163,$J106)-INT(E$13),0)*$D$1*$D$2</f>
        <v>830.02608000000009</v>
      </c>
      <c r="N106" s="16">
        <f>MAX(求节点(节奏总纲!$O$4:$O$163,节奏总纲!S$4:S$163,$J106)-INT(F$13),0)*$D$1*$D$2</f>
        <v>596.67168000000004</v>
      </c>
      <c r="O106" s="16">
        <f>MAX(求节点(节奏总纲!$O$4:$O$163,节奏总纲!T$4:T$163,$J106)-INT(G$13),0)*$D$1*$D$2</f>
        <v>322.53336000000002</v>
      </c>
      <c r="Q106" s="16">
        <v>100</v>
      </c>
      <c r="R106" s="16">
        <f>IF(节奏总纲!P103&lt;C$13,0,求节点($C$18:$C$23,$E$18:$E$23,$Q106)*节奏总纲!W103)*$D$1</f>
        <v>51430662.499731906</v>
      </c>
      <c r="S106" s="16">
        <f>IF(节奏总纲!Q103&lt;D$13,0,求节点($C$18:$C$23,$E$18:$E$23,$Q106)*节奏总纲!X103)*$D$1</f>
        <v>44152381.768520653</v>
      </c>
      <c r="T106" s="16">
        <f>IF(节奏总纲!R103&lt;E$13,0,求节点($C$18:$C$23,$E$18:$E$23,$Q106)*节奏总纲!Y103)*$D$1</f>
        <v>36029375.191064924</v>
      </c>
      <c r="U106" s="16">
        <f>IF(节奏总纲!S103&lt;F$13,0,求节点($C$18:$C$23,$E$18:$E$23,$Q106)*节奏总纲!Z103)*$D$1</f>
        <v>24620187.991116468</v>
      </c>
      <c r="V106" s="16">
        <f>IF(节奏总纲!T103&lt;G$13,0,求节点($C$18:$C$23,$E$18:$E$23,$Q106)*节奏总纲!AA103)*$D$1</f>
        <v>12883710.808677692</v>
      </c>
      <c r="W106" s="16">
        <f>SUM(R$7:R106)</f>
        <v>658785738.69456327</v>
      </c>
      <c r="X106" s="16">
        <f>SUM(S$7:S106)</f>
        <v>563045985.08789778</v>
      </c>
      <c r="Y106" s="16">
        <f>SUM(T$7:T106)</f>
        <v>454054983.17458546</v>
      </c>
      <c r="Z106" s="16">
        <f>SUM(U$7:U106)</f>
        <v>326016273.67230004</v>
      </c>
      <c r="AA106" s="16">
        <f>SUM(V$7:V106)</f>
        <v>175891079.8265985</v>
      </c>
      <c r="AC106" s="16">
        <v>100</v>
      </c>
      <c r="AD106" s="16">
        <f>IF(节奏总纲!P103&lt;C$13,0,求节点($C$18:$C$23,$F$18:$F$23,$Q106)*节奏总纲!W103)*$D$1</f>
        <v>458896.6725493616</v>
      </c>
      <c r="AE106" s="16">
        <f>IF(节奏总纲!Q103&lt;D$13,0,求节点($C$18:$C$23,$F$18:$F$23,$Q106)*节奏总纲!X103)*$D$1</f>
        <v>393955.28064233752</v>
      </c>
      <c r="AF106" s="16">
        <f>IF(节奏总纲!R103&lt;E$13,0,求节点($C$18:$C$23,$F$18:$F$23,$Q106)*节奏总纲!Y103)*$D$1</f>
        <v>321476.71419356891</v>
      </c>
      <c r="AG106" s="16">
        <f>IF(节奏总纲!S103&lt;F$13,0,求节点($C$18:$C$23,$F$18:$F$23,$Q106)*节奏总纲!Z103)*$D$1</f>
        <v>219676.78030050639</v>
      </c>
      <c r="AH106" s="16">
        <f>IF(节奏总纲!T103&lt;G$13,0,求节点($C$18:$C$23,$F$18:$F$23,$Q106)*节奏总纲!AA103)*$D$1</f>
        <v>114956.55962474248</v>
      </c>
      <c r="AI106" s="16">
        <f>SUM(AD$7:AD106)</f>
        <v>5784463.4444226632</v>
      </c>
      <c r="AJ106" s="16">
        <f>SUM(AE$7:AE106)</f>
        <v>4942568.4437788213</v>
      </c>
      <c r="AK106" s="16">
        <f>SUM(AF$7:AF106)</f>
        <v>3984717.1540794396</v>
      </c>
      <c r="AL106" s="16">
        <f>SUM(AG$7:AG106)</f>
        <v>2859959.1563203535</v>
      </c>
      <c r="AM106" s="16">
        <f>SUM(AH$7:AH106)</f>
        <v>1542047.5397265577</v>
      </c>
      <c r="AO106" s="16">
        <v>100</v>
      </c>
      <c r="AP106" s="16">
        <f>IF(节奏总纲!P103&lt;C$13,0,求节点($C$18:$C$23,$H$18:$H$23,$Q106)*节奏总纲!W103)*$D$1</f>
        <v>8887218.4799536727</v>
      </c>
      <c r="AQ106" s="16">
        <f>IF(节奏总纲!Q103&lt;D$13,0,求节点($C$18:$C$23,$H$18:$H$23,$Q106)*节奏总纲!X103)*$D$1</f>
        <v>7629531.5696003688</v>
      </c>
      <c r="AR106" s="16">
        <f>IF(节奏总纲!R103&lt;E$13,0,求节点($C$18:$C$23,$H$18:$H$23,$Q106)*节奏总纲!Y103)*$D$1</f>
        <v>6225876.0330160195</v>
      </c>
      <c r="AS106" s="16">
        <f>IF(节奏总纲!S103&lt;F$13,0,求节点($C$18:$C$23,$H$18:$H$23,$Q106)*节奏总纲!Z103)*$D$1</f>
        <v>4254368.484864926</v>
      </c>
      <c r="AT106" s="16">
        <f>IF(节奏总纲!T103&lt;G$13,0,求节点($C$18:$C$23,$H$18:$H$23,$Q106)*节奏总纲!AA103)*$D$1</f>
        <v>2226305.227739505</v>
      </c>
      <c r="AU106" s="16">
        <f>SUM(AP$7:AP106)</f>
        <v>123981240.35153075</v>
      </c>
      <c r="AV106" s="16">
        <f>SUM(AQ$7:AQ106)</f>
        <v>105987479.07079606</v>
      </c>
      <c r="AW106" s="16">
        <f>SUM(AR$7:AR106)</f>
        <v>85470388.85890311</v>
      </c>
      <c r="AX106" s="16">
        <f>SUM(AS$7:AS106)</f>
        <v>61375749.946233287</v>
      </c>
      <c r="AY106" s="16">
        <f>SUM(AT$7:AT106)</f>
        <v>33115092.870107941</v>
      </c>
    </row>
    <row r="107" spans="10:51">
      <c r="J107" s="16">
        <v>101</v>
      </c>
      <c r="K107" s="16">
        <f>MAX(求节点(节奏总纲!$O$4:$O$163,节奏总纲!P$4:P$163,$J107)-INT(C$13),0)*$D$1*$D$2</f>
        <v>1290.595230764596</v>
      </c>
      <c r="L107" s="16">
        <f>MAX(求节点(节奏总纲!$O$4:$O$163,节奏总纲!Q$4:Q$163,$J107)-INT(D$13),0)*$D$1*$D$2</f>
        <v>1105.3786151498764</v>
      </c>
      <c r="M107" s="16">
        <f>MAX(求节点(节奏总纲!$O$4:$O$163,节奏总纲!R$4:R$163,$J107)-INT(E$13),0)*$D$1*$D$2</f>
        <v>889.50397065834193</v>
      </c>
      <c r="N107" s="16">
        <f>MAX(求节点(节奏总纲!$O$4:$O$163,节奏总纲!S$4:S$163,$J107)-INT(F$13),0)*$D$1*$D$2</f>
        <v>637.1975825669399</v>
      </c>
      <c r="O107" s="16">
        <f>MAX(求节点(节奏总纲!$O$4:$O$163,节奏总纲!T$4:T$163,$J107)-INT(G$13),0)*$D$1*$D$2</f>
        <v>344.90680375260587</v>
      </c>
      <c r="Q107" s="16">
        <v>101</v>
      </c>
      <c r="R107" s="16">
        <f>IF(节奏总纲!P104&lt;C$13,0,求节点($C$18:$C$23,$E$18:$E$23,$Q107)*节奏总纲!W104)*$D$1</f>
        <v>55122019.227872439</v>
      </c>
      <c r="S107" s="16">
        <f>IF(节奏总纲!Q104&lt;D$13,0,求节点($C$18:$C$23,$E$18:$E$23,$Q107)*节奏总纲!X104)*$D$1</f>
        <v>47825809.46867273</v>
      </c>
      <c r="T107" s="16">
        <f>IF(节奏总纲!R104&lt;E$13,0,求节点($C$18:$C$23,$E$18:$E$23,$Q107)*节奏总纲!Y104)*$D$1</f>
        <v>37173681.661463633</v>
      </c>
      <c r="U107" s="16">
        <f>IF(节奏总纲!S104&lt;F$13,0,求节点($C$18:$C$23,$E$18:$E$23,$Q107)*节奏总纲!Z104)*$D$1</f>
        <v>25328689.104337372</v>
      </c>
      <c r="V107" s="16">
        <f>IF(节奏总纲!T104&lt;G$13,0,求节点($C$18:$C$23,$E$18:$E$23,$Q107)*节奏总纲!AA104)*$D$1</f>
        <v>13983402.34537865</v>
      </c>
      <c r="W107" s="16">
        <f>SUM(R$7:R107)</f>
        <v>713907757.92243576</v>
      </c>
      <c r="X107" s="16">
        <f>SUM(S$7:S107)</f>
        <v>610871794.55657053</v>
      </c>
      <c r="Y107" s="16">
        <f>SUM(T$7:T107)</f>
        <v>491228664.83604908</v>
      </c>
      <c r="Z107" s="16">
        <f>SUM(U$7:U107)</f>
        <v>351344962.77663743</v>
      </c>
      <c r="AA107" s="16">
        <f>SUM(V$7:V107)</f>
        <v>189874482.17197713</v>
      </c>
      <c r="AC107" s="16">
        <v>101</v>
      </c>
      <c r="AD107" s="16">
        <f>IF(节奏总纲!P104&lt;C$13,0,求节点($C$18:$C$23,$F$18:$F$23,$Q107)*节奏总纲!W104)*$D$1</f>
        <v>491833.27568460652</v>
      </c>
      <c r="AE107" s="16">
        <f>IF(节奏总纲!Q104&lt;D$13,0,求节点($C$18:$C$23,$F$18:$F$23,$Q107)*节奏总纲!X104)*$D$1</f>
        <v>426731.90972929954</v>
      </c>
      <c r="AF107" s="16">
        <f>IF(节奏总纲!R104&lt;E$13,0,求节点($C$18:$C$23,$F$18:$F$23,$Q107)*节奏总纲!Y104)*$D$1</f>
        <v>331686.93521970103</v>
      </c>
      <c r="AG107" s="16">
        <f>IF(节奏总纲!S104&lt;F$13,0,求节点($C$18:$C$23,$F$18:$F$23,$Q107)*节奏总纲!Z104)*$D$1</f>
        <v>225998.47221641915</v>
      </c>
      <c r="AH107" s="16">
        <f>IF(节奏总纲!T104&lt;G$13,0,求节点($C$18:$C$23,$F$18:$F$23,$Q107)*节奏总纲!AA104)*$D$1</f>
        <v>124768.69819140775</v>
      </c>
      <c r="AI107" s="16">
        <f>SUM(AD$7:AD107)</f>
        <v>6276296.7201072695</v>
      </c>
      <c r="AJ107" s="16">
        <f>SUM(AE$7:AE107)</f>
        <v>5369300.3535081204</v>
      </c>
      <c r="AK107" s="16">
        <f>SUM(AF$7:AF107)</f>
        <v>4316404.0892991405</v>
      </c>
      <c r="AL107" s="16">
        <f>SUM(AG$7:AG107)</f>
        <v>3085957.6285367724</v>
      </c>
      <c r="AM107" s="16">
        <f>SUM(AH$7:AH107)</f>
        <v>1666816.2379179655</v>
      </c>
      <c r="AO107" s="16">
        <v>101</v>
      </c>
      <c r="AP107" s="16">
        <f>IF(节奏总纲!P104&lt;C$13,0,求节点($C$18:$C$23,$H$18:$H$23,$Q107)*节奏总纲!W104)*$D$1</f>
        <v>9525084.9225763585</v>
      </c>
      <c r="AQ107" s="16">
        <f>IF(节奏总纲!Q104&lt;D$13,0,求节点($C$18:$C$23,$H$18:$H$23,$Q107)*节奏总纲!X104)*$D$1</f>
        <v>8264299.8761866484</v>
      </c>
      <c r="AR107" s="16">
        <f>IF(节奏总纲!R104&lt;E$13,0,求节点($C$18:$C$23,$H$18:$H$23,$Q107)*节奏总纲!Y104)*$D$1</f>
        <v>6423612.1911009159</v>
      </c>
      <c r="AS107" s="16">
        <f>IF(节奏总纲!S104&lt;F$13,0,求节点($C$18:$C$23,$H$18:$H$23,$Q107)*节奏总纲!Z104)*$D$1</f>
        <v>4376797.4772294974</v>
      </c>
      <c r="AT107" s="16">
        <f>IF(节奏总纲!T104&lt;G$13,0,求节点($C$18:$C$23,$H$18:$H$23,$Q107)*节奏总纲!AA104)*$D$1</f>
        <v>2416331.9252814306</v>
      </c>
      <c r="AU107" s="16">
        <f>SUM(AP$7:AP107)</f>
        <v>133506325.2741071</v>
      </c>
      <c r="AV107" s="16">
        <f>SUM(AQ$7:AQ107)</f>
        <v>114251778.94698271</v>
      </c>
      <c r="AW107" s="16">
        <f>SUM(AR$7:AR107)</f>
        <v>91894001.05000402</v>
      </c>
      <c r="AX107" s="16">
        <f>SUM(AS$7:AS107)</f>
        <v>65752547.423462786</v>
      </c>
      <c r="AY107" s="16">
        <f>SUM(AT$7:AT107)</f>
        <v>35531424.795389369</v>
      </c>
    </row>
    <row r="108" spans="10:51">
      <c r="J108" s="16">
        <v>102</v>
      </c>
      <c r="K108" s="16">
        <f>MAX(求节点(节奏总纲!$O$4:$O$163,节奏总纲!P$4:P$163,$J108)-INT(C$13),0)*$D$1*$D$2</f>
        <v>1385.1205386203555</v>
      </c>
      <c r="L108" s="16">
        <f>MAX(求节点(节奏总纲!$O$4:$O$163,节奏总纲!Q$4:Q$163,$J108)-INT(D$13),0)*$D$1*$D$2</f>
        <v>1183.5189002510938</v>
      </c>
      <c r="M108" s="16">
        <f>MAX(求节点(节奏总纲!$O$4:$O$163,节奏总纲!R$4:R$163,$J108)-INT(E$13),0)*$D$1*$D$2</f>
        <v>949.47988949356386</v>
      </c>
      <c r="N108" s="16">
        <f>MAX(求节点(节奏总纲!$O$4:$O$163,节奏总纲!S$4:S$163,$J108)-INT(F$13),0)*$D$1*$D$2</f>
        <v>680.39564089349085</v>
      </c>
      <c r="O108" s="16">
        <f>MAX(求节点(节奏总纲!$O$4:$O$163,节奏总纲!T$4:T$163,$J108)-INT(G$13),0)*$D$1*$D$2</f>
        <v>369.07351970391073</v>
      </c>
      <c r="Q108" s="16">
        <v>102</v>
      </c>
      <c r="R108" s="16">
        <f>IF(节奏总纲!P105&lt;C$13,0,求节点($C$18:$C$23,$E$18:$E$23,$Q108)*节奏总纲!W105)*$D$1</f>
        <v>59078317.409849659</v>
      </c>
      <c r="S108" s="16">
        <f>IF(节奏总纲!Q105&lt;D$13,0,求节点($C$18:$C$23,$E$18:$E$23,$Q108)*节奏总纲!X105)*$D$1</f>
        <v>48837678.188260779</v>
      </c>
      <c r="T108" s="16">
        <f>IF(节奏总纲!R105&lt;E$13,0,求节点($C$18:$C$23,$E$18:$E$23,$Q108)*节奏总纲!Y105)*$D$1</f>
        <v>37484949.272013806</v>
      </c>
      <c r="U108" s="16">
        <f>IF(节奏总纲!S105&lt;F$13,0,求节点($C$18:$C$23,$E$18:$E$23,$Q108)*节奏总纲!Z105)*$D$1</f>
        <v>26998786.454094358</v>
      </c>
      <c r="V108" s="16">
        <f>IF(节奏总纲!T105&lt;G$13,0,求节点($C$18:$C$23,$E$18:$E$23,$Q108)*节奏总纲!AA105)*$D$1</f>
        <v>15104197.469565563</v>
      </c>
      <c r="W108" s="16">
        <f>SUM(R$7:R108)</f>
        <v>772986075.3322854</v>
      </c>
      <c r="X108" s="16">
        <f>SUM(S$7:S108)</f>
        <v>659709472.74483132</v>
      </c>
      <c r="Y108" s="16">
        <f>SUM(T$7:T108)</f>
        <v>528713614.10806286</v>
      </c>
      <c r="Z108" s="16">
        <f>SUM(U$7:U108)</f>
        <v>378343749.23073179</v>
      </c>
      <c r="AA108" s="16">
        <f>SUM(V$7:V108)</f>
        <v>204978679.6415427</v>
      </c>
      <c r="AC108" s="16">
        <v>102</v>
      </c>
      <c r="AD108" s="16">
        <f>IF(节奏总纲!P105&lt;C$13,0,求节点($C$18:$C$23,$F$18:$F$23,$Q108)*节奏总纲!W105)*$D$1</f>
        <v>527133.85287106398</v>
      </c>
      <c r="AE108" s="16">
        <f>IF(节奏总纲!Q105&lt;D$13,0,求节点($C$18:$C$23,$F$18:$F$23,$Q108)*节奏总纲!X105)*$D$1</f>
        <v>435760.4379633693</v>
      </c>
      <c r="AF108" s="16">
        <f>IF(节奏总纲!R105&lt;E$13,0,求节点($C$18:$C$23,$F$18:$F$23,$Q108)*节奏总纲!Y105)*$D$1</f>
        <v>334464.26033688406</v>
      </c>
      <c r="AG108" s="16">
        <f>IF(节奏总纲!S105&lt;F$13,0,求节点($C$18:$C$23,$F$18:$F$23,$Q108)*节奏总纲!Z105)*$D$1</f>
        <v>240900.1296982955</v>
      </c>
      <c r="AH108" s="16">
        <f>IF(节奏总纲!T105&lt;G$13,0,求节点($C$18:$C$23,$F$18:$F$23,$Q108)*节奏总纲!AA105)*$D$1</f>
        <v>134769.13622001768</v>
      </c>
      <c r="AI108" s="16">
        <f>SUM(AD$7:AD108)</f>
        <v>6803430.5729783336</v>
      </c>
      <c r="AJ108" s="16">
        <f>SUM(AE$7:AE108)</f>
        <v>5805060.7914714897</v>
      </c>
      <c r="AK108" s="16">
        <f>SUM(AF$7:AF108)</f>
        <v>4650868.3496360248</v>
      </c>
      <c r="AL108" s="16">
        <f>SUM(AG$7:AG108)</f>
        <v>3326857.7582350681</v>
      </c>
      <c r="AM108" s="16">
        <f>SUM(AH$7:AH108)</f>
        <v>1801585.3741379832</v>
      </c>
      <c r="AO108" s="16">
        <v>102</v>
      </c>
      <c r="AP108" s="16">
        <f>IF(节奏总纲!P105&lt;C$13,0,求节点($C$18:$C$23,$H$18:$H$23,$Q108)*节奏总纲!W105)*$D$1</f>
        <v>10208733.248422023</v>
      </c>
      <c r="AQ108" s="16">
        <f>IF(节奏总纲!Q105&lt;D$13,0,求节点($C$18:$C$23,$H$18:$H$23,$Q108)*节奏总纲!X105)*$D$1</f>
        <v>8439150.7909314632</v>
      </c>
      <c r="AR108" s="16">
        <f>IF(节奏总纲!R105&lt;E$13,0,求节点($C$18:$C$23,$H$18:$H$23,$Q108)*节奏总纲!Y105)*$D$1</f>
        <v>6477399.234203985</v>
      </c>
      <c r="AS108" s="16">
        <f>IF(节奏总纲!S105&lt;F$13,0,求节点($C$18:$C$23,$H$18:$H$23,$Q108)*节奏总纲!Z105)*$D$1</f>
        <v>4665390.2992675053</v>
      </c>
      <c r="AT108" s="16">
        <f>IF(节奏总纲!T105&lt;G$13,0,求节点($C$18:$C$23,$H$18:$H$23,$Q108)*节奏总纲!AA105)*$D$1</f>
        <v>2610005.3227409292</v>
      </c>
      <c r="AU108" s="16">
        <f>SUM(AP$7:AP108)</f>
        <v>143715058.52252913</v>
      </c>
      <c r="AV108" s="16">
        <f>SUM(AQ$7:AQ108)</f>
        <v>122690929.73791417</v>
      </c>
      <c r="AW108" s="16">
        <f>SUM(AR$7:AR108)</f>
        <v>98371400.284208</v>
      </c>
      <c r="AX108" s="16">
        <f>SUM(AS$7:AS108)</f>
        <v>70417937.722730294</v>
      </c>
      <c r="AY108" s="16">
        <f>SUM(AT$7:AT108)</f>
        <v>38141430.118130296</v>
      </c>
    </row>
    <row r="109" spans="10:51">
      <c r="J109" s="16">
        <v>103</v>
      </c>
      <c r="K109" s="16">
        <f>MAX(求节点(节奏总纲!$O$4:$O$163,节奏总纲!P$4:P$163,$J109)-INT(C$13),0)*$D$1*$D$2</f>
        <v>1486.4302551182334</v>
      </c>
      <c r="L109" s="16">
        <f>MAX(求节点(节奏总纲!$O$4:$O$163,节奏总纲!Q$4:Q$163,$J109)-INT(D$13),0)*$D$1*$D$2</f>
        <v>1266.4601403862464</v>
      </c>
      <c r="M109" s="16">
        <f>MAX(求节点(节奏总纲!$O$4:$O$163,节奏总纲!R$4:R$163,$J109)-INT(E$13),0)*$D$1*$D$2</f>
        <v>1015.8039314753596</v>
      </c>
      <c r="N109" s="16">
        <f>MAX(求节点(节奏总纲!$O$4:$O$163,节奏总纲!S$4:S$163,$J109)-INT(F$13),0)*$D$1*$D$2</f>
        <v>729.6151073650999</v>
      </c>
      <c r="O109" s="16">
        <f>MAX(求节点(节奏总纲!$O$4:$O$163,节奏总纲!T$4:T$163,$J109)-INT(G$13),0)*$D$1*$D$2</f>
        <v>395.80062601452096</v>
      </c>
      <c r="Q109" s="16">
        <v>103</v>
      </c>
      <c r="R109" s="16">
        <f>IF(节奏总纲!P106&lt;C$13,0,求节点($C$18:$C$23,$E$18:$E$23,$Q109)*节奏总纲!W106)*$D$1</f>
        <v>63318572.811173625</v>
      </c>
      <c r="S109" s="16">
        <f>IF(节奏总纲!Q106&lt;D$13,0,求节点($C$18:$C$23,$E$18:$E$23,$Q109)*节奏总纲!X106)*$D$1</f>
        <v>51838275.084470466</v>
      </c>
      <c r="T109" s="16">
        <f>IF(节奏总纲!R106&lt;E$13,0,求节点($C$18:$C$23,$E$18:$E$23,$Q109)*节奏总纲!Y106)*$D$1</f>
        <v>41452526.238622308</v>
      </c>
      <c r="U109" s="16">
        <f>IF(节奏总纲!S106&lt;F$13,0,求节点($C$18:$C$23,$E$18:$E$23,$Q109)*节奏总纲!Z106)*$D$1</f>
        <v>30762166.544755641</v>
      </c>
      <c r="V109" s="16">
        <f>IF(节奏总纲!T106&lt;G$13,0,求节点($C$18:$C$23,$E$18:$E$23,$Q109)*节奏总纲!AA106)*$D$1</f>
        <v>16704441.444131374</v>
      </c>
      <c r="W109" s="16">
        <f>SUM(R$7:R109)</f>
        <v>836304648.14345908</v>
      </c>
      <c r="X109" s="16">
        <f>SUM(S$7:S109)</f>
        <v>711547747.82930183</v>
      </c>
      <c r="Y109" s="16">
        <f>SUM(T$7:T109)</f>
        <v>570166140.34668517</v>
      </c>
      <c r="Z109" s="16">
        <f>SUM(U$7:U109)</f>
        <v>409105915.77548742</v>
      </c>
      <c r="AA109" s="16">
        <f>SUM(V$7:V109)</f>
        <v>221683121.08567408</v>
      </c>
      <c r="AC109" s="16">
        <v>103</v>
      </c>
      <c r="AD109" s="16">
        <f>IF(节奏总纲!P106&lt;C$13,0,求节点($C$18:$C$23,$F$18:$F$23,$Q109)*节奏总纲!W106)*$D$1</f>
        <v>564968.07471172512</v>
      </c>
      <c r="AE109" s="16">
        <f>IF(节奏总纲!Q106&lt;D$13,0,求节点($C$18:$C$23,$F$18:$F$23,$Q109)*节奏总纲!X106)*$D$1</f>
        <v>462533.64803702419</v>
      </c>
      <c r="AF109" s="16">
        <f>IF(节奏总纲!R106&lt;E$13,0,求节点($C$18:$C$23,$F$18:$F$23,$Q109)*节奏总纲!Y106)*$D$1</f>
        <v>369865.47392361594</v>
      </c>
      <c r="AG109" s="16">
        <f>IF(节奏总纲!S106&lt;F$13,0,求节点($C$18:$C$23,$F$18:$F$23,$Q109)*节奏总纲!Z106)*$D$1</f>
        <v>274479.37050920248</v>
      </c>
      <c r="AH109" s="16">
        <f>IF(节奏总纲!T106&lt;G$13,0,求节点($C$18:$C$23,$F$18:$F$23,$Q109)*节奏总纲!AA106)*$D$1</f>
        <v>149047.51801607653</v>
      </c>
      <c r="AI109" s="16">
        <f>SUM(AD$7:AD109)</f>
        <v>7368398.6476900587</v>
      </c>
      <c r="AJ109" s="16">
        <f>SUM(AE$7:AE109)</f>
        <v>6267594.4395085135</v>
      </c>
      <c r="AK109" s="16">
        <f>SUM(AF$7:AF109)</f>
        <v>5020733.8235596409</v>
      </c>
      <c r="AL109" s="16">
        <f>SUM(AG$7:AG109)</f>
        <v>3601337.1287442707</v>
      </c>
      <c r="AM109" s="16">
        <f>SUM(AH$7:AH109)</f>
        <v>1950632.8921540598</v>
      </c>
      <c r="AO109" s="16">
        <v>103</v>
      </c>
      <c r="AP109" s="16">
        <f>IF(节奏总纲!P106&lt;C$13,0,求节点($C$18:$C$23,$H$18:$H$23,$Q109)*节奏总纲!W106)*$D$1</f>
        <v>10941449.381770801</v>
      </c>
      <c r="AQ109" s="16">
        <f>IF(节奏总纲!Q106&lt;D$13,0,求节点($C$18:$C$23,$H$18:$H$23,$Q109)*节奏总纲!X106)*$D$1</f>
        <v>8957653.9345964976</v>
      </c>
      <c r="AR109" s="16">
        <f>IF(节奏总纲!R106&lt;E$13,0,求节点($C$18:$C$23,$H$18:$H$23,$Q109)*节奏总纲!Y106)*$D$1</f>
        <v>7162996.5340339355</v>
      </c>
      <c r="AS109" s="16">
        <f>IF(节奏总纲!S106&lt;F$13,0,求节点($C$18:$C$23,$H$18:$H$23,$Q109)*节奏总纲!Z106)*$D$1</f>
        <v>5315702.3789337752</v>
      </c>
      <c r="AT109" s="16">
        <f>IF(节奏总纲!T106&lt;G$13,0,求节点($C$18:$C$23,$H$18:$H$23,$Q109)*节奏总纲!AA106)*$D$1</f>
        <v>2886527.4815459019</v>
      </c>
      <c r="AU109" s="16">
        <f>SUM(AP$7:AP109)</f>
        <v>154656507.90429991</v>
      </c>
      <c r="AV109" s="16">
        <f>SUM(AQ$7:AQ109)</f>
        <v>131648583.67251067</v>
      </c>
      <c r="AW109" s="16">
        <f>SUM(AR$7:AR109)</f>
        <v>105534396.81824194</v>
      </c>
      <c r="AX109" s="16">
        <f>SUM(AS$7:AS109)</f>
        <v>75733640.101664066</v>
      </c>
      <c r="AY109" s="16">
        <f>SUM(AT$7:AT109)</f>
        <v>41027957.599676199</v>
      </c>
    </row>
    <row r="110" spans="10:51">
      <c r="J110" s="16">
        <v>104</v>
      </c>
      <c r="K110" s="16">
        <f>MAX(求节点(节奏总纲!$O$4:$O$163,节奏总纲!P$4:P$163,$J110)-INT(C$13),0)*$D$1*$D$2</f>
        <v>1595.0113207577324</v>
      </c>
      <c r="L110" s="16">
        <f>MAX(求节点(节奏总纲!$O$4:$O$163,节奏总纲!Q$4:Q$163,$J110)-INT(D$13),0)*$D$1*$D$2</f>
        <v>1359.3061086818154</v>
      </c>
      <c r="M110" s="16">
        <f>MAX(求节点(节奏总纲!$O$4:$O$163,节奏总纲!R$4:R$163,$J110)-INT(E$13),0)*$D$1*$D$2</f>
        <v>1092.4928392473498</v>
      </c>
      <c r="N110" s="16">
        <f>MAX(求节点(节奏总纲!$O$4:$O$163,节奏总纲!S$4:S$163,$J110)-INT(F$13),0)*$D$1*$D$2</f>
        <v>784.9160966052591</v>
      </c>
      <c r="O110" s="16">
        <f>MAX(求节点(节奏总纲!$O$4:$O$163,节奏总纲!T$4:T$163,$J110)-INT(G$13),0)*$D$1*$D$2</f>
        <v>425.39642264231463</v>
      </c>
      <c r="Q110" s="16">
        <v>104</v>
      </c>
      <c r="R110" s="16">
        <f>IF(节奏总纲!P107&lt;C$13,0,求节点($C$18:$C$23,$E$18:$E$23,$Q110)*节奏总纲!W107)*$D$1</f>
        <v>67863166.024687022</v>
      </c>
      <c r="S110" s="16">
        <f>IF(节奏总纲!Q107&lt;D$13,0,求节点($C$18:$C$23,$E$18:$E$23,$Q110)*节奏总纲!X107)*$D$1</f>
        <v>58028730.18473053</v>
      </c>
      <c r="T110" s="16">
        <f>IF(节奏总纲!R107&lt;E$13,0,求节点($C$18:$C$23,$E$18:$E$23,$Q110)*节奏总纲!Y107)*$D$1</f>
        <v>47930567.357493833</v>
      </c>
      <c r="U110" s="16">
        <f>IF(节奏总纲!S107&lt;F$13,0,求节点($C$18:$C$23,$E$18:$E$23,$Q110)*节奏总纲!Z107)*$D$1</f>
        <v>34563118.275099494</v>
      </c>
      <c r="V110" s="16">
        <f>IF(节奏总纲!T107&lt;G$13,0,求节点($C$18:$C$23,$E$18:$E$23,$Q110)*节奏总纲!AA107)*$D$1</f>
        <v>18497372.892371017</v>
      </c>
      <c r="W110" s="16">
        <f>SUM(R$7:R110)</f>
        <v>904167814.16814613</v>
      </c>
      <c r="X110" s="16">
        <f>SUM(S$7:S110)</f>
        <v>769576478.01403236</v>
      </c>
      <c r="Y110" s="16">
        <f>SUM(T$7:T110)</f>
        <v>618096707.70417905</v>
      </c>
      <c r="Z110" s="16">
        <f>SUM(U$7:U110)</f>
        <v>443669034.05058694</v>
      </c>
      <c r="AA110" s="16">
        <f>SUM(V$7:V110)</f>
        <v>240180493.97804511</v>
      </c>
      <c r="AC110" s="16">
        <v>104</v>
      </c>
      <c r="AD110" s="16">
        <f>IF(节奏总纲!P107&lt;C$13,0,求节点($C$18:$C$23,$F$18:$F$23,$Q110)*节奏总纲!W107)*$D$1</f>
        <v>605517.78965624049</v>
      </c>
      <c r="AE110" s="16">
        <f>IF(节奏总纲!Q107&lt;D$13,0,求节点($C$18:$C$23,$F$18:$F$23,$Q110)*节奏总纲!X107)*$D$1</f>
        <v>517768.7764410259</v>
      </c>
      <c r="AF110" s="16">
        <f>IF(节奏总纲!R107&lt;E$13,0,求节点($C$18:$C$23,$F$18:$F$23,$Q110)*节奏总纲!Y107)*$D$1</f>
        <v>427666.62540797761</v>
      </c>
      <c r="AG110" s="16">
        <f>IF(节奏总纲!S107&lt;F$13,0,求节点($C$18:$C$23,$F$18:$F$23,$Q110)*节奏总纲!Z107)*$D$1</f>
        <v>308393.84908673633</v>
      </c>
      <c r="AH110" s="16">
        <f>IF(节奏总纲!T107&lt;G$13,0,求节点($C$18:$C$23,$F$18:$F$23,$Q110)*节奏总纲!AA107)*$D$1</f>
        <v>165045.17847224054</v>
      </c>
      <c r="AI110" s="16">
        <f>SUM(AD$7:AD110)</f>
        <v>7973916.4373462992</v>
      </c>
      <c r="AJ110" s="16">
        <f>SUM(AE$7:AE110)</f>
        <v>6785363.2159495391</v>
      </c>
      <c r="AK110" s="16">
        <f>SUM(AF$7:AF110)</f>
        <v>5448400.4489676189</v>
      </c>
      <c r="AL110" s="16">
        <f>SUM(AG$7:AG110)</f>
        <v>3909730.977831007</v>
      </c>
      <c r="AM110" s="16">
        <f>SUM(AH$7:AH110)</f>
        <v>2115678.0706263003</v>
      </c>
      <c r="AO110" s="16">
        <v>104</v>
      </c>
      <c r="AP110" s="16">
        <f>IF(节奏总纲!P107&lt;C$13,0,求节点($C$18:$C$23,$H$18:$H$23,$Q110)*节奏总纲!W107)*$D$1</f>
        <v>11726755.089065917</v>
      </c>
      <c r="AQ110" s="16">
        <f>IF(节奏总纲!Q107&lt;D$13,0,求节点($C$18:$C$23,$H$18:$H$23,$Q110)*节奏总纲!X107)*$D$1</f>
        <v>10027364.575921437</v>
      </c>
      <c r="AR110" s="16">
        <f>IF(节奏总纲!R107&lt;E$13,0,求节点($C$18:$C$23,$H$18:$H$23,$Q110)*节奏总纲!Y107)*$D$1</f>
        <v>8282402.0393749345</v>
      </c>
      <c r="AS110" s="16">
        <f>IF(节奏总纲!S107&lt;F$13,0,求节点($C$18:$C$23,$H$18:$H$23,$Q110)*节奏总纲!Z107)*$D$1</f>
        <v>5972506.837937193</v>
      </c>
      <c r="AT110" s="16">
        <f>IF(节奏总纲!T107&lt;G$13,0,求节点($C$18:$C$23,$H$18:$H$23,$Q110)*节奏总纲!AA107)*$D$1</f>
        <v>3196346.035801712</v>
      </c>
      <c r="AU110" s="16">
        <f>SUM(AP$7:AP110)</f>
        <v>166383262.99336582</v>
      </c>
      <c r="AV110" s="16">
        <f>SUM(AQ$7:AQ110)</f>
        <v>141675948.2484321</v>
      </c>
      <c r="AW110" s="16">
        <f>SUM(AR$7:AR110)</f>
        <v>113816798.85761687</v>
      </c>
      <c r="AX110" s="16">
        <f>SUM(AS$7:AS110)</f>
        <v>81706146.939601257</v>
      </c>
      <c r="AY110" s="16">
        <f>SUM(AT$7:AT110)</f>
        <v>44224303.635477908</v>
      </c>
    </row>
    <row r="111" spans="10:51">
      <c r="J111" s="16">
        <v>105</v>
      </c>
      <c r="K111" s="16">
        <f>MAX(求节点(节奏总纲!$O$4:$O$163,节奏总纲!P$4:P$163,$J111)-INT(C$13),0)*$D$1*$D$2</f>
        <v>1711.3856254440595</v>
      </c>
      <c r="L111" s="16">
        <f>MAX(求节点(节奏总纲!$O$4:$O$163,节奏总纲!Q$4:Q$163,$J111)-INT(D$13),0)*$D$1*$D$2</f>
        <v>1460.228514191416</v>
      </c>
      <c r="M111" s="16">
        <f>MAX(求节点(节奏总纲!$O$4:$O$163,节奏总纲!R$4:R$163,$J111)-INT(E$13),0)*$D$1*$D$2</f>
        <v>1173.818714742258</v>
      </c>
      <c r="N111" s="16">
        <f>MAX(求节点(节奏总纲!$O$4:$O$163,节奏总纲!S$4:S$163,$J111)-INT(F$13),0)*$D$1*$D$2</f>
        <v>843.11037190646573</v>
      </c>
      <c r="O111" s="16">
        <f>MAX(求节点(节奏总纲!$O$4:$O$163,节奏总纲!T$4:T$163,$J111)-INT(G$13),0)*$D$1*$D$2</f>
        <v>456.46836199356386</v>
      </c>
      <c r="Q111" s="16">
        <v>105</v>
      </c>
      <c r="R111" s="16">
        <f>IF(节奏总纲!P108&lt;C$13,0,求节点($C$18:$C$23,$E$18:$E$23,$Q111)*节奏总纲!W108)*$D$1</f>
        <v>72733940.428954333</v>
      </c>
      <c r="S111" s="16">
        <f>IF(节奏总纲!Q108&lt;D$13,0,求节点($C$18:$C$23,$E$18:$E$23,$Q111)*节奏总纲!X108)*$D$1</f>
        <v>63076503.44350031</v>
      </c>
      <c r="T111" s="16">
        <f>IF(节奏总纲!R108&lt;E$13,0,求节点($C$18:$C$23,$E$18:$E$23,$Q111)*节奏总纲!Y108)*$D$1</f>
        <v>50828672.184317641</v>
      </c>
      <c r="U111" s="16">
        <f>IF(节奏总纲!S108&lt;F$13,0,求节点($C$18:$C$23,$E$18:$E$23,$Q111)*节奏总纲!Z108)*$D$1</f>
        <v>36371422.063254103</v>
      </c>
      <c r="V111" s="16">
        <f>IF(节奏总纲!T108&lt;G$13,0,求节点($C$18:$C$23,$E$18:$E$23,$Q111)*节奏总纲!AA108)*$D$1</f>
        <v>19419962.094530802</v>
      </c>
      <c r="W111" s="16">
        <f>SUM(R$7:R111)</f>
        <v>976901754.5971005</v>
      </c>
      <c r="X111" s="16">
        <f>SUM(S$7:S111)</f>
        <v>832652981.45753264</v>
      </c>
      <c r="Y111" s="16">
        <f>SUM(T$7:T111)</f>
        <v>668925379.88849664</v>
      </c>
      <c r="Z111" s="16">
        <f>SUM(U$7:U111)</f>
        <v>480040456.11384106</v>
      </c>
      <c r="AA111" s="16">
        <f>SUM(V$7:V111)</f>
        <v>259600456.0725759</v>
      </c>
      <c r="AC111" s="16">
        <v>105</v>
      </c>
      <c r="AD111" s="16">
        <f>IF(节奏总纲!P108&lt;C$13,0,求节点($C$18:$C$23,$F$18:$F$23,$Q111)*节奏总纲!W108)*$D$1</f>
        <v>648977.89804719342</v>
      </c>
      <c r="AE111" s="16">
        <f>IF(节奏总纲!Q108&lt;D$13,0,求节点($C$18:$C$23,$F$18:$F$23,$Q111)*节奏总纲!X108)*$D$1</f>
        <v>562808.17977838672</v>
      </c>
      <c r="AF111" s="16">
        <f>IF(节奏总纲!R108&lt;E$13,0,求节点($C$18:$C$23,$F$18:$F$23,$Q111)*节奏总纲!Y108)*$D$1</f>
        <v>453525.33686703426</v>
      </c>
      <c r="AG111" s="16">
        <f>IF(节奏总纲!S108&lt;F$13,0,求节点($C$18:$C$23,$F$18:$F$23,$Q111)*节奏总纲!Z108)*$D$1</f>
        <v>324528.67121442873</v>
      </c>
      <c r="AH111" s="16">
        <f>IF(节奏总纲!T108&lt;G$13,0,求节点($C$18:$C$23,$F$18:$F$23,$Q111)*节奏总纲!AA108)*$D$1</f>
        <v>173277.09877860063</v>
      </c>
      <c r="AI111" s="16">
        <f>SUM(AD$7:AD111)</f>
        <v>8622894.3353934921</v>
      </c>
      <c r="AJ111" s="16">
        <f>SUM(AE$7:AE111)</f>
        <v>7348171.3957279259</v>
      </c>
      <c r="AK111" s="16">
        <f>SUM(AF$7:AF111)</f>
        <v>5901925.7858346533</v>
      </c>
      <c r="AL111" s="16">
        <f>SUM(AG$7:AG111)</f>
        <v>4234259.6490454357</v>
      </c>
      <c r="AM111" s="16">
        <f>SUM(AH$7:AH111)</f>
        <v>2288955.1694049011</v>
      </c>
      <c r="AO111" s="16">
        <v>105</v>
      </c>
      <c r="AP111" s="16">
        <f>IF(节奏总纲!P108&lt;C$13,0,求节点($C$18:$C$23,$H$18:$H$23,$Q111)*节奏总纲!W108)*$D$1</f>
        <v>12568424.906123307</v>
      </c>
      <c r="AQ111" s="16">
        <f>IF(节奏总纲!Q108&lt;D$13,0,求节点($C$18:$C$23,$H$18:$H$23,$Q111)*节奏总纲!X108)*$D$1</f>
        <v>10899619.795036854</v>
      </c>
      <c r="AR111" s="16">
        <f>IF(节奏总纲!R108&lt;E$13,0,求节点($C$18:$C$23,$H$18:$H$23,$Q111)*节奏总纲!Y108)*$D$1</f>
        <v>8783194.5534500871</v>
      </c>
      <c r="AS111" s="16">
        <f>IF(节奏总纲!S108&lt;F$13,0,求节点($C$18:$C$23,$H$18:$H$23,$Q111)*节奏总纲!Z108)*$D$1</f>
        <v>6284981.7325303089</v>
      </c>
      <c r="AT111" s="16">
        <f>IF(节奏总纲!T108&lt;G$13,0,求节点($C$18:$C$23,$H$18:$H$23,$Q111)*节奏总纲!AA108)*$D$1</f>
        <v>3355769.4499349231</v>
      </c>
      <c r="AU111" s="16">
        <f>SUM(AP$7:AP111)</f>
        <v>178951687.89948913</v>
      </c>
      <c r="AV111" s="16">
        <f>SUM(AQ$7:AQ111)</f>
        <v>152575568.04346895</v>
      </c>
      <c r="AW111" s="16">
        <f>SUM(AR$7:AR111)</f>
        <v>122599993.41106696</v>
      </c>
      <c r="AX111" s="16">
        <f>SUM(AS$7:AS111)</f>
        <v>87991128.672131568</v>
      </c>
      <c r="AY111" s="16">
        <f>SUM(AT$7:AT111)</f>
        <v>47580073.08541283</v>
      </c>
    </row>
    <row r="112" spans="10:51">
      <c r="J112" s="16">
        <v>106</v>
      </c>
      <c r="K112" s="16">
        <f>MAX(求节点(节奏总纲!$O$4:$O$163,节奏总纲!P$4:P$163,$J112)-INT(C$13),0)*$D$1*$D$2</f>
        <v>1836.1125169279758</v>
      </c>
      <c r="L112" s="16">
        <f>MAX(求节点(节奏总纲!$O$4:$O$163,节奏总纲!Q$4:Q$163,$J112)-INT(D$13),0)*$D$1*$D$2</f>
        <v>1567.7747582047987</v>
      </c>
      <c r="M112" s="16">
        <f>MAX(求节点(节奏总纲!$O$4:$O$163,节奏总纲!R$4:R$163,$J112)-INT(E$13),0)*$D$1*$D$2</f>
        <v>1259.6049116193626</v>
      </c>
      <c r="N112" s="16">
        <f>MAX(求节点(节奏总纲!$O$4:$O$163,节奏总纲!S$4:S$163,$J112)-INT(F$13),0)*$D$1*$D$2</f>
        <v>904.05480834210653</v>
      </c>
      <c r="O112" s="16">
        <f>MAX(求节点(节奏总纲!$O$4:$O$163,节奏总纲!T$4:T$163,$J112)-INT(G$13),0)*$D$1*$D$2</f>
        <v>487.90912950284155</v>
      </c>
      <c r="Q112" s="16">
        <v>106</v>
      </c>
      <c r="R112" s="16">
        <f>IF(节奏总纲!P109&lt;C$13,0,求节点($C$18:$C$23,$E$18:$E$23,$Q112)*节奏总纲!W109)*$D$1</f>
        <v>77954307.177447736</v>
      </c>
      <c r="S112" s="16">
        <f>IF(节奏总纲!Q109&lt;D$13,0,求节点($C$18:$C$23,$E$18:$E$23,$Q112)*节奏总纲!X109)*$D$1</f>
        <v>67216402.508364126</v>
      </c>
      <c r="T112" s="16">
        <f>IF(节奏总纲!R109&lt;E$13,0,求节点($C$18:$C$23,$E$18:$E$23,$Q112)*节奏总纲!Y109)*$D$1</f>
        <v>53616373.048190355</v>
      </c>
      <c r="U112" s="16">
        <f>IF(节奏总纲!S109&lt;F$13,0,求节点($C$18:$C$23,$E$18:$E$23,$Q112)*节奏总纲!Z109)*$D$1</f>
        <v>38090272.772275567</v>
      </c>
      <c r="V112" s="16">
        <f>IF(节奏总纲!T109&lt;G$13,0,求节点($C$18:$C$23,$E$18:$E$23,$Q112)*节奏总纲!AA109)*$D$1</f>
        <v>19650479.693298534</v>
      </c>
      <c r="W112" s="16">
        <f>SUM(R$7:R112)</f>
        <v>1054856061.7745483</v>
      </c>
      <c r="X112" s="16">
        <f>SUM(S$7:S112)</f>
        <v>899869383.96589673</v>
      </c>
      <c r="Y112" s="16">
        <f>SUM(T$7:T112)</f>
        <v>722541752.93668699</v>
      </c>
      <c r="Z112" s="16">
        <f>SUM(U$7:U112)</f>
        <v>518130728.88611662</v>
      </c>
      <c r="AA112" s="16">
        <f>SUM(V$7:V112)</f>
        <v>279250935.76587445</v>
      </c>
      <c r="AC112" s="16">
        <v>106</v>
      </c>
      <c r="AD112" s="16">
        <f>IF(节奏总纲!P109&lt;C$13,0,求节点($C$18:$C$23,$F$18:$F$23,$Q112)*节奏总纲!W109)*$D$1</f>
        <v>695557.28889955592</v>
      </c>
      <c r="AE112" s="16">
        <f>IF(节奏总纲!Q109&lt;D$13,0,求节点($C$18:$C$23,$F$18:$F$23,$Q112)*节奏总纲!X109)*$D$1</f>
        <v>599746.95935498888</v>
      </c>
      <c r="AF112" s="16">
        <f>IF(节奏总纲!R109&lt;E$13,0,求节点($C$18:$C$23,$F$18:$F$23,$Q112)*节奏总纲!Y109)*$D$1</f>
        <v>478398.95482793136</v>
      </c>
      <c r="AG112" s="16">
        <f>IF(节奏总纲!S109&lt;F$13,0,求节点($C$18:$C$23,$F$18:$F$23,$Q112)*节奏总纲!Z109)*$D$1</f>
        <v>339865.33678787283</v>
      </c>
      <c r="AH112" s="16">
        <f>IF(节奏总纲!T109&lt;G$13,0,求节点($C$18:$C$23,$F$18:$F$23,$Q112)*节奏总纲!AA109)*$D$1</f>
        <v>175333.921574518</v>
      </c>
      <c r="AI112" s="16">
        <f>SUM(AD$7:AD112)</f>
        <v>9318451.6242930479</v>
      </c>
      <c r="AJ112" s="16">
        <f>SUM(AE$7:AE112)</f>
        <v>7947918.3550829152</v>
      </c>
      <c r="AK112" s="16">
        <f>SUM(AF$7:AF112)</f>
        <v>6380324.740662585</v>
      </c>
      <c r="AL112" s="16">
        <f>SUM(AG$7:AG112)</f>
        <v>4574124.9858333087</v>
      </c>
      <c r="AM112" s="16">
        <f>SUM(AH$7:AH112)</f>
        <v>2464289.0909794192</v>
      </c>
      <c r="AO112" s="16">
        <v>106</v>
      </c>
      <c r="AP112" s="16">
        <f>IF(节奏总纲!P109&lt;C$13,0,求节点($C$18:$C$23,$H$18:$H$23,$Q112)*节奏总纲!W109)*$D$1</f>
        <v>13470504.280262966</v>
      </c>
      <c r="AQ112" s="16">
        <f>IF(节奏总纲!Q109&lt;D$13,0,求节点($C$18:$C$23,$H$18:$H$23,$Q112)*节奏总纲!X109)*$D$1</f>
        <v>11614994.353445321</v>
      </c>
      <c r="AR112" s="16">
        <f>IF(节奏总纲!R109&lt;E$13,0,求节点($C$18:$C$23,$H$18:$H$23,$Q112)*节奏总纲!Y109)*$D$1</f>
        <v>9264909.2627272941</v>
      </c>
      <c r="AS112" s="16">
        <f>IF(节奏总纲!S109&lt;F$13,0,求节点($C$18:$C$23,$H$18:$H$23,$Q112)*节奏总纲!Z109)*$D$1</f>
        <v>6581999.1350492183</v>
      </c>
      <c r="AT112" s="16">
        <f>IF(节奏总纲!T109&lt;G$13,0,求节点($C$18:$C$23,$H$18:$H$23,$Q112)*节奏总纲!AA109)*$D$1</f>
        <v>3395602.8910019873</v>
      </c>
      <c r="AU112" s="16">
        <f>SUM(AP$7:AP112)</f>
        <v>192422192.17975211</v>
      </c>
      <c r="AV112" s="16">
        <f>SUM(AQ$7:AQ112)</f>
        <v>164190562.39691427</v>
      </c>
      <c r="AW112" s="16">
        <f>SUM(AR$7:AR112)</f>
        <v>131864902.67379425</v>
      </c>
      <c r="AX112" s="16">
        <f>SUM(AS$7:AS112)</f>
        <v>94573127.807180792</v>
      </c>
      <c r="AY112" s="16">
        <f>SUM(AT$7:AT112)</f>
        <v>50975675.976414815</v>
      </c>
    </row>
    <row r="113" spans="10:51">
      <c r="J113" s="16">
        <v>107</v>
      </c>
      <c r="K113" s="16">
        <f>MAX(求节点(节奏总纲!$O$4:$O$163,节奏总纲!P$4:P$163,$J113)-INT(C$13),0)*$D$1*$D$2</f>
        <v>1969.7914892850827</v>
      </c>
      <c r="L113" s="16">
        <f>MAX(求节点(节奏总纲!$O$4:$O$163,节奏总纲!Q$4:Q$163,$J113)-INT(D$13),0)*$D$1*$D$2</f>
        <v>1681.1252361048182</v>
      </c>
      <c r="M113" s="16">
        <f>MAX(求节点(节奏总纲!$O$4:$O$163,节奏总纲!R$4:R$163,$J113)-INT(E$13),0)*$D$1*$D$2</f>
        <v>1351.9606556920662</v>
      </c>
      <c r="N113" s="16">
        <f>MAX(求节点(节奏总纲!$O$4:$O$163,节奏总纲!S$4:S$163,$J113)-INT(F$13),0)*$D$1*$D$2</f>
        <v>966.1413220900472</v>
      </c>
      <c r="O113" s="16">
        <f>MAX(求节点(节奏总纲!$O$4:$O$163,节奏总纲!T$4:T$163,$J113)-INT(G$13),0)*$D$1*$D$2</f>
        <v>521.07374636268992</v>
      </c>
      <c r="Q113" s="16">
        <v>107</v>
      </c>
      <c r="R113" s="16">
        <f>IF(节奏总纲!P110&lt;C$13,0,求节点($C$18:$C$23,$E$18:$E$23,$Q113)*节奏总纲!W110)*$D$1</f>
        <v>83549357.723191857</v>
      </c>
      <c r="S113" s="16">
        <f>IF(节奏总纲!Q110&lt;D$13,0,求节点($C$18:$C$23,$E$18:$E$23,$Q113)*节奏总纲!X110)*$D$1</f>
        <v>70844048.687512383</v>
      </c>
      <c r="T113" s="16">
        <f>IF(节奏总纲!R110&lt;E$13,0,求节点($C$18:$C$23,$E$18:$E$23,$Q113)*节奏总纲!Y110)*$D$1</f>
        <v>57722340.04543975</v>
      </c>
      <c r="U113" s="16">
        <f>IF(节奏总纲!S110&lt;F$13,0,求节点($C$18:$C$23,$E$18:$E$23,$Q113)*节奏总纲!Z110)*$D$1</f>
        <v>38804071.09246292</v>
      </c>
      <c r="V113" s="16">
        <f>IF(节奏总纲!T110&lt;G$13,0,求节点($C$18:$C$23,$E$18:$E$23,$Q113)*节奏总纲!AA110)*$D$1</f>
        <v>20727885.537405215</v>
      </c>
      <c r="W113" s="16">
        <f>SUM(R$7:R113)</f>
        <v>1138405419.4977403</v>
      </c>
      <c r="X113" s="16">
        <f>SUM(S$7:S113)</f>
        <v>970713432.65340912</v>
      </c>
      <c r="Y113" s="16">
        <f>SUM(T$7:T113)</f>
        <v>780264092.98212671</v>
      </c>
      <c r="Z113" s="16">
        <f>SUM(U$7:U113)</f>
        <v>556934799.97857952</v>
      </c>
      <c r="AA113" s="16">
        <f>SUM(V$7:V113)</f>
        <v>299978821.30327964</v>
      </c>
      <c r="AC113" s="16">
        <v>107</v>
      </c>
      <c r="AD113" s="16">
        <f>IF(节奏总纲!P110&lt;C$13,0,求节点($C$18:$C$23,$F$18:$F$23,$Q113)*节奏总纲!W110)*$D$1</f>
        <v>745479.84391624189</v>
      </c>
      <c r="AE113" s="16">
        <f>IF(节奏总纲!Q110&lt;D$13,0,求节点($C$18:$C$23,$F$18:$F$23,$Q113)*节奏总纲!X110)*$D$1</f>
        <v>632115.09695784817</v>
      </c>
      <c r="AF113" s="16">
        <f>IF(节奏总纲!R110&lt;E$13,0,求节点($C$18:$C$23,$F$18:$F$23,$Q113)*节奏总纲!Y110)*$D$1</f>
        <v>515034.97118578141</v>
      </c>
      <c r="AG113" s="16">
        <f>IF(节奏总纲!S110&lt;F$13,0,求节点($C$18:$C$23,$F$18:$F$23,$Q113)*节奏总纲!Z110)*$D$1</f>
        <v>346234.29371132306</v>
      </c>
      <c r="AH113" s="16">
        <f>IF(节奏总纲!T110&lt;G$13,0,求节点($C$18:$C$23,$F$18:$F$23,$Q113)*节奏总纲!AA110)*$D$1</f>
        <v>184947.2131950249</v>
      </c>
      <c r="AI113" s="16">
        <f>SUM(AD$7:AD113)</f>
        <v>10063931.468209289</v>
      </c>
      <c r="AJ113" s="16">
        <f>SUM(AE$7:AE113)</f>
        <v>8580033.4520407636</v>
      </c>
      <c r="AK113" s="16">
        <f>SUM(AF$7:AF113)</f>
        <v>6895359.7118483661</v>
      </c>
      <c r="AL113" s="16">
        <f>SUM(AG$7:AG113)</f>
        <v>4920359.279544632</v>
      </c>
      <c r="AM113" s="16">
        <f>SUM(AH$7:AH113)</f>
        <v>2649236.3041744442</v>
      </c>
      <c r="AO113" s="16">
        <v>107</v>
      </c>
      <c r="AP113" s="16">
        <f>IF(节奏总纲!P110&lt;C$13,0,求节点($C$18:$C$23,$H$18:$H$23,$Q113)*节奏总纲!W110)*$D$1</f>
        <v>14437329.014567552</v>
      </c>
      <c r="AQ113" s="16">
        <f>IF(节奏总纲!Q110&lt;D$13,0,求节点($C$18:$C$23,$H$18:$H$23,$Q113)*节奏总纲!X110)*$D$1</f>
        <v>12241851.61320214</v>
      </c>
      <c r="AR113" s="16">
        <f>IF(节奏总纲!R110&lt;E$13,0,求节点($C$18:$C$23,$H$18:$H$23,$Q113)*节奏总纲!Y110)*$D$1</f>
        <v>9974420.3598519899</v>
      </c>
      <c r="AS113" s="16">
        <f>IF(节奏总纲!S110&lt;F$13,0,求节点($C$18:$C$23,$H$18:$H$23,$Q113)*节奏总纲!Z110)*$D$1</f>
        <v>6705343.4847775921</v>
      </c>
      <c r="AT113" s="16">
        <f>IF(节奏总纲!T110&lt;G$13,0,求节点($C$18:$C$23,$H$18:$H$23,$Q113)*节奏总纲!AA110)*$D$1</f>
        <v>3581778.6208636211</v>
      </c>
      <c r="AU113" s="16">
        <f>SUM(AP$7:AP113)</f>
        <v>206859521.19431967</v>
      </c>
      <c r="AV113" s="16">
        <f>SUM(AQ$7:AQ113)</f>
        <v>176432414.0101164</v>
      </c>
      <c r="AW113" s="16">
        <f>SUM(AR$7:AR113)</f>
        <v>141839323.03364626</v>
      </c>
      <c r="AX113" s="16">
        <f>SUM(AS$7:AS113)</f>
        <v>101278471.29195839</v>
      </c>
      <c r="AY113" s="16">
        <f>SUM(AT$7:AT113)</f>
        <v>54557454.597278439</v>
      </c>
    </row>
    <row r="114" spans="10:51">
      <c r="J114" s="16">
        <v>108</v>
      </c>
      <c r="K114" s="16">
        <f>MAX(求节点(节奏总纲!$O$4:$O$163,节奏总纲!P$4:P$163,$J114)-INT(C$13),0)*$D$1*$D$2</f>
        <v>2113.065064356555</v>
      </c>
      <c r="L114" s="16">
        <f>MAX(求节点(节奏总纲!$O$4:$O$163,节奏总纲!Q$4:Q$163,$J114)-INT(D$13),0)*$D$1*$D$2</f>
        <v>1803.4092324283197</v>
      </c>
      <c r="M114" s="16">
        <f>MAX(求节点(节奏总纲!$O$4:$O$163,节奏总纲!R$4:R$163,$J114)-INT(E$13),0)*$D$1*$D$2</f>
        <v>1443.7179979941411</v>
      </c>
      <c r="N114" s="16">
        <f>MAX(求节点(节奏总纲!$O$4:$O$163,节奏总纲!S$4:S$163,$J114)-INT(F$13),0)*$D$1*$D$2</f>
        <v>1032.8392694832269</v>
      </c>
      <c r="O114" s="16">
        <f>MAX(求节点(节奏总纲!$O$4:$O$163,节奏总纲!T$4:T$163,$J114)-INT(G$13),0)*$D$1*$D$2</f>
        <v>558.15728301587319</v>
      </c>
      <c r="Q114" s="16">
        <v>108</v>
      </c>
      <c r="R114" s="16">
        <f>IF(节奏总纲!P111&lt;C$13,0,求节点($C$18:$C$23,$E$18:$E$23,$Q114)*节奏总纲!W111)*$D$1</f>
        <v>89545984.419670165</v>
      </c>
      <c r="S114" s="16">
        <f>IF(节奏总纲!Q111&lt;D$13,0,求节点($C$18:$C$23,$E$18:$E$23,$Q114)*节奏总纲!X111)*$D$1</f>
        <v>76427497.702188417</v>
      </c>
      <c r="T114" s="16">
        <f>IF(节奏总纲!R111&lt;E$13,0,求节点($C$18:$C$23,$E$18:$E$23,$Q114)*节奏总纲!Y111)*$D$1</f>
        <v>57348338.938796818</v>
      </c>
      <c r="U114" s="16">
        <f>IF(节奏总纲!S111&lt;F$13,0,求节点($C$18:$C$23,$E$18:$E$23,$Q114)*节奏总纲!Z111)*$D$1</f>
        <v>41686217.12073724</v>
      </c>
      <c r="V114" s="16">
        <f>IF(节奏总纲!T111&lt;G$13,0,求节点($C$18:$C$23,$E$18:$E$23,$Q114)*节奏总纲!AA111)*$D$1</f>
        <v>23177210.408239573</v>
      </c>
      <c r="W114" s="16">
        <f>SUM(R$7:R114)</f>
        <v>1227951403.9174104</v>
      </c>
      <c r="X114" s="16">
        <f>SUM(S$7:S114)</f>
        <v>1047140930.3555975</v>
      </c>
      <c r="Y114" s="16">
        <f>SUM(T$7:T114)</f>
        <v>837612431.92092347</v>
      </c>
      <c r="Z114" s="16">
        <f>SUM(U$7:U114)</f>
        <v>598621017.09931672</v>
      </c>
      <c r="AA114" s="16">
        <f>SUM(V$7:V114)</f>
        <v>323156031.71151924</v>
      </c>
      <c r="AC114" s="16">
        <v>108</v>
      </c>
      <c r="AD114" s="16">
        <f>IF(节奏总纲!P111&lt;C$13,0,求节点($C$18:$C$23,$F$18:$F$23,$Q114)*节奏总纲!W111)*$D$1</f>
        <v>798985.51356513868</v>
      </c>
      <c r="AE114" s="16">
        <f>IF(节奏总纲!Q111&lt;D$13,0,求节点($C$18:$C$23,$F$18:$F$23,$Q114)*节奏总纲!X111)*$D$1</f>
        <v>681934.13582784531</v>
      </c>
      <c r="AF114" s="16">
        <f>IF(节奏总纲!R111&lt;E$13,0,求节点($C$18:$C$23,$F$18:$F$23,$Q114)*节奏总纲!Y111)*$D$1</f>
        <v>511697.89841583377</v>
      </c>
      <c r="AG114" s="16">
        <f>IF(节奏总纲!S111&lt;F$13,0,求节点($C$18:$C$23,$F$18:$F$23,$Q114)*节奏总纲!Z111)*$D$1</f>
        <v>371950.61074658076</v>
      </c>
      <c r="AH114" s="16">
        <f>IF(节奏总纲!T111&lt;G$13,0,求节点($C$18:$C$23,$F$18:$F$23,$Q114)*节奏总纲!AA111)*$D$1</f>
        <v>206801.62802439136</v>
      </c>
      <c r="AI114" s="16">
        <f>SUM(AD$7:AD114)</f>
        <v>10862916.981774427</v>
      </c>
      <c r="AJ114" s="16">
        <f>SUM(AE$7:AE114)</f>
        <v>9261967.5878686085</v>
      </c>
      <c r="AK114" s="16">
        <f>SUM(AF$7:AF114)</f>
        <v>7407057.6102641998</v>
      </c>
      <c r="AL114" s="16">
        <f>SUM(AG$7:AG114)</f>
        <v>5292309.8902912131</v>
      </c>
      <c r="AM114" s="16">
        <f>SUM(AH$7:AH114)</f>
        <v>2856037.9321988355</v>
      </c>
      <c r="AO114" s="16">
        <v>108</v>
      </c>
      <c r="AP114" s="16">
        <f>IF(节奏总纲!P111&lt;C$13,0,求节点($C$18:$C$23,$H$18:$H$23,$Q114)*节奏总纲!W111)*$D$1</f>
        <v>15473546.107719004</v>
      </c>
      <c r="AQ114" s="16">
        <f>IF(节奏总纲!Q111&lt;D$13,0,求节点($C$18:$C$23,$H$18:$H$23,$Q114)*节奏总纲!X111)*$D$1</f>
        <v>13206671.602938157</v>
      </c>
      <c r="AR114" s="16">
        <f>IF(节奏总纲!R111&lt;E$13,0,求节点($C$18:$C$23,$H$18:$H$23,$Q114)*节奏总纲!Y111)*$D$1</f>
        <v>9909792.9686240889</v>
      </c>
      <c r="AS114" s="16">
        <f>IF(节奏总纲!S111&lt;F$13,0,求节点($C$18:$C$23,$H$18:$H$23,$Q114)*节奏总纲!Z111)*$D$1</f>
        <v>7203378.3184633953</v>
      </c>
      <c r="AT114" s="16">
        <f>IF(节奏总纲!T111&lt;G$13,0,求节点($C$18:$C$23,$H$18:$H$23,$Q114)*节奏总纲!AA111)*$D$1</f>
        <v>4005021.958543798</v>
      </c>
      <c r="AU114" s="16">
        <f>SUM(AP$7:AP114)</f>
        <v>222333067.30203867</v>
      </c>
      <c r="AV114" s="16">
        <f>SUM(AQ$7:AQ114)</f>
        <v>189639085.61305454</v>
      </c>
      <c r="AW114" s="16">
        <f>SUM(AR$7:AR114)</f>
        <v>151749116.00227034</v>
      </c>
      <c r="AX114" s="16">
        <f>SUM(AS$7:AS114)</f>
        <v>108481849.61042179</v>
      </c>
      <c r="AY114" s="16">
        <f>SUM(AT$7:AT114)</f>
        <v>58562476.555822238</v>
      </c>
    </row>
    <row r="115" spans="10:51">
      <c r="J115" s="16">
        <v>109</v>
      </c>
      <c r="K115" s="16">
        <f>MAX(求节点(节奏总纲!$O$4:$O$163,节奏总纲!P$4:P$163,$J115)-INT(C$13),0)*$D$1*$D$2</f>
        <v>2266.6218800008583</v>
      </c>
      <c r="L115" s="16">
        <f>MAX(求节点(节奏总纲!$O$4:$O$163,节奏总纲!Q$4:Q$163,$J115)-INT(D$13),0)*$D$1*$D$2</f>
        <v>1928.0528733167303</v>
      </c>
      <c r="M115" s="16">
        <f>MAX(求节点(节奏总纲!$O$4:$O$163,节奏总纲!R$4:R$163,$J115)-INT(E$13),0)*$D$1*$D$2</f>
        <v>1543.8766112205849</v>
      </c>
      <c r="N115" s="16">
        <f>MAX(求节点(节奏总纲!$O$4:$O$163,节奏总纲!S$4:S$163,$J115)-INT(F$13),0)*$D$1*$D$2</f>
        <v>1104.9798952524186</v>
      </c>
      <c r="O115" s="16">
        <f>MAX(求节点(节奏总纲!$O$4:$O$163,节奏总纲!T$4:T$163,$J115)-INT(G$13),0)*$D$1*$D$2</f>
        <v>598.29934069622675</v>
      </c>
      <c r="Q115" s="16">
        <v>109</v>
      </c>
      <c r="R115" s="16">
        <f>IF(节奏总纲!P112&lt;C$13,0,求节点($C$18:$C$23,$E$18:$E$23,$Q115)*节奏总纲!W112)*$D$1</f>
        <v>95973009.777689531</v>
      </c>
      <c r="S115" s="16">
        <f>IF(节奏总纲!Q112&lt;D$13,0,求节点($C$18:$C$23,$E$18:$E$23,$Q115)*节奏总纲!X112)*$D$1</f>
        <v>77902275.555256546</v>
      </c>
      <c r="T115" s="16">
        <f>IF(节奏总纲!R112&lt;E$13,0,求节点($C$18:$C$23,$E$18:$E$23,$Q115)*节奏总纲!Y112)*$D$1</f>
        <v>62599133.266527355</v>
      </c>
      <c r="U115" s="16">
        <f>IF(节奏总纲!S112&lt;F$13,0,求节点($C$18:$C$23,$E$18:$E$23,$Q115)*节奏总纲!Z112)*$D$1</f>
        <v>45087891.105745003</v>
      </c>
      <c r="V115" s="16">
        <f>IF(节奏总纲!T112&lt;G$13,0,求节点($C$18:$C$23,$E$18:$E$23,$Q115)*节奏总纲!AA112)*$D$1</f>
        <v>25088786.050220929</v>
      </c>
      <c r="W115" s="16">
        <f>SUM(R$7:R115)</f>
        <v>1323924413.6950998</v>
      </c>
      <c r="X115" s="16">
        <f>SUM(S$7:S115)</f>
        <v>1125043205.9108541</v>
      </c>
      <c r="Y115" s="16">
        <f>SUM(T$7:T115)</f>
        <v>900211565.18745089</v>
      </c>
      <c r="Z115" s="16">
        <f>SUM(U$7:U115)</f>
        <v>643708908.20506167</v>
      </c>
      <c r="AA115" s="16">
        <f>SUM(V$7:V115)</f>
        <v>348244817.76174015</v>
      </c>
      <c r="AC115" s="16">
        <v>109</v>
      </c>
      <c r="AD115" s="16">
        <f>IF(节奏总纲!P112&lt;C$13,0,求节点($C$18:$C$23,$F$18:$F$23,$Q115)*节奏总纲!W112)*$D$1</f>
        <v>856331.47039003531</v>
      </c>
      <c r="AE115" s="16">
        <f>IF(节奏总纲!Q112&lt;D$13,0,求节点($C$18:$C$23,$F$18:$F$23,$Q115)*节奏总纲!X112)*$D$1</f>
        <v>695093.0300871986</v>
      </c>
      <c r="AF115" s="16">
        <f>IF(节奏总纲!R112&lt;E$13,0,求节点($C$18:$C$23,$F$18:$F$23,$Q115)*节奏总纲!Y112)*$D$1</f>
        <v>558548.7832406048</v>
      </c>
      <c r="AG115" s="16">
        <f>IF(节奏总纲!S112&lt;F$13,0,求节点($C$18:$C$23,$F$18:$F$23,$Q115)*节奏总纲!Z112)*$D$1</f>
        <v>402302.48250841006</v>
      </c>
      <c r="AH115" s="16">
        <f>IF(节奏总纲!T112&lt;G$13,0,求节点($C$18:$C$23,$F$18:$F$23,$Q115)*节奏总纲!AA112)*$D$1</f>
        <v>223857.90649321774</v>
      </c>
      <c r="AI115" s="16">
        <f>SUM(AD$7:AD115)</f>
        <v>11719248.452164462</v>
      </c>
      <c r="AJ115" s="16">
        <f>SUM(AE$7:AE115)</f>
        <v>9957060.6179558076</v>
      </c>
      <c r="AK115" s="16">
        <f>SUM(AF$7:AF115)</f>
        <v>7965606.3935048049</v>
      </c>
      <c r="AL115" s="16">
        <f>SUM(AG$7:AG115)</f>
        <v>5694612.3727996228</v>
      </c>
      <c r="AM115" s="16">
        <f>SUM(AH$7:AH115)</f>
        <v>3079895.8386920532</v>
      </c>
      <c r="AO115" s="16">
        <v>109</v>
      </c>
      <c r="AP115" s="16">
        <f>IF(节奏总纲!P112&lt;C$13,0,求节点($C$18:$C$23,$H$18:$H$23,$Q115)*节奏总纲!W112)*$D$1</f>
        <v>16584136.089584749</v>
      </c>
      <c r="AQ115" s="16">
        <f>IF(节奏总纲!Q112&lt;D$13,0,求节点($C$18:$C$23,$H$18:$H$23,$Q115)*节奏总纲!X112)*$D$1</f>
        <v>13461513.215948332</v>
      </c>
      <c r="AR115" s="16">
        <f>IF(节奏总纲!R112&lt;E$13,0,求节点($C$18:$C$23,$H$18:$H$23,$Q115)*节奏总纲!Y112)*$D$1</f>
        <v>10817130.228455927</v>
      </c>
      <c r="AS115" s="16">
        <f>IF(节奏总纲!S112&lt;F$13,0,求节点($C$18:$C$23,$H$18:$H$23,$Q115)*节奏总纲!Z112)*$D$1</f>
        <v>7791187.5830727369</v>
      </c>
      <c r="AT115" s="16">
        <f>IF(节奏总纲!T112&lt;G$13,0,求节点($C$18:$C$23,$H$18:$H$23,$Q115)*节奏总纲!AA112)*$D$1</f>
        <v>4335342.2294781767</v>
      </c>
      <c r="AU115" s="16">
        <f>SUM(AP$7:AP115)</f>
        <v>238917203.39162341</v>
      </c>
      <c r="AV115" s="16">
        <f>SUM(AQ$7:AQ115)</f>
        <v>203100598.82900289</v>
      </c>
      <c r="AW115" s="16">
        <f>SUM(AR$7:AR115)</f>
        <v>162566246.23072627</v>
      </c>
      <c r="AX115" s="16">
        <f>SUM(AS$7:AS115)</f>
        <v>116273037.19349453</v>
      </c>
      <c r="AY115" s="16">
        <f>SUM(AT$7:AT115)</f>
        <v>62897818.785300419</v>
      </c>
    </row>
    <row r="116" spans="10:51">
      <c r="J116" s="16">
        <v>110</v>
      </c>
      <c r="K116" s="16">
        <f>MAX(求节点(节奏总纲!$O$4:$O$163,节奏总纲!P$4:P$163,$J116)-INT(C$13),0)*$D$1*$D$2</f>
        <v>2431.2000000000003</v>
      </c>
      <c r="L116" s="16">
        <f>MAX(求节点(节奏总纲!$O$4:$O$163,节奏总纲!Q$4:Q$163,$J116)-INT(D$13),0)*$D$1*$D$2</f>
        <v>2068.0594799999999</v>
      </c>
      <c r="M116" s="16">
        <f>MAX(求节点(节奏总纲!$O$4:$O$163,节奏总纲!R$4:R$163,$J116)-INT(E$13),0)*$D$1*$D$2</f>
        <v>1658.73864</v>
      </c>
      <c r="N116" s="16">
        <f>MAX(求节点(节奏总纲!$O$4:$O$163,节奏总纲!S$4:S$163,$J116)-INT(F$13),0)*$D$1*$D$2</f>
        <v>1188.4708800000001</v>
      </c>
      <c r="O116" s="16">
        <f>MAX(求节点(节奏总纲!$O$4:$O$163,节奏总纲!T$4:T$163,$J116)-INT(G$13),0)*$D$1*$D$2</f>
        <v>643.25471999999991</v>
      </c>
      <c r="Q116" s="16">
        <v>110</v>
      </c>
      <c r="R116" s="16">
        <f>IF(节奏总纲!P113&lt;C$13,0,求节点($C$18:$C$23,$E$18:$E$23,$Q116)*节奏总纲!W113)*$D$1</f>
        <v>102861324.99946365</v>
      </c>
      <c r="S116" s="16">
        <f>IF(节奏总纲!Q113&lt;D$13,0,求节点($C$18:$C$23,$E$18:$E$23,$Q116)*节奏总纲!X113)*$D$1</f>
        <v>87504129.177043706</v>
      </c>
      <c r="T116" s="16">
        <f>IF(节奏总纲!R113&lt;E$13,0,求节点($C$18:$C$23,$E$18:$E$23,$Q116)*节奏总纲!Y113)*$D$1</f>
        <v>71788767.987134397</v>
      </c>
      <c r="U116" s="16">
        <f>IF(节奏总纲!S113&lt;F$13,0,求节点($C$18:$C$23,$E$18:$E$23,$Q116)*节奏总纲!Z113)*$D$1</f>
        <v>52181865.467238337</v>
      </c>
      <c r="V116" s="16">
        <f>IF(节奏总纲!T113&lt;G$13,0,求节点($C$18:$C$23,$E$18:$E$23,$Q116)*节奏总纲!AA113)*$D$1</f>
        <v>28097112.064858265</v>
      </c>
      <c r="W116" s="16">
        <f>SUM(R$7:R116)</f>
        <v>1426785738.6945634</v>
      </c>
      <c r="X116" s="16">
        <f>SUM(S$7:S116)</f>
        <v>1212547335.0878978</v>
      </c>
      <c r="Y116" s="16">
        <f>SUM(T$7:T116)</f>
        <v>972000333.17458534</v>
      </c>
      <c r="Z116" s="16">
        <f>SUM(U$7:U116)</f>
        <v>695890773.67229998</v>
      </c>
      <c r="AA116" s="16">
        <f>SUM(V$7:V116)</f>
        <v>376341929.82659841</v>
      </c>
      <c r="AC116" s="16">
        <v>110</v>
      </c>
      <c r="AD116" s="16">
        <f>IF(节奏总纲!P113&lt;C$13,0,求节点($C$18:$C$23,$F$18:$F$23,$Q116)*节奏总纲!W113)*$D$1</f>
        <v>917793.34509872179</v>
      </c>
      <c r="AE116" s="16">
        <f>IF(节奏总纲!Q113&lt;D$13,0,求节点($C$18:$C$23,$F$18:$F$23,$Q116)*节奏总纲!X113)*$D$1</f>
        <v>780766.79867548239</v>
      </c>
      <c r="AF116" s="16">
        <f>IF(节奏总纲!R113&lt;E$13,0,求节点($C$18:$C$23,$F$18:$F$23,$Q116)*节奏总纲!Y113)*$D$1</f>
        <v>640544.47589287488</v>
      </c>
      <c r="AG116" s="16">
        <f>IF(节奏总纲!S113&lt;F$13,0,求节点($C$18:$C$23,$F$18:$F$23,$Q116)*节奏总纲!Z113)*$D$1</f>
        <v>465599.37722868996</v>
      </c>
      <c r="AH116" s="16">
        <f>IF(节奏总纲!T113&lt;G$13,0,求节点($C$18:$C$23,$F$18:$F$23,$Q116)*节奏总纲!AA113)*$D$1</f>
        <v>250700.08061586204</v>
      </c>
      <c r="AI116" s="16">
        <f>SUM(AD$7:AD116)</f>
        <v>12637041.797263183</v>
      </c>
      <c r="AJ116" s="16">
        <f>SUM(AE$7:AE116)</f>
        <v>10737827.416631291</v>
      </c>
      <c r="AK116" s="16">
        <f>SUM(AF$7:AF116)</f>
        <v>8606150.8693976793</v>
      </c>
      <c r="AL116" s="16">
        <f>SUM(AG$7:AG116)</f>
        <v>6160211.7500283131</v>
      </c>
      <c r="AM116" s="16">
        <f>SUM(AH$7:AH116)</f>
        <v>3330595.9193079155</v>
      </c>
      <c r="AO116" s="16">
        <v>110</v>
      </c>
      <c r="AP116" s="16">
        <f>IF(节奏总纲!P113&lt;C$13,0,求节点($C$18:$C$23,$H$18:$H$23,$Q116)*节奏总纲!W113)*$D$1</f>
        <v>17774436.959907319</v>
      </c>
      <c r="AQ116" s="16">
        <f>IF(节奏总纲!Q113&lt;D$13,0,求节点($C$18:$C$23,$H$18:$H$23,$Q116)*节奏总纲!X113)*$D$1</f>
        <v>15120713.521793151</v>
      </c>
      <c r="AR116" s="16">
        <f>IF(节奏总纲!R113&lt;E$13,0,求节点($C$18:$C$23,$H$18:$H$23,$Q116)*节奏总纲!Y113)*$D$1</f>
        <v>12405099.108176826</v>
      </c>
      <c r="AS116" s="16">
        <f>IF(节奏总纲!S113&lt;F$13,0,求节点($C$18:$C$23,$H$18:$H$23,$Q116)*节奏总纲!Z113)*$D$1</f>
        <v>9017026.3527387846</v>
      </c>
      <c r="AT116" s="16">
        <f>IF(节奏总纲!T113&lt;G$13,0,求节点($C$18:$C$23,$H$18:$H$23,$Q116)*节奏总纲!AA113)*$D$1</f>
        <v>4855180.9648075085</v>
      </c>
      <c r="AU116" s="16">
        <f>SUM(AP$7:AP116)</f>
        <v>256691640.35153073</v>
      </c>
      <c r="AV116" s="16">
        <f>SUM(AQ$7:AQ116)</f>
        <v>218221312.35079604</v>
      </c>
      <c r="AW116" s="16">
        <f>SUM(AR$7:AR116)</f>
        <v>174971345.3389031</v>
      </c>
      <c r="AX116" s="16">
        <f>SUM(AS$7:AS116)</f>
        <v>125290063.54623331</v>
      </c>
      <c r="AY116" s="16">
        <f>SUM(AT$7:AT116)</f>
        <v>67752999.750107929</v>
      </c>
    </row>
    <row r="117" spans="10:51">
      <c r="J117" s="16">
        <v>111</v>
      </c>
      <c r="K117" s="16">
        <f>MAX(求节点(节奏总纲!$O$4:$O$163,节奏总纲!P$4:P$163,$J117)-INT(C$13),0)*$D$1*$D$2</f>
        <v>2607.590461529192</v>
      </c>
      <c r="L117" s="16">
        <f>MAX(求节点(节奏总纲!$O$4:$O$163,节奏总纲!Q$4:Q$163,$J117)-INT(D$13),0)*$D$1*$D$2</f>
        <v>2221.2741941767185</v>
      </c>
      <c r="M117" s="16">
        <f>MAX(求节点(节奏总纲!$O$4:$O$163,节奏总纲!R$4:R$163,$J117)-INT(E$13),0)*$D$1*$D$2</f>
        <v>1782.565396639814</v>
      </c>
      <c r="N117" s="16">
        <f>MAX(求节点(节奏总纲!$O$4:$O$163,节奏总纲!S$4:S$163,$J117)-INT(F$13),0)*$D$1*$D$2</f>
        <v>1278.7102794723746</v>
      </c>
      <c r="O117" s="16">
        <f>MAX(求节点(节奏总纲!$O$4:$O$163,节奏总纲!T$4:T$163,$J117)-INT(G$13),0)*$D$1*$D$2</f>
        <v>692.59570467445928</v>
      </c>
      <c r="Q117" s="16">
        <v>111</v>
      </c>
      <c r="R117" s="16">
        <f>IF(节奏总纲!P114&lt;C$13,0,求节点($C$18:$C$23,$E$18:$E$23,$Q117)*节奏总纲!W114)*$D$1</f>
        <v>110244038.45574488</v>
      </c>
      <c r="S117" s="16">
        <f>IF(节奏总纲!Q114&lt;D$13,0,求节点($C$18:$C$23,$E$18:$E$23,$Q117)*节奏总纲!X114)*$D$1</f>
        <v>95759196.360448986</v>
      </c>
      <c r="T117" s="16">
        <f>IF(节奏总纲!R114&lt;E$13,0,求节点($C$18:$C$23,$E$18:$E$23,$Q117)*节奏总纲!Y114)*$D$1</f>
        <v>77391722.899883851</v>
      </c>
      <c r="U117" s="16">
        <f>IF(节奏总纲!S114&lt;F$13,0,求节点($C$18:$C$23,$E$18:$E$23,$Q117)*节奏总纲!Z114)*$D$1</f>
        <v>56399624.670234092</v>
      </c>
      <c r="V117" s="16">
        <f>IF(节奏总纲!T114&lt;G$13,0,求节点($C$18:$C$23,$E$18:$E$23,$Q117)*节奏总纲!AA114)*$D$1</f>
        <v>30838115.421537057</v>
      </c>
      <c r="W117" s="16">
        <f>SUM(R$7:R117)</f>
        <v>1537029777.1503084</v>
      </c>
      <c r="X117" s="16">
        <f>SUM(S$7:S117)</f>
        <v>1308306531.4483469</v>
      </c>
      <c r="Y117" s="16">
        <f>SUM(T$7:T117)</f>
        <v>1049392056.0744692</v>
      </c>
      <c r="Z117" s="16">
        <f>SUM(U$7:U117)</f>
        <v>752290398.34253407</v>
      </c>
      <c r="AA117" s="16">
        <f>SUM(V$7:V117)</f>
        <v>407180045.24813545</v>
      </c>
      <c r="AC117" s="16">
        <v>111</v>
      </c>
      <c r="AD117" s="16">
        <f>IF(节奏总纲!P114&lt;C$13,0,求节点($C$18:$C$23,$F$18:$F$23,$Q117)*节奏总纲!W114)*$D$1</f>
        <v>983666.55136921303</v>
      </c>
      <c r="AE117" s="16">
        <f>IF(节奏总纲!Q114&lt;D$13,0,求节点($C$18:$C$23,$F$18:$F$23,$Q117)*节奏总纲!X114)*$D$1</f>
        <v>854423.69279299176</v>
      </c>
      <c r="AF117" s="16">
        <f>IF(节奏总纲!R114&lt;E$13,0,求节点($C$18:$C$23,$F$18:$F$23,$Q117)*节奏总纲!Y114)*$D$1</f>
        <v>690537.55863642762</v>
      </c>
      <c r="AG117" s="16">
        <f>IF(节奏总纲!S114&lt;F$13,0,求节点($C$18:$C$23,$F$18:$F$23,$Q117)*节奏总纲!Z114)*$D$1</f>
        <v>503232.8738588235</v>
      </c>
      <c r="AH117" s="16">
        <f>IF(节奏总纲!T114&lt;G$13,0,求节点($C$18:$C$23,$F$18:$F$23,$Q117)*节奏总纲!AA114)*$D$1</f>
        <v>275157.03408857074</v>
      </c>
      <c r="AI117" s="16">
        <f>SUM(AD$7:AD117)</f>
        <v>13620708.348632395</v>
      </c>
      <c r="AJ117" s="16">
        <f>SUM(AE$7:AE117)</f>
        <v>11592251.109424282</v>
      </c>
      <c r="AK117" s="16">
        <f>SUM(AF$7:AF117)</f>
        <v>9296688.4280341063</v>
      </c>
      <c r="AL117" s="16">
        <f>SUM(AG$7:AG117)</f>
        <v>6663444.6238871366</v>
      </c>
      <c r="AM117" s="16">
        <f>SUM(AH$7:AH117)</f>
        <v>3605752.9533964861</v>
      </c>
      <c r="AO117" s="16">
        <v>111</v>
      </c>
      <c r="AP117" s="16">
        <f>IF(节奏总纲!P114&lt;C$13,0,求节点($C$18:$C$23,$H$18:$H$23,$Q117)*节奏总纲!W114)*$D$1</f>
        <v>19050169.845152717</v>
      </c>
      <c r="AQ117" s="16">
        <f>IF(节奏总纲!Q114&lt;D$13,0,求节点($C$18:$C$23,$H$18:$H$23,$Q117)*节奏总纲!X114)*$D$1</f>
        <v>16547189.131085586</v>
      </c>
      <c r="AR117" s="16">
        <f>IF(节奏总纲!R114&lt;E$13,0,求节点($C$18:$C$23,$H$18:$H$23,$Q117)*节奏总纲!Y114)*$D$1</f>
        <v>13373289.717099931</v>
      </c>
      <c r="AS117" s="16">
        <f>IF(节奏总纲!S114&lt;F$13,0,求节点($C$18:$C$23,$H$18:$H$23,$Q117)*节奏总纲!Z114)*$D$1</f>
        <v>9745855.1430164501</v>
      </c>
      <c r="AT117" s="16">
        <f>IF(节奏总纲!T114&lt;G$13,0,求节点($C$18:$C$23,$H$18:$H$23,$Q117)*节奏总纲!AA114)*$D$1</f>
        <v>5328826.3448416032</v>
      </c>
      <c r="AU117" s="16">
        <f>SUM(AP$7:AP117)</f>
        <v>275741810.19668347</v>
      </c>
      <c r="AV117" s="16">
        <f>SUM(AQ$7:AQ117)</f>
        <v>234768501.48188162</v>
      </c>
      <c r="AW117" s="16">
        <f>SUM(AR$7:AR117)</f>
        <v>188344635.05600303</v>
      </c>
      <c r="AX117" s="16">
        <f>SUM(AS$7:AS117)</f>
        <v>135035918.68924975</v>
      </c>
      <c r="AY117" s="16">
        <f>SUM(AT$7:AT117)</f>
        <v>73081826.094949529</v>
      </c>
    </row>
    <row r="118" spans="10:51">
      <c r="J118" s="16">
        <v>112</v>
      </c>
      <c r="K118" s="16">
        <f>MAX(求节点(节奏总纲!$O$4:$O$163,节奏总纲!P$4:P$163,$J118)-INT(C$13),0)*$D$1*$D$2</f>
        <v>2796.6410772407107</v>
      </c>
      <c r="L118" s="16">
        <f>MAX(求节点(节奏总纲!$O$4:$O$163,节奏总纲!Q$4:Q$163,$J118)-INT(D$13),0)*$D$1*$D$2</f>
        <v>2384.0195183477058</v>
      </c>
      <c r="M118" s="16">
        <f>MAX(求节点(节奏总纲!$O$4:$O$163,节奏总纲!R$4:R$163,$J118)-INT(E$13),0)*$D$1*$D$2</f>
        <v>1913.2680332635425</v>
      </c>
      <c r="N118" s="16">
        <f>MAX(求节点(节奏总纲!$O$4:$O$163,节奏总纲!S$4:S$163,$J118)-INT(F$13),0)*$D$1*$D$2</f>
        <v>1373.1705212483612</v>
      </c>
      <c r="O118" s="16">
        <f>MAX(求节点(节奏总纲!$O$4:$O$163,节奏总纲!T$4:T$163,$J118)-INT(G$13),0)*$D$1*$D$2</f>
        <v>740.5878854687885</v>
      </c>
      <c r="Q118" s="16">
        <v>112</v>
      </c>
      <c r="R118" s="16">
        <f>IF(节奏总纲!P115&lt;C$13,0,求节点($C$18:$C$23,$E$18:$E$23,$Q118)*节奏总纲!W115)*$D$1</f>
        <v>118156634.81969932</v>
      </c>
      <c r="S118" s="16">
        <f>IF(节奏总纲!Q115&lt;D$13,0,求节点($C$18:$C$23,$E$18:$E$23,$Q118)*节奏总纲!X115)*$D$1</f>
        <v>101715827.60686725</v>
      </c>
      <c r="T118" s="16">
        <f>IF(节奏总纲!R115&lt;E$13,0,求节点($C$18:$C$23,$E$18:$E$23,$Q118)*节奏总纲!Y115)*$D$1</f>
        <v>81689147.889830276</v>
      </c>
      <c r="U118" s="16">
        <f>IF(节奏总纲!S115&lt;F$13,0,求节点($C$18:$C$23,$E$18:$E$23,$Q118)*节奏总纲!Z115)*$D$1</f>
        <v>59037651.109991655</v>
      </c>
      <c r="V118" s="16">
        <f>IF(节奏总纲!T115&lt;G$13,0,求节点($C$18:$C$23,$E$18:$E$23,$Q118)*节奏总纲!AA115)*$D$1</f>
        <v>29995112.996455759</v>
      </c>
      <c r="W118" s="16">
        <f>SUM(R$7:R118)</f>
        <v>1655186411.9700077</v>
      </c>
      <c r="X118" s="16">
        <f>SUM(S$7:S118)</f>
        <v>1410022359.0552142</v>
      </c>
      <c r="Y118" s="16">
        <f>SUM(T$7:T118)</f>
        <v>1131081203.9642994</v>
      </c>
      <c r="Z118" s="16">
        <f>SUM(U$7:U118)</f>
        <v>811328049.45252573</v>
      </c>
      <c r="AA118" s="16">
        <f>SUM(V$7:V118)</f>
        <v>437175158.24459124</v>
      </c>
      <c r="AC118" s="16">
        <v>112</v>
      </c>
      <c r="AD118" s="16">
        <f>IF(节奏总纲!P115&lt;C$13,0,求节点($C$18:$C$23,$F$18:$F$23,$Q118)*节奏总纲!W115)*$D$1</f>
        <v>1054267.705742128</v>
      </c>
      <c r="AE118" s="16">
        <f>IF(节奏总纲!Q115&lt;D$13,0,求节点($C$18:$C$23,$F$18:$F$23,$Q118)*节奏总纲!X115)*$D$1</f>
        <v>907572.49791676714</v>
      </c>
      <c r="AF118" s="16">
        <f>IF(节奏总纲!R115&lt;E$13,0,求节点($C$18:$C$23,$F$18:$F$23,$Q118)*节奏总纲!Y115)*$D$1</f>
        <v>728881.88345291547</v>
      </c>
      <c r="AG118" s="16">
        <f>IF(节奏总纲!S115&lt;F$13,0,求节点($C$18:$C$23,$F$18:$F$23,$Q118)*节奏总纲!Z115)*$D$1</f>
        <v>526771.00260270853</v>
      </c>
      <c r="AH118" s="16">
        <f>IF(节奏总纲!T115&lt;G$13,0,求节点($C$18:$C$23,$F$18:$F$23,$Q118)*节奏总纲!AA115)*$D$1</f>
        <v>267635.23699286219</v>
      </c>
      <c r="AI118" s="16">
        <f>SUM(AD$7:AD118)</f>
        <v>14674976.054374523</v>
      </c>
      <c r="AJ118" s="16">
        <f>SUM(AE$7:AE118)</f>
        <v>12499823.607341049</v>
      </c>
      <c r="AK118" s="16">
        <f>SUM(AF$7:AF118)</f>
        <v>10025570.311487021</v>
      </c>
      <c r="AL118" s="16">
        <f>SUM(AG$7:AG118)</f>
        <v>7190215.6264898451</v>
      </c>
      <c r="AM118" s="16">
        <f>SUM(AH$7:AH118)</f>
        <v>3873388.1903893482</v>
      </c>
      <c r="AO118" s="16">
        <v>112</v>
      </c>
      <c r="AP118" s="16">
        <f>IF(节奏总纲!P115&lt;C$13,0,求节点($C$18:$C$23,$H$18:$H$23,$Q118)*节奏总纲!W115)*$D$1</f>
        <v>20417466.496844046</v>
      </c>
      <c r="AQ118" s="16">
        <f>IF(节奏总纲!Q115&lt;D$13,0,求节点($C$18:$C$23,$H$18:$H$23,$Q118)*节奏总纲!X115)*$D$1</f>
        <v>17576495.010466661</v>
      </c>
      <c r="AR118" s="16">
        <f>IF(节奏总纲!R115&lt;E$13,0,求节点($C$18:$C$23,$H$18:$H$23,$Q118)*节奏总纲!Y115)*$D$1</f>
        <v>14115884.755362673</v>
      </c>
      <c r="AS118" s="16">
        <f>IF(节奏总纲!S115&lt;F$13,0,求节点($C$18:$C$23,$H$18:$H$23,$Q118)*节奏总纲!Z115)*$D$1</f>
        <v>10201706.111806558</v>
      </c>
      <c r="AT118" s="16">
        <f>IF(节奏总纲!T115&lt;G$13,0,求节点($C$18:$C$23,$H$18:$H$23,$Q118)*节奏总纲!AA115)*$D$1</f>
        <v>5183155.5257875547</v>
      </c>
      <c r="AU118" s="16">
        <f>SUM(AP$7:AP118)</f>
        <v>296159276.69352752</v>
      </c>
      <c r="AV118" s="16">
        <f>SUM(AQ$7:AQ118)</f>
        <v>252344996.49234828</v>
      </c>
      <c r="AW118" s="16">
        <f>SUM(AR$7:AR118)</f>
        <v>202460519.81136569</v>
      </c>
      <c r="AX118" s="16">
        <f>SUM(AS$7:AS118)</f>
        <v>145237624.80105633</v>
      </c>
      <c r="AY118" s="16">
        <f>SUM(AT$7:AT118)</f>
        <v>78264981.620737076</v>
      </c>
    </row>
    <row r="119" spans="10:51">
      <c r="J119" s="16">
        <v>113</v>
      </c>
      <c r="K119" s="16">
        <f>MAX(求节点(节奏总纲!$O$4:$O$163,节奏总纲!P$4:P$163,$J119)-INT(C$13),0)*$D$1*$D$2</f>
        <v>2999.2605102364669</v>
      </c>
      <c r="L119" s="16">
        <f>MAX(求节点(节奏总纲!$O$4:$O$163,节奏总纲!Q$4:Q$163,$J119)-INT(D$13),0)*$D$1*$D$2</f>
        <v>2557.9623691806823</v>
      </c>
      <c r="M119" s="16">
        <f>MAX(求节点(节奏总纲!$O$4:$O$163,节奏总纲!R$4:R$163,$J119)-INT(E$13),0)*$D$1*$D$2</f>
        <v>2054.0578955630031</v>
      </c>
      <c r="N119" s="16">
        <f>MAX(求节点(节奏总纲!$O$4:$O$163,节奏总纲!S$4:S$163,$J119)-INT(F$13),0)*$D$1*$D$2</f>
        <v>1469.6929881689396</v>
      </c>
      <c r="O119" s="16">
        <f>MAX(求节点(节奏总纲!$O$4:$O$163,节奏总纲!T$4:T$163,$J119)-INT(G$13),0)*$D$1*$D$2</f>
        <v>791.56002075345077</v>
      </c>
      <c r="Q119" s="16">
        <v>113</v>
      </c>
      <c r="R119" s="16">
        <f>IF(节奏总纲!P116&lt;C$13,0,求节点($C$18:$C$23,$E$18:$E$23,$Q119)*节奏总纲!W116)*$D$1</f>
        <v>126637145.62234725</v>
      </c>
      <c r="S119" s="16">
        <f>IF(节奏总纲!Q116&lt;D$13,0,求节点($C$18:$C$23,$E$18:$E$23,$Q119)*节奏总纲!X116)*$D$1</f>
        <v>108714281.77061</v>
      </c>
      <c r="T119" s="16">
        <f>IF(节奏总纲!R116&lt;E$13,0,求节点($C$18:$C$23,$E$18:$E$23,$Q119)*节奏总纲!Y116)*$D$1</f>
        <v>87993663.937162921</v>
      </c>
      <c r="U119" s="16">
        <f>IF(节奏总纲!S116&lt;F$13,0,求节点($C$18:$C$23,$E$18:$E$23,$Q119)*节奏总纲!Z116)*$D$1</f>
        <v>60326541.825361401</v>
      </c>
      <c r="V119" s="16">
        <f>IF(节奏总纲!T116&lt;G$13,0,求节点($C$18:$C$23,$E$18:$E$23,$Q119)*节奏总纲!AA116)*$D$1</f>
        <v>31857584.552913979</v>
      </c>
      <c r="W119" s="16">
        <f>SUM(R$7:R119)</f>
        <v>1781823557.592355</v>
      </c>
      <c r="X119" s="16">
        <f>SUM(S$7:S119)</f>
        <v>1518736640.8258243</v>
      </c>
      <c r="Y119" s="16">
        <f>SUM(T$7:T119)</f>
        <v>1219074867.9014623</v>
      </c>
      <c r="Z119" s="16">
        <f>SUM(U$7:U119)</f>
        <v>871654591.27788711</v>
      </c>
      <c r="AA119" s="16">
        <f>SUM(V$7:V119)</f>
        <v>469032742.7975052</v>
      </c>
      <c r="AC119" s="16">
        <v>113</v>
      </c>
      <c r="AD119" s="16">
        <f>IF(节奏总纲!P116&lt;C$13,0,求节点($C$18:$C$23,$F$18:$F$23,$Q119)*节奏总纲!W116)*$D$1</f>
        <v>1129936.1494234502</v>
      </c>
      <c r="AE119" s="16">
        <f>IF(节奏总纲!Q116&lt;D$13,0,求节点($C$18:$C$23,$F$18:$F$23,$Q119)*节奏总纲!X116)*$D$1</f>
        <v>970017.10143995727</v>
      </c>
      <c r="AF119" s="16">
        <f>IF(节奏总纲!R116&lt;E$13,0,求节点($C$18:$C$23,$F$18:$F$23,$Q119)*节奏总纲!Y116)*$D$1</f>
        <v>785134.73526422714</v>
      </c>
      <c r="AG119" s="16">
        <f>IF(节奏总纲!S116&lt;F$13,0,求节点($C$18:$C$23,$F$18:$F$23,$Q119)*节奏总纲!Z116)*$D$1</f>
        <v>538271.29507057287</v>
      </c>
      <c r="AH119" s="16">
        <f>IF(节奏总纲!T116&lt;G$13,0,求节点($C$18:$C$23,$F$18:$F$23,$Q119)*节奏总纲!AA116)*$D$1</f>
        <v>284253.37797016272</v>
      </c>
      <c r="AI119" s="16">
        <f>SUM(AD$7:AD119)</f>
        <v>15804912.203797974</v>
      </c>
      <c r="AJ119" s="16">
        <f>SUM(AE$7:AE119)</f>
        <v>13469840.708781006</v>
      </c>
      <c r="AK119" s="16">
        <f>SUM(AF$7:AF119)</f>
        <v>10810705.046751248</v>
      </c>
      <c r="AL119" s="16">
        <f>SUM(AG$7:AG119)</f>
        <v>7728486.9215604179</v>
      </c>
      <c r="AM119" s="16">
        <f>SUM(AH$7:AH119)</f>
        <v>4157641.568359511</v>
      </c>
      <c r="AO119" s="16">
        <v>113</v>
      </c>
      <c r="AP119" s="16">
        <f>IF(节奏总纲!P116&lt;C$13,0,求节点($C$18:$C$23,$H$18:$H$23,$Q119)*节奏总纲!W116)*$D$1</f>
        <v>21882898.763541602</v>
      </c>
      <c r="AQ119" s="16">
        <f>IF(节奏总纲!Q116&lt;D$13,0,求节点($C$18:$C$23,$H$18:$H$23,$Q119)*节奏总纲!X116)*$D$1</f>
        <v>18785827.88996141</v>
      </c>
      <c r="AR119" s="16">
        <f>IF(节奏总纲!R116&lt;E$13,0,求节点($C$18:$C$23,$H$18:$H$23,$Q119)*节奏总纲!Y116)*$D$1</f>
        <v>15205305.128341753</v>
      </c>
      <c r="AS119" s="16">
        <f>IF(节奏总纲!S116&lt;F$13,0,求节点($C$18:$C$23,$H$18:$H$23,$Q119)*节奏总纲!Z116)*$D$1</f>
        <v>10424426.427422451</v>
      </c>
      <c r="AT119" s="16">
        <f>IF(节奏总纲!T116&lt;G$13,0,求节点($C$18:$C$23,$H$18:$H$23,$Q119)*节奏总纲!AA116)*$D$1</f>
        <v>5504990.6107435357</v>
      </c>
      <c r="AU119" s="16">
        <f>SUM(AP$7:AP119)</f>
        <v>318042175.4570691</v>
      </c>
      <c r="AV119" s="16">
        <f>SUM(AQ$7:AQ119)</f>
        <v>271130824.38230968</v>
      </c>
      <c r="AW119" s="16">
        <f>SUM(AR$7:AR119)</f>
        <v>217665824.93970746</v>
      </c>
      <c r="AX119" s="16">
        <f>SUM(AS$7:AS119)</f>
        <v>155662051.22847879</v>
      </c>
      <c r="AY119" s="16">
        <f>SUM(AT$7:AT119)</f>
        <v>83769972.231480613</v>
      </c>
    </row>
    <row r="120" spans="10:51">
      <c r="J120" s="16">
        <v>114</v>
      </c>
      <c r="K120" s="16">
        <f>MAX(求节点(节奏总纲!$O$4:$O$163,节奏总纲!P$4:P$163,$J120)-INT(C$13),0)*$D$1*$D$2</f>
        <v>3216.4226415154658</v>
      </c>
      <c r="L120" s="16">
        <f>MAX(求节点(节奏总纲!$O$4:$O$163,节奏总纲!Q$4:Q$163,$J120)-INT(D$13),0)*$D$1*$D$2</f>
        <v>2743.8282754768438</v>
      </c>
      <c r="M120" s="16">
        <f>MAX(求节点(节奏总纲!$O$4:$O$163,节奏总纲!R$4:R$163,$J120)-INT(E$13),0)*$D$1*$D$2</f>
        <v>2197.6490754758206</v>
      </c>
      <c r="N120" s="16">
        <f>MAX(求节点(节奏总纲!$O$4:$O$163,节奏总纲!S$4:S$163,$J120)-INT(F$13),0)*$D$1*$D$2</f>
        <v>1570.0084981161535</v>
      </c>
      <c r="O120" s="16">
        <f>MAX(求节点(节奏总纲!$O$4:$O$163,节奏总纲!T$4:T$163,$J120)-INT(G$13),0)*$D$1*$D$2</f>
        <v>845.99507924687043</v>
      </c>
      <c r="Q120" s="16">
        <v>114</v>
      </c>
      <c r="R120" s="16">
        <f>IF(节奏总纲!P117&lt;C$13,0,求节点($C$18:$C$23,$E$18:$E$23,$Q120)*节奏总纲!W117)*$D$1</f>
        <v>135726332.0493744</v>
      </c>
      <c r="S120" s="16">
        <f>IF(节奏总纲!Q117&lt;D$13,0,求节点($C$18:$C$23,$E$18:$E$23,$Q120)*节奏总纲!X117)*$D$1</f>
        <v>116166191.43510091</v>
      </c>
      <c r="T120" s="16">
        <f>IF(节奏总纲!R117&lt;E$13,0,求节点($C$18:$C$23,$E$18:$E$23,$Q120)*节奏总纲!Y117)*$D$1</f>
        <v>89744487.445510805</v>
      </c>
      <c r="U120" s="16">
        <f>IF(节奏总纲!S117&lt;F$13,0,求节点($C$18:$C$23,$E$18:$E$23,$Q120)*节奏总纲!Z117)*$D$1</f>
        <v>62697193.71700865</v>
      </c>
      <c r="V120" s="16">
        <f>IF(节奏总纲!T117&lt;G$13,0,求节点($C$18:$C$23,$E$18:$E$23,$Q120)*节奏总纲!AA117)*$D$1</f>
        <v>34021911.558387302</v>
      </c>
      <c r="W120" s="16">
        <f>SUM(R$7:R120)</f>
        <v>1917549889.6417294</v>
      </c>
      <c r="X120" s="16">
        <f>SUM(S$7:S120)</f>
        <v>1634902832.2609253</v>
      </c>
      <c r="Y120" s="16">
        <f>SUM(T$7:T120)</f>
        <v>1308819355.3469732</v>
      </c>
      <c r="Z120" s="16">
        <f>SUM(U$7:U120)</f>
        <v>934351784.9948957</v>
      </c>
      <c r="AA120" s="16">
        <f>SUM(V$7:V120)</f>
        <v>503054654.35589248</v>
      </c>
      <c r="AC120" s="16">
        <v>114</v>
      </c>
      <c r="AD120" s="16">
        <f>IF(节奏总纲!P117&lt;C$13,0,求节点($C$18:$C$23,$F$18:$F$23,$Q120)*节奏总纲!W117)*$D$1</f>
        <v>1211035.5793124842</v>
      </c>
      <c r="AE120" s="16">
        <f>IF(节奏总纲!Q117&lt;D$13,0,求节点($C$18:$C$23,$F$18:$F$23,$Q120)*节奏总纲!X117)*$D$1</f>
        <v>1036507.7197397146</v>
      </c>
      <c r="AF120" s="16">
        <f>IF(节奏总纲!R117&lt;E$13,0,求节点($C$18:$C$23,$F$18:$F$23,$Q120)*节奏总纲!Y117)*$D$1</f>
        <v>800756.68223421276</v>
      </c>
      <c r="AG120" s="16">
        <f>IF(节奏总纲!S117&lt;F$13,0,求节点($C$18:$C$23,$F$18:$F$23,$Q120)*节奏总纲!Z117)*$D$1</f>
        <v>559423.74016799778</v>
      </c>
      <c r="AH120" s="16">
        <f>IF(节奏总纲!T117&lt;G$13,0,求节点($C$18:$C$23,$F$18:$F$23,$Q120)*节奏总纲!AA117)*$D$1</f>
        <v>303564.86284799431</v>
      </c>
      <c r="AI120" s="16">
        <f>SUM(AD$7:AD120)</f>
        <v>17015947.783110458</v>
      </c>
      <c r="AJ120" s="16">
        <f>SUM(AE$7:AE120)</f>
        <v>14506348.42852072</v>
      </c>
      <c r="AK120" s="16">
        <f>SUM(AF$7:AF120)</f>
        <v>11611461.72898546</v>
      </c>
      <c r="AL120" s="16">
        <f>SUM(AG$7:AG120)</f>
        <v>8287910.6617284156</v>
      </c>
      <c r="AM120" s="16">
        <f>SUM(AH$7:AH120)</f>
        <v>4461206.4312075051</v>
      </c>
      <c r="AO120" s="16">
        <v>114</v>
      </c>
      <c r="AP120" s="16">
        <f>IF(节奏总纲!P117&lt;C$13,0,求节点($C$18:$C$23,$H$18:$H$23,$Q120)*节奏总纲!W117)*$D$1</f>
        <v>23453510.178131893</v>
      </c>
      <c r="AQ120" s="16">
        <f>IF(节奏总纲!Q117&lt;D$13,0,求节点($C$18:$C$23,$H$18:$H$23,$Q120)*节奏总纲!X117)*$D$1</f>
        <v>20073517.879985441</v>
      </c>
      <c r="AR120" s="16">
        <f>IF(节奏总纲!R117&lt;E$13,0,求节点($C$18:$C$23,$H$18:$H$23,$Q120)*节奏总纲!Y117)*$D$1</f>
        <v>15507847.430584267</v>
      </c>
      <c r="AS120" s="16">
        <f>IF(节奏总纲!S117&lt;F$13,0,求节点($C$18:$C$23,$H$18:$H$23,$Q120)*节奏总纲!Z117)*$D$1</f>
        <v>10834075.074299093</v>
      </c>
      <c r="AT120" s="16">
        <f>IF(节奏总纲!T117&lt;G$13,0,求节点($C$18:$C$23,$H$18:$H$23,$Q120)*节奏总纲!AA117)*$D$1</f>
        <v>5878986.3172893263</v>
      </c>
      <c r="AU120" s="16">
        <f>SUM(AP$7:AP120)</f>
        <v>341495685.63520098</v>
      </c>
      <c r="AV120" s="16">
        <f>SUM(AQ$7:AQ120)</f>
        <v>291204342.26229513</v>
      </c>
      <c r="AW120" s="16">
        <f>SUM(AR$7:AR120)</f>
        <v>233173672.37029171</v>
      </c>
      <c r="AX120" s="16">
        <f>SUM(AS$7:AS120)</f>
        <v>166496126.30277789</v>
      </c>
      <c r="AY120" s="16">
        <f>SUM(AT$7:AT120)</f>
        <v>89648958.548769936</v>
      </c>
    </row>
    <row r="121" spans="10:51">
      <c r="J121" s="16">
        <v>115</v>
      </c>
      <c r="K121" s="16">
        <f>MAX(求节点(节奏总纲!$O$4:$O$163,节奏总纲!P$4:P$163,$J121)-INT(C$13),0)*$D$1*$D$2</f>
        <v>3449.1712508881192</v>
      </c>
      <c r="L121" s="16">
        <f>MAX(求节点(节奏总纲!$O$4:$O$163,节奏总纲!Q$4:Q$163,$J121)-INT(D$13),0)*$D$1*$D$2</f>
        <v>2934.0476231305229</v>
      </c>
      <c r="M121" s="16">
        <f>MAX(求节点(节奏总纲!$O$4:$O$163,节奏总纲!R$4:R$163,$J121)-INT(E$13),0)*$D$1*$D$2</f>
        <v>2345.9621991042764</v>
      </c>
      <c r="N121" s="16">
        <f>MAX(求节点(节奏总纲!$O$4:$O$163,节奏总纲!S$4:S$163,$J121)-INT(F$13),0)*$D$1*$D$2</f>
        <v>1675.3444279316257</v>
      </c>
      <c r="O121" s="16">
        <f>MAX(求节点(节奏总纲!$O$4:$O$163,节奏总纲!T$4:T$163,$J121)-INT(G$13),0)*$D$1*$D$2</f>
        <v>903.432704857776</v>
      </c>
      <c r="Q121" s="16">
        <v>115</v>
      </c>
      <c r="R121" s="16">
        <f>IF(节奏总纲!P118&lt;C$13,0,求节点($C$18:$C$23,$E$18:$E$23,$Q121)*节奏总纲!W118)*$D$1</f>
        <v>145467880.85790831</v>
      </c>
      <c r="S121" s="16">
        <f>IF(节奏总纲!Q118&lt;D$13,0,求节点($C$18:$C$23,$E$18:$E$23,$Q121)*节奏总纲!X118)*$D$1</f>
        <v>118887092.28354937</v>
      </c>
      <c r="T121" s="16">
        <f>IF(节奏总纲!R118&lt;E$13,0,求节点($C$18:$C$23,$E$18:$E$23,$Q121)*节奏总纲!Y118)*$D$1</f>
        <v>92695702.26778473</v>
      </c>
      <c r="U121" s="16">
        <f>IF(节奏总纲!S118&lt;F$13,0,求节点($C$18:$C$23,$E$18:$E$23,$Q121)*节奏总纲!Z118)*$D$1</f>
        <v>65834956.134670228</v>
      </c>
      <c r="V121" s="16">
        <f>IF(节奏总纲!T118&lt;G$13,0,求节点($C$18:$C$23,$E$18:$E$23,$Q121)*节奏总纲!AA118)*$D$1</f>
        <v>35898516.006815925</v>
      </c>
      <c r="W121" s="16">
        <f>SUM(R$7:R121)</f>
        <v>2063017770.4996376</v>
      </c>
      <c r="X121" s="16">
        <f>SUM(S$7:S121)</f>
        <v>1753789924.5444746</v>
      </c>
      <c r="Y121" s="16">
        <f>SUM(T$7:T121)</f>
        <v>1401515057.614758</v>
      </c>
      <c r="Z121" s="16">
        <f>SUM(U$7:U121)</f>
        <v>1000186741.129566</v>
      </c>
      <c r="AA121" s="16">
        <f>SUM(V$7:V121)</f>
        <v>538953170.36270845</v>
      </c>
      <c r="AC121" s="16">
        <v>115</v>
      </c>
      <c r="AD121" s="16">
        <f>IF(节奏总纲!P118&lt;C$13,0,求节点($C$18:$C$23,$F$18:$F$23,$Q121)*节奏总纲!W118)*$D$1</f>
        <v>1297955.7960943838</v>
      </c>
      <c r="AE121" s="16">
        <f>IF(节奏总纲!Q118&lt;D$13,0,求节点($C$18:$C$23,$F$18:$F$23,$Q121)*节奏总纲!X118)*$D$1</f>
        <v>1060785.3060083385</v>
      </c>
      <c r="AF121" s="16">
        <f>IF(节奏总纲!R118&lt;E$13,0,求节点($C$18:$C$23,$F$18:$F$23,$Q121)*节奏总纲!Y118)*$D$1</f>
        <v>827089.27442913002</v>
      </c>
      <c r="AG121" s="16">
        <f>IF(节奏总纲!S118&lt;F$13,0,求节点($C$18:$C$23,$F$18:$F$23,$Q121)*节奏总纲!Z118)*$D$1</f>
        <v>587420.82717271685</v>
      </c>
      <c r="AH121" s="16">
        <f>IF(节奏总纲!T118&lt;G$13,0,求节点($C$18:$C$23,$F$18:$F$23,$Q121)*节奏总纲!AA118)*$D$1</f>
        <v>320309.10636380967</v>
      </c>
      <c r="AI121" s="16">
        <f>SUM(AD$7:AD121)</f>
        <v>18313903.579204842</v>
      </c>
      <c r="AJ121" s="16">
        <f>SUM(AE$7:AE121)</f>
        <v>15567133.734529059</v>
      </c>
      <c r="AK121" s="16">
        <f>SUM(AF$7:AF121)</f>
        <v>12438551.00341459</v>
      </c>
      <c r="AL121" s="16">
        <f>SUM(AG$7:AG121)</f>
        <v>8875331.4889011327</v>
      </c>
      <c r="AM121" s="16">
        <f>SUM(AH$7:AH121)</f>
        <v>4781515.5375713147</v>
      </c>
      <c r="AO121" s="16">
        <v>115</v>
      </c>
      <c r="AP121" s="16">
        <f>IF(节奏总纲!P118&lt;C$13,0,求节点($C$18:$C$23,$H$18:$H$23,$Q121)*节奏总纲!W118)*$D$1</f>
        <v>25136849.812246557</v>
      </c>
      <c r="AQ121" s="16">
        <f>IF(节奏总纲!Q118&lt;D$13,0,求节点($C$18:$C$23,$H$18:$H$23,$Q121)*节奏总纲!X118)*$D$1</f>
        <v>20543689.546597328</v>
      </c>
      <c r="AR121" s="16">
        <f>IF(节奏总纲!R118&lt;E$13,0,求节点($C$18:$C$23,$H$18:$H$23,$Q121)*节奏总纲!Y118)*$D$1</f>
        <v>16017817.3518732</v>
      </c>
      <c r="AS121" s="16">
        <f>IF(节奏总纲!S118&lt;F$13,0,求节点($C$18:$C$23,$H$18:$H$23,$Q121)*节奏总纲!Z118)*$D$1</f>
        <v>11376280.420071013</v>
      </c>
      <c r="AT121" s="16">
        <f>IF(节奏总纲!T118&lt;G$13,0,求节点($C$18:$C$23,$H$18:$H$23,$Q121)*节奏总纲!AA118)*$D$1</f>
        <v>6203263.5659777913</v>
      </c>
      <c r="AU121" s="16">
        <f>SUM(AP$7:AP121)</f>
        <v>366632535.44744754</v>
      </c>
      <c r="AV121" s="16">
        <f>SUM(AQ$7:AQ121)</f>
        <v>311748031.80889243</v>
      </c>
      <c r="AW121" s="16">
        <f>SUM(AR$7:AR121)</f>
        <v>249191489.7221649</v>
      </c>
      <c r="AX121" s="16">
        <f>SUM(AS$7:AS121)</f>
        <v>177872406.72284889</v>
      </c>
      <c r="AY121" s="16">
        <f>SUM(AT$7:AT121)</f>
        <v>95852222.114747733</v>
      </c>
    </row>
    <row r="122" spans="10:51">
      <c r="J122" s="16">
        <v>116</v>
      </c>
      <c r="K122" s="16">
        <f>MAX(求节点(节奏总纲!$O$4:$O$163,节奏总纲!P$4:P$163,$J122)-INT(C$13),0)*$D$1*$D$2</f>
        <v>3698.6250338559512</v>
      </c>
      <c r="L122" s="16">
        <f>MAX(求节点(节奏总纲!$O$4:$O$163,节奏总纲!Q$4:Q$163,$J122)-INT(D$13),0)*$D$1*$D$2</f>
        <v>3142.5341312674022</v>
      </c>
      <c r="M122" s="16">
        <f>MAX(求节点(节奏总纲!$O$4:$O$163,节奏总纲!R$4:R$163,$J122)-INT(E$13),0)*$D$1*$D$2</f>
        <v>2512.7114930085045</v>
      </c>
      <c r="N122" s="16">
        <f>MAX(求节点(节奏总纲!$O$4:$O$163,节奏总纲!S$4:S$163,$J122)-INT(F$13),0)*$D$1*$D$2</f>
        <v>1797.6961139641492</v>
      </c>
      <c r="O122" s="16">
        <f>MAX(求节点(节奏总纲!$O$4:$O$163,节奏总纲!T$4:T$163,$J122)-INT(G$13),0)*$D$1*$D$2</f>
        <v>968.81454137364494</v>
      </c>
      <c r="Q122" s="16">
        <v>116</v>
      </c>
      <c r="R122" s="16">
        <f>IF(节奏总纲!P119&lt;C$13,0,求节点($C$18:$C$23,$E$18:$E$23,$Q122)*节奏总纲!W119)*$D$1</f>
        <v>155908614.35489547</v>
      </c>
      <c r="S122" s="16">
        <f>IF(节奏总纲!Q119&lt;D$13,0,求节点($C$18:$C$23,$E$18:$E$23,$Q122)*节奏总纲!X119)*$D$1</f>
        <v>130304067.58554953</v>
      </c>
      <c r="T122" s="16">
        <f>IF(节奏总纲!R119&lt;E$13,0,求节点($C$18:$C$23,$E$18:$E$23,$Q122)*节奏总纲!Y119)*$D$1</f>
        <v>104218308.6901428</v>
      </c>
      <c r="U122" s="16">
        <f>IF(节奏总纲!S119&lt;F$13,0,求节点($C$18:$C$23,$E$18:$E$23,$Q122)*节奏总纲!Z119)*$D$1</f>
        <v>76469803.770327121</v>
      </c>
      <c r="V122" s="16">
        <f>IF(节奏总纲!T119&lt;G$13,0,求节点($C$18:$C$23,$E$18:$E$23,$Q122)*节奏总纲!AA119)*$D$1</f>
        <v>40863647.822418071</v>
      </c>
      <c r="W122" s="16">
        <f>SUM(R$7:R122)</f>
        <v>2218926384.8545332</v>
      </c>
      <c r="X122" s="16">
        <f>SUM(S$7:S122)</f>
        <v>1884093992.1300242</v>
      </c>
      <c r="Y122" s="16">
        <f>SUM(T$7:T122)</f>
        <v>1505733366.3049009</v>
      </c>
      <c r="Z122" s="16">
        <f>SUM(U$7:U122)</f>
        <v>1076656544.899893</v>
      </c>
      <c r="AA122" s="16">
        <f>SUM(V$7:V122)</f>
        <v>579816818.18512654</v>
      </c>
      <c r="AC122" s="16">
        <v>116</v>
      </c>
      <c r="AD122" s="16">
        <f>IF(节奏总纲!P119&lt;C$13,0,求节点($C$18:$C$23,$F$18:$F$23,$Q122)*节奏总纲!W119)*$D$1</f>
        <v>1391114.5777991118</v>
      </c>
      <c r="AE122" s="16">
        <f>IF(节奏总纲!Q119&lt;D$13,0,求节点($C$18:$C$23,$F$18:$F$23,$Q122)*节奏总纲!X119)*$D$1</f>
        <v>1162654.7302393299</v>
      </c>
      <c r="AF122" s="16">
        <f>IF(节奏总纲!R119&lt;E$13,0,求节点($C$18:$C$23,$F$18:$F$23,$Q122)*节奏总纲!Y119)*$D$1</f>
        <v>929901.20585901558</v>
      </c>
      <c r="AG122" s="16">
        <f>IF(节奏总纲!S119&lt;F$13,0,求节点($C$18:$C$23,$F$18:$F$23,$Q122)*节奏总纲!Z119)*$D$1</f>
        <v>682311.61713868007</v>
      </c>
      <c r="AH122" s="16">
        <f>IF(节奏总纲!T119&lt;G$13,0,求节点($C$18:$C$23,$F$18:$F$23,$Q122)*节奏总纲!AA119)*$D$1</f>
        <v>364611.13084114698</v>
      </c>
      <c r="AI122" s="16">
        <f>SUM(AD$7:AD122)</f>
        <v>19705018.157003954</v>
      </c>
      <c r="AJ122" s="16">
        <f>SUM(AE$7:AE122)</f>
        <v>16729788.464768389</v>
      </c>
      <c r="AK122" s="16">
        <f>SUM(AF$7:AF122)</f>
        <v>13368452.209273605</v>
      </c>
      <c r="AL122" s="16">
        <f>SUM(AG$7:AG122)</f>
        <v>9557643.1060398128</v>
      </c>
      <c r="AM122" s="16">
        <f>SUM(AH$7:AH122)</f>
        <v>5146126.6684124619</v>
      </c>
      <c r="AO122" s="16">
        <v>116</v>
      </c>
      <c r="AP122" s="16">
        <f>IF(节奏总纲!P119&lt;C$13,0,求节点($C$18:$C$23,$H$18:$H$23,$Q122)*节奏总纲!W119)*$D$1</f>
        <v>26941008.560525931</v>
      </c>
      <c r="AQ122" s="16">
        <f>IF(节奏总纲!Q119&lt;D$13,0,求节点($C$18:$C$23,$H$18:$H$23,$Q122)*节奏总纲!X119)*$D$1</f>
        <v>22516542.878782962</v>
      </c>
      <c r="AR122" s="16">
        <f>IF(节奏总纲!R119&lt;E$13,0,求节点($C$18:$C$23,$H$18:$H$23,$Q122)*节奏总纲!Y119)*$D$1</f>
        <v>18008923.741656676</v>
      </c>
      <c r="AS122" s="16">
        <f>IF(节奏总纲!S119&lt;F$13,0,求节点($C$18:$C$23,$H$18:$H$23,$Q122)*节奏总纲!Z119)*$D$1</f>
        <v>13213982.091512527</v>
      </c>
      <c r="AT122" s="16">
        <f>IF(节奏总纲!T119&lt;G$13,0,求节点($C$18:$C$23,$H$18:$H$23,$Q122)*节奏总纲!AA119)*$D$1</f>
        <v>7061238.3437138442</v>
      </c>
      <c r="AU122" s="16">
        <f>SUM(AP$7:AP122)</f>
        <v>393573544.00797349</v>
      </c>
      <c r="AV122" s="16">
        <f>SUM(AQ$7:AQ122)</f>
        <v>334264574.68767542</v>
      </c>
      <c r="AW122" s="16">
        <f>SUM(AR$7:AR122)</f>
        <v>267200413.46382159</v>
      </c>
      <c r="AX122" s="16">
        <f>SUM(AS$7:AS122)</f>
        <v>191086388.81436142</v>
      </c>
      <c r="AY122" s="16">
        <f>SUM(AT$7:AT122)</f>
        <v>102913460.45846158</v>
      </c>
    </row>
    <row r="123" spans="10:51">
      <c r="J123" s="16">
        <v>117</v>
      </c>
      <c r="K123" s="16">
        <f>MAX(求节点(节奏总纲!$O$4:$O$163,节奏总纲!P$4:P$163,$J123)-INT(C$13),0)*$D$1*$D$2</f>
        <v>3965.9829785701622</v>
      </c>
      <c r="L123" s="16">
        <f>MAX(求节点(节奏总纲!$O$4:$O$163,节奏总纲!Q$4:Q$163,$J123)-INT(D$13),0)*$D$1*$D$2</f>
        <v>3370.5064134867812</v>
      </c>
      <c r="M123" s="16">
        <f>MAX(求节点(节奏总纲!$O$4:$O$163,节奏总纲!R$4:R$163,$J123)-INT(E$13),0)*$D$1*$D$2</f>
        <v>2697.2017803212811</v>
      </c>
      <c r="N123" s="16">
        <f>MAX(求节点(节奏总纲!$O$4:$O$163,节奏总纲!S$4:S$163,$J123)-INT(F$13),0)*$D$1*$D$2</f>
        <v>1928.5105190743839</v>
      </c>
      <c r="O123" s="16">
        <f>MAX(求节点(节奏总纲!$O$4:$O$163,节奏总纲!T$4:T$163,$J123)-INT(G$13),0)*$D$1*$D$2</f>
        <v>1040.4855318746677</v>
      </c>
      <c r="Q123" s="16">
        <v>117</v>
      </c>
      <c r="R123" s="16">
        <f>IF(节奏总纲!P120&lt;C$13,0,求节点($C$18:$C$23,$E$18:$E$23,$Q123)*节奏总纲!W120)*$D$1</f>
        <v>167098715.44638166</v>
      </c>
      <c r="S123" s="16">
        <f>IF(节奏总纲!Q120&lt;D$13,0,求节点($C$18:$C$23,$E$18:$E$23,$Q123)*节奏总纲!X120)*$D$1</f>
        <v>142482676.38711196</v>
      </c>
      <c r="T123" s="16">
        <f>IF(节奏总纲!R120&lt;E$13,0,求节点($C$18:$C$23,$E$18:$E$23,$Q123)*节奏总纲!Y120)*$D$1</f>
        <v>115306429.57048541</v>
      </c>
      <c r="U123" s="16">
        <f>IF(节奏总纲!S120&lt;F$13,0,求节点($C$18:$C$23,$E$18:$E$23,$Q123)*节奏总纲!Z120)*$D$1</f>
        <v>81759003.193896592</v>
      </c>
      <c r="V123" s="16">
        <f>IF(节奏总纲!T120&lt;G$13,0,求节点($C$18:$C$23,$E$18:$E$23,$Q123)*节奏总纲!AA120)*$D$1</f>
        <v>44794369.063139245</v>
      </c>
      <c r="W123" s="16">
        <f>SUM(R$7:R123)</f>
        <v>2386025100.3009148</v>
      </c>
      <c r="X123" s="16">
        <f>SUM(S$7:S123)</f>
        <v>2026576668.5171361</v>
      </c>
      <c r="Y123" s="16">
        <f>SUM(T$7:T123)</f>
        <v>1621039795.8753862</v>
      </c>
      <c r="Z123" s="16">
        <f>SUM(U$7:U123)</f>
        <v>1158415548.0937896</v>
      </c>
      <c r="AA123" s="16">
        <f>SUM(V$7:V123)</f>
        <v>624611187.24826574</v>
      </c>
      <c r="AC123" s="16">
        <v>117</v>
      </c>
      <c r="AD123" s="16">
        <f>IF(节奏总纲!P120&lt;C$13,0,求节点($C$18:$C$23,$F$18:$F$23,$Q123)*节奏总纲!W120)*$D$1</f>
        <v>1490959.6878324654</v>
      </c>
      <c r="AE123" s="16">
        <f>IF(节奏总纲!Q120&lt;D$13,0,求节点($C$18:$C$23,$F$18:$F$23,$Q123)*节奏总纲!X120)*$D$1</f>
        <v>1271319.9269076888</v>
      </c>
      <c r="AF123" s="16">
        <f>IF(节奏总纲!R120&lt;E$13,0,求节点($C$18:$C$23,$F$18:$F$23,$Q123)*节奏总纲!Y120)*$D$1</f>
        <v>1028836.3843984879</v>
      </c>
      <c r="AG123" s="16">
        <f>IF(节奏总纲!S120&lt;F$13,0,求节点($C$18:$C$23,$F$18:$F$23,$Q123)*节奏总纲!Z120)*$D$1</f>
        <v>729505.17634936864</v>
      </c>
      <c r="AH123" s="16">
        <f>IF(节奏总纲!T120&lt;G$13,0,求节点($C$18:$C$23,$F$18:$F$23,$Q123)*节奏总纲!AA120)*$D$1</f>
        <v>399683.49449377239</v>
      </c>
      <c r="AI123" s="16">
        <f>SUM(AD$7:AD123)</f>
        <v>21195977.844836421</v>
      </c>
      <c r="AJ123" s="16">
        <f>SUM(AE$7:AE123)</f>
        <v>18001108.391676079</v>
      </c>
      <c r="AK123" s="16">
        <f>SUM(AF$7:AF123)</f>
        <v>14397288.593672093</v>
      </c>
      <c r="AL123" s="16">
        <f>SUM(AG$7:AG123)</f>
        <v>10287148.282389181</v>
      </c>
      <c r="AM123" s="16">
        <f>SUM(AH$7:AH123)</f>
        <v>5545810.1629062342</v>
      </c>
      <c r="AO123" s="16">
        <v>117</v>
      </c>
      <c r="AP123" s="16">
        <f>IF(节奏总纲!P120&lt;C$13,0,求节点($C$18:$C$23,$H$18:$H$23,$Q123)*节奏总纲!W120)*$D$1</f>
        <v>28874658.02913475</v>
      </c>
      <c r="AQ123" s="16">
        <f>IF(节奏总纲!Q120&lt;D$13,0,求节点($C$18:$C$23,$H$18:$H$23,$Q123)*节奏总纲!X120)*$D$1</f>
        <v>24621006.479692947</v>
      </c>
      <c r="AR123" s="16">
        <f>IF(节奏总纲!R120&lt;E$13,0,求节点($C$18:$C$23,$H$18:$H$23,$Q123)*节奏总纲!Y120)*$D$1</f>
        <v>19924951.029779881</v>
      </c>
      <c r="AS123" s="16">
        <f>IF(节奏总纲!S120&lt;F$13,0,求节点($C$18:$C$23,$H$18:$H$23,$Q123)*节奏总纲!Z120)*$D$1</f>
        <v>14127955.751905333</v>
      </c>
      <c r="AT123" s="16">
        <f>IF(节奏总纲!T120&lt;G$13,0,求节点($C$18:$C$23,$H$18:$H$23,$Q123)*节奏总纲!AA120)*$D$1</f>
        <v>7740466.9741104618</v>
      </c>
      <c r="AU123" s="16">
        <f>SUM(AP$7:AP123)</f>
        <v>422448202.03710824</v>
      </c>
      <c r="AV123" s="16">
        <f>SUM(AQ$7:AQ123)</f>
        <v>358885581.16736835</v>
      </c>
      <c r="AW123" s="16">
        <f>SUM(AR$7:AR123)</f>
        <v>287125364.49360144</v>
      </c>
      <c r="AX123" s="16">
        <f>SUM(AS$7:AS123)</f>
        <v>205214344.56626675</v>
      </c>
      <c r="AY123" s="16">
        <f>SUM(AT$7:AT123)</f>
        <v>110653927.43257204</v>
      </c>
    </row>
    <row r="124" spans="10:51">
      <c r="J124" s="16">
        <v>118</v>
      </c>
      <c r="K124" s="16">
        <f>MAX(求节点(节奏总纲!$O$4:$O$163,节奏总纲!P$4:P$163,$J124)-INT(C$13),0)*$D$1*$D$2</f>
        <v>4252.5301287131142</v>
      </c>
      <c r="L124" s="16">
        <f>MAX(求节点(节奏总纲!$O$4:$O$163,节奏总纲!Q$4:Q$163,$J124)-INT(D$13),0)*$D$1*$D$2</f>
        <v>3614.8983824190177</v>
      </c>
      <c r="M124" s="16">
        <f>MAX(求节点(节奏总纲!$O$4:$O$163,节奏总纲!R$4:R$163,$J124)-INT(E$13),0)*$D$1*$D$2</f>
        <v>2893.4231256021453</v>
      </c>
      <c r="N124" s="16">
        <f>MAX(求节点(节奏总纲!$O$4:$O$163,节奏总纲!S$4:S$163,$J124)-INT(F$13),0)*$D$1*$D$2</f>
        <v>2071.7656647347717</v>
      </c>
      <c r="O124" s="16">
        <f>MAX(求节点(节奏总纲!$O$4:$O$163,节奏总纲!T$4:T$163,$J124)-INT(G$13),0)*$D$1*$D$2</f>
        <v>1116.1319318000637</v>
      </c>
      <c r="Q124" s="16">
        <v>118</v>
      </c>
      <c r="R124" s="16">
        <f>IF(节奏总纲!P121&lt;C$13,0,求节点($C$18:$C$23,$E$18:$E$23,$Q124)*节奏总纲!W121)*$D$1</f>
        <v>179091968.83934474</v>
      </c>
      <c r="S124" s="16">
        <f>IF(节奏总纲!Q121&lt;D$13,0,求节点($C$18:$C$23,$E$18:$E$23,$Q124)*节奏总纲!X121)*$D$1</f>
        <v>152744980.58264792</v>
      </c>
      <c r="T124" s="16">
        <f>IF(节奏总纲!R121&lt;E$13,0,求节点($C$18:$C$23,$E$18:$E$23,$Q124)*节奏总纲!Y121)*$D$1</f>
        <v>122638340.80054006</v>
      </c>
      <c r="U124" s="16">
        <f>IF(节奏总纲!S121&lt;F$13,0,求节点($C$18:$C$23,$E$18:$E$23,$Q124)*节奏总纲!Z121)*$D$1</f>
        <v>89534466.037742496</v>
      </c>
      <c r="V124" s="16">
        <f>IF(节奏总纲!T121&lt;G$13,0,求节点($C$18:$C$23,$E$18:$E$23,$Q124)*节奏总纲!AA121)*$D$1</f>
        <v>47278999.953372531</v>
      </c>
      <c r="W124" s="16">
        <f>SUM(R$7:R124)</f>
        <v>2565117069.1402597</v>
      </c>
      <c r="X124" s="16">
        <f>SUM(S$7:S124)</f>
        <v>2179321649.0997839</v>
      </c>
      <c r="Y124" s="16">
        <f>SUM(T$7:T124)</f>
        <v>1743678136.6759262</v>
      </c>
      <c r="Z124" s="16">
        <f>SUM(U$7:U124)</f>
        <v>1247950014.1315322</v>
      </c>
      <c r="AA124" s="16">
        <f>SUM(V$7:V124)</f>
        <v>671890187.20163822</v>
      </c>
      <c r="AC124" s="16">
        <v>118</v>
      </c>
      <c r="AD124" s="16">
        <f>IF(节奏总纲!P121&lt;C$13,0,求节点($C$18:$C$23,$F$18:$F$23,$Q124)*节奏总纲!W121)*$D$1</f>
        <v>1597971.0271303169</v>
      </c>
      <c r="AE124" s="16">
        <f>IF(节奏总纲!Q121&lt;D$13,0,求节点($C$18:$C$23,$F$18:$F$23,$Q124)*节奏总纲!X121)*$D$1</f>
        <v>1362886.6503199209</v>
      </c>
      <c r="AF124" s="16">
        <f>IF(节奏总纲!R121&lt;E$13,0,求节点($C$18:$C$23,$F$18:$F$23,$Q124)*节奏总纲!Y121)*$D$1</f>
        <v>1094256.3012995566</v>
      </c>
      <c r="AG124" s="16">
        <f>IF(节奏总纲!S121&lt;F$13,0,求节点($C$18:$C$23,$F$18:$F$23,$Q124)*节奏总纲!Z121)*$D$1</f>
        <v>798882.73932730383</v>
      </c>
      <c r="AH124" s="16">
        <f>IF(节奏总纲!T121&lt;G$13,0,求节点($C$18:$C$23,$F$18:$F$23,$Q124)*节奏总纲!AA121)*$D$1</f>
        <v>421852.93180264154</v>
      </c>
      <c r="AI124" s="16">
        <f>SUM(AD$7:AD124)</f>
        <v>22793948.871966738</v>
      </c>
      <c r="AJ124" s="16">
        <f>SUM(AE$7:AE124)</f>
        <v>19363995.041996002</v>
      </c>
      <c r="AK124" s="16">
        <f>SUM(AF$7:AF124)</f>
        <v>15491544.89497165</v>
      </c>
      <c r="AL124" s="16">
        <f>SUM(AG$7:AG124)</f>
        <v>11086031.021716485</v>
      </c>
      <c r="AM124" s="16">
        <f>SUM(AH$7:AH124)</f>
        <v>5967663.0947088758</v>
      </c>
      <c r="AO124" s="16">
        <v>118</v>
      </c>
      <c r="AP124" s="16">
        <f>IF(节奏总纲!P121&lt;C$13,0,求节点($C$18:$C$23,$H$18:$H$23,$Q124)*节奏总纲!W121)*$D$1</f>
        <v>30947092.215438776</v>
      </c>
      <c r="AQ124" s="16">
        <f>IF(节奏总纲!Q121&lt;D$13,0,求节点($C$18:$C$23,$H$18:$H$23,$Q124)*节奏总纲!X121)*$D$1</f>
        <v>26394332.644681565</v>
      </c>
      <c r="AR124" s="16">
        <f>IF(节奏总纲!R121&lt;E$13,0,求节点($C$18:$C$23,$H$18:$H$23,$Q124)*节奏总纲!Y121)*$D$1</f>
        <v>21191905.290333319</v>
      </c>
      <c r="AS124" s="16">
        <f>IF(节奏总纲!S121&lt;F$13,0,求节点($C$18:$C$23,$H$18:$H$23,$Q124)*节奏总纲!Z121)*$D$1</f>
        <v>15471555.731321905</v>
      </c>
      <c r="AT124" s="16">
        <f>IF(节奏总纲!T121&lt;G$13,0,求节点($C$18:$C$23,$H$18:$H$23,$Q124)*节奏总纲!AA121)*$D$1</f>
        <v>8169811.1919427738</v>
      </c>
      <c r="AU124" s="16">
        <f>SUM(AP$7:AP124)</f>
        <v>453395294.25254703</v>
      </c>
      <c r="AV124" s="16">
        <f>SUM(AQ$7:AQ124)</f>
        <v>385279913.81204993</v>
      </c>
      <c r="AW124" s="16">
        <f>SUM(AR$7:AR124)</f>
        <v>308317269.78393477</v>
      </c>
      <c r="AX124" s="16">
        <f>SUM(AS$7:AS124)</f>
        <v>220685900.29758865</v>
      </c>
      <c r="AY124" s="16">
        <f>SUM(AT$7:AT124)</f>
        <v>118823738.62451482</v>
      </c>
    </row>
    <row r="125" spans="10:51">
      <c r="J125" s="16">
        <v>119</v>
      </c>
      <c r="K125" s="16">
        <f>MAX(求节点(节奏总纲!$O$4:$O$163,节奏总纲!P$4:P$163,$J125)-INT(C$13),0)*$D$1*$D$2</f>
        <v>4559.6437600017161</v>
      </c>
      <c r="L125" s="16">
        <f>MAX(求节点(节奏总纲!$O$4:$O$163,节奏总纲!Q$4:Q$163,$J125)-INT(D$13),0)*$D$1*$D$2</f>
        <v>3878.7265866334601</v>
      </c>
      <c r="M125" s="16">
        <f>MAX(求节点(节奏总纲!$O$4:$O$163,节奏总纲!R$4:R$163,$J125)-INT(E$13),0)*$D$1*$D$2</f>
        <v>3107.4879911931698</v>
      </c>
      <c r="N125" s="16">
        <f>MAX(求节点(节奏总纲!$O$4:$O$163,节奏总纲!S$4:S$163,$J125)-INT(F$13),0)*$D$1*$D$2</f>
        <v>2222.828301752837</v>
      </c>
      <c r="O125" s="16">
        <f>MAX(求节点(节奏总纲!$O$4:$O$163,节奏总纲!T$4:T$163,$J125)-INT(G$13),0)*$D$1*$D$2</f>
        <v>1193.1120963684493</v>
      </c>
      <c r="Q125" s="16">
        <v>119</v>
      </c>
      <c r="R125" s="16">
        <f>IF(节奏总纲!P122&lt;C$13,0,求节点($C$18:$C$23,$E$18:$E$23,$Q125)*节奏总纲!W122)*$D$1</f>
        <v>191946019.55537665</v>
      </c>
      <c r="S125" s="16">
        <f>IF(节奏总纲!Q122&lt;D$13,0,求节点($C$18:$C$23,$E$18:$E$23,$Q125)*节奏总纲!X122)*$D$1</f>
        <v>164892627.63402668</v>
      </c>
      <c r="T125" s="16">
        <f>IF(节奏总纲!R122&lt;E$13,0,求节点($C$18:$C$23,$E$18:$E$23,$Q125)*节奏总纲!Y122)*$D$1</f>
        <v>133790540.99439031</v>
      </c>
      <c r="U125" s="16">
        <f>IF(节奏总纲!S122&lt;F$13,0,求节点($C$18:$C$23,$E$18:$E$23,$Q125)*节奏总纲!Z122)*$D$1</f>
        <v>94414148.136290863</v>
      </c>
      <c r="V125" s="16">
        <f>IF(节奏总纲!T122&lt;G$13,0,求节点($C$18:$C$23,$E$18:$E$23,$Q125)*节奏总纲!AA122)*$D$1</f>
        <v>48112602.855240934</v>
      </c>
      <c r="W125" s="16">
        <f>SUM(R$7:R125)</f>
        <v>2757063088.6956363</v>
      </c>
      <c r="X125" s="16">
        <f>SUM(S$7:S125)</f>
        <v>2344214276.7338104</v>
      </c>
      <c r="Y125" s="16">
        <f>SUM(T$7:T125)</f>
        <v>1877468677.6703165</v>
      </c>
      <c r="Z125" s="16">
        <f>SUM(U$7:U125)</f>
        <v>1342364162.267823</v>
      </c>
      <c r="AA125" s="16">
        <f>SUM(V$7:V125)</f>
        <v>720002790.05687916</v>
      </c>
      <c r="AC125" s="16">
        <v>119</v>
      </c>
      <c r="AD125" s="16">
        <f>IF(节奏总纲!P122&lt;C$13,0,求节点($C$18:$C$23,$F$18:$F$23,$Q125)*节奏总纲!W122)*$D$1</f>
        <v>1712662.9407800494</v>
      </c>
      <c r="AE125" s="16">
        <f>IF(节奏总纲!Q122&lt;D$13,0,求节点($C$18:$C$23,$F$18:$F$23,$Q125)*节奏总纲!X122)*$D$1</f>
        <v>1471275.586807193</v>
      </c>
      <c r="AF125" s="16">
        <f>IF(节奏总纲!R122&lt;E$13,0,求节点($C$18:$C$23,$F$18:$F$23,$Q125)*节奏总纲!Y122)*$D$1</f>
        <v>1193763.2357200282</v>
      </c>
      <c r="AG125" s="16">
        <f>IF(节奏总纲!S122&lt;F$13,0,求节点($C$18:$C$23,$F$18:$F$23,$Q125)*节奏总纲!Z122)*$D$1</f>
        <v>842422.32776123076</v>
      </c>
      <c r="AH125" s="16">
        <f>IF(节奏总纲!T122&lt;G$13,0,求节点($C$18:$C$23,$F$18:$F$23,$Q125)*节奏总纲!AA122)*$D$1</f>
        <v>429290.86044874636</v>
      </c>
      <c r="AI125" s="16">
        <f>SUM(AD$7:AD125)</f>
        <v>24506611.812746789</v>
      </c>
      <c r="AJ125" s="16">
        <f>SUM(AE$7:AE125)</f>
        <v>20835270.628803194</v>
      </c>
      <c r="AK125" s="16">
        <f>SUM(AF$7:AF125)</f>
        <v>16685308.130691677</v>
      </c>
      <c r="AL125" s="16">
        <f>SUM(AG$7:AG125)</f>
        <v>11928453.349477716</v>
      </c>
      <c r="AM125" s="16">
        <f>SUM(AH$7:AH125)</f>
        <v>6396953.9551576218</v>
      </c>
      <c r="AO125" s="16">
        <v>119</v>
      </c>
      <c r="AP125" s="16">
        <f>IF(节奏总纲!P122&lt;C$13,0,求节点($C$18:$C$23,$H$18:$H$23,$Q125)*节奏总纲!W122)*$D$1</f>
        <v>33168272.179169089</v>
      </c>
      <c r="AQ125" s="16">
        <f>IF(节奏总纲!Q122&lt;D$13,0,求节点($C$18:$C$23,$H$18:$H$23,$Q125)*节奏总纲!X122)*$D$1</f>
        <v>28493446.055159807</v>
      </c>
      <c r="AR125" s="16">
        <f>IF(节奏总纲!R122&lt;E$13,0,求节点($C$18:$C$23,$H$18:$H$23,$Q125)*节奏总纲!Y122)*$D$1</f>
        <v>23119005.483830646</v>
      </c>
      <c r="AS125" s="16">
        <f>IF(节奏总纲!S122&lt;F$13,0,求节点($C$18:$C$23,$H$18:$H$23,$Q125)*节奏总纲!Z122)*$D$1</f>
        <v>16314764.797951061</v>
      </c>
      <c r="AT125" s="16">
        <f>IF(节奏总纲!T122&lt;G$13,0,求节点($C$18:$C$23,$H$18:$H$23,$Q125)*节奏总纲!AA122)*$D$1</f>
        <v>8313857.7733856337</v>
      </c>
      <c r="AU125" s="16">
        <f>SUM(AP$7:AP125)</f>
        <v>486563566.43171608</v>
      </c>
      <c r="AV125" s="16">
        <f>SUM(AQ$7:AQ125)</f>
        <v>413773359.86720973</v>
      </c>
      <c r="AW125" s="16">
        <f>SUM(AR$7:AR125)</f>
        <v>331436275.2677654</v>
      </c>
      <c r="AX125" s="16">
        <f>SUM(AS$7:AS125)</f>
        <v>237000665.09553972</v>
      </c>
      <c r="AY125" s="16">
        <f>SUM(AT$7:AT125)</f>
        <v>127137596.39790045</v>
      </c>
    </row>
    <row r="126" spans="10:51">
      <c r="J126" s="16">
        <v>120</v>
      </c>
      <c r="K126" s="16">
        <f>MAX(求节点(节奏总纲!$O$4:$O$163,节奏总纲!P$4:P$163,$J126)-INT(C$13),0)*$D$1*$D$2</f>
        <v>4888.8</v>
      </c>
      <c r="L126" s="16">
        <f>MAX(求节点(节奏总纲!$O$4:$O$163,节奏总纲!Q$4:Q$163,$J126)-INT(D$13),0)*$D$1*$D$2</f>
        <v>4161.6881999999996</v>
      </c>
      <c r="M126" s="16">
        <f>MAX(求节点(节奏总纲!$O$4:$O$163,节奏总纲!R$4:R$163,$J126)-INT(E$13),0)*$D$1*$D$2</f>
        <v>3332.3652000000002</v>
      </c>
      <c r="N126" s="16">
        <f>MAX(求节点(节奏总纲!$O$4:$O$163,节奏总纲!S$4:S$163,$J126)-INT(F$13),0)*$D$1*$D$2</f>
        <v>2373.0383999999999</v>
      </c>
      <c r="O126" s="16">
        <f>MAX(求节点(节奏总纲!$O$4:$O$163,节奏总纲!T$4:T$163,$J126)-INT(G$13),0)*$D$1*$D$2</f>
        <v>1274.3712</v>
      </c>
      <c r="Q126" s="16">
        <v>120</v>
      </c>
      <c r="R126" s="16">
        <f>IF(节奏总纲!P123&lt;C$13,0,求节点($C$18:$C$23,$E$18:$E$23,$Q126)*节奏总纲!W123)*$D$1</f>
        <v>205722649.9989273</v>
      </c>
      <c r="S126" s="16">
        <f>IF(节奏总纲!Q123&lt;D$13,0,求节点($C$18:$C$23,$E$18:$E$23,$Q126)*节奏总纲!X123)*$D$1</f>
        <v>176851008.35408729</v>
      </c>
      <c r="T126" s="16">
        <f>IF(节奏总纲!R123&lt;E$13,0,求节点($C$18:$C$23,$E$18:$E$23,$Q126)*节奏总纲!Y123)*$D$1</f>
        <v>140548255.50426891</v>
      </c>
      <c r="U126" s="16">
        <f>IF(节奏总纲!S123&lt;F$13,0,求节点($C$18:$C$23,$E$18:$E$23,$Q126)*节奏总纲!Z123)*$D$1</f>
        <v>93881311.404476777</v>
      </c>
      <c r="V126" s="16">
        <f>IF(节奏总纲!T123&lt;G$13,0,求节点($C$18:$C$23,$E$18:$E$23,$Q126)*节奏总纲!AA123)*$D$1</f>
        <v>50786939.769719169</v>
      </c>
      <c r="W126" s="16">
        <f>SUM(R$7:R126)</f>
        <v>2962785738.6945634</v>
      </c>
      <c r="X126" s="16">
        <f>SUM(S$7:S126)</f>
        <v>2521065285.0878978</v>
      </c>
      <c r="Y126" s="16">
        <f>SUM(T$7:T126)</f>
        <v>2018016933.1745853</v>
      </c>
      <c r="Z126" s="16">
        <f>SUM(U$7:U126)</f>
        <v>1436245473.6722999</v>
      </c>
      <c r="AA126" s="16">
        <f>SUM(V$7:V126)</f>
        <v>770789729.82659829</v>
      </c>
      <c r="AC126" s="16">
        <v>120</v>
      </c>
      <c r="AD126" s="16">
        <f>IF(节奏总纲!P123&lt;C$13,0,求节点($C$18:$C$23,$F$18:$F$23,$Q126)*节奏总纲!W123)*$D$1</f>
        <v>1835586.6901974436</v>
      </c>
      <c r="AE126" s="16">
        <f>IF(节奏总纲!Q123&lt;D$13,0,求节点($C$18:$C$23,$F$18:$F$23,$Q126)*节奏总纲!X123)*$D$1</f>
        <v>1577975.7702151528</v>
      </c>
      <c r="AF126" s="16">
        <f>IF(节奏总纲!R123&lt;E$13,0,求节点($C$18:$C$23,$F$18:$F$23,$Q126)*节奏总纲!Y123)*$D$1</f>
        <v>1254059.8088516304</v>
      </c>
      <c r="AG126" s="16">
        <f>IF(节奏总纲!S123&lt;F$13,0,求节点($C$18:$C$23,$F$18:$F$23,$Q126)*节奏总纲!Z123)*$D$1</f>
        <v>837668.02378463233</v>
      </c>
      <c r="AH126" s="16">
        <f>IF(节奏总纲!T123&lt;G$13,0,求节点($C$18:$C$23,$F$18:$F$23,$Q126)*节奏总纲!AA123)*$D$1</f>
        <v>453152.97405337635</v>
      </c>
      <c r="AI126" s="16">
        <f>SUM(AD$7:AD126)</f>
        <v>26342198.502944231</v>
      </c>
      <c r="AJ126" s="16">
        <f>SUM(AE$7:AE126)</f>
        <v>22413246.399018347</v>
      </c>
      <c r="AK126" s="16">
        <f>SUM(AF$7:AF126)</f>
        <v>17939367.939543307</v>
      </c>
      <c r="AL126" s="16">
        <f>SUM(AG$7:AG126)</f>
        <v>12766121.373262348</v>
      </c>
      <c r="AM126" s="16">
        <f>SUM(AH$7:AH126)</f>
        <v>6850106.9292109981</v>
      </c>
      <c r="AO126" s="16">
        <v>120</v>
      </c>
      <c r="AP126" s="16">
        <f>IF(节奏总纲!P123&lt;C$13,0,求节点($C$18:$C$23,$H$18:$H$23,$Q126)*节奏总纲!W123)*$D$1</f>
        <v>35548873.919814639</v>
      </c>
      <c r="AQ126" s="16">
        <f>IF(节奏总纲!Q123&lt;D$13,0,求节点($C$18:$C$23,$H$18:$H$23,$Q126)*节奏总纲!X123)*$D$1</f>
        <v>30559854.243586287</v>
      </c>
      <c r="AR126" s="16">
        <f>IF(节奏总纲!R123&lt;E$13,0,求节点($C$18:$C$23,$H$18:$H$23,$Q126)*节奏总纲!Y123)*$D$1</f>
        <v>24286738.551137671</v>
      </c>
      <c r="AS126" s="16">
        <f>IF(节奏总纲!S123&lt;F$13,0,求节点($C$18:$C$23,$H$18:$H$23,$Q126)*节奏总纲!Z123)*$D$1</f>
        <v>16222690.610693587</v>
      </c>
      <c r="AT126" s="16">
        <f>IF(节奏总纲!T123&lt;G$13,0,求节点($C$18:$C$23,$H$18:$H$23,$Q126)*节奏总纲!AA123)*$D$1</f>
        <v>8775983.1922074724</v>
      </c>
      <c r="AU126" s="16">
        <f>SUM(AP$7:AP126)</f>
        <v>522112440.35153073</v>
      </c>
      <c r="AV126" s="16">
        <f>SUM(AQ$7:AQ126)</f>
        <v>444333214.11079603</v>
      </c>
      <c r="AW126" s="16">
        <f>SUM(AR$7:AR126)</f>
        <v>355723013.81890309</v>
      </c>
      <c r="AX126" s="16">
        <f>SUM(AS$7:AS126)</f>
        <v>253223355.70623329</v>
      </c>
      <c r="AY126" s="16">
        <f>SUM(AT$7:AT126)</f>
        <v>135913579.59010792</v>
      </c>
    </row>
    <row r="127" spans="10:51">
      <c r="J127" s="16">
        <v>121</v>
      </c>
      <c r="K127" s="16">
        <f>MAX(求节点(节奏总纲!$O$4:$O$163,节奏总纲!P$4:P$163,$J127)-INT(C$13),0)*$D$1*$D$2</f>
        <v>5241.58092305839</v>
      </c>
      <c r="L127" s="16">
        <f>MAX(求节点(节奏总纲!$O$4:$O$163,节奏总纲!Q$4:Q$163,$J127)-INT(D$13),0)*$D$1*$D$2</f>
        <v>4456.2171407842425</v>
      </c>
      <c r="M127" s="16">
        <f>MAX(求节点(节奏总纲!$O$4:$O$163,节奏总纲!R$4:R$163,$J127)-INT(E$13),0)*$D$1*$D$2</f>
        <v>3556.5642124797287</v>
      </c>
      <c r="N127" s="16">
        <f>MAX(求节点(节奏总纲!$O$4:$O$163,节奏总纲!S$4:S$163,$J127)-INT(F$13),0)*$D$1*$D$2</f>
        <v>2533.2885762987312</v>
      </c>
      <c r="O127" s="16">
        <f>MAX(求节点(节奏总纲!$O$4:$O$163,节奏总纲!T$4:T$163,$J127)-INT(G$13),0)*$D$1*$D$2</f>
        <v>1364.7964304567104</v>
      </c>
      <c r="Q127" s="16">
        <v>121</v>
      </c>
      <c r="R127" s="16">
        <f>IF(节奏总纲!P124&lt;C$13,0,求节点($C$18:$C$23,$E$18:$E$23,$Q127)*节奏总纲!W124)*$D$1</f>
        <v>220488076.91149318</v>
      </c>
      <c r="S127" s="16">
        <f>IF(节奏总纲!Q124&lt;D$13,0,求节点($C$18:$C$23,$E$18:$E$23,$Q127)*节奏总纲!X124)*$D$1</f>
        <v>184080587.99015146</v>
      </c>
      <c r="T127" s="16">
        <f>IF(节奏总纲!R124&lt;E$13,0,求节点($C$18:$C$23,$E$18:$E$23,$Q127)*节奏总纲!Y124)*$D$1</f>
        <v>140124382.79983017</v>
      </c>
      <c r="U127" s="16">
        <f>IF(节奏总纲!S124&lt;F$13,0,求节点($C$18:$C$23,$E$18:$E$23,$Q127)*节奏总纲!Z124)*$D$1</f>
        <v>100156360.18670687</v>
      </c>
      <c r="V127" s="16">
        <f>IF(节奏总纲!T124&lt;G$13,0,求节点($C$18:$C$23,$E$18:$E$23,$Q127)*节奏总纲!AA124)*$D$1</f>
        <v>56515769.035444066</v>
      </c>
      <c r="W127" s="16">
        <f>SUM(R$7:R127)</f>
        <v>3183273815.6060567</v>
      </c>
      <c r="X127" s="16">
        <f>SUM(S$7:S127)</f>
        <v>2705145873.0780492</v>
      </c>
      <c r="Y127" s="16">
        <f>SUM(T$7:T127)</f>
        <v>2158141315.9744153</v>
      </c>
      <c r="Z127" s="16">
        <f>SUM(U$7:U127)</f>
        <v>1536401833.8590066</v>
      </c>
      <c r="AA127" s="16">
        <f>SUM(V$7:V127)</f>
        <v>827305498.86204231</v>
      </c>
      <c r="AC127" s="16">
        <v>121</v>
      </c>
      <c r="AD127" s="16">
        <f>IF(节奏总纲!P124&lt;C$13,0,求节点($C$18:$C$23,$F$18:$F$23,$Q127)*节奏总纲!W124)*$D$1</f>
        <v>1967333.1027384563</v>
      </c>
      <c r="AE127" s="16">
        <f>IF(节奏总纲!Q124&lt;D$13,0,求节点($C$18:$C$23,$F$18:$F$23,$Q127)*节奏总纲!X124)*$D$1</f>
        <v>1642482.6203638895</v>
      </c>
      <c r="AF127" s="16">
        <f>IF(节奏总纲!R124&lt;E$13,0,求节点($C$18:$C$23,$F$18:$F$23,$Q127)*节奏总纲!Y124)*$D$1</f>
        <v>1250277.7503636135</v>
      </c>
      <c r="AG127" s="16">
        <f>IF(节奏总纲!S124&lt;F$13,0,求节点($C$18:$C$23,$F$18:$F$23,$Q127)*节奏总纲!Z124)*$D$1</f>
        <v>893657.95014938281</v>
      </c>
      <c r="AH127" s="16">
        <f>IF(节奏总纲!T124&lt;G$13,0,求节点($C$18:$C$23,$F$18:$F$23,$Q127)*节奏总纲!AA124)*$D$1</f>
        <v>504269.18683127442</v>
      </c>
      <c r="AI127" s="16">
        <f>SUM(AD$7:AD127)</f>
        <v>28309531.605682686</v>
      </c>
      <c r="AJ127" s="16">
        <f>SUM(AE$7:AE127)</f>
        <v>24055729.019382238</v>
      </c>
      <c r="AK127" s="16">
        <f>SUM(AF$7:AF127)</f>
        <v>19189645.689906921</v>
      </c>
      <c r="AL127" s="16">
        <f>SUM(AG$7:AG127)</f>
        <v>13659779.323411731</v>
      </c>
      <c r="AM127" s="16">
        <f>SUM(AH$7:AH127)</f>
        <v>7354376.1160422722</v>
      </c>
      <c r="AO127" s="16">
        <v>121</v>
      </c>
      <c r="AP127" s="16">
        <f>IF(节奏总纲!P124&lt;C$13,0,求节点($C$18:$C$23,$H$18:$H$23,$Q127)*节奏总纲!W124)*$D$1</f>
        <v>38100339.690306023</v>
      </c>
      <c r="AQ127" s="16">
        <f>IF(节奏总纲!Q124&lt;D$13,0,求节点($C$18:$C$23,$H$18:$H$23,$Q127)*节奏总纲!X124)*$D$1</f>
        <v>31809125.60469817</v>
      </c>
      <c r="AR127" s="16">
        <f>IF(节奏总纲!R124&lt;E$13,0,求节点($C$18:$C$23,$H$18:$H$23,$Q127)*节奏总纲!Y124)*$D$1</f>
        <v>24213493.347810656</v>
      </c>
      <c r="AS127" s="16">
        <f>IF(节奏总纲!S124&lt;F$13,0,求节点($C$18:$C$23,$H$18:$H$23,$Q127)*节奏总纲!Z124)*$D$1</f>
        <v>17307019.040262949</v>
      </c>
      <c r="AT127" s="16">
        <f>IF(节奏总纲!T124&lt;G$13,0,求节点($C$18:$C$23,$H$18:$H$23,$Q127)*节奏总纲!AA124)*$D$1</f>
        <v>9765924.8893247359</v>
      </c>
      <c r="AU127" s="16">
        <f>SUM(AP$7:AP127)</f>
        <v>560212780.04183674</v>
      </c>
      <c r="AV127" s="16">
        <f>SUM(AQ$7:AQ127)</f>
        <v>476142339.71549422</v>
      </c>
      <c r="AW127" s="16">
        <f>SUM(AR$7:AR127)</f>
        <v>379936507.16671371</v>
      </c>
      <c r="AX127" s="16">
        <f>SUM(AS$7:AS127)</f>
        <v>270530374.74649626</v>
      </c>
      <c r="AY127" s="16">
        <f>SUM(AT$7:AT127)</f>
        <v>145679504.47943264</v>
      </c>
    </row>
    <row r="128" spans="10:51">
      <c r="J128" s="16">
        <v>122</v>
      </c>
      <c r="K128" s="16">
        <f>MAX(求节点(节奏总纲!$O$4:$O$163,节奏总纲!P$4:P$163,$J128)-INT(C$13),0)*$D$1*$D$2</f>
        <v>5619.6821544814229</v>
      </c>
      <c r="L128" s="16">
        <f>MAX(求节点(节奏总纲!$O$4:$O$163,节奏总纲!Q$4:Q$163,$J128)-INT(D$13),0)*$D$1*$D$2</f>
        <v>4765.8245552156941</v>
      </c>
      <c r="M128" s="16">
        <f>MAX(求节点(节奏总纲!$O$4:$O$163,节奏总纲!R$4:R$163,$J128)-INT(E$13),0)*$D$1*$D$2</f>
        <v>3802.4562421530268</v>
      </c>
      <c r="N128" s="16">
        <f>MAX(求节点(节奏总纲!$O$4:$O$163,节奏总纲!S$4:S$163,$J128)-INT(F$13),0)*$D$1*$D$2</f>
        <v>2712.1491041836307</v>
      </c>
      <c r="O128" s="16">
        <f>MAX(求节点(节奏总纲!$O$4:$O$163,节奏总纲!T$4:T$163,$J128)-INT(G$13),0)*$D$1*$D$2</f>
        <v>1461.5983365960662</v>
      </c>
      <c r="Q128" s="16">
        <v>122</v>
      </c>
      <c r="R128" s="16">
        <f>IF(节奏总纲!P125&lt;C$13,0,求节点($C$18:$C$23,$E$18:$E$23,$Q128)*节奏总纲!W125)*$D$1</f>
        <v>236313269.63939589</v>
      </c>
      <c r="S128" s="16">
        <f>IF(节奏总纲!Q125&lt;D$13,0,求节点($C$18:$C$23,$E$18:$E$23,$Q128)*节奏总纲!X125)*$D$1</f>
        <v>193504634.01965761</v>
      </c>
      <c r="T128" s="16">
        <f>IF(节奏总纲!R125&lt;E$13,0,求节点($C$18:$C$23,$E$18:$E$23,$Q128)*节奏总纲!Y125)*$D$1</f>
        <v>153682518.54581127</v>
      </c>
      <c r="U128" s="16">
        <f>IF(节奏总纲!S125&lt;F$13,0,求节点($C$18:$C$23,$E$18:$E$23,$Q128)*节奏总纲!Z125)*$D$1</f>
        <v>111787829.92806248</v>
      </c>
      <c r="V128" s="16">
        <f>IF(节奏总纲!T125&lt;G$13,0,求节点($C$18:$C$23,$E$18:$E$23,$Q128)*节奏总纲!AA125)*$D$1</f>
        <v>60501191.337097339</v>
      </c>
      <c r="W128" s="16">
        <f>SUM(R$7:R128)</f>
        <v>3419587085.2454524</v>
      </c>
      <c r="X128" s="16">
        <f>SUM(S$7:S128)</f>
        <v>2898650507.0977068</v>
      </c>
      <c r="Y128" s="16">
        <f>SUM(T$7:T128)</f>
        <v>2311823834.5202265</v>
      </c>
      <c r="Z128" s="16">
        <f>SUM(U$7:U128)</f>
        <v>1648189663.7870691</v>
      </c>
      <c r="AA128" s="16">
        <f>SUM(V$7:V128)</f>
        <v>887806690.1991396</v>
      </c>
      <c r="AC128" s="16">
        <v>122</v>
      </c>
      <c r="AD128" s="16">
        <f>IF(节奏总纲!P125&lt;C$13,0,求节点($C$18:$C$23,$F$18:$F$23,$Q128)*节奏总纲!W125)*$D$1</f>
        <v>2108535.4114842322</v>
      </c>
      <c r="AE128" s="16">
        <f>IF(节奏总纲!Q125&lt;D$13,0,求节点($C$18:$C$23,$F$18:$F$23,$Q128)*节奏总纲!X125)*$D$1</f>
        <v>1726569.8779393667</v>
      </c>
      <c r="AF128" s="16">
        <f>IF(节奏总纲!R125&lt;E$13,0,求节点($C$18:$C$23,$F$18:$F$23,$Q128)*节奏总纲!Y125)*$D$1</f>
        <v>1371251.9528607272</v>
      </c>
      <c r="AG128" s="16">
        <f>IF(节奏总纲!S125&lt;F$13,0,求节点($C$18:$C$23,$F$18:$F$23,$Q128)*节奏总纲!Z125)*$D$1</f>
        <v>997441.22848445177</v>
      </c>
      <c r="AH128" s="16">
        <f>IF(节奏总纲!T125&lt;G$13,0,求节点($C$18:$C$23,$F$18:$F$23,$Q128)*节奏总纲!AA125)*$D$1</f>
        <v>539829.62770528102</v>
      </c>
      <c r="AI128" s="16">
        <f>SUM(AD$7:AD128)</f>
        <v>30418067.01716692</v>
      </c>
      <c r="AJ128" s="16">
        <f>SUM(AE$7:AE128)</f>
        <v>25782298.897321604</v>
      </c>
      <c r="AK128" s="16">
        <f>SUM(AF$7:AF128)</f>
        <v>20560897.642767649</v>
      </c>
      <c r="AL128" s="16">
        <f>SUM(AG$7:AG128)</f>
        <v>14657220.551896183</v>
      </c>
      <c r="AM128" s="16">
        <f>SUM(AH$7:AH128)</f>
        <v>7894205.7437475529</v>
      </c>
      <c r="AO128" s="16">
        <v>122</v>
      </c>
      <c r="AP128" s="16">
        <f>IF(节奏总纲!P125&lt;C$13,0,求节点($C$18:$C$23,$H$18:$H$23,$Q128)*节奏总纲!W125)*$D$1</f>
        <v>40834932.993687615</v>
      </c>
      <c r="AQ128" s="16">
        <f>IF(节奏总纲!Q125&lt;D$13,0,求节点($C$18:$C$23,$H$18:$H$23,$Q128)*节奏总纲!X125)*$D$1</f>
        <v>33437600.758596838</v>
      </c>
      <c r="AR128" s="16">
        <f>IF(节奏总纲!R125&lt;E$13,0,求节点($C$18:$C$23,$H$18:$H$23,$Q128)*节奏总纲!Y125)*$D$1</f>
        <v>26556339.204716191</v>
      </c>
      <c r="AS128" s="16">
        <f>IF(节奏总纲!S125&lt;F$13,0,求节点($C$18:$C$23,$H$18:$H$23,$Q128)*节奏总纲!Z125)*$D$1</f>
        <v>19316937.011569198</v>
      </c>
      <c r="AT128" s="16">
        <f>IF(节奏总纲!T125&lt;G$13,0,求节点($C$18:$C$23,$H$18:$H$23,$Q128)*节奏总纲!AA125)*$D$1</f>
        <v>10454605.86305042</v>
      </c>
      <c r="AU128" s="16">
        <f>SUM(AP$7:AP128)</f>
        <v>601047713.03552437</v>
      </c>
      <c r="AV128" s="16">
        <f>SUM(AQ$7:AQ128)</f>
        <v>509579940.47409105</v>
      </c>
      <c r="AW128" s="16">
        <f>SUM(AR$7:AR128)</f>
        <v>406492846.37142992</v>
      </c>
      <c r="AX128" s="16">
        <f>SUM(AS$7:AS128)</f>
        <v>289847311.75806546</v>
      </c>
      <c r="AY128" s="16">
        <f>SUM(AT$7:AT128)</f>
        <v>156134110.34248307</v>
      </c>
    </row>
    <row r="129" spans="10:51">
      <c r="J129" s="16">
        <v>123</v>
      </c>
      <c r="K129" s="16">
        <f>MAX(求节点(节奏总纲!$O$4:$O$163,节奏总纲!P$4:P$163,$J129)-INT(C$13),0)*$D$1*$D$2</f>
        <v>6024.9210204729343</v>
      </c>
      <c r="L129" s="16">
        <f>MAX(求节点(节奏总纲!$O$4:$O$163,节奏总纲!Q$4:Q$163,$J129)-INT(D$13),0)*$D$1*$D$2</f>
        <v>5109.5076374630953</v>
      </c>
      <c r="M129" s="16">
        <f>MAX(求节点(节奏总纲!$O$4:$O$163,节奏总纲!R$4:R$163,$J129)-INT(E$13),0)*$D$1*$D$2</f>
        <v>4085.7970881867909</v>
      </c>
      <c r="N129" s="16">
        <f>MAX(求节点(节奏总纲!$O$4:$O$163,节奏总纲!S$4:S$163,$J129)-INT(F$13),0)*$D$1*$D$2</f>
        <v>2918.0836344191362</v>
      </c>
      <c r="O129" s="16">
        <f>MAX(求节点(节奏总纲!$O$4:$O$163,节奏总纲!T$4:T$163,$J129)-INT(G$13),0)*$D$1*$D$2</f>
        <v>1572.4865984454832</v>
      </c>
      <c r="Q129" s="16">
        <v>123</v>
      </c>
      <c r="R129" s="16">
        <f>IF(节奏总纲!P126&lt;C$13,0,求节点($C$18:$C$23,$E$18:$E$23,$Q129)*节奏总纲!W126)*$D$1</f>
        <v>253274291.2446945</v>
      </c>
      <c r="S129" s="16">
        <f>IF(节奏总纲!Q126&lt;D$13,0,求节点($C$18:$C$23,$E$18:$E$23,$Q129)*节奏总纲!X126)*$D$1</f>
        <v>214801926.4046253</v>
      </c>
      <c r="T129" s="16">
        <f>IF(节奏总纲!R126&lt;E$13,0,求节点($C$18:$C$23,$E$18:$E$23,$Q129)*节奏总纲!Y126)*$D$1</f>
        <v>177088028.77110282</v>
      </c>
      <c r="U129" s="16">
        <f>IF(节奏总纲!S126&lt;F$13,0,求节点($C$18:$C$23,$E$18:$E$23,$Q129)*节奏总纲!Z126)*$D$1</f>
        <v>128709081.39719075</v>
      </c>
      <c r="V129" s="16">
        <f>IF(节奏总纲!T126&lt;G$13,0,求节点($C$18:$C$23,$E$18:$E$23,$Q129)*节奏总纲!AA126)*$D$1</f>
        <v>69305163.655885622</v>
      </c>
      <c r="W129" s="16">
        <f>SUM(R$7:R129)</f>
        <v>3672861376.4901471</v>
      </c>
      <c r="X129" s="16">
        <f>SUM(S$7:S129)</f>
        <v>3113452433.5023322</v>
      </c>
      <c r="Y129" s="16">
        <f>SUM(T$7:T129)</f>
        <v>2488911863.2913294</v>
      </c>
      <c r="Z129" s="16">
        <f>SUM(U$7:U129)</f>
        <v>1776898745.1842599</v>
      </c>
      <c r="AA129" s="16">
        <f>SUM(V$7:V129)</f>
        <v>957111853.85502517</v>
      </c>
      <c r="AC129" s="16">
        <v>123</v>
      </c>
      <c r="AD129" s="16">
        <f>IF(节奏总纲!P126&lt;C$13,0,求节点($C$18:$C$23,$F$18:$F$23,$Q129)*节奏总纲!W126)*$D$1</f>
        <v>2259872.2988469005</v>
      </c>
      <c r="AE129" s="16">
        <f>IF(节奏总纲!Q126&lt;D$13,0,求节点($C$18:$C$23,$F$18:$F$23,$Q129)*节奏总纲!X126)*$D$1</f>
        <v>1916597.6966520557</v>
      </c>
      <c r="AF129" s="16">
        <f>IF(节奏总纲!R126&lt;E$13,0,求节点($C$18:$C$23,$F$18:$F$23,$Q129)*节奏总纲!Y126)*$D$1</f>
        <v>1580090.61523966</v>
      </c>
      <c r="AG129" s="16">
        <f>IF(节奏总纲!S126&lt;F$13,0,求节点($C$18:$C$23,$F$18:$F$23,$Q129)*节奏总纲!Z126)*$D$1</f>
        <v>1148423.2617140342</v>
      </c>
      <c r="AH129" s="16">
        <f>IF(节奏总纲!T126&lt;G$13,0,求节点($C$18:$C$23,$F$18:$F$23,$Q129)*节奏总纲!AA126)*$D$1</f>
        <v>618384.1981880099</v>
      </c>
      <c r="AI129" s="16">
        <f>SUM(AD$7:AD129)</f>
        <v>32677939.31601382</v>
      </c>
      <c r="AJ129" s="16">
        <f>SUM(AE$7:AE129)</f>
        <v>27698896.593973659</v>
      </c>
      <c r="AK129" s="16">
        <f>SUM(AF$7:AF129)</f>
        <v>22140988.25800731</v>
      </c>
      <c r="AL129" s="16">
        <f>SUM(AG$7:AG129)</f>
        <v>15805643.813610217</v>
      </c>
      <c r="AM129" s="16">
        <f>SUM(AH$7:AH129)</f>
        <v>8512589.9419355635</v>
      </c>
      <c r="AO129" s="16">
        <v>123</v>
      </c>
      <c r="AP129" s="16">
        <f>IF(节奏总纲!P126&lt;C$13,0,求节点($C$18:$C$23,$H$18:$H$23,$Q129)*节奏总纲!W126)*$D$1</f>
        <v>43765797.527083203</v>
      </c>
      <c r="AQ129" s="16">
        <f>IF(节奏总纲!Q126&lt;D$13,0,求节点($C$18:$C$23,$H$18:$H$23,$Q129)*节奏总纲!X126)*$D$1</f>
        <v>37117772.882719256</v>
      </c>
      <c r="AR129" s="16">
        <f>IF(节奏总纲!R126&lt;E$13,0,求节点($C$18:$C$23,$H$18:$H$23,$Q129)*节奏总纲!Y126)*$D$1</f>
        <v>30600811.371646564</v>
      </c>
      <c r="AS129" s="16">
        <f>IF(节奏总纲!S126&lt;F$13,0,求节点($C$18:$C$23,$H$18:$H$23,$Q129)*节奏总纲!Z126)*$D$1</f>
        <v>22240929.265434563</v>
      </c>
      <c r="AT129" s="16">
        <f>IF(节奏总纲!T126&lt;G$13,0,求节点($C$18:$C$23,$H$18:$H$23,$Q129)*节奏总纲!AA126)*$D$1</f>
        <v>11975932.279737035</v>
      </c>
      <c r="AU129" s="16">
        <f>SUM(AP$7:AP129)</f>
        <v>644813510.56260753</v>
      </c>
      <c r="AV129" s="16">
        <f>SUM(AQ$7:AQ129)</f>
        <v>546697713.35681033</v>
      </c>
      <c r="AW129" s="16">
        <f>SUM(AR$7:AR129)</f>
        <v>437093657.7430765</v>
      </c>
      <c r="AX129" s="16">
        <f>SUM(AS$7:AS129)</f>
        <v>312088241.02350003</v>
      </c>
      <c r="AY129" s="16">
        <f>SUM(AT$7:AT129)</f>
        <v>168110042.6222201</v>
      </c>
    </row>
    <row r="130" spans="10:51">
      <c r="J130" s="16">
        <v>124</v>
      </c>
      <c r="K130" s="16">
        <f>MAX(求节点(节奏总纲!$O$4:$O$163,节奏总纲!P$4:P$163,$J130)-INT(C$13),0)*$D$1*$D$2</f>
        <v>6459.2452830309257</v>
      </c>
      <c r="L130" s="16">
        <f>MAX(求节点(节奏总纲!$O$4:$O$163,节奏总纲!Q$4:Q$163,$J130)-INT(D$13),0)*$D$1*$D$2</f>
        <v>5488.2331569913767</v>
      </c>
      <c r="M130" s="16">
        <f>MAX(求节点(节奏总纲!$O$4:$O$163,节奏总纲!R$4:R$163,$J130)-INT(E$13),0)*$D$1*$D$2</f>
        <v>4387.5321252912108</v>
      </c>
      <c r="N130" s="16">
        <f>MAX(求节点(节奏总纲!$O$4:$O$163,节奏总纲!S$4:S$163,$J130)-INT(F$13),0)*$D$1*$D$2</f>
        <v>3135.6466294398174</v>
      </c>
      <c r="O130" s="16">
        <f>MAX(求节点(节奏总纲!$O$4:$O$163,节奏总纲!T$4:T$163,$J130)-INT(G$13),0)*$D$1*$D$2</f>
        <v>1691.7246641541024</v>
      </c>
      <c r="Q130" s="16">
        <v>124</v>
      </c>
      <c r="R130" s="16">
        <f>IF(节奏总纲!P127&lt;C$13,0,求节点($C$18:$C$23,$E$18:$E$23,$Q130)*节奏总纲!W127)*$D$1</f>
        <v>271452664.09874463</v>
      </c>
      <c r="S130" s="16">
        <f>IF(节奏总纲!Q127&lt;D$13,0,求节点($C$18:$C$23,$E$18:$E$23,$Q130)*节奏总纲!X127)*$D$1</f>
        <v>236703449.70517614</v>
      </c>
      <c r="T130" s="16">
        <f>IF(节奏总纲!R127&lt;E$13,0,求节点($C$18:$C$23,$E$18:$E$23,$Q130)*节奏总纲!Y127)*$D$1</f>
        <v>188584398.1902625</v>
      </c>
      <c r="U130" s="16">
        <f>IF(节奏总纲!S127&lt;F$13,0,求节点($C$18:$C$23,$E$18:$E$23,$Q130)*节奏总纲!Z127)*$D$1</f>
        <v>135976871.88792565</v>
      </c>
      <c r="V130" s="16">
        <f>IF(节奏总纲!T127&lt;G$13,0,求节点($C$18:$C$23,$E$18:$E$23,$Q130)*节奏总纲!AA127)*$D$1</f>
        <v>74523791.067887157</v>
      </c>
      <c r="W130" s="16">
        <f>SUM(R$7:R130)</f>
        <v>3944314040.588892</v>
      </c>
      <c r="X130" s="16">
        <f>SUM(S$7:S130)</f>
        <v>3350155883.2075086</v>
      </c>
      <c r="Y130" s="16">
        <f>SUM(T$7:T130)</f>
        <v>2677496261.4815917</v>
      </c>
      <c r="Z130" s="16">
        <f>SUM(U$7:U130)</f>
        <v>1912875617.0721855</v>
      </c>
      <c r="AA130" s="16">
        <f>SUM(V$7:V130)</f>
        <v>1031635644.9229124</v>
      </c>
      <c r="AC130" s="16">
        <v>124</v>
      </c>
      <c r="AD130" s="16">
        <f>IF(节奏总纲!P127&lt;C$13,0,求节点($C$18:$C$23,$F$18:$F$23,$Q130)*节奏总纲!W127)*$D$1</f>
        <v>2422071.1586249317</v>
      </c>
      <c r="AE130" s="16">
        <f>IF(节奏总纲!Q127&lt;D$13,0,求节点($C$18:$C$23,$F$18:$F$23,$Q130)*节奏总纲!X127)*$D$1</f>
        <v>2112016.8430890176</v>
      </c>
      <c r="AF130" s="16">
        <f>IF(节奏总纲!R127&lt;E$13,0,求节点($C$18:$C$23,$F$18:$F$23,$Q130)*节奏总纲!Y127)*$D$1</f>
        <v>1682668.4436485032</v>
      </c>
      <c r="AG130" s="16">
        <f>IF(节奏总纲!S127&lt;F$13,0,求节点($C$18:$C$23,$F$18:$F$23,$Q130)*节奏总纲!Z127)*$D$1</f>
        <v>1213271.0531069902</v>
      </c>
      <c r="AH130" s="16">
        <f>IF(节奏总纲!T127&lt;G$13,0,求节点($C$18:$C$23,$F$18:$F$23,$Q130)*节奏总纲!AA127)*$D$1</f>
        <v>664948.06958777783</v>
      </c>
      <c r="AI130" s="16">
        <f>SUM(AD$7:AD130)</f>
        <v>35100010.474638753</v>
      </c>
      <c r="AJ130" s="16">
        <f>SUM(AE$7:AE130)</f>
        <v>29810913.437062677</v>
      </c>
      <c r="AK130" s="16">
        <f>SUM(AF$7:AF130)</f>
        <v>23823656.701655813</v>
      </c>
      <c r="AL130" s="16">
        <f>SUM(AG$7:AG130)</f>
        <v>17018914.866717208</v>
      </c>
      <c r="AM130" s="16">
        <f>SUM(AH$7:AH130)</f>
        <v>9177538.0115233418</v>
      </c>
      <c r="AO130" s="16">
        <v>124</v>
      </c>
      <c r="AP130" s="16">
        <f>IF(节奏总纲!P127&lt;C$13,0,求节点($C$18:$C$23,$H$18:$H$23,$Q130)*节奏总纲!W127)*$D$1</f>
        <v>46907020.356263079</v>
      </c>
      <c r="AQ130" s="16">
        <f>IF(节奏总纲!Q127&lt;D$13,0,求节点($C$18:$C$23,$H$18:$H$23,$Q130)*节奏总纲!X127)*$D$1</f>
        <v>40902356.109054439</v>
      </c>
      <c r="AR130" s="16">
        <f>IF(节奏总纲!R127&lt;E$13,0,求节点($C$18:$C$23,$H$18:$H$23,$Q130)*节奏总纲!Y127)*$D$1</f>
        <v>32587384.007277362</v>
      </c>
      <c r="AS130" s="16">
        <f>IF(节奏总纲!S127&lt;F$13,0,求节点($C$18:$C$23,$H$18:$H$23,$Q130)*节奏总纲!Z127)*$D$1</f>
        <v>23496803.462233551</v>
      </c>
      <c r="AT130" s="16">
        <f>IF(节奏总纲!T127&lt;G$13,0,求节点($C$18:$C$23,$H$18:$H$23,$Q130)*节奏总纲!AA127)*$D$1</f>
        <v>12877711.096530899</v>
      </c>
      <c r="AU130" s="16">
        <f>SUM(AP$7:AP130)</f>
        <v>691720530.91887057</v>
      </c>
      <c r="AV130" s="16">
        <f>SUM(AQ$7:AQ130)</f>
        <v>587600069.46586478</v>
      </c>
      <c r="AW130" s="16">
        <f>SUM(AR$7:AR130)</f>
        <v>469681041.75035387</v>
      </c>
      <c r="AX130" s="16">
        <f>SUM(AS$7:AS130)</f>
        <v>335585044.48573357</v>
      </c>
      <c r="AY130" s="16">
        <f>SUM(AT$7:AT130)</f>
        <v>180987753.71875101</v>
      </c>
    </row>
    <row r="131" spans="10:51">
      <c r="J131" s="16">
        <v>125</v>
      </c>
      <c r="K131" s="16">
        <f>MAX(求节点(节奏总纲!$O$4:$O$163,节奏总纲!P$4:P$163,$J131)-INT(C$13),0)*$D$1*$D$2</f>
        <v>6924.742501776238</v>
      </c>
      <c r="L131" s="16">
        <f>MAX(求节点(节奏总纲!$O$4:$O$163,节奏总纲!Q$4:Q$163,$J131)-INT(D$13),0)*$D$1*$D$2</f>
        <v>5880.9861667585601</v>
      </c>
      <c r="M131" s="16">
        <f>MAX(求节点(节奏总纲!$O$4:$O$163,节奏总纲!R$4:R$163,$J131)-INT(E$13),0)*$D$1*$D$2</f>
        <v>4710.0458839583753</v>
      </c>
      <c r="N131" s="16">
        <f>MAX(求节点(节奏总纲!$O$4:$O$163,节奏总纲!S$4:S$163,$J131)-INT(F$13),0)*$D$1*$D$2</f>
        <v>3366.5570386137852</v>
      </c>
      <c r="O131" s="16">
        <f>MAX(求节点(节奏总纲!$O$4:$O$163,节奏总纲!T$4:T$163,$J131)-INT(G$13),0)*$D$1*$D$2</f>
        <v>1804.6500102130653</v>
      </c>
      <c r="Q131" s="16">
        <v>125</v>
      </c>
      <c r="R131" s="16">
        <f>IF(节奏总纲!P128&lt;C$13,0,求节点($C$18:$C$23,$E$18:$E$23,$Q131)*节奏总纲!W128)*$D$1</f>
        <v>290935761.71582067</v>
      </c>
      <c r="S131" s="16">
        <f>IF(节奏总纲!Q128&lt;D$13,0,求节点($C$18:$C$23,$E$18:$E$23,$Q131)*节奏总纲!X128)*$D$1</f>
        <v>245470631.10448927</v>
      </c>
      <c r="T131" s="16">
        <f>IF(节奏总纲!R128&lt;E$13,0,求节点($C$18:$C$23,$E$18:$E$23,$Q131)*节奏总纲!Y128)*$D$1</f>
        <v>201571099.16697755</v>
      </c>
      <c r="U131" s="16">
        <f>IF(节奏总纲!S128&lt;F$13,0,求节点($C$18:$C$23,$E$18:$E$23,$Q131)*节奏总纲!Z128)*$D$1</f>
        <v>144319005.73372978</v>
      </c>
      <c r="V131" s="16">
        <f>IF(节奏总纲!T128&lt;G$13,0,求节点($C$18:$C$23,$E$18:$E$23,$Q131)*节奏总纲!AA128)*$D$1</f>
        <v>70578341.286851704</v>
      </c>
      <c r="W131" s="16">
        <f>SUM(R$7:R131)</f>
        <v>4235249802.3047128</v>
      </c>
      <c r="X131" s="16">
        <f>SUM(S$7:S131)</f>
        <v>3595626514.3119979</v>
      </c>
      <c r="Y131" s="16">
        <f>SUM(T$7:T131)</f>
        <v>2879067360.6485691</v>
      </c>
      <c r="Z131" s="16">
        <f>SUM(U$7:U131)</f>
        <v>2057194622.8059154</v>
      </c>
      <c r="AA131" s="16">
        <f>SUM(V$7:V131)</f>
        <v>1102213986.209764</v>
      </c>
      <c r="AC131" s="16">
        <v>125</v>
      </c>
      <c r="AD131" s="16">
        <f>IF(节奏总纲!P128&lt;C$13,0,求节点($C$18:$C$23,$F$18:$F$23,$Q131)*节奏总纲!W128)*$D$1</f>
        <v>2595911.5921888044</v>
      </c>
      <c r="AE131" s="16">
        <f>IF(节奏总纲!Q128&lt;D$13,0,求节点($C$18:$C$23,$F$18:$F$23,$Q131)*节奏总纲!X128)*$D$1</f>
        <v>2190243.1418811521</v>
      </c>
      <c r="AF131" s="16">
        <f>IF(节奏总纲!R128&lt;E$13,0,求节点($C$18:$C$23,$F$18:$F$23,$Q131)*节奏总纲!Y128)*$D$1</f>
        <v>1798543.94623685</v>
      </c>
      <c r="AG131" s="16">
        <f>IF(节奏总纲!S128&lt;F$13,0,求节点($C$18:$C$23,$F$18:$F$23,$Q131)*节奏总纲!Z128)*$D$1</f>
        <v>1287704.8106698231</v>
      </c>
      <c r="AH131" s="16">
        <f>IF(节奏总纲!T128&lt;G$13,0,求节点($C$18:$C$23,$F$18:$F$23,$Q131)*节奏总纲!AA128)*$D$1</f>
        <v>629744.28864800849</v>
      </c>
      <c r="AI131" s="16">
        <f>SUM(AD$7:AD131)</f>
        <v>37695922.066827558</v>
      </c>
      <c r="AJ131" s="16">
        <f>SUM(AE$7:AE131)</f>
        <v>32001156.57894383</v>
      </c>
      <c r="AK131" s="16">
        <f>SUM(AF$7:AF131)</f>
        <v>25622200.647892661</v>
      </c>
      <c r="AL131" s="16">
        <f>SUM(AG$7:AG131)</f>
        <v>18306619.677387033</v>
      </c>
      <c r="AM131" s="16">
        <f>SUM(AH$7:AH131)</f>
        <v>9807282.3001713511</v>
      </c>
      <c r="AO131" s="16">
        <v>125</v>
      </c>
      <c r="AP131" s="16">
        <f>IF(节奏总纲!P128&lt;C$13,0,求节点($C$18:$C$23,$H$18:$H$23,$Q131)*节奏总纲!W128)*$D$1</f>
        <v>50273699.624493822</v>
      </c>
      <c r="AQ131" s="16">
        <f>IF(节奏总纲!Q128&lt;D$13,0,求节点($C$18:$C$23,$H$18:$H$23,$Q131)*节奏总纲!X128)*$D$1</f>
        <v>42417325.054855742</v>
      </c>
      <c r="AR131" s="16">
        <f>IF(节奏总纲!R128&lt;E$13,0,求节点($C$18:$C$23,$H$18:$H$23,$Q131)*节奏总纲!Y128)*$D$1</f>
        <v>34831485.936053723</v>
      </c>
      <c r="AS131" s="16">
        <f>IF(节奏总纲!S128&lt;F$13,0,求节点($C$18:$C$23,$H$18:$H$23,$Q131)*节奏总纲!Z128)*$D$1</f>
        <v>24938324.190788507</v>
      </c>
      <c r="AT131" s="16">
        <f>IF(节奏总纲!T128&lt;G$13,0,求节点($C$18:$C$23,$H$18:$H$23,$Q131)*节奏总纲!AA128)*$D$1</f>
        <v>12195937.374367973</v>
      </c>
      <c r="AU131" s="16">
        <f>SUM(AP$7:AP131)</f>
        <v>741994230.54336441</v>
      </c>
      <c r="AV131" s="16">
        <f>SUM(AQ$7:AQ131)</f>
        <v>630017394.52072048</v>
      </c>
      <c r="AW131" s="16">
        <f>SUM(AR$7:AR131)</f>
        <v>504512527.68640757</v>
      </c>
      <c r="AX131" s="16">
        <f>SUM(AS$7:AS131)</f>
        <v>360523368.67652208</v>
      </c>
      <c r="AY131" s="16">
        <f>SUM(AT$7:AT131)</f>
        <v>193183691.093119</v>
      </c>
    </row>
    <row r="132" spans="10:51">
      <c r="J132" s="16">
        <v>126</v>
      </c>
      <c r="K132" s="16">
        <f>MAX(求节点(节奏总纲!$O$4:$O$163,节奏总纲!P$4:P$163,$J132)-INT(C$13),0)*$D$1*$D$2</f>
        <v>7423.6500677119038</v>
      </c>
      <c r="L132" s="16">
        <f>MAX(求节点(节奏总纲!$O$4:$O$163,节奏总纲!Q$4:Q$163,$J132)-INT(D$13),0)*$D$1*$D$2</f>
        <v>6313.6469825889753</v>
      </c>
      <c r="M132" s="16">
        <f>MAX(求节点(节奏总纲!$O$4:$O$163,节奏总纲!R$4:R$163,$J132)-INT(E$13),0)*$D$1*$D$2</f>
        <v>5053.1771260982641</v>
      </c>
      <c r="N132" s="16">
        <f>MAX(求节点(节奏总纲!$O$4:$O$163,节奏总纲!S$4:S$163,$J132)-INT(F$13),0)*$D$1*$D$2</f>
        <v>3595.0229727996466</v>
      </c>
      <c r="O132" s="16">
        <f>MAX(求节点(节奏总纲!$O$4:$O$163,节奏总纲!T$4:T$163,$J132)-INT(G$13),0)*$D$1*$D$2</f>
        <v>1925.031707564468</v>
      </c>
      <c r="Q132" s="16">
        <v>126</v>
      </c>
      <c r="R132" s="16">
        <f>IF(节奏总纲!P129&lt;C$13,0,求节点($C$18:$C$23,$E$18:$E$23,$Q132)*节奏总纲!W129)*$D$1</f>
        <v>311817228.70979095</v>
      </c>
      <c r="S132" s="16">
        <f>IF(节奏总纲!Q129&lt;D$13,0,求节点($C$18:$C$23,$E$18:$E$23,$Q132)*节奏总纲!X129)*$D$1</f>
        <v>270413009.89400953</v>
      </c>
      <c r="T132" s="16">
        <f>IF(节奏总纲!R129&lt;E$13,0,求节点($C$18:$C$23,$E$18:$E$23,$Q132)*节奏总纲!Y129)*$D$1</f>
        <v>214457026.33743033</v>
      </c>
      <c r="U132" s="16">
        <f>IF(节奏总纲!S129&lt;F$13,0,求节点($C$18:$C$23,$E$18:$E$23,$Q132)*节奏总纲!Z129)*$D$1</f>
        <v>142791208.86616349</v>
      </c>
      <c r="V132" s="16">
        <f>IF(节奏总纲!T129&lt;G$13,0,求节点($C$18:$C$23,$E$18:$E$23,$Q132)*节奏总纲!AA129)*$D$1</f>
        <v>75238560.84462665</v>
      </c>
      <c r="W132" s="16">
        <f>SUM(R$7:R132)</f>
        <v>4547067031.0145035</v>
      </c>
      <c r="X132" s="16">
        <f>SUM(S$7:S132)</f>
        <v>3866039524.2060075</v>
      </c>
      <c r="Y132" s="16">
        <f>SUM(T$7:T132)</f>
        <v>3093524386.9859996</v>
      </c>
      <c r="Z132" s="16">
        <f>SUM(U$7:U132)</f>
        <v>2199985831.6720791</v>
      </c>
      <c r="AA132" s="16">
        <f>SUM(V$7:V132)</f>
        <v>1177452547.0543907</v>
      </c>
      <c r="AC132" s="16">
        <v>126</v>
      </c>
      <c r="AD132" s="16">
        <f>IF(节奏总纲!P129&lt;C$13,0,求节点($C$18:$C$23,$F$18:$F$23,$Q132)*节奏总纲!W129)*$D$1</f>
        <v>2782229.1555982237</v>
      </c>
      <c r="AE132" s="16">
        <f>IF(节奏总纲!Q129&lt;D$13,0,求节点($C$18:$C$23,$F$18:$F$23,$Q132)*节奏总纲!X129)*$D$1</f>
        <v>2412794.7108413279</v>
      </c>
      <c r="AF132" s="16">
        <f>IF(节奏总纲!R129&lt;E$13,0,求节点($C$18:$C$23,$F$18:$F$23,$Q132)*节奏总纲!Y129)*$D$1</f>
        <v>1913520.2816333659</v>
      </c>
      <c r="AG132" s="16">
        <f>IF(节奏总纲!S129&lt;F$13,0,求节点($C$18:$C$23,$F$18:$F$23,$Q132)*节奏总纲!Z129)*$D$1</f>
        <v>1274072.8474638045</v>
      </c>
      <c r="AH132" s="16">
        <f>IF(节奏总纲!T129&lt;G$13,0,求节点($C$18:$C$23,$F$18:$F$23,$Q132)*节奏总纲!AA129)*$D$1</f>
        <v>671325.69445672282</v>
      </c>
      <c r="AI132" s="16">
        <f>SUM(AD$7:AD132)</f>
        <v>40478151.222425781</v>
      </c>
      <c r="AJ132" s="16">
        <f>SUM(AE$7:AE132)</f>
        <v>34413951.289785162</v>
      </c>
      <c r="AK132" s="16">
        <f>SUM(AF$7:AF132)</f>
        <v>27535720.929526027</v>
      </c>
      <c r="AL132" s="16">
        <f>SUM(AG$7:AG132)</f>
        <v>19580692.524850838</v>
      </c>
      <c r="AM132" s="16">
        <f>SUM(AH$7:AH132)</f>
        <v>10478607.994628074</v>
      </c>
      <c r="AO132" s="16">
        <v>126</v>
      </c>
      <c r="AP132" s="16">
        <f>IF(节奏总纲!P129&lt;C$13,0,求节点($C$18:$C$23,$H$18:$H$23,$Q132)*节奏总纲!W129)*$D$1</f>
        <v>53882017.121051863</v>
      </c>
      <c r="AQ132" s="16">
        <f>IF(节奏总纲!Q129&lt;D$13,0,求节点($C$18:$C$23,$H$18:$H$23,$Q132)*节奏总纲!X129)*$D$1</f>
        <v>46727368.10968484</v>
      </c>
      <c r="AR132" s="16">
        <f>IF(节奏总纲!R129&lt;E$13,0,求节点($C$18:$C$23,$H$18:$H$23,$Q132)*节奏总纲!Y129)*$D$1</f>
        <v>37058174.151107959</v>
      </c>
      <c r="AS132" s="16">
        <f>IF(节奏总纲!S129&lt;F$13,0,求节点($C$18:$C$23,$H$18:$H$23,$Q132)*节奏总纲!Z129)*$D$1</f>
        <v>24674320.892073058</v>
      </c>
      <c r="AT132" s="16">
        <f>IF(节奏总纲!T129&lt;G$13,0,求节点($C$18:$C$23,$H$18:$H$23,$Q132)*节奏总纲!AA129)*$D$1</f>
        <v>13001223.313951485</v>
      </c>
      <c r="AU132" s="16">
        <f>SUM(AP$7:AP132)</f>
        <v>795876247.66441631</v>
      </c>
      <c r="AV132" s="16">
        <f>SUM(AQ$7:AQ132)</f>
        <v>676744762.63040531</v>
      </c>
      <c r="AW132" s="16">
        <f>SUM(AR$7:AR132)</f>
        <v>541570701.83751547</v>
      </c>
      <c r="AX132" s="16">
        <f>SUM(AS$7:AS132)</f>
        <v>385197689.56859511</v>
      </c>
      <c r="AY132" s="16">
        <f>SUM(AT$7:AT132)</f>
        <v>206184914.40707049</v>
      </c>
    </row>
    <row r="133" spans="10:51">
      <c r="J133" s="16">
        <v>127</v>
      </c>
      <c r="K133" s="16">
        <f>MAX(求节点(节奏总纲!$O$4:$O$163,节奏总纲!P$4:P$163,$J133)-INT(C$13),0)*$D$1*$D$2</f>
        <v>7958.3659571403259</v>
      </c>
      <c r="L133" s="16">
        <f>MAX(求节点(节奏总纲!$O$4:$O$163,节奏总纲!Q$4:Q$163,$J133)-INT(D$13),0)*$D$1*$D$2</f>
        <v>6768.4228465478482</v>
      </c>
      <c r="M133" s="16">
        <f>MAX(求节点(节奏总纲!$O$4:$O$163,节奏总纲!R$4:R$163,$J133)-INT(E$13),0)*$D$1*$D$2</f>
        <v>5392.4626491539984</v>
      </c>
      <c r="N133" s="16">
        <f>MAX(求节点(节奏总纲!$O$4:$O$163,节奏总纲!S$4:S$163,$J133)-INT(F$13),0)*$D$1*$D$2</f>
        <v>3830.8870083630668</v>
      </c>
      <c r="O133" s="16">
        <f>MAX(求节点(节奏总纲!$O$4:$O$163,节奏总纲!T$4:T$163,$J133)-INT(G$13),0)*$D$1*$D$2</f>
        <v>2056.5517999207741</v>
      </c>
      <c r="Q133" s="16">
        <v>127</v>
      </c>
      <c r="R133" s="16">
        <f>IF(节奏总纲!P130&lt;C$13,0,求节点($C$18:$C$23,$E$18:$E$23,$Q133)*节奏总纲!W130)*$D$1</f>
        <v>334197430.89276332</v>
      </c>
      <c r="S133" s="16">
        <f>IF(节奏总纲!Q130&lt;D$13,0,求节点($C$18:$C$23,$E$18:$E$23,$Q133)*节奏总纲!X130)*$D$1</f>
        <v>284234914.9742952</v>
      </c>
      <c r="T133" s="16">
        <f>IF(节奏总纲!R130&lt;E$13,0,求节点($C$18:$C$23,$E$18:$E$23,$Q133)*节奏总纲!Y130)*$D$1</f>
        <v>212053451.90983415</v>
      </c>
      <c r="U133" s="16">
        <f>IF(节奏总纲!S130&lt;F$13,0,求节点($C$18:$C$23,$E$18:$E$23,$Q133)*节奏总纲!Z130)*$D$1</f>
        <v>147415022.22713768</v>
      </c>
      <c r="V133" s="16">
        <f>IF(节奏总纲!T130&lt;G$13,0,求节点($C$18:$C$23,$E$18:$E$23,$Q133)*节奏总纲!AA130)*$D$1</f>
        <v>82200057.722691327</v>
      </c>
      <c r="W133" s="16">
        <f>SUM(R$7:R133)</f>
        <v>4881264461.9072666</v>
      </c>
      <c r="X133" s="16">
        <f>SUM(S$7:S133)</f>
        <v>4150274439.1803026</v>
      </c>
      <c r="Y133" s="16">
        <f>SUM(T$7:T133)</f>
        <v>3305577838.895834</v>
      </c>
      <c r="Z133" s="16">
        <f>SUM(U$7:U133)</f>
        <v>2347400853.8992167</v>
      </c>
      <c r="AA133" s="16">
        <f>SUM(V$7:V133)</f>
        <v>1259652604.777082</v>
      </c>
      <c r="AC133" s="16">
        <v>127</v>
      </c>
      <c r="AD133" s="16">
        <f>IF(节奏总纲!P130&lt;C$13,0,求节点($C$18:$C$23,$F$18:$F$23,$Q133)*节奏总纲!W130)*$D$1</f>
        <v>2981919.3756649308</v>
      </c>
      <c r="AE133" s="16">
        <f>IF(节奏总纲!Q130&lt;D$13,0,求节点($C$18:$C$23,$F$18:$F$23,$Q133)*节奏总纲!X130)*$D$1</f>
        <v>2536122.4290030231</v>
      </c>
      <c r="AF133" s="16">
        <f>IF(节奏总纲!R130&lt;E$13,0,求节点($C$18:$C$23,$F$18:$F$23,$Q133)*节奏总纲!Y130)*$D$1</f>
        <v>1892074.0809927585</v>
      </c>
      <c r="AG133" s="16">
        <f>IF(节奏总纲!S130&lt;F$13,0,求节点($C$18:$C$23,$F$18:$F$23,$Q133)*节奏总纲!Z130)*$D$1</f>
        <v>1315329.4143192556</v>
      </c>
      <c r="AH133" s="16">
        <f>IF(节奏总纲!T130&lt;G$13,0,求节点($C$18:$C$23,$F$18:$F$23,$Q133)*节奏总纲!AA130)*$D$1</f>
        <v>733440.54186556779</v>
      </c>
      <c r="AI133" s="16">
        <f>SUM(AD$7:AD133)</f>
        <v>43460070.598090708</v>
      </c>
      <c r="AJ133" s="16">
        <f>SUM(AE$7:AE133)</f>
        <v>36950073.718788184</v>
      </c>
      <c r="AK133" s="16">
        <f>SUM(AF$7:AF133)</f>
        <v>29427795.010518786</v>
      </c>
      <c r="AL133" s="16">
        <f>SUM(AG$7:AG133)</f>
        <v>20896021.939170092</v>
      </c>
      <c r="AM133" s="16">
        <f>SUM(AH$7:AH133)</f>
        <v>11212048.536493642</v>
      </c>
      <c r="AO133" s="16">
        <v>127</v>
      </c>
      <c r="AP133" s="16">
        <f>IF(节奏总纲!P130&lt;C$13,0,求节点($C$18:$C$23,$H$18:$H$23,$Q133)*节奏总纲!W130)*$D$1</f>
        <v>57749316.058269501</v>
      </c>
      <c r="AQ133" s="16">
        <f>IF(节奏总纲!Q130&lt;D$13,0,求节点($C$18:$C$23,$H$18:$H$23,$Q133)*节奏总纲!X130)*$D$1</f>
        <v>49115793.307558209</v>
      </c>
      <c r="AR133" s="16">
        <f>IF(节奏总纲!R130&lt;E$13,0,求节点($C$18:$C$23,$H$18:$H$23,$Q133)*节奏总纲!Y130)*$D$1</f>
        <v>36642836.490019344</v>
      </c>
      <c r="AS133" s="16">
        <f>IF(节奏总纲!S130&lt;F$13,0,求节点($C$18:$C$23,$H$18:$H$23,$Q133)*节奏总纲!Z130)*$D$1</f>
        <v>25473315.840849392</v>
      </c>
      <c r="AT133" s="16">
        <f>IF(节奏总纲!T130&lt;G$13,0,求节点($C$18:$C$23,$H$18:$H$23,$Q133)*节奏总纲!AA130)*$D$1</f>
        <v>14204169.974481061</v>
      </c>
      <c r="AU133" s="16">
        <f>SUM(AP$7:AP133)</f>
        <v>853625563.72268581</v>
      </c>
      <c r="AV133" s="16">
        <f>SUM(AQ$7:AQ133)</f>
        <v>725860555.93796349</v>
      </c>
      <c r="AW133" s="16">
        <f>SUM(AR$7:AR133)</f>
        <v>578213538.32753479</v>
      </c>
      <c r="AX133" s="16">
        <f>SUM(AS$7:AS133)</f>
        <v>410671005.40944451</v>
      </c>
      <c r="AY133" s="16">
        <f>SUM(AT$7:AT133)</f>
        <v>220389084.38155156</v>
      </c>
    </row>
    <row r="134" spans="10:51">
      <c r="J134" s="16">
        <v>128</v>
      </c>
      <c r="K134" s="16">
        <f>MAX(求节点(节奏总纲!$O$4:$O$163,节奏总纲!P$4:P$163,$J134)-INT(C$13),0)*$D$1*$D$2</f>
        <v>8531.4602574262135</v>
      </c>
      <c r="L134" s="16">
        <f>MAX(求节点(节奏总纲!$O$4:$O$163,节奏总纲!Q$4:Q$163,$J134)-INT(D$13),0)*$D$1*$D$2</f>
        <v>7221.6129079112907</v>
      </c>
      <c r="M134" s="16">
        <f>MAX(求节点(节奏总纲!$O$4:$O$163,节奏总纲!R$4:R$163,$J134)-INT(E$13),0)*$D$1*$D$2</f>
        <v>5749.189013505269</v>
      </c>
      <c r="N134" s="16">
        <f>MAX(求节点(节奏总纲!$O$4:$O$163,节奏总纲!S$4:S$163,$J134)-INT(F$13),0)*$D$1*$D$2</f>
        <v>4089.7185934358695</v>
      </c>
      <c r="O134" s="16">
        <f>MAX(求节点(节奏总纲!$O$4:$O$163,节奏总纲!T$4:T$163,$J134)-INT(G$13),0)*$D$1*$D$2</f>
        <v>2199.5626803902205</v>
      </c>
      <c r="Q134" s="16">
        <v>128</v>
      </c>
      <c r="R134" s="16">
        <f>IF(节奏总纲!P131&lt;C$13,0,求节点($C$18:$C$23,$E$18:$E$23,$Q134)*节奏总纲!W131)*$D$1</f>
        <v>358183937.67868</v>
      </c>
      <c r="S134" s="16">
        <f>IF(节奏总纲!Q131&lt;D$13,0,求节点($C$18:$C$23,$E$18:$E$23,$Q134)*节奏总纲!X131)*$D$1</f>
        <v>283243788.35215133</v>
      </c>
      <c r="T134" s="16">
        <f>IF(节奏总纲!R131&lt;E$13,0,求节点($C$18:$C$23,$E$18:$E$23,$Q134)*节奏总纲!Y131)*$D$1</f>
        <v>222953977.7195439</v>
      </c>
      <c r="U134" s="16">
        <f>IF(节奏总纲!S131&lt;F$13,0,求节点($C$18:$C$23,$E$18:$E$23,$Q134)*节奏总纲!Z131)*$D$1</f>
        <v>161769740.67050162</v>
      </c>
      <c r="V134" s="16">
        <f>IF(节奏总纲!T131&lt;G$13,0,求节点($C$18:$C$23,$E$18:$E$23,$Q134)*节奏总纲!AA131)*$D$1</f>
        <v>89381800.293404073</v>
      </c>
      <c r="W134" s="16">
        <f>SUM(R$7:R134)</f>
        <v>5239448399.585947</v>
      </c>
      <c r="X134" s="16">
        <f>SUM(S$7:S134)</f>
        <v>4433518227.5324535</v>
      </c>
      <c r="Y134" s="16">
        <f>SUM(T$7:T134)</f>
        <v>3528531816.6153779</v>
      </c>
      <c r="Z134" s="16">
        <f>SUM(U$7:U134)</f>
        <v>2509170594.5697184</v>
      </c>
      <c r="AA134" s="16">
        <f>SUM(V$7:V134)</f>
        <v>1349034405.0704861</v>
      </c>
      <c r="AC134" s="16">
        <v>128</v>
      </c>
      <c r="AD134" s="16">
        <f>IF(节奏总纲!P131&lt;C$13,0,求节点($C$18:$C$23,$F$18:$F$23,$Q134)*节奏总纲!W131)*$D$1</f>
        <v>3195942.0542605482</v>
      </c>
      <c r="AE134" s="16">
        <f>IF(节奏总纲!Q131&lt;D$13,0,求节点($C$18:$C$23,$F$18:$F$23,$Q134)*节奏总纲!X131)*$D$1</f>
        <v>2527278.974789707</v>
      </c>
      <c r="AF134" s="16">
        <f>IF(节奏总纲!R131&lt;E$13,0,求节点($C$18:$C$23,$F$18:$F$23,$Q134)*节奏总纲!Y131)*$D$1</f>
        <v>1989335.4184904101</v>
      </c>
      <c r="AG134" s="16">
        <f>IF(节奏总纲!S131&lt;F$13,0,求节点($C$18:$C$23,$F$18:$F$23,$Q134)*节奏总纲!Z131)*$D$1</f>
        <v>1443411.2279470111</v>
      </c>
      <c r="AH134" s="16">
        <f>IF(节奏总纲!T131&lt;G$13,0,求节点($C$18:$C$23,$F$18:$F$23,$Q134)*节奏总纲!AA131)*$D$1</f>
        <v>797520.55967252026</v>
      </c>
      <c r="AI134" s="16">
        <f>SUM(AD$7:AD134)</f>
        <v>46656012.65235126</v>
      </c>
      <c r="AJ134" s="16">
        <f>SUM(AE$7:AE134)</f>
        <v>39477352.693577893</v>
      </c>
      <c r="AK134" s="16">
        <f>SUM(AF$7:AF134)</f>
        <v>31417130.429009195</v>
      </c>
      <c r="AL134" s="16">
        <f>SUM(AG$7:AG134)</f>
        <v>22339433.167117104</v>
      </c>
      <c r="AM134" s="16">
        <f>SUM(AH$7:AH134)</f>
        <v>12009569.096166162</v>
      </c>
      <c r="AO134" s="16">
        <v>128</v>
      </c>
      <c r="AP134" s="16">
        <f>IF(节奏总纲!P131&lt;C$13,0,求节点($C$18:$C$23,$H$18:$H$23,$Q134)*节奏总纲!W131)*$D$1</f>
        <v>61894184.430875897</v>
      </c>
      <c r="AQ134" s="16">
        <f>IF(节奏总纲!Q131&lt;D$13,0,求节点($C$18:$C$23,$H$18:$H$23,$Q134)*节奏总纲!X131)*$D$1</f>
        <v>48944526.627251752</v>
      </c>
      <c r="AR134" s="16">
        <f>IF(节奏总纲!R131&lt;E$13,0,求节点($C$18:$C$23,$H$18:$H$23,$Q134)*节奏总纲!Y131)*$D$1</f>
        <v>38526447.349937186</v>
      </c>
      <c r="AS134" s="16">
        <f>IF(节奏总纲!S131&lt;F$13,0,求节点($C$18:$C$23,$H$18:$H$23,$Q134)*节奏总纲!Z131)*$D$1</f>
        <v>27953811.187862679</v>
      </c>
      <c r="AT134" s="16">
        <f>IF(节奏总纲!T131&lt;G$13,0,求节点($C$18:$C$23,$H$18:$H$23,$Q134)*节奏总纲!AA131)*$D$1</f>
        <v>15445175.090700224</v>
      </c>
      <c r="AU134" s="16">
        <f>SUM(AP$7:AP134)</f>
        <v>915519748.15356171</v>
      </c>
      <c r="AV134" s="16">
        <f>SUM(AQ$7:AQ134)</f>
        <v>774805082.56521523</v>
      </c>
      <c r="AW134" s="16">
        <f>SUM(AR$7:AR134)</f>
        <v>616739985.677472</v>
      </c>
      <c r="AX134" s="16">
        <f>SUM(AS$7:AS134)</f>
        <v>438624816.59730721</v>
      </c>
      <c r="AY134" s="16">
        <f>SUM(AT$7:AT134)</f>
        <v>235834259.47225177</v>
      </c>
    </row>
    <row r="135" spans="10:51">
      <c r="J135" s="16">
        <v>129</v>
      </c>
      <c r="K135" s="16">
        <f>MAX(求节点(节奏总纲!$O$4:$O$163,节奏总纲!P$4:P$163,$J135)-INT(C$13),0)*$D$1*$D$2</f>
        <v>9145.6875200034337</v>
      </c>
      <c r="L135" s="16">
        <f>MAX(求节点(节奏总纲!$O$4:$O$163,节奏总纲!Q$4:Q$163,$J135)-INT(D$13),0)*$D$1*$D$2</f>
        <v>7741.5562856829074</v>
      </c>
      <c r="M135" s="16">
        <f>MAX(求节点(节奏总纲!$O$4:$O$163,节奏总纲!R$4:R$163,$J135)-INT(E$13),0)*$D$1*$D$2</f>
        <v>6173.2661647543191</v>
      </c>
      <c r="N135" s="16">
        <f>MAX(求节点(节奏总纲!$O$4:$O$163,节奏总纲!S$4:S$163,$J135)-INT(F$13),0)*$D$1*$D$2</f>
        <v>4398.9139858736526</v>
      </c>
      <c r="O135" s="16">
        <f>MAX(求节点(节奏总纲!$O$4:$O$163,节奏总纲!T$4:T$163,$J135)-INT(G$13),0)*$D$1*$D$2</f>
        <v>2363.4744239208881</v>
      </c>
      <c r="Q135" s="16">
        <v>129</v>
      </c>
      <c r="R135" s="16">
        <f>IF(节奏总纲!P132&lt;C$13,0,求节点($C$18:$C$23,$E$18:$E$23,$Q135)*节奏总纲!W132)*$D$1</f>
        <v>383892039.11076289</v>
      </c>
      <c r="S135" s="16">
        <f>IF(节奏总纲!Q132&lt;D$13,0,求节点($C$18:$C$23,$E$18:$E$23,$Q135)*节奏总纲!X132)*$D$1</f>
        <v>324964611.10726094</v>
      </c>
      <c r="T135" s="16">
        <f>IF(节奏总纲!R132&lt;E$13,0,求节点($C$18:$C$23,$E$18:$E$23,$Q135)*节奏总纲!Y132)*$D$1</f>
        <v>265048219.53065652</v>
      </c>
      <c r="U135" s="16">
        <f>IF(节奏总纲!S132&lt;F$13,0,求节点($C$18:$C$23,$E$18:$E$23,$Q135)*节奏总纲!Z132)*$D$1</f>
        <v>193247120.27361444</v>
      </c>
      <c r="V135" s="16">
        <f>IF(节奏总纲!T132&lt;G$13,0,求节点($C$18:$C$23,$E$18:$E$23,$Q135)*节奏总纲!AA132)*$D$1</f>
        <v>102444839.70666698</v>
      </c>
      <c r="W135" s="16">
        <f>SUM(R$7:R135)</f>
        <v>5623340438.6967096</v>
      </c>
      <c r="X135" s="16">
        <f>SUM(S$7:S135)</f>
        <v>4758482838.6397142</v>
      </c>
      <c r="Y135" s="16">
        <f>SUM(T$7:T135)</f>
        <v>3793580036.1460342</v>
      </c>
      <c r="Z135" s="16">
        <f>SUM(U$7:U135)</f>
        <v>2702417714.8433328</v>
      </c>
      <c r="AA135" s="16">
        <f>SUM(V$7:V135)</f>
        <v>1451479244.777153</v>
      </c>
      <c r="AC135" s="16">
        <v>129</v>
      </c>
      <c r="AD135" s="16">
        <f>IF(节奏总纲!P132&lt;C$13,0,求节点($C$18:$C$23,$F$18:$F$23,$Q135)*节奏总纲!W132)*$D$1</f>
        <v>3425325.8815601841</v>
      </c>
      <c r="AE135" s="16">
        <f>IF(节奏总纲!Q132&lt;D$13,0,求节点($C$18:$C$23,$F$18:$F$23,$Q135)*节奏总纲!X132)*$D$1</f>
        <v>2899538.3587406967</v>
      </c>
      <c r="AF135" s="16">
        <f>IF(节奏总纲!R132&lt;E$13,0,求节点($C$18:$C$23,$F$18:$F$23,$Q135)*节奏总纲!Y132)*$D$1</f>
        <v>2364926.6817899738</v>
      </c>
      <c r="AG135" s="16">
        <f>IF(节奏总纲!S132&lt;F$13,0,求节点($C$18:$C$23,$F$18:$F$23,$Q135)*节奏总纲!Z132)*$D$1</f>
        <v>1724272.1785621606</v>
      </c>
      <c r="AH135" s="16">
        <f>IF(节奏总纲!T132&lt;G$13,0,求节点($C$18:$C$23,$F$18:$F$23,$Q135)*节奏总纲!AA132)*$D$1</f>
        <v>914077.20173713984</v>
      </c>
      <c r="AI135" s="16">
        <f>SUM(AD$7:AD135)</f>
        <v>50081338.533911444</v>
      </c>
      <c r="AJ135" s="16">
        <f>SUM(AE$7:AE135)</f>
        <v>42376891.052318588</v>
      </c>
      <c r="AK135" s="16">
        <f>SUM(AF$7:AF135)</f>
        <v>33782057.110799171</v>
      </c>
      <c r="AL135" s="16">
        <f>SUM(AG$7:AG135)</f>
        <v>24063705.345679265</v>
      </c>
      <c r="AM135" s="16">
        <f>SUM(AH$7:AH135)</f>
        <v>12923646.297903301</v>
      </c>
      <c r="AO135" s="16">
        <v>129</v>
      </c>
      <c r="AP135" s="16">
        <f>IF(节奏总纲!P132&lt;C$13,0,求节点($C$18:$C$23,$H$18:$H$23,$Q135)*节奏总纲!W132)*$D$1</f>
        <v>66336544.358339824</v>
      </c>
      <c r="AQ135" s="16">
        <f>IF(节奏总纲!Q132&lt;D$13,0,求节点($C$18:$C$23,$H$18:$H$23,$Q135)*节奏总纲!X132)*$D$1</f>
        <v>56153884.799334683</v>
      </c>
      <c r="AR135" s="16">
        <f>IF(节奏总纲!R132&lt;E$13,0,求节点($C$18:$C$23,$H$18:$H$23,$Q135)*节奏总纲!Y132)*$D$1</f>
        <v>45800332.334897444</v>
      </c>
      <c r="AS135" s="16">
        <f>IF(节奏总纲!S132&lt;F$13,0,求节点($C$18:$C$23,$H$18:$H$23,$Q135)*节奏总纲!Z132)*$D$1</f>
        <v>33393102.383280572</v>
      </c>
      <c r="AT135" s="16">
        <f>IF(节奏总纲!T132&lt;G$13,0,求节点($C$18:$C$23,$H$18:$H$23,$Q135)*节奏总纲!AA132)*$D$1</f>
        <v>17702468.301312055</v>
      </c>
      <c r="AU135" s="16">
        <f>SUM(AP$7:AP135)</f>
        <v>981856292.5119015</v>
      </c>
      <c r="AV135" s="16">
        <f>SUM(AQ$7:AQ135)</f>
        <v>830958967.36454988</v>
      </c>
      <c r="AW135" s="16">
        <f>SUM(AR$7:AR135)</f>
        <v>662540318.01236939</v>
      </c>
      <c r="AX135" s="16">
        <f>SUM(AS$7:AS135)</f>
        <v>472017918.98058778</v>
      </c>
      <c r="AY135" s="16">
        <f>SUM(AT$7:AT135)</f>
        <v>253536727.77356383</v>
      </c>
    </row>
    <row r="136" spans="10:51">
      <c r="J136" s="16">
        <v>130</v>
      </c>
      <c r="K136" s="16">
        <f>MAX(求节点(节奏总纲!$O$4:$O$163,节奏总纲!P$4:P$163,$J136)-INT(C$13),0)*$D$1*$D$2</f>
        <v>9804</v>
      </c>
      <c r="L136" s="16">
        <f>MAX(求节点(节奏总纲!$O$4:$O$163,节奏总纲!Q$4:Q$163,$J136)-INT(D$13),0)*$D$1*$D$2</f>
        <v>8308.6470000000008</v>
      </c>
      <c r="M136" s="16">
        <f>MAX(求节点(节奏总纲!$O$4:$O$163,节奏总纲!R$4:R$163,$J136)-INT(E$13),0)*$D$1*$D$2</f>
        <v>6632.4367200000015</v>
      </c>
      <c r="N136" s="16">
        <f>MAX(求节点(节奏总纲!$O$4:$O$163,节奏总纲!S$4:S$163,$J136)-INT(F$13),0)*$D$1*$D$2</f>
        <v>4728.4060799999997</v>
      </c>
      <c r="O136" s="16">
        <f>MAX(求节点(节奏总纲!$O$4:$O$163,节奏总纲!T$4:T$163,$J136)-INT(G$13),0)*$D$1*$D$2</f>
        <v>2542.4944800000007</v>
      </c>
      <c r="Q136" s="16">
        <v>130</v>
      </c>
      <c r="R136" s="16">
        <f>IF(节奏总纲!P133&lt;C$13,0,求节点($C$18:$C$23,$E$18:$E$23,$Q136)*节奏总纲!W133)*$D$1</f>
        <v>411445299.99785388</v>
      </c>
      <c r="S136" s="16">
        <f>IF(节奏总纲!Q133&lt;D$13,0,求节点($C$18:$C$23,$E$18:$E$23,$Q136)*节奏总纲!X133)*$D$1</f>
        <v>354431696.44818366</v>
      </c>
      <c r="T136" s="16">
        <f>IF(节奏总纲!R133&lt;E$13,0,求节点($C$18:$C$23,$E$18:$E$23,$Q136)*节奏总纲!Y133)*$D$1</f>
        <v>286981597.0285508</v>
      </c>
      <c r="U136" s="16">
        <f>IF(节奏总纲!S133&lt;F$13,0,求节点($C$18:$C$23,$E$18:$E$23,$Q136)*节奏总纲!Z133)*$D$1</f>
        <v>205932558.82896733</v>
      </c>
      <c r="V136" s="16">
        <f>IF(节奏总纲!T133&lt;G$13,0,求节点($C$18:$C$23,$E$18:$E$23,$Q136)*节奏总纲!AA133)*$D$1</f>
        <v>111887535.04944539</v>
      </c>
      <c r="W136" s="16">
        <f>SUM(R$7:R136)</f>
        <v>6034785738.6945639</v>
      </c>
      <c r="X136" s="16">
        <f>SUM(S$7:S136)</f>
        <v>5112914535.0878983</v>
      </c>
      <c r="Y136" s="16">
        <f>SUM(T$7:T136)</f>
        <v>4080561633.1745849</v>
      </c>
      <c r="Z136" s="16">
        <f>SUM(U$7:U136)</f>
        <v>2908350273.6723003</v>
      </c>
      <c r="AA136" s="16">
        <f>SUM(V$7:V136)</f>
        <v>1563366779.8265984</v>
      </c>
      <c r="AC136" s="16">
        <v>130</v>
      </c>
      <c r="AD136" s="16">
        <f>IF(节奏总纲!P133&lt;C$13,0,求节点($C$18:$C$23,$F$18:$F$23,$Q136)*节奏总纲!W133)*$D$1</f>
        <v>3671173.3803948811</v>
      </c>
      <c r="AE136" s="16">
        <f>IF(节奏总纲!Q133&lt;D$13,0,求节点($C$18:$C$23,$F$18:$F$23,$Q136)*节奏总纲!X133)*$D$1</f>
        <v>3162462.2013559463</v>
      </c>
      <c r="AF136" s="16">
        <f>IF(节奏总纲!R133&lt;E$13,0,求节点($C$18:$C$23,$F$18:$F$23,$Q136)*节奏总纲!Y133)*$D$1</f>
        <v>2560630.0513820956</v>
      </c>
      <c r="AG136" s="16">
        <f>IF(节奏总纲!S133&lt;F$13,0,求节点($C$18:$C$23,$F$18:$F$23,$Q136)*节奏总纲!Z133)*$D$1</f>
        <v>1837459.6286151554</v>
      </c>
      <c r="AH136" s="16">
        <f>IF(节奏总纲!T133&lt;G$13,0,求节点($C$18:$C$23,$F$18:$F$23,$Q136)*节奏总纲!AA133)*$D$1</f>
        <v>998330.86019858671</v>
      </c>
      <c r="AI136" s="16">
        <f>SUM(AD$7:AD136)</f>
        <v>53752511.914306328</v>
      </c>
      <c r="AJ136" s="16">
        <f>SUM(AE$7:AE136)</f>
        <v>45539353.253674537</v>
      </c>
      <c r="AK136" s="16">
        <f>SUM(AF$7:AF136)</f>
        <v>36342687.162181266</v>
      </c>
      <c r="AL136" s="16">
        <f>SUM(AG$7:AG136)</f>
        <v>25901164.97429442</v>
      </c>
      <c r="AM136" s="16">
        <f>SUM(AH$7:AH136)</f>
        <v>13921977.158101888</v>
      </c>
      <c r="AO136" s="16">
        <v>130</v>
      </c>
      <c r="AP136" s="16">
        <f>IF(节奏总纲!P133&lt;C$13,0,求节点($C$18:$C$23,$H$18:$H$23,$Q136)*节奏总纲!W133)*$D$1</f>
        <v>71097747.839629158</v>
      </c>
      <c r="AQ136" s="16">
        <f>IF(节奏总纲!Q133&lt;D$13,0,求节点($C$18:$C$23,$H$18:$H$23,$Q136)*节奏总纲!X133)*$D$1</f>
        <v>61245797.146246135</v>
      </c>
      <c r="AR136" s="16">
        <f>IF(节奏总纲!R133&lt;E$13,0,求节点($C$18:$C$23,$H$18:$H$23,$Q136)*节奏总纲!Y133)*$D$1</f>
        <v>49590419.966533579</v>
      </c>
      <c r="AS136" s="16">
        <f>IF(节奏总纲!S133&lt;F$13,0,求节点($C$18:$C$23,$H$18:$H$23,$Q136)*节奏总纲!Z133)*$D$1</f>
        <v>35585146.165645555</v>
      </c>
      <c r="AT136" s="16">
        <f>IF(节奏总纲!T133&lt;G$13,0,求节点($C$18:$C$23,$H$18:$H$23,$Q136)*节奏总纲!AA133)*$D$1</f>
        <v>19334166.056544159</v>
      </c>
      <c r="AU136" s="16">
        <f>SUM(AP$7:AP136)</f>
        <v>1052954040.3515307</v>
      </c>
      <c r="AV136" s="16">
        <f>SUM(AQ$7:AQ136)</f>
        <v>892204764.51079607</v>
      </c>
      <c r="AW136" s="16">
        <f>SUM(AR$7:AR136)</f>
        <v>712130737.97890294</v>
      </c>
      <c r="AX136" s="16">
        <f>SUM(AS$7:AS136)</f>
        <v>507603065.14623332</v>
      </c>
      <c r="AY136" s="16">
        <f>SUM(AT$7:AT136)</f>
        <v>272870893.83010799</v>
      </c>
    </row>
    <row r="137" spans="10:51">
      <c r="J137" s="16">
        <v>131</v>
      </c>
      <c r="K137" s="16">
        <f>MAX(求节点(节奏总纲!$O$4:$O$163,节奏总纲!P$4:P$163,$J137)-INT(C$13),0)*$D$1*$D$2</f>
        <v>10509.56184611678</v>
      </c>
      <c r="L137" s="16">
        <f>MAX(求节点(节奏总纲!$O$4:$O$163,节奏总纲!Q$4:Q$163,$J137)-INT(D$13),0)*$D$1*$D$2</f>
        <v>8910.8245693224162</v>
      </c>
      <c r="M137" s="16">
        <f>MAX(求节点(节奏总纲!$O$4:$O$163,节奏总纲!R$4:R$163,$J137)-INT(E$13),0)*$D$1*$D$2</f>
        <v>7116.1407221902837</v>
      </c>
      <c r="N137" s="16">
        <f>MAX(求节点(节奏总纲!$O$4:$O$163,节奏总纲!S$4:S$163,$J137)-INT(F$13),0)*$D$1*$D$2</f>
        <v>5080.3573525974625</v>
      </c>
      <c r="O137" s="16">
        <f>MAX(求节点(节奏总纲!$O$4:$O$163,节奏总纲!T$4:T$163,$J137)-INT(G$13),0)*$D$1*$D$2</f>
        <v>2723.4102705134687</v>
      </c>
      <c r="Q137" s="16">
        <v>131</v>
      </c>
      <c r="R137" s="16">
        <f>IF(节奏总纲!P134&lt;C$13,0,求节点($C$18:$C$23,$E$18:$E$23,$Q137)*节奏总纲!W134)*$D$1</f>
        <v>440976153.82298636</v>
      </c>
      <c r="S137" s="16">
        <f>IF(节奏总纲!Q134&lt;D$13,0,求节点($C$18:$C$23,$E$18:$E$23,$Q137)*节奏总纲!X134)*$D$1</f>
        <v>376360980.82651007</v>
      </c>
      <c r="T137" s="16">
        <f>IF(节奏总纲!R134&lt;E$13,0,求节点($C$18:$C$23,$E$18:$E$23,$Q137)*节奏总纲!Y134)*$D$1</f>
        <v>302315001.36892647</v>
      </c>
      <c r="U137" s="16">
        <f>IF(节奏总纲!S134&lt;F$13,0,求节点($C$18:$C$23,$E$18:$E$23,$Q137)*节奏总纲!Z134)*$D$1</f>
        <v>219969545.3734138</v>
      </c>
      <c r="V137" s="16">
        <f>IF(节奏总纲!T134&lt;G$13,0,求节点($C$18:$C$23,$E$18:$E$23,$Q137)*节奏总纲!AA134)*$D$1</f>
        <v>113072369.07091771</v>
      </c>
      <c r="W137" s="16">
        <f>SUM(R$7:R137)</f>
        <v>6475761892.5175505</v>
      </c>
      <c r="X137" s="16">
        <f>SUM(S$7:S137)</f>
        <v>5489275515.9144087</v>
      </c>
      <c r="Y137" s="16">
        <f>SUM(T$7:T137)</f>
        <v>4382876634.5435114</v>
      </c>
      <c r="Z137" s="16">
        <f>SUM(U$7:U137)</f>
        <v>3128319819.0457144</v>
      </c>
      <c r="AA137" s="16">
        <f>SUM(V$7:V137)</f>
        <v>1676439148.897516</v>
      </c>
      <c r="AC137" s="16">
        <v>131</v>
      </c>
      <c r="AD137" s="16">
        <f>IF(节奏总纲!P134&lt;C$13,0,求节点($C$18:$C$23,$F$18:$F$23,$Q137)*节奏总纲!W134)*$D$1</f>
        <v>3934666.2054769127</v>
      </c>
      <c r="AE137" s="16">
        <f>IF(节奏总纲!Q134&lt;D$13,0,求节点($C$18:$C$23,$F$18:$F$23,$Q137)*节奏总纲!X134)*$D$1</f>
        <v>3358129.0495645441</v>
      </c>
      <c r="AF137" s="16">
        <f>IF(节奏总纲!R134&lt;E$13,0,求节点($C$18:$C$23,$F$18:$F$23,$Q137)*节奏总纲!Y134)*$D$1</f>
        <v>2697444.3152599721</v>
      </c>
      <c r="AG137" s="16">
        <f>IF(节奏总纲!S134&lt;F$13,0,求节点($C$18:$C$23,$F$18:$F$23,$Q137)*节奏总纲!Z134)*$D$1</f>
        <v>1962706.4386849303</v>
      </c>
      <c r="AH137" s="16">
        <f>IF(节奏总纲!T134&lt;G$13,0,求节点($C$18:$C$23,$F$18:$F$23,$Q137)*节奏总纲!AA134)*$D$1</f>
        <v>1008902.6934892773</v>
      </c>
      <c r="AI137" s="16">
        <f>SUM(AD$7:AD137)</f>
        <v>57687178.119783238</v>
      </c>
      <c r="AJ137" s="16">
        <f>SUM(AE$7:AE137)</f>
        <v>48897482.303239077</v>
      </c>
      <c r="AK137" s="16">
        <f>SUM(AF$7:AF137)</f>
        <v>39040131.477441236</v>
      </c>
      <c r="AL137" s="16">
        <f>SUM(AG$7:AG137)</f>
        <v>27863871.412979349</v>
      </c>
      <c r="AM137" s="16">
        <f>SUM(AH$7:AH137)</f>
        <v>14930879.851591166</v>
      </c>
      <c r="AO137" s="16">
        <v>131</v>
      </c>
      <c r="AP137" s="16">
        <f>IF(节奏总纲!P134&lt;C$13,0,求节点($C$18:$C$23,$H$18:$H$23,$Q137)*节奏总纲!W134)*$D$1</f>
        <v>76200679.380612046</v>
      </c>
      <c r="AQ137" s="16">
        <f>IF(节奏总纲!Q134&lt;D$13,0,求节点($C$18:$C$23,$H$18:$H$23,$Q137)*节奏总纲!X134)*$D$1</f>
        <v>65035177.486820944</v>
      </c>
      <c r="AR137" s="16">
        <f>IF(节奏总纲!R134&lt;E$13,0,求节点($C$18:$C$23,$H$18:$H$23,$Q137)*节奏总纲!Y134)*$D$1</f>
        <v>52240032.236550495</v>
      </c>
      <c r="AS137" s="16">
        <f>IF(节奏总纲!S134&lt;F$13,0,求节点($C$18:$C$23,$H$18:$H$23,$Q137)*节奏总纲!Z134)*$D$1</f>
        <v>38010737.440525904</v>
      </c>
      <c r="AT137" s="16">
        <f>IF(节奏总纲!T134&lt;G$13,0,求节点($C$18:$C$23,$H$18:$H$23,$Q137)*节奏总纲!AA134)*$D$1</f>
        <v>19538905.375454582</v>
      </c>
      <c r="AU137" s="16">
        <f>SUM(AP$7:AP137)</f>
        <v>1129154719.7321427</v>
      </c>
      <c r="AV137" s="16">
        <f>SUM(AQ$7:AQ137)</f>
        <v>957239941.99761701</v>
      </c>
      <c r="AW137" s="16">
        <f>SUM(AR$7:AR137)</f>
        <v>764370770.21545339</v>
      </c>
      <c r="AX137" s="16">
        <f>SUM(AS$7:AS137)</f>
        <v>545613802.58675921</v>
      </c>
      <c r="AY137" s="16">
        <f>SUM(AT$7:AT137)</f>
        <v>292409799.20556259</v>
      </c>
    </row>
    <row r="138" spans="10:51">
      <c r="J138" s="16">
        <v>132</v>
      </c>
      <c r="K138" s="16">
        <f>MAX(求节点(节奏总纲!$O$4:$O$163,节奏总纲!P$4:P$163,$J138)-INT(C$13),0)*$D$1*$D$2</f>
        <v>11265.764308962847</v>
      </c>
      <c r="L138" s="16">
        <f>MAX(求节点(节奏总纲!$O$4:$O$163,节奏总纲!Q$4:Q$163,$J138)-INT(D$13),0)*$D$1*$D$2</f>
        <v>9558.7832161549741</v>
      </c>
      <c r="M138" s="16">
        <f>MAX(求节点(节奏总纲!$O$4:$O$163,节奏总纲!R$4:R$163,$J138)-INT(E$13),0)*$D$1*$D$2</f>
        <v>7645.1774764930833</v>
      </c>
      <c r="N138" s="16">
        <f>MAX(求节点(节奏总纲!$O$4:$O$163,节奏总纲!S$4:S$163,$J138)-INT(F$13),0)*$D$1*$D$2</f>
        <v>5440.3357612290547</v>
      </c>
      <c r="O138" s="16">
        <f>MAX(求节点(节奏总纲!$O$4:$O$163,节奏总纲!T$4:T$163,$J138)-INT(G$13),0)*$D$1*$D$2</f>
        <v>2910.3851774359996</v>
      </c>
      <c r="Q138" s="16">
        <v>132</v>
      </c>
      <c r="R138" s="16">
        <f>IF(节奏总纲!P135&lt;C$13,0,求节点($C$18:$C$23,$E$18:$E$23,$Q138)*节奏总纲!W135)*$D$1</f>
        <v>472626539.27879179</v>
      </c>
      <c r="S138" s="16">
        <f>IF(节奏总纲!Q135&lt;D$13,0,求节点($C$18:$C$23,$E$18:$E$23,$Q138)*节奏总纲!X135)*$D$1</f>
        <v>404974154.27034885</v>
      </c>
      <c r="T138" s="16">
        <f>IF(节奏总纲!R135&lt;E$13,0,求节点($C$18:$C$23,$E$18:$E$23,$Q138)*节奏总纲!Y135)*$D$1</f>
        <v>330647971.43924987</v>
      </c>
      <c r="U138" s="16">
        <f>IF(节奏总纲!S135&lt;F$13,0,求节点($C$18:$C$23,$E$18:$E$23,$Q138)*节奏总纲!Z135)*$D$1</f>
        <v>224986505.39474511</v>
      </c>
      <c r="V138" s="16">
        <f>IF(节奏总纲!T135&lt;G$13,0,求节点($C$18:$C$23,$E$18:$E$23,$Q138)*节奏总纲!AA135)*$D$1</f>
        <v>116859316.82658179</v>
      </c>
      <c r="W138" s="16">
        <f>SUM(R$7:R138)</f>
        <v>6948388431.7963419</v>
      </c>
      <c r="X138" s="16">
        <f>SUM(S$7:S138)</f>
        <v>5894249670.1847572</v>
      </c>
      <c r="Y138" s="16">
        <f>SUM(T$7:T138)</f>
        <v>4713524605.9827614</v>
      </c>
      <c r="Z138" s="16">
        <f>SUM(U$7:U138)</f>
        <v>3353306324.4404593</v>
      </c>
      <c r="AA138" s="16">
        <f>SUM(V$7:V138)</f>
        <v>1793298465.7240977</v>
      </c>
      <c r="AC138" s="16">
        <v>132</v>
      </c>
      <c r="AD138" s="16">
        <f>IF(节奏总纲!P135&lt;C$13,0,求节点($C$18:$C$23,$F$18:$F$23,$Q138)*节奏总纲!W135)*$D$1</f>
        <v>4217070.8229684643</v>
      </c>
      <c r="AE138" s="16">
        <f>IF(节奏总纲!Q135&lt;D$13,0,求节点($C$18:$C$23,$F$18:$F$23,$Q138)*节奏总纲!X135)*$D$1</f>
        <v>3613433.7539230352</v>
      </c>
      <c r="AF138" s="16">
        <f>IF(节奏总纲!R135&lt;E$13,0,求节点($C$18:$C$23,$F$18:$F$23,$Q138)*节奏总纲!Y135)*$D$1</f>
        <v>2950248.869134421</v>
      </c>
      <c r="AG138" s="16">
        <f>IF(节奏总纲!S135&lt;F$13,0,求节点($C$18:$C$23,$F$18:$F$23,$Q138)*节奏总纲!Z135)*$D$1</f>
        <v>2007470.9069651924</v>
      </c>
      <c r="AH138" s="16">
        <f>IF(节奏总纲!T135&lt;G$13,0,求节点($C$18:$C$23,$F$18:$F$23,$Q138)*节奏总纲!AA135)*$D$1</f>
        <v>1042692.2198093317</v>
      </c>
      <c r="AI138" s="16">
        <f>SUM(AD$7:AD138)</f>
        <v>61904248.942751706</v>
      </c>
      <c r="AJ138" s="16">
        <f>SUM(AE$7:AE138)</f>
        <v>52510916.057162113</v>
      </c>
      <c r="AK138" s="16">
        <f>SUM(AF$7:AF138)</f>
        <v>41990380.346575655</v>
      </c>
      <c r="AL138" s="16">
        <f>SUM(AG$7:AG138)</f>
        <v>29871342.319944542</v>
      </c>
      <c r="AM138" s="16">
        <f>SUM(AH$7:AH138)</f>
        <v>15973572.071400497</v>
      </c>
      <c r="AO138" s="16">
        <v>132</v>
      </c>
      <c r="AP138" s="16">
        <f>IF(节奏总纲!P135&lt;C$13,0,求节点($C$18:$C$23,$H$18:$H$23,$Q138)*节奏总纲!W135)*$D$1</f>
        <v>81669865.98737523</v>
      </c>
      <c r="AQ138" s="16">
        <f>IF(节奏总纲!Q135&lt;D$13,0,求节点($C$18:$C$23,$H$18:$H$23,$Q138)*节奏总纲!X135)*$D$1</f>
        <v>69979533.857916296</v>
      </c>
      <c r="AR138" s="16">
        <f>IF(节奏总纲!R135&lt;E$13,0,求节点($C$18:$C$23,$H$18:$H$23,$Q138)*节奏总纲!Y135)*$D$1</f>
        <v>57135969.464702383</v>
      </c>
      <c r="AS138" s="16">
        <f>IF(节奏总纲!S135&lt;F$13,0,求节点($C$18:$C$23,$H$18:$H$23,$Q138)*节奏总纲!Z135)*$D$1</f>
        <v>38877668.132211953</v>
      </c>
      <c r="AT138" s="16">
        <f>IF(节奏总纲!T135&lt;G$13,0,求节点($C$18:$C$23,$H$18:$H$23,$Q138)*节奏总纲!AA135)*$D$1</f>
        <v>20193289.947633334</v>
      </c>
      <c r="AU138" s="16">
        <f>SUM(AP$7:AP138)</f>
        <v>1210824585.7195179</v>
      </c>
      <c r="AV138" s="16">
        <f>SUM(AQ$7:AQ138)</f>
        <v>1027219475.8555334</v>
      </c>
      <c r="AW138" s="16">
        <f>SUM(AR$7:AR138)</f>
        <v>821506739.68015575</v>
      </c>
      <c r="AX138" s="16">
        <f>SUM(AS$7:AS138)</f>
        <v>584491470.71897113</v>
      </c>
      <c r="AY138" s="16">
        <f>SUM(AT$7:AT138)</f>
        <v>312603089.15319592</v>
      </c>
    </row>
    <row r="139" spans="10:51">
      <c r="J139" s="16">
        <v>133</v>
      </c>
      <c r="K139" s="16">
        <f>MAX(求节点(节奏总纲!$O$4:$O$163,节奏总纲!P$4:P$163,$J139)-INT(C$13),0)*$D$1*$D$2</f>
        <v>12076.242040945868</v>
      </c>
      <c r="L139" s="16">
        <f>MAX(求节点(节奏总纲!$O$4:$O$163,节奏总纲!Q$4:Q$163,$J139)-INT(D$13),0)*$D$1*$D$2</f>
        <v>10253.734436967137</v>
      </c>
      <c r="M139" s="16">
        <f>MAX(求节点(节奏总纲!$O$4:$O$163,节奏总纲!R$4:R$163,$J139)-INT(E$13),0)*$D$1*$D$2</f>
        <v>8174.6762617203531</v>
      </c>
      <c r="N139" s="16">
        <f>MAX(求节点(节奏总纲!$O$4:$O$163,节奏总纲!S$4:S$163,$J139)-INT(F$13),0)*$D$1*$D$2</f>
        <v>5803.9631890826786</v>
      </c>
      <c r="O139" s="16">
        <f>MAX(求节点(节奏总纲!$O$4:$O$163,节奏总纲!T$4:T$163,$J139)-INT(G$13),0)*$D$1*$D$2</f>
        <v>3107.7111813394667</v>
      </c>
      <c r="Q139" s="16">
        <v>133</v>
      </c>
      <c r="R139" s="16">
        <f>IF(节奏总纲!P136&lt;C$13,0,求节点($C$18:$C$23,$E$18:$E$23,$Q139)*节奏总纲!W136)*$D$1</f>
        <v>506548582.489389</v>
      </c>
      <c r="S139" s="16">
        <f>IF(节奏总纲!Q136&lt;D$13,0,求节点($C$18:$C$23,$E$18:$E$23,$Q139)*节奏总纲!X136)*$D$1</f>
        <v>434344513.00760067</v>
      </c>
      <c r="T139" s="16">
        <f>IF(节奏总纲!R136&lt;E$13,0,求节点($C$18:$C$23,$E$18:$E$23,$Q139)*节奏总纲!Y136)*$D$1</f>
        <v>330936740.76704431</v>
      </c>
      <c r="U139" s="16">
        <f>IF(节奏总纲!S136&lt;F$13,0,求节点($C$18:$C$23,$E$18:$E$23,$Q139)*节奏总纲!Z136)*$D$1</f>
        <v>227267142.40851516</v>
      </c>
      <c r="V139" s="16">
        <f>IF(节奏总纲!T136&lt;G$13,0,求节点($C$18:$C$23,$E$18:$E$23,$Q139)*节奏总纲!AA136)*$D$1</f>
        <v>123328752.43966703</v>
      </c>
      <c r="W139" s="16">
        <f>SUM(R$7:R139)</f>
        <v>7454937014.2857313</v>
      </c>
      <c r="X139" s="16">
        <f>SUM(S$7:S139)</f>
        <v>6328594183.192358</v>
      </c>
      <c r="Y139" s="16">
        <f>SUM(T$7:T139)</f>
        <v>5044461346.7498055</v>
      </c>
      <c r="Z139" s="16">
        <f>SUM(U$7:U139)</f>
        <v>3580573466.8489742</v>
      </c>
      <c r="AA139" s="16">
        <f>SUM(V$7:V139)</f>
        <v>1916627218.1637647</v>
      </c>
      <c r="AC139" s="16">
        <v>133</v>
      </c>
      <c r="AD139" s="16">
        <f>IF(节奏总纲!P136&lt;C$13,0,求节点($C$18:$C$23,$F$18:$F$23,$Q139)*节奏总纲!W136)*$D$1</f>
        <v>4519744.5976938009</v>
      </c>
      <c r="AE139" s="16">
        <f>IF(节奏总纲!Q136&lt;D$13,0,求节点($C$18:$C$23,$F$18:$F$23,$Q139)*节奏总纲!X136)*$D$1</f>
        <v>3875494.5410298742</v>
      </c>
      <c r="AF139" s="16">
        <f>IF(节奏总纲!R136&lt;E$13,0,求节点($C$18:$C$23,$F$18:$F$23,$Q139)*节奏总纲!Y136)*$D$1</f>
        <v>2952825.4504425046</v>
      </c>
      <c r="AG139" s="16">
        <f>IF(节奏总纲!S136&lt;F$13,0,求节点($C$18:$C$23,$F$18:$F$23,$Q139)*节奏总纲!Z136)*$D$1</f>
        <v>2027820.1827871292</v>
      </c>
      <c r="AH139" s="16">
        <f>IF(节奏总纲!T136&lt;G$13,0,求节点($C$18:$C$23,$F$18:$F$23,$Q139)*节奏总纲!AA136)*$D$1</f>
        <v>1100416.587566263</v>
      </c>
      <c r="AI139" s="16">
        <f>SUM(AD$7:AD139)</f>
        <v>66423993.540445507</v>
      </c>
      <c r="AJ139" s="16">
        <f>SUM(AE$7:AE139)</f>
        <v>56386410.598191991</v>
      </c>
      <c r="AK139" s="16">
        <f>SUM(AF$7:AF139)</f>
        <v>44943205.797018163</v>
      </c>
      <c r="AL139" s="16">
        <f>SUM(AG$7:AG139)</f>
        <v>31899162.50273167</v>
      </c>
      <c r="AM139" s="16">
        <f>SUM(AH$7:AH139)</f>
        <v>17073988.658966761</v>
      </c>
      <c r="AO139" s="16">
        <v>133</v>
      </c>
      <c r="AP139" s="16">
        <f>IF(节奏总纲!P136&lt;C$13,0,求节点($C$18:$C$23,$H$18:$H$23,$Q139)*节奏总纲!W136)*$D$1</f>
        <v>87531595.054166406</v>
      </c>
      <c r="AQ139" s="16">
        <f>IF(节奏总纲!Q136&lt;D$13,0,求节点($C$18:$C$23,$H$18:$H$23,$Q139)*节奏总纲!X136)*$D$1</f>
        <v>75054731.847713396</v>
      </c>
      <c r="AR139" s="16">
        <f>IF(节奏总纲!R136&lt;E$13,0,求节点($C$18:$C$23,$H$18:$H$23,$Q139)*节奏总纲!Y136)*$D$1</f>
        <v>57185868.804545254</v>
      </c>
      <c r="AS139" s="16">
        <f>IF(节奏总纲!S136&lt;F$13,0,求节点($C$18:$C$23,$H$18:$H$23,$Q139)*节奏总纲!Z136)*$D$1</f>
        <v>39271762.208191417</v>
      </c>
      <c r="AT139" s="16">
        <f>IF(节奏总纲!T136&lt;G$13,0,求节点($C$18:$C$23,$H$18:$H$23,$Q139)*节奏总纲!AA136)*$D$1</f>
        <v>21311208.421574462</v>
      </c>
      <c r="AU139" s="16">
        <f>SUM(AP$7:AP139)</f>
        <v>1298356180.7736843</v>
      </c>
      <c r="AV139" s="16">
        <f>SUM(AQ$7:AQ139)</f>
        <v>1102274207.7032468</v>
      </c>
      <c r="AW139" s="16">
        <f>SUM(AR$7:AR139)</f>
        <v>878692608.48470104</v>
      </c>
      <c r="AX139" s="16">
        <f>SUM(AS$7:AS139)</f>
        <v>623763232.92716253</v>
      </c>
      <c r="AY139" s="16">
        <f>SUM(AT$7:AT139)</f>
        <v>333914297.57477039</v>
      </c>
    </row>
    <row r="140" spans="10:51">
      <c r="J140" s="16">
        <v>134</v>
      </c>
      <c r="K140" s="16">
        <f>MAX(求节点(节奏总纲!$O$4:$O$163,节奏总纲!P$4:P$163,$J140)-INT(C$13),0)*$D$1*$D$2</f>
        <v>12944.890566061855</v>
      </c>
      <c r="L140" s="16">
        <f>MAX(求节点(节奏总纲!$O$4:$O$163,节奏总纲!Q$4:Q$163,$J140)-INT(D$13),0)*$D$1*$D$2</f>
        <v>10960.175682284571</v>
      </c>
      <c r="M140" s="16">
        <f>MAX(求节点(节奏总纲!$O$4:$O$163,节奏总纲!R$4:R$163,$J140)-INT(E$13),0)*$D$1*$D$2</f>
        <v>8722.5440324690844</v>
      </c>
      <c r="N140" s="16">
        <f>MAX(求节点(节奏总纲!$O$4:$O$163,节奏总纲!S$4:S$163,$J140)-INT(F$13),0)*$D$1*$D$2</f>
        <v>6196.8793630304153</v>
      </c>
      <c r="O140" s="16">
        <f>MAX(求节点(节奏总纲!$O$4:$O$163,节奏总纲!T$4:T$163,$J140)-INT(G$13),0)*$D$1*$D$2</f>
        <v>3323.5192573646841</v>
      </c>
      <c r="Q140" s="16">
        <v>134</v>
      </c>
      <c r="R140" s="16">
        <f>IF(节奏总纲!P137&lt;C$13,0,求节点($C$18:$C$23,$E$18:$E$23,$Q140)*节奏总纲!W137)*$D$1</f>
        <v>542905328.19749069</v>
      </c>
      <c r="S140" s="16">
        <f>IF(节奏总纲!Q137&lt;D$13,0,求节点($C$18:$C$23,$E$18:$E$23,$Q140)*节奏总纲!X137)*$D$1</f>
        <v>441525778.32339692</v>
      </c>
      <c r="T140" s="16">
        <f>IF(节奏总纲!R137&lt;E$13,0,求节点($C$18:$C$23,$E$18:$E$23,$Q140)*节奏总纲!Y137)*$D$1</f>
        <v>342417356.71795642</v>
      </c>
      <c r="U140" s="16">
        <f>IF(节奏总纲!S137&lt;F$13,0,求节点($C$18:$C$23,$E$18:$E$23,$Q140)*节奏总纲!Z137)*$D$1</f>
        <v>245572608.71733546</v>
      </c>
      <c r="V140" s="16">
        <f>IF(节奏总纲!T137&lt;G$13,0,求节点($C$18:$C$23,$E$18:$E$23,$Q140)*节奏总纲!AA137)*$D$1</f>
        <v>134880047.51576054</v>
      </c>
      <c r="W140" s="16">
        <f>SUM(R$7:R140)</f>
        <v>7997842342.483222</v>
      </c>
      <c r="X140" s="16">
        <f>SUM(S$7:S140)</f>
        <v>6770119961.5157547</v>
      </c>
      <c r="Y140" s="16">
        <f>SUM(T$7:T140)</f>
        <v>5386878703.467762</v>
      </c>
      <c r="Z140" s="16">
        <f>SUM(U$7:U140)</f>
        <v>3826146075.5663099</v>
      </c>
      <c r="AA140" s="16">
        <f>SUM(V$7:V140)</f>
        <v>2051507265.6795254</v>
      </c>
      <c r="AC140" s="16">
        <v>134</v>
      </c>
      <c r="AD140" s="16">
        <f>IF(节奏总纲!P137&lt;C$13,0,求节点($C$18:$C$23,$F$18:$F$23,$Q140)*节奏总纲!W137)*$D$1</f>
        <v>4844142.3172498755</v>
      </c>
      <c r="AE140" s="16">
        <f>IF(节奏总纲!Q137&lt;D$13,0,求节点($C$18:$C$23,$F$18:$F$23,$Q140)*节奏总纲!X137)*$D$1</f>
        <v>3939570.3004687158</v>
      </c>
      <c r="AF140" s="16">
        <f>IF(节奏总纲!R137&lt;E$13,0,求节点($C$18:$C$23,$F$18:$F$23,$Q140)*节奏总纲!Y137)*$D$1</f>
        <v>3055262.7165134633</v>
      </c>
      <c r="AG140" s="16">
        <f>IF(节奏总纲!S137&lt;F$13,0,求节点($C$18:$C$23,$F$18:$F$23,$Q140)*节奏总纲!Z137)*$D$1</f>
        <v>2191153.0501913922</v>
      </c>
      <c r="AH140" s="16">
        <f>IF(节奏总纲!T137&lt;G$13,0,求节点($C$18:$C$23,$F$18:$F$23,$Q140)*节奏总纲!AA137)*$D$1</f>
        <v>1203484.4971830756</v>
      </c>
      <c r="AI140" s="16">
        <f>SUM(AD$7:AD140)</f>
        <v>71268135.857695386</v>
      </c>
      <c r="AJ140" s="16">
        <f>SUM(AE$7:AE140)</f>
        <v>60325980.898660704</v>
      </c>
      <c r="AK140" s="16">
        <f>SUM(AF$7:AF140)</f>
        <v>47998468.513531625</v>
      </c>
      <c r="AL140" s="16">
        <f>SUM(AG$7:AG140)</f>
        <v>34090315.552923061</v>
      </c>
      <c r="AM140" s="16">
        <f>SUM(AH$7:AH140)</f>
        <v>18277473.156149838</v>
      </c>
      <c r="AO140" s="16">
        <v>134</v>
      </c>
      <c r="AP140" s="16">
        <f>IF(节奏总纲!P137&lt;C$13,0,求节点($C$18:$C$23,$H$18:$H$23,$Q140)*节奏总纲!W137)*$D$1</f>
        <v>93814040.712526396</v>
      </c>
      <c r="AQ140" s="16">
        <f>IF(节奏总纲!Q137&lt;D$13,0,求节点($C$18:$C$23,$H$18:$H$23,$Q140)*节奏总纲!X137)*$D$1</f>
        <v>76295654.494282991</v>
      </c>
      <c r="AR140" s="16">
        <f>IF(节奏总纲!R137&lt;E$13,0,求节点($C$18:$C$23,$H$18:$H$23,$Q140)*节奏总纲!Y137)*$D$1</f>
        <v>59169719.240862861</v>
      </c>
      <c r="AS140" s="16">
        <f>IF(节奏总纲!S137&lt;F$13,0,求节点($C$18:$C$23,$H$18:$H$23,$Q140)*节奏总纲!Z137)*$D$1</f>
        <v>42434946.78635557</v>
      </c>
      <c r="AT140" s="16">
        <f>IF(节奏总纲!T137&lt;G$13,0,求节点($C$18:$C$23,$H$18:$H$23,$Q140)*节奏总纲!AA137)*$D$1</f>
        <v>23307272.210723426</v>
      </c>
      <c r="AU140" s="16">
        <f>SUM(AP$7:AP140)</f>
        <v>1392170221.4862106</v>
      </c>
      <c r="AV140" s="16">
        <f>SUM(AQ$7:AQ140)</f>
        <v>1178569862.1975298</v>
      </c>
      <c r="AW140" s="16">
        <f>SUM(AR$7:AR140)</f>
        <v>937862327.72556388</v>
      </c>
      <c r="AX140" s="16">
        <f>SUM(AS$7:AS140)</f>
        <v>666198179.71351814</v>
      </c>
      <c r="AY140" s="16">
        <f>SUM(AT$7:AT140)</f>
        <v>357221569.78549379</v>
      </c>
    </row>
    <row r="141" spans="10:51">
      <c r="J141" s="16">
        <v>135</v>
      </c>
      <c r="K141" s="16">
        <f>MAX(求节点(节奏总纲!$O$4:$O$163,节奏总纲!P$4:P$163,$J141)-INT(C$13),0)*$D$1*$D$2</f>
        <v>13875.885003552476</v>
      </c>
      <c r="L141" s="16">
        <f>MAX(求节点(节奏总纲!$O$4:$O$163,节奏总纲!Q$4:Q$163,$J141)-INT(D$13),0)*$D$1*$D$2</f>
        <v>11734.54758750433</v>
      </c>
      <c r="M141" s="16">
        <f>MAX(求节点(节奏总纲!$O$4:$O$163,节奏总纲!R$4:R$163,$J141)-INT(E$13),0)*$D$1*$D$2</f>
        <v>9337.4302073908166</v>
      </c>
      <c r="N141" s="16">
        <f>MAX(求节点(节奏总纲!$O$4:$O$163,节奏总纲!S$4:S$163,$J141)-INT(F$13),0)*$D$1*$D$2</f>
        <v>6645.4197167016364</v>
      </c>
      <c r="O141" s="16">
        <f>MAX(求节点(节奏总纲!$O$4:$O$163,节奏总纲!T$4:T$163,$J141)-INT(G$13),0)*$D$1*$D$2</f>
        <v>3568.1590629136972</v>
      </c>
      <c r="Q141" s="16">
        <v>135</v>
      </c>
      <c r="R141" s="16">
        <f>IF(节奏总纲!P138&lt;C$13,0,求节点($C$18:$C$23,$E$18:$E$23,$Q141)*节奏总纲!W138)*$D$1</f>
        <v>581871523.43164003</v>
      </c>
      <c r="S141" s="16">
        <f>IF(节奏总纲!Q138&lt;D$13,0,求节点($C$18:$C$23,$E$18:$E$23,$Q141)*节奏总纲!X138)*$D$1</f>
        <v>483982440.76234913</v>
      </c>
      <c r="T141" s="16">
        <f>IF(节奏总纲!R138&lt;E$13,0,求节点($C$18:$C$23,$E$18:$E$23,$Q141)*节奏总纲!Y138)*$D$1</f>
        <v>384303859.32608372</v>
      </c>
      <c r="U141" s="16">
        <f>IF(节奏总纲!S138&lt;F$13,0,求节点($C$18:$C$23,$E$18:$E$23,$Q141)*节奏总纲!Z138)*$D$1</f>
        <v>280337721.04451329</v>
      </c>
      <c r="V141" s="16">
        <f>IF(节奏总纲!T138&lt;G$13,0,求节点($C$18:$C$23,$E$18:$E$23,$Q141)*节奏总纲!AA138)*$D$1</f>
        <v>152899878.46813324</v>
      </c>
      <c r="W141" s="16">
        <f>SUM(R$7:R141)</f>
        <v>8579713865.9148617</v>
      </c>
      <c r="X141" s="16">
        <f>SUM(S$7:S141)</f>
        <v>7254102402.2781038</v>
      </c>
      <c r="Y141" s="16">
        <f>SUM(T$7:T141)</f>
        <v>5771182562.7938461</v>
      </c>
      <c r="Z141" s="16">
        <f>SUM(U$7:U141)</f>
        <v>4106483796.6108232</v>
      </c>
      <c r="AA141" s="16">
        <f>SUM(V$7:V141)</f>
        <v>2204407144.1476588</v>
      </c>
      <c r="AC141" s="16">
        <v>135</v>
      </c>
      <c r="AD141" s="16">
        <f>IF(节奏总纲!P138&lt;C$13,0,求节点($C$18:$C$23,$F$18:$F$23,$Q141)*节奏总纲!W138)*$D$1</f>
        <v>5191823.1843775967</v>
      </c>
      <c r="AE141" s="16">
        <f>IF(节奏总纲!Q138&lt;D$13,0,求节点($C$18:$C$23,$F$18:$F$23,$Q141)*节奏总纲!X138)*$D$1</f>
        <v>4318395.3082330655</v>
      </c>
      <c r="AF141" s="16">
        <f>IF(节奏总纲!R138&lt;E$13,0,求节点($C$18:$C$23,$F$18:$F$23,$Q141)*节奏总纲!Y138)*$D$1</f>
        <v>3429000.4001705609</v>
      </c>
      <c r="AG141" s="16">
        <f>IF(节奏总纲!S138&lt;F$13,0,求节点($C$18:$C$23,$F$18:$F$23,$Q141)*节奏总纲!Z138)*$D$1</f>
        <v>2501349.2170758815</v>
      </c>
      <c r="AH141" s="16">
        <f>IF(节奏总纲!T138&lt;G$13,0,求节点($C$18:$C$23,$F$18:$F$23,$Q141)*节奏总纲!AA138)*$D$1</f>
        <v>1364268.7465399436</v>
      </c>
      <c r="AI141" s="16">
        <f>SUM(AD$7:AD141)</f>
        <v>76459959.042072982</v>
      </c>
      <c r="AJ141" s="16">
        <f>SUM(AE$7:AE141)</f>
        <v>64644376.206893772</v>
      </c>
      <c r="AK141" s="16">
        <f>SUM(AF$7:AF141)</f>
        <v>51427468.91370219</v>
      </c>
      <c r="AL141" s="16">
        <f>SUM(AG$7:AG141)</f>
        <v>36591664.769998945</v>
      </c>
      <c r="AM141" s="16">
        <f>SUM(AH$7:AH141)</f>
        <v>19641741.902689781</v>
      </c>
      <c r="AO141" s="16">
        <v>135</v>
      </c>
      <c r="AP141" s="16">
        <f>IF(节奏总纲!P138&lt;C$13,0,求节点($C$18:$C$23,$H$18:$H$23,$Q141)*节奏总纲!W138)*$D$1</f>
        <v>100547399.24898741</v>
      </c>
      <c r="AQ141" s="16">
        <f>IF(节奏总纲!Q138&lt;D$13,0,求节点($C$18:$C$23,$H$18:$H$23,$Q141)*节奏总纲!X138)*$D$1</f>
        <v>83632165.763733938</v>
      </c>
      <c r="AR141" s="16">
        <f>IF(节奏总纲!R138&lt;E$13,0,求节点($C$18:$C$23,$H$18:$H$23,$Q141)*节奏总纲!Y138)*$D$1</f>
        <v>66407706.891547263</v>
      </c>
      <c r="AS141" s="16">
        <f>IF(节奏总纲!S138&lt;F$13,0,求节点($C$18:$C$23,$H$18:$H$23,$Q141)*节奏总纲!Z138)*$D$1</f>
        <v>48442358.19649189</v>
      </c>
      <c r="AT141" s="16">
        <f>IF(节奏总纲!T138&lt;G$13,0,求节点($C$18:$C$23,$H$18:$H$23,$Q141)*节奏总纲!AA138)*$D$1</f>
        <v>26421098.999293424</v>
      </c>
      <c r="AU141" s="16">
        <f>SUM(AP$7:AP141)</f>
        <v>1492717620.735198</v>
      </c>
      <c r="AV141" s="16">
        <f>SUM(AQ$7:AQ141)</f>
        <v>1262202027.9612637</v>
      </c>
      <c r="AW141" s="16">
        <f>SUM(AR$7:AR141)</f>
        <v>1004270034.6171112</v>
      </c>
      <c r="AX141" s="16">
        <f>SUM(AS$7:AS141)</f>
        <v>714640537.91000998</v>
      </c>
      <c r="AY141" s="16">
        <f>SUM(AT$7:AT141)</f>
        <v>383642668.78478724</v>
      </c>
    </row>
    <row r="142" spans="10:51">
      <c r="J142" s="16">
        <v>136</v>
      </c>
      <c r="K142" s="16">
        <f>MAX(求节点(节奏总纲!$O$4:$O$163,节奏总纲!P$4:P$163,$J142)-INT(C$13),0)*$D$1*$D$2</f>
        <v>14873.700135423809</v>
      </c>
      <c r="L142" s="16">
        <f>MAX(求节点(节奏总纲!$O$4:$O$163,节奏总纲!Q$4:Q$163,$J142)-INT(D$13),0)*$D$1*$D$2</f>
        <v>12587.339184609169</v>
      </c>
      <c r="M142" s="16">
        <f>MAX(求节点(节奏总纲!$O$4:$O$163,节奏总纲!R$4:R$163,$J142)-INT(E$13),0)*$D$1*$D$2</f>
        <v>10043.227261451699</v>
      </c>
      <c r="N142" s="16">
        <f>MAX(求节点(节奏总纲!$O$4:$O$163,节奏总纲!S$4:S$163,$J142)-INT(F$13),0)*$D$1*$D$2</f>
        <v>7147.2114050846831</v>
      </c>
      <c r="O142" s="16">
        <f>MAX(求节点(节奏总纲!$O$4:$O$163,节奏总纲!T$4:T$163,$J142)-INT(G$13),0)*$D$1*$D$2</f>
        <v>3838.2061249528851</v>
      </c>
      <c r="Q142" s="16">
        <v>136</v>
      </c>
      <c r="R142" s="16">
        <f>IF(节奏总纲!P139&lt;C$13,0,求节点($C$18:$C$23,$E$18:$E$23,$Q142)*节奏总纲!W139)*$D$1</f>
        <v>623634457.41958189</v>
      </c>
      <c r="S142" s="16">
        <f>IF(节奏总纲!Q139&lt;D$13,0,求节点($C$18:$C$23,$E$18:$E$23,$Q142)*节奏总纲!X139)*$D$1</f>
        <v>532994748.19052505</v>
      </c>
      <c r="T142" s="16">
        <f>IF(节奏总纲!R139&lt;E$13,0,求节点($C$18:$C$23,$E$18:$E$23,$Q142)*节奏总纲!Y139)*$D$1</f>
        <v>441123158.78805041</v>
      </c>
      <c r="U142" s="16">
        <f>IF(节奏总纲!S139&lt;F$13,0,求节点($C$18:$C$23,$E$18:$E$23,$Q142)*节奏总纲!Z139)*$D$1</f>
        <v>313619805.23940337</v>
      </c>
      <c r="V142" s="16">
        <f>IF(节奏总纲!T139&lt;G$13,0,求节点($C$18:$C$23,$E$18:$E$23,$Q142)*节奏总纲!AA139)*$D$1</f>
        <v>168779413.77449256</v>
      </c>
      <c r="W142" s="16">
        <f>SUM(R$7:R142)</f>
        <v>9203348323.334444</v>
      </c>
      <c r="X142" s="16">
        <f>SUM(S$7:S142)</f>
        <v>7787097150.4686289</v>
      </c>
      <c r="Y142" s="16">
        <f>SUM(T$7:T142)</f>
        <v>6212305721.5818968</v>
      </c>
      <c r="Z142" s="16">
        <f>SUM(U$7:U142)</f>
        <v>4420103601.8502264</v>
      </c>
      <c r="AA142" s="16">
        <f>SUM(V$7:V142)</f>
        <v>2373186557.9221516</v>
      </c>
      <c r="AC142" s="16">
        <v>136</v>
      </c>
      <c r="AD142" s="16">
        <f>IF(节奏总纲!P139&lt;C$13,0,求节点($C$18:$C$23,$F$18:$F$23,$Q142)*节奏总纲!W139)*$D$1</f>
        <v>5564458.3111964474</v>
      </c>
      <c r="AE142" s="16">
        <f>IF(节奏总纲!Q139&lt;D$13,0,求节点($C$18:$C$23,$F$18:$F$23,$Q142)*节奏总纲!X139)*$D$1</f>
        <v>4755713.8979532272</v>
      </c>
      <c r="AF142" s="16">
        <f>IF(节奏总纲!R139&lt;E$13,0,求节点($C$18:$C$23,$F$18:$F$23,$Q142)*节奏总纲!Y139)*$D$1</f>
        <v>3935977.8761036815</v>
      </c>
      <c r="AG142" s="16">
        <f>IF(节奏总纲!S139&lt;F$13,0,求节点($C$18:$C$23,$F$18:$F$23,$Q142)*节奏总纲!Z139)*$D$1</f>
        <v>2798312.8755281204</v>
      </c>
      <c r="AH142" s="16">
        <f>IF(节奏总纲!T139&lt;G$13,0,求节点($C$18:$C$23,$F$18:$F$23,$Q142)*节奏总纲!AA139)*$D$1</f>
        <v>1505955.9339013041</v>
      </c>
      <c r="AI142" s="16">
        <f>SUM(AD$7:AD142)</f>
        <v>82024417.353269428</v>
      </c>
      <c r="AJ142" s="16">
        <f>SUM(AE$7:AE142)</f>
        <v>69400090.104846999</v>
      </c>
      <c r="AK142" s="16">
        <f>SUM(AF$7:AF142)</f>
        <v>55363446.789805874</v>
      </c>
      <c r="AL142" s="16">
        <f>SUM(AG$7:AG142)</f>
        <v>39389977.645527065</v>
      </c>
      <c r="AM142" s="16">
        <f>SUM(AH$7:AH142)</f>
        <v>21147697.836591084</v>
      </c>
      <c r="AO142" s="16">
        <v>136</v>
      </c>
      <c r="AP142" s="16">
        <f>IF(节奏总纲!P139&lt;C$13,0,求节点($C$18:$C$23,$H$18:$H$23,$Q142)*节奏总纲!W139)*$D$1</f>
        <v>107764034.24210373</v>
      </c>
      <c r="AQ142" s="16">
        <f>IF(节奏总纲!Q139&lt;D$13,0,求节点($C$18:$C$23,$H$18:$H$23,$Q142)*节奏总纲!X139)*$D$1</f>
        <v>92101492.487322748</v>
      </c>
      <c r="AR142" s="16">
        <f>IF(节奏总纲!R139&lt;E$13,0,求节点($C$18:$C$23,$H$18:$H$23,$Q142)*节奏总纲!Y139)*$D$1</f>
        <v>76226081.838575125</v>
      </c>
      <c r="AS142" s="16">
        <f>IF(节奏总纲!S139&lt;F$13,0,求节点($C$18:$C$23,$H$18:$H$23,$Q142)*节奏总纲!Z139)*$D$1</f>
        <v>54193502.345368907</v>
      </c>
      <c r="AT142" s="16">
        <f>IF(节奏总纲!T139&lt;G$13,0,求节点($C$18:$C$23,$H$18:$H$23,$Q142)*节奏总纲!AA139)*$D$1</f>
        <v>29165082.700232316</v>
      </c>
      <c r="AU142" s="16">
        <f>SUM(AP$7:AP142)</f>
        <v>1600481654.9773018</v>
      </c>
      <c r="AV142" s="16">
        <f>SUM(AQ$7:AQ142)</f>
        <v>1354303520.4485865</v>
      </c>
      <c r="AW142" s="16">
        <f>SUM(AR$7:AR142)</f>
        <v>1080496116.4556863</v>
      </c>
      <c r="AX142" s="16">
        <f>SUM(AS$7:AS142)</f>
        <v>768834040.25537884</v>
      </c>
      <c r="AY142" s="16">
        <f>SUM(AT$7:AT142)</f>
        <v>412807751.48501956</v>
      </c>
    </row>
    <row r="143" spans="10:51">
      <c r="J143" s="16">
        <v>137</v>
      </c>
      <c r="K143" s="16">
        <f>MAX(求节点(节奏总纲!$O$4:$O$163,节奏总纲!P$4:P$163,$J143)-INT(C$13),0)*$D$1*$D$2</f>
        <v>15943.131914280653</v>
      </c>
      <c r="L143" s="16">
        <f>MAX(求节点(节奏总纲!$O$4:$O$163,节奏总纲!Q$4:Q$163,$J143)-INT(D$13),0)*$D$1*$D$2</f>
        <v>13508.367630969999</v>
      </c>
      <c r="M143" s="16">
        <f>MAX(求节点(节奏总纲!$O$4:$O$163,节奏总纲!R$4:R$163,$J143)-INT(E$13),0)*$D$1*$D$2</f>
        <v>10776.592374053722</v>
      </c>
      <c r="N143" s="16">
        <f>MAX(求节点(节奏总纲!$O$4:$O$163,节奏总纲!S$4:S$163,$J143)-INT(F$13),0)*$D$1*$D$2</f>
        <v>7675.5518167261343</v>
      </c>
      <c r="O143" s="16">
        <f>MAX(求节点(节奏总纲!$O$4:$O$163,节奏总纲!T$4:T$163,$J143)-INT(G$13),0)*$D$1*$D$2</f>
        <v>4119.0169666501215</v>
      </c>
      <c r="Q143" s="16">
        <v>137</v>
      </c>
      <c r="R143" s="16">
        <f>IF(节奏总纲!P140&lt;C$13,0,求节点($C$18:$C$23,$E$18:$E$23,$Q143)*节奏总纲!W140)*$D$1</f>
        <v>668394861.78552806</v>
      </c>
      <c r="S143" s="16">
        <f>IF(节奏总纲!Q140&lt;D$13,0,求节点($C$18:$C$23,$E$18:$E$23,$Q143)*节奏总纲!X140)*$D$1</f>
        <v>575642778.97551703</v>
      </c>
      <c r="T143" s="16">
        <f>IF(节奏总纲!R140&lt;E$13,0,求节点($C$18:$C$23,$E$18:$E$23,$Q143)*节奏总纲!Y140)*$D$1</f>
        <v>458353195.37626445</v>
      </c>
      <c r="U143" s="16">
        <f>IF(节奏总纲!S140&lt;F$13,0,求节点($C$18:$C$23,$E$18:$E$23,$Q143)*节奏总纲!Z140)*$D$1</f>
        <v>330212757.27590775</v>
      </c>
      <c r="V143" s="16">
        <f>IF(节奏总纲!T140&lt;G$13,0,求节点($C$18:$C$23,$E$18:$E$23,$Q143)*节奏总纲!AA140)*$D$1</f>
        <v>175506776.06077251</v>
      </c>
      <c r="W143" s="16">
        <f>SUM(R$7:R143)</f>
        <v>9871743185.1199722</v>
      </c>
      <c r="X143" s="16">
        <f>SUM(S$7:S143)</f>
        <v>8362739929.4441462</v>
      </c>
      <c r="Y143" s="16">
        <f>SUM(T$7:T143)</f>
        <v>6670658916.9581614</v>
      </c>
      <c r="Z143" s="16">
        <f>SUM(U$7:U143)</f>
        <v>4750316359.1261339</v>
      </c>
      <c r="AA143" s="16">
        <f>SUM(V$7:V143)</f>
        <v>2548693333.982924</v>
      </c>
      <c r="AC143" s="16">
        <v>137</v>
      </c>
      <c r="AD143" s="16">
        <f>IF(节奏总纲!P140&lt;C$13,0,求节点($C$18:$C$23,$F$18:$F$23,$Q143)*节奏总纲!W140)*$D$1</f>
        <v>5963838.7513298746</v>
      </c>
      <c r="AE143" s="16">
        <f>IF(节奏总纲!Q140&lt;D$13,0,求节点($C$18:$C$23,$F$18:$F$23,$Q143)*节奏总纲!X140)*$D$1</f>
        <v>5136246.4142924361</v>
      </c>
      <c r="AF143" s="16">
        <f>IF(节奏总纲!R140&lt;E$13,0,求节点($C$18:$C$23,$F$18:$F$23,$Q143)*节奏总纲!Y140)*$D$1</f>
        <v>4089715.0841024388</v>
      </c>
      <c r="AG143" s="16">
        <f>IF(节奏总纲!S140&lt;F$13,0,求节点($C$18:$C$23,$F$18:$F$23,$Q143)*节奏总纲!Z140)*$D$1</f>
        <v>2946365.6150269108</v>
      </c>
      <c r="AH143" s="16">
        <f>IF(节奏总纲!T140&lt;G$13,0,求节点($C$18:$C$23,$F$18:$F$23,$Q143)*节奏总纲!AA140)*$D$1</f>
        <v>1565981.685430832</v>
      </c>
      <c r="AI143" s="16">
        <f>SUM(AD$7:AD143)</f>
        <v>87988256.104599297</v>
      </c>
      <c r="AJ143" s="16">
        <f>SUM(AE$7:AE143)</f>
        <v>74536336.519139439</v>
      </c>
      <c r="AK143" s="16">
        <f>SUM(AF$7:AF143)</f>
        <v>59453161.873908311</v>
      </c>
      <c r="AL143" s="16">
        <f>SUM(AG$7:AG143)</f>
        <v>42336343.260553978</v>
      </c>
      <c r="AM143" s="16">
        <f>SUM(AH$7:AH143)</f>
        <v>22713679.522021916</v>
      </c>
      <c r="AO143" s="16">
        <v>137</v>
      </c>
      <c r="AP143" s="16">
        <f>IF(节奏总纲!P140&lt;C$13,0,求节点($C$18:$C$23,$H$18:$H$23,$Q143)*节奏总纲!W140)*$D$1</f>
        <v>115498632.11653925</v>
      </c>
      <c r="AQ143" s="16">
        <f>IF(节奏总纲!Q140&lt;D$13,0,求节点($C$18:$C$23,$H$18:$H$23,$Q143)*节奏总纲!X140)*$D$1</f>
        <v>99471072.206969351</v>
      </c>
      <c r="AR143" s="16">
        <f>IF(节奏总纲!R140&lt;E$13,0,求节点($C$18:$C$23,$H$18:$H$23,$Q143)*节奏总纲!Y140)*$D$1</f>
        <v>79203432.161018491</v>
      </c>
      <c r="AS143" s="16">
        <f>IF(节奏总纲!S140&lt;F$13,0,求节点($C$18:$C$23,$H$18:$H$23,$Q143)*节奏总纲!Z140)*$D$1</f>
        <v>57060764.457276851</v>
      </c>
      <c r="AT143" s="16">
        <f>IF(节奏总纲!T140&lt;G$13,0,求节点($C$18:$C$23,$H$18:$H$23,$Q143)*节奏总纲!AA140)*$D$1</f>
        <v>30327570.903301489</v>
      </c>
      <c r="AU143" s="16">
        <f>SUM(AP$7:AP143)</f>
        <v>1715980287.0938411</v>
      </c>
      <c r="AV143" s="16">
        <f>SUM(AQ$7:AQ143)</f>
        <v>1453774592.6555557</v>
      </c>
      <c r="AW143" s="16">
        <f>SUM(AR$7:AR143)</f>
        <v>1159699548.6167049</v>
      </c>
      <c r="AX143" s="16">
        <f>SUM(AS$7:AS143)</f>
        <v>825894804.71265566</v>
      </c>
      <c r="AY143" s="16">
        <f>SUM(AT$7:AT143)</f>
        <v>443135322.38832104</v>
      </c>
    </row>
    <row r="144" spans="10:51">
      <c r="J144" s="16">
        <v>138</v>
      </c>
      <c r="K144" s="16">
        <f>MAX(求节点(节奏总纲!$O$4:$O$163,节奏总纲!P$4:P$163,$J144)-INT(C$13),0)*$D$1*$D$2</f>
        <v>17089.320514852428</v>
      </c>
      <c r="L144" s="16">
        <f>MAX(求节点(节奏总纲!$O$4:$O$163,节奏总纲!Q$4:Q$163,$J144)-INT(D$13),0)*$D$1*$D$2</f>
        <v>14479.533232234466</v>
      </c>
      <c r="M144" s="16">
        <f>MAX(求节点(节奏总纲!$O$4:$O$163,节奏总纲!R$4:R$163,$J144)-INT(E$13),0)*$D$1*$D$2</f>
        <v>11559.97312829767</v>
      </c>
      <c r="N144" s="16">
        <f>MAX(求节点(节奏总纲!$O$4:$O$163,节奏总纲!S$4:S$163,$J144)-INT(F$13),0)*$D$1*$D$2</f>
        <v>8232.5759840559003</v>
      </c>
      <c r="O144" s="16">
        <f>MAX(求节点(节奏总纲!$O$4:$O$163,节奏总纲!T$4:T$163,$J144)-INT(G$13),0)*$D$1*$D$2</f>
        <v>4398.0775805230151</v>
      </c>
      <c r="Q144" s="16">
        <v>138</v>
      </c>
      <c r="R144" s="16">
        <f>IF(节奏总纲!P141&lt;C$13,0,求节点($C$18:$C$23,$E$18:$E$23,$Q144)*节奏总纲!W141)*$D$1</f>
        <v>716367875.35736001</v>
      </c>
      <c r="S144" s="16">
        <f>IF(节奏总纲!Q141&lt;D$13,0,求节点($C$18:$C$23,$E$18:$E$23,$Q144)*节奏总纲!X141)*$D$1</f>
        <v>606978500.79029191</v>
      </c>
      <c r="T144" s="16">
        <f>IF(节奏总纲!R141&lt;E$13,0,求节点($C$18:$C$23,$E$18:$E$23,$Q144)*节奏总纲!Y141)*$D$1</f>
        <v>489612971.40246689</v>
      </c>
      <c r="U144" s="16">
        <f>IF(节奏总纲!S141&lt;F$13,0,求节点($C$18:$C$23,$E$18:$E$23,$Q144)*节奏总纲!Z141)*$D$1</f>
        <v>348140104.58110332</v>
      </c>
      <c r="V144" s="16">
        <f>IF(节奏总纲!T141&lt;G$13,0,求节点($C$18:$C$23,$E$18:$E$23,$Q144)*节奏总纲!AA141)*$D$1</f>
        <v>174412883.67055893</v>
      </c>
      <c r="W144" s="16">
        <f>SUM(R$7:R144)</f>
        <v>10588111060.477333</v>
      </c>
      <c r="X144" s="16">
        <f>SUM(S$7:S144)</f>
        <v>8969718430.2344379</v>
      </c>
      <c r="Y144" s="16">
        <f>SUM(T$7:T144)</f>
        <v>7160271888.3606281</v>
      </c>
      <c r="Z144" s="16">
        <f>SUM(U$7:U144)</f>
        <v>5098456463.7072372</v>
      </c>
      <c r="AA144" s="16">
        <f>SUM(V$7:V144)</f>
        <v>2723106217.6534829</v>
      </c>
      <c r="AC144" s="16">
        <v>138</v>
      </c>
      <c r="AD144" s="16">
        <f>IF(节奏总纲!P141&lt;C$13,0,求节点($C$18:$C$23,$F$18:$F$23,$Q144)*节奏总纲!W141)*$D$1</f>
        <v>6391884.1085210964</v>
      </c>
      <c r="AE144" s="16">
        <f>IF(节奏总纲!Q141&lt;D$13,0,求节点($C$18:$C$23,$F$18:$F$23,$Q144)*节奏总纲!X141)*$D$1</f>
        <v>5415843.405149933</v>
      </c>
      <c r="AF144" s="16">
        <f>IF(节奏总纲!R141&lt;E$13,0,求节点($C$18:$C$23,$F$18:$F$23,$Q144)*节奏总纲!Y141)*$D$1</f>
        <v>4368634.438935509</v>
      </c>
      <c r="AG144" s="16">
        <f>IF(节奏总纲!S141&lt;F$13,0,求节点($C$18:$C$23,$F$18:$F$23,$Q144)*节奏总纲!Z141)*$D$1</f>
        <v>3106324.6671980522</v>
      </c>
      <c r="AH144" s="16">
        <f>IF(节奏总纲!T141&lt;G$13,0,求节点($C$18:$C$23,$F$18:$F$23,$Q144)*节奏总纲!AA141)*$D$1</f>
        <v>1556221.29049136</v>
      </c>
      <c r="AI144" s="16">
        <f>SUM(AD$7:AD144)</f>
        <v>94380140.213120401</v>
      </c>
      <c r="AJ144" s="16">
        <f>SUM(AE$7:AE144)</f>
        <v>79952179.924289376</v>
      </c>
      <c r="AK144" s="16">
        <f>SUM(AF$7:AF144)</f>
        <v>63821796.312843822</v>
      </c>
      <c r="AL144" s="16">
        <f>SUM(AG$7:AG144)</f>
        <v>45442667.927752033</v>
      </c>
      <c r="AM144" s="16">
        <f>SUM(AH$7:AH144)</f>
        <v>24269900.812513277</v>
      </c>
      <c r="AO144" s="16">
        <v>138</v>
      </c>
      <c r="AP144" s="16">
        <f>IF(节奏总纲!P141&lt;C$13,0,求节点($C$18:$C$23,$H$18:$H$23,$Q144)*节奏总纲!W141)*$D$1</f>
        <v>123788368.86175179</v>
      </c>
      <c r="AQ144" s="16">
        <f>IF(节奏总纲!Q141&lt;D$13,0,求节点($C$18:$C$23,$H$18:$H$23,$Q144)*节奏总纲!X141)*$D$1</f>
        <v>104885884.93656245</v>
      </c>
      <c r="AR144" s="16">
        <f>IF(节奏总纲!R141&lt;E$13,0,求节点($C$18:$C$23,$H$18:$H$23,$Q144)*节奏总纲!Y141)*$D$1</f>
        <v>84605121.458346277</v>
      </c>
      <c r="AS144" s="16">
        <f>IF(节奏总纲!S141&lt;F$13,0,求节点($C$18:$C$23,$H$18:$H$23,$Q144)*节奏总纲!Z141)*$D$1</f>
        <v>60158610.071614645</v>
      </c>
      <c r="AT144" s="16">
        <f>IF(节奏总纲!T141&lt;G$13,0,求节点($C$18:$C$23,$H$18:$H$23,$Q144)*节奏总纲!AA141)*$D$1</f>
        <v>30138546.298272584</v>
      </c>
      <c r="AU144" s="16">
        <f>SUM(AP$7:AP144)</f>
        <v>1839768655.9555929</v>
      </c>
      <c r="AV144" s="16">
        <f>SUM(AQ$7:AQ144)</f>
        <v>1558660477.5921183</v>
      </c>
      <c r="AW144" s="16">
        <f>SUM(AR$7:AR144)</f>
        <v>1244304670.0750513</v>
      </c>
      <c r="AX144" s="16">
        <f>SUM(AS$7:AS144)</f>
        <v>886053414.78427029</v>
      </c>
      <c r="AY144" s="16">
        <f>SUM(AT$7:AT144)</f>
        <v>473273868.68659365</v>
      </c>
    </row>
    <row r="145" spans="10:51">
      <c r="J145" s="16">
        <v>139</v>
      </c>
      <c r="K145" s="16">
        <f>MAX(求节点(节奏总纲!$O$4:$O$163,节奏总纲!P$4:P$163,$J145)-INT(C$13),0)*$D$1*$D$2</f>
        <v>18317.775040006873</v>
      </c>
      <c r="L145" s="16">
        <f>MAX(求节点(节奏总纲!$O$4:$O$163,节奏总纲!Q$4:Q$163,$J145)-INT(D$13),0)*$D$1*$D$2</f>
        <v>15527.739941413824</v>
      </c>
      <c r="M145" s="16">
        <f>MAX(求节点(节奏总纲!$O$4:$O$163,节奏总纲!R$4:R$163,$J145)-INT(E$13),0)*$D$1*$D$2</f>
        <v>12392.85691206865</v>
      </c>
      <c r="N145" s="16">
        <f>MAX(求节点(节奏总纲!$O$4:$O$163,节奏总纲!S$4:S$163,$J145)-INT(F$13),0)*$D$1*$D$2</f>
        <v>8789.593721699297</v>
      </c>
      <c r="O145" s="16">
        <f>MAX(求节点(节奏总纲!$O$4:$O$163,节奏总纲!T$4:T$163,$J145)-INT(G$13),0)*$D$1*$D$2</f>
        <v>4697.773097761763</v>
      </c>
      <c r="Q145" s="16">
        <v>139</v>
      </c>
      <c r="R145" s="16">
        <f>IF(节奏总纲!P142&lt;C$13,0,求节点($C$18:$C$23,$E$18:$E$23,$Q145)*节奏总纲!W142)*$D$1</f>
        <v>767784078.22152579</v>
      </c>
      <c r="S145" s="16">
        <f>IF(节奏总纲!Q142&lt;D$13,0,求节点($C$18:$C$23,$E$18:$E$23,$Q145)*节奏总纲!X142)*$D$1</f>
        <v>655129193.23709917</v>
      </c>
      <c r="T145" s="16">
        <f>IF(节奏总纲!R142&lt;E$13,0,求节点($C$18:$C$23,$E$18:$E$23,$Q145)*节奏总纲!Y142)*$D$1</f>
        <v>520552364.85686284</v>
      </c>
      <c r="U145" s="16">
        <f>IF(节奏总纲!S142&lt;F$13,0,求节点($C$18:$C$23,$E$18:$E$23,$Q145)*节奏总纲!Z142)*$D$1</f>
        <v>348136086.02712339</v>
      </c>
      <c r="V145" s="16">
        <f>IF(节奏总纲!T142&lt;G$13,0,求节点($C$18:$C$23,$E$18:$E$23,$Q145)*节奏总纲!AA142)*$D$1</f>
        <v>187309698.27421701</v>
      </c>
      <c r="W145" s="16">
        <f>SUM(R$7:R145)</f>
        <v>11355895138.698858</v>
      </c>
      <c r="X145" s="16">
        <f>SUM(S$7:S145)</f>
        <v>9624847623.4715366</v>
      </c>
      <c r="Y145" s="16">
        <f>SUM(T$7:T145)</f>
        <v>7680824253.2174911</v>
      </c>
      <c r="Z145" s="16">
        <f>SUM(U$7:U145)</f>
        <v>5446592549.7343607</v>
      </c>
      <c r="AA145" s="16">
        <f>SUM(V$7:V145)</f>
        <v>2910415915.9277</v>
      </c>
      <c r="AC145" s="16">
        <v>139</v>
      </c>
      <c r="AD145" s="16">
        <f>IF(节奏总纲!P142&lt;C$13,0,求节点($C$18:$C$23,$F$18:$F$23,$Q145)*节奏总纲!W142)*$D$1</f>
        <v>6850651.7631203681</v>
      </c>
      <c r="AE145" s="16">
        <f>IF(节奏总纲!Q142&lt;D$13,0,求节点($C$18:$C$23,$F$18:$F$23,$Q145)*节奏总纲!X142)*$D$1</f>
        <v>5845474.1248573195</v>
      </c>
      <c r="AF145" s="16">
        <f>IF(节奏总纲!R142&lt;E$13,0,求节点($C$18:$C$23,$F$18:$F$23,$Q145)*节奏总纲!Y142)*$D$1</f>
        <v>4644695.1392422924</v>
      </c>
      <c r="AG145" s="16">
        <f>IF(节奏总纲!S142&lt;F$13,0,求节点($C$18:$C$23,$F$18:$F$23,$Q145)*节奏总纲!Z142)*$D$1</f>
        <v>3106288.8111355365</v>
      </c>
      <c r="AH145" s="16">
        <f>IF(节奏总纲!T142&lt;G$13,0,求节点($C$18:$C$23,$F$18:$F$23,$Q145)*节奏总纲!AA142)*$D$1</f>
        <v>1671294.770404934</v>
      </c>
      <c r="AI145" s="16">
        <f>SUM(AD$7:AD145)</f>
        <v>101230791.97624077</v>
      </c>
      <c r="AJ145" s="16">
        <f>SUM(AE$7:AE145)</f>
        <v>85797654.049146697</v>
      </c>
      <c r="AK145" s="16">
        <f>SUM(AF$7:AF145)</f>
        <v>68466491.452086121</v>
      </c>
      <c r="AL145" s="16">
        <f>SUM(AG$7:AG145)</f>
        <v>48548956.738887571</v>
      </c>
      <c r="AM145" s="16">
        <f>SUM(AH$7:AH145)</f>
        <v>25941195.582918212</v>
      </c>
      <c r="AO145" s="16">
        <v>139</v>
      </c>
      <c r="AP145" s="16">
        <f>IF(节奏总纲!P142&lt;C$13,0,求节点($C$18:$C$23,$H$18:$H$23,$Q145)*节奏总纲!W142)*$D$1</f>
        <v>132673088.71667965</v>
      </c>
      <c r="AQ145" s="16">
        <f>IF(节奏总纲!Q142&lt;D$13,0,求节点($C$18:$C$23,$H$18:$H$23,$Q145)*节奏总纲!X142)*$D$1</f>
        <v>113206324.59137073</v>
      </c>
      <c r="AR145" s="16">
        <f>IF(节奏总纲!R142&lt;E$13,0,求节点($C$18:$C$23,$H$18:$H$23,$Q145)*节奏总纲!Y142)*$D$1</f>
        <v>89951448.647265896</v>
      </c>
      <c r="AS145" s="16">
        <f>IF(节奏总纲!S142&lt;F$13,0,求节点($C$18:$C$23,$H$18:$H$23,$Q145)*节奏总纲!Z142)*$D$1</f>
        <v>60157915.665486917</v>
      </c>
      <c r="AT145" s="16">
        <f>IF(节奏总纲!T142&lt;G$13,0,求节点($C$18:$C$23,$H$18:$H$23,$Q145)*节奏总纲!AA142)*$D$1</f>
        <v>32367115.861784697</v>
      </c>
      <c r="AU145" s="16">
        <f>SUM(AP$7:AP145)</f>
        <v>1972441744.6722724</v>
      </c>
      <c r="AV145" s="16">
        <f>SUM(AQ$7:AQ145)</f>
        <v>1671866802.1834891</v>
      </c>
      <c r="AW145" s="16">
        <f>SUM(AR$7:AR145)</f>
        <v>1334256118.7223172</v>
      </c>
      <c r="AX145" s="16">
        <f>SUM(AS$7:AS145)</f>
        <v>946211330.44975722</v>
      </c>
      <c r="AY145" s="16">
        <f>SUM(AT$7:AT145)</f>
        <v>505640984.54837835</v>
      </c>
    </row>
    <row r="146" spans="10:51">
      <c r="J146" s="16">
        <v>140</v>
      </c>
      <c r="K146" s="16">
        <f>MAX(求节点(节奏总纲!$O$4:$O$163,节奏总纲!P$4:P$163,$J146)-INT(C$13),0)*$D$1*$D$2</f>
        <v>19634.400000000001</v>
      </c>
      <c r="L146" s="16">
        <f>MAX(求节点(节奏总纲!$O$4:$O$163,节奏总纲!Q$4:Q$163,$J146)-INT(D$13),0)*$D$1*$D$2</f>
        <v>16635.979080000001</v>
      </c>
      <c r="M146" s="16">
        <f>MAX(求节点(节奏总纲!$O$4:$O$163,节奏总纲!R$4:R$163,$J146)-INT(E$13),0)*$D$1*$D$2</f>
        <v>13226.67252</v>
      </c>
      <c r="N146" s="16">
        <f>MAX(求节点(节奏总纲!$O$4:$O$163,节奏总纲!S$4:S$163,$J146)-INT(F$13),0)*$D$1*$D$2</f>
        <v>9380.1568800000005</v>
      </c>
      <c r="O146" s="16">
        <f>MAX(求节点(节奏总纲!$O$4:$O$163,节奏总纲!T$4:T$163,$J146)-INT(G$13),0)*$D$1*$D$2</f>
        <v>5023.6916400000009</v>
      </c>
      <c r="Q146" s="16">
        <v>140</v>
      </c>
      <c r="R146" s="16">
        <f>IF(节奏总纲!P143&lt;C$13,0,求节点($C$18:$C$23,$E$18:$E$23,$Q146)*节奏总纲!W143)*$D$1</f>
        <v>822890599.99570632</v>
      </c>
      <c r="S146" s="16">
        <f>IF(节奏总纲!Q143&lt;D$13,0,求节点($C$18:$C$23,$E$18:$E$23,$Q146)*节奏总纲!X143)*$D$1</f>
        <v>692649461.61636174</v>
      </c>
      <c r="T146" s="16">
        <f>IF(节奏总纲!R143&lt;E$13,0,求节点($C$18:$C$23,$E$18:$E$23,$Q146)*节奏总纲!Y143)*$D$1</f>
        <v>521134754.95709467</v>
      </c>
      <c r="U146" s="16">
        <f>IF(节奏总纲!S143&lt;F$13,0,求节点($C$18:$C$23,$E$18:$E$23,$Q146)*节奏总纲!Z143)*$D$1</f>
        <v>369101973.93793964</v>
      </c>
      <c r="V146" s="16">
        <f>IF(节奏总纲!T143&lt;G$13,0,求节点($C$18:$C$23,$E$18:$E$23,$Q146)*节奏总纲!AA143)*$D$1</f>
        <v>203699088.8988986</v>
      </c>
      <c r="W146" s="16">
        <f>SUM(R$7:R146)</f>
        <v>12178785738.694565</v>
      </c>
      <c r="X146" s="16">
        <f>SUM(S$7:S146)</f>
        <v>10317497085.087898</v>
      </c>
      <c r="Y146" s="16">
        <f>SUM(T$7:T146)</f>
        <v>8201959008.1745853</v>
      </c>
      <c r="Z146" s="16">
        <f>SUM(U$7:U146)</f>
        <v>5815694523.6723003</v>
      </c>
      <c r="AA146" s="16">
        <f>SUM(V$7:V146)</f>
        <v>3114115004.8265986</v>
      </c>
      <c r="AC146" s="16">
        <v>140</v>
      </c>
      <c r="AD146" s="16">
        <f>IF(节奏总纲!P143&lt;C$13,0,求节点($C$18:$C$23,$F$18:$F$23,$Q146)*节奏总纲!W143)*$D$1</f>
        <v>7342346.7607897501</v>
      </c>
      <c r="AE146" s="16">
        <f>IF(节奏总纲!Q143&lt;D$13,0,求节点($C$18:$C$23,$F$18:$F$23,$Q146)*节奏总纲!X143)*$D$1</f>
        <v>6180253.5244517233</v>
      </c>
      <c r="AF146" s="16">
        <f>IF(节奏总纲!R143&lt;E$13,0,求节点($C$18:$C$23,$F$18:$F$23,$Q146)*节奏总纲!Y143)*$D$1</f>
        <v>4649891.5894945795</v>
      </c>
      <c r="AG146" s="16">
        <f>IF(节奏总纲!S143&lt;F$13,0,求节点($C$18:$C$23,$F$18:$F$23,$Q146)*节奏总纲!Z143)*$D$1</f>
        <v>3293359.6309867604</v>
      </c>
      <c r="AH146" s="16">
        <f>IF(节奏总纲!T143&lt;G$13,0,求节点($C$18:$C$23,$F$18:$F$23,$Q146)*节奏总纲!AA143)*$D$1</f>
        <v>1817531.2071379293</v>
      </c>
      <c r="AI146" s="16">
        <f>SUM(AD$7:AD146)</f>
        <v>108573138.73703052</v>
      </c>
      <c r="AJ146" s="16">
        <f>SUM(AE$7:AE146)</f>
        <v>91977907.573598415</v>
      </c>
      <c r="AK146" s="16">
        <f>SUM(AF$7:AF146)</f>
        <v>73116383.041580707</v>
      </c>
      <c r="AL146" s="16">
        <f>SUM(AG$7:AG146)</f>
        <v>51842316.369874328</v>
      </c>
      <c r="AM146" s="16">
        <f>SUM(AH$7:AH146)</f>
        <v>27758726.790056139</v>
      </c>
      <c r="AO146" s="16">
        <v>140</v>
      </c>
      <c r="AP146" s="16">
        <f>IF(节奏总纲!P143&lt;C$13,0,求节点($C$18:$C$23,$H$18:$H$23,$Q146)*节奏总纲!W143)*$D$1</f>
        <v>142195495.67925808</v>
      </c>
      <c r="AQ146" s="16">
        <f>IF(节奏总纲!Q143&lt;D$13,0,求节点($C$18:$C$23,$H$18:$H$23,$Q146)*节奏总纲!X143)*$D$1</f>
        <v>119689826.96730731</v>
      </c>
      <c r="AR146" s="16">
        <f>IF(节奏总纲!R143&lt;E$13,0,求节点($C$18:$C$23,$H$18:$H$23,$Q146)*节奏总纲!Y143)*$D$1</f>
        <v>90052085.656585947</v>
      </c>
      <c r="AS146" s="16">
        <f>IF(节奏总纲!S143&lt;F$13,0,求节点($C$18:$C$23,$H$18:$H$23,$Q146)*节奏总纲!Z143)*$D$1</f>
        <v>63780821.096475966</v>
      </c>
      <c r="AT146" s="16">
        <f>IF(节奏总纲!T143&lt;G$13,0,求节点($C$18:$C$23,$H$18:$H$23,$Q146)*节奏总纲!AA143)*$D$1</f>
        <v>35199202.561729677</v>
      </c>
      <c r="AU146" s="16">
        <f>SUM(AP$7:AP146)</f>
        <v>2114637240.3515306</v>
      </c>
      <c r="AV146" s="16">
        <f>SUM(AQ$7:AQ146)</f>
        <v>1791556629.1507964</v>
      </c>
      <c r="AW146" s="16">
        <f>SUM(AR$7:AR146)</f>
        <v>1424308204.3789032</v>
      </c>
      <c r="AX146" s="16">
        <f>SUM(AS$7:AS146)</f>
        <v>1009992151.5462332</v>
      </c>
      <c r="AY146" s="16">
        <f>SUM(AT$7:AT146)</f>
        <v>540840187.11010802</v>
      </c>
    </row>
    <row r="147" spans="10:51">
      <c r="J147" s="16">
        <v>141</v>
      </c>
      <c r="K147" s="16">
        <f>MAX(求节点(节奏总纲!$O$4:$O$163,节奏总纲!P$4:P$163,$J147)-INT(C$13),0)*$D$1*$D$2</f>
        <v>21045.523692233524</v>
      </c>
      <c r="L147" s="16">
        <f>MAX(求节点(节奏总纲!$O$4:$O$163,节奏总纲!Q$4:Q$163,$J147)-INT(D$13),0)*$D$1*$D$2</f>
        <v>17785.268592306551</v>
      </c>
      <c r="M147" s="16">
        <f>MAX(求节点(节奏总纲!$O$4:$O$163,节奏总纲!R$4:R$163,$J147)-INT(E$13),0)*$D$1*$D$2</f>
        <v>14128.883886965586</v>
      </c>
      <c r="N147" s="16">
        <f>MAX(求节点(节奏总纲!$O$4:$O$163,节奏总纲!S$4:S$163,$J147)-INT(F$13),0)*$D$1*$D$2</f>
        <v>10043.856418303061</v>
      </c>
      <c r="O147" s="16">
        <f>MAX(求节点(节奏总纲!$O$4:$O$163,节奏总纲!T$4:T$163,$J147)-INT(G$13),0)*$D$1*$D$2</f>
        <v>5380.5840481041114</v>
      </c>
      <c r="Q147" s="16">
        <v>141</v>
      </c>
      <c r="R147" s="16">
        <f>IF(节奏总纲!P144&lt;C$13,0,求节点($C$18:$C$23,$E$18:$E$23,$Q147)*节奏总纲!W144)*$D$1</f>
        <v>881952307.64595103</v>
      </c>
      <c r="S147" s="16">
        <f>IF(节奏总纲!Q144&lt;D$13,0,求节点($C$18:$C$23,$E$18:$E$23,$Q147)*节奏总纲!X144)*$D$1</f>
        <v>718305945.19159198</v>
      </c>
      <c r="T147" s="16">
        <f>IF(节奏总纲!R144&lt;E$13,0,求节点($C$18:$C$23,$E$18:$E$23,$Q147)*节奏总纲!Y144)*$D$1</f>
        <v>563882104.35349178</v>
      </c>
      <c r="U147" s="16">
        <f>IF(节奏总纲!S144&lt;F$13,0,求节点($C$18:$C$23,$E$18:$E$23,$Q147)*节奏总纲!Z144)*$D$1</f>
        <v>414812211.43941164</v>
      </c>
      <c r="V147" s="16">
        <f>IF(节奏总纲!T144&lt;G$13,0,求节点($C$18:$C$23,$E$18:$E$23,$Q147)*节奏总纲!AA144)*$D$1</f>
        <v>223057755.06506914</v>
      </c>
      <c r="W147" s="16">
        <f>SUM(R$7:R147)</f>
        <v>13060738046.340515</v>
      </c>
      <c r="X147" s="16">
        <f>SUM(S$7:S147)</f>
        <v>11035803030.27949</v>
      </c>
      <c r="Y147" s="16">
        <f>SUM(T$7:T147)</f>
        <v>8765841112.5280762</v>
      </c>
      <c r="Z147" s="16">
        <f>SUM(U$7:U147)</f>
        <v>6230506735.1117115</v>
      </c>
      <c r="AA147" s="16">
        <f>SUM(V$7:V147)</f>
        <v>3337172759.8916678</v>
      </c>
      <c r="AC147" s="16">
        <v>141</v>
      </c>
      <c r="AD147" s="16">
        <f>IF(节奏总纲!P144&lt;C$13,0,求节点($C$18:$C$23,$F$18:$F$23,$Q147)*节奏总纲!W144)*$D$1</f>
        <v>7869332.4109536316</v>
      </c>
      <c r="AE147" s="16">
        <f>IF(节奏总纲!Q144&lt;D$13,0,求节点($C$18:$C$23,$F$18:$F$23,$Q147)*节奏总纲!X144)*$D$1</f>
        <v>6409176.7848132215</v>
      </c>
      <c r="AF147" s="16">
        <f>IF(节奏总纲!R144&lt;E$13,0,求节点($C$18:$C$23,$F$18:$F$23,$Q147)*节奏总纲!Y144)*$D$1</f>
        <v>5031310.2888631485</v>
      </c>
      <c r="AG147" s="16">
        <f>IF(节奏总纲!S144&lt;F$13,0,求节点($C$18:$C$23,$F$18:$F$23,$Q147)*节奏总纲!Z144)*$D$1</f>
        <v>3701215.0789109613</v>
      </c>
      <c r="AH147" s="16">
        <f>IF(节奏总纲!T144&lt;G$13,0,求节点($C$18:$C$23,$F$18:$F$23,$Q147)*节奏总纲!AA144)*$D$1</f>
        <v>1990261.385145959</v>
      </c>
      <c r="AI147" s="16">
        <f>SUM(AD$7:AD147)</f>
        <v>116442471.14798415</v>
      </c>
      <c r="AJ147" s="16">
        <f>SUM(AE$7:AE147)</f>
        <v>98387084.35841164</v>
      </c>
      <c r="AK147" s="16">
        <f>SUM(AF$7:AF147)</f>
        <v>78147693.330443859</v>
      </c>
      <c r="AL147" s="16">
        <f>SUM(AG$7:AG147)</f>
        <v>55543531.44878529</v>
      </c>
      <c r="AM147" s="16">
        <f>SUM(AH$7:AH147)</f>
        <v>29748988.175202098</v>
      </c>
      <c r="AO147" s="16">
        <v>141</v>
      </c>
      <c r="AP147" s="16">
        <f>IF(节奏总纲!P144&lt;C$13,0,求节点($C$18:$C$23,$H$18:$H$23,$Q147)*节奏总纲!W144)*$D$1</f>
        <v>152401358.76122034</v>
      </c>
      <c r="AQ147" s="16">
        <f>IF(节奏总纲!Q144&lt;D$13,0,求节点($C$18:$C$23,$H$18:$H$23,$Q147)*节奏总纲!X144)*$D$1</f>
        <v>124123267.32910711</v>
      </c>
      <c r="AR147" s="16">
        <f>IF(节奏总纲!R144&lt;E$13,0,求节点($C$18:$C$23,$H$18:$H$23,$Q147)*节奏总纲!Y144)*$D$1</f>
        <v>97438827.63228336</v>
      </c>
      <c r="AS147" s="16">
        <f>IF(节奏总纲!S144&lt;F$13,0,求节点($C$18:$C$23,$H$18:$H$23,$Q147)*节奏总纲!Z144)*$D$1</f>
        <v>71679550.136730328</v>
      </c>
      <c r="AT147" s="16">
        <f>IF(节奏总纲!T144&lt;G$13,0,求节点($C$18:$C$23,$H$18:$H$23,$Q147)*节奏总纲!AA144)*$D$1</f>
        <v>38544380.07524395</v>
      </c>
      <c r="AU147" s="16">
        <f>SUM(AP$7:AP147)</f>
        <v>2267038599.112751</v>
      </c>
      <c r="AV147" s="16">
        <f>SUM(AQ$7:AQ147)</f>
        <v>1915679896.4799035</v>
      </c>
      <c r="AW147" s="16">
        <f>SUM(AR$7:AR147)</f>
        <v>1521747032.0111866</v>
      </c>
      <c r="AX147" s="16">
        <f>SUM(AS$7:AS147)</f>
        <v>1081671701.6829636</v>
      </c>
      <c r="AY147" s="16">
        <f>SUM(AT$7:AT147)</f>
        <v>579384567.18535197</v>
      </c>
    </row>
    <row r="148" spans="10:51">
      <c r="J148" s="16">
        <v>142</v>
      </c>
      <c r="K148" s="16">
        <f>MAX(求节点(节奏总纲!$O$4:$O$163,节奏总纲!P$4:P$163,$J148)-INT(C$13),0)*$D$1*$D$2</f>
        <v>22557.928617925696</v>
      </c>
      <c r="L148" s="16">
        <f>MAX(求节点(节奏总纲!$O$4:$O$163,节奏总纲!Q$4:Q$163,$J148)-INT(D$13),0)*$D$1*$D$2</f>
        <v>19063.401995009004</v>
      </c>
      <c r="M148" s="16">
        <f>MAX(求节点(节奏总纲!$O$4:$O$163,节奏总纲!R$4:R$163,$J148)-INT(E$13),0)*$D$1*$D$2</f>
        <v>15182.703872725788</v>
      </c>
      <c r="N148" s="16">
        <f>MAX(求节点(节奏总纲!$O$4:$O$163,节奏总纲!S$4:S$163,$J148)-INT(F$13),0)*$D$1*$D$2</f>
        <v>10790.568730815654</v>
      </c>
      <c r="O148" s="16">
        <f>MAX(求节点(节奏总纲!$O$4:$O$163,节奏总纲!T$4:T$163,$J148)-INT(G$13),0)*$D$1*$D$2</f>
        <v>5780.8558647743548</v>
      </c>
      <c r="Q148" s="16">
        <v>142</v>
      </c>
      <c r="R148" s="16">
        <f>IF(节奏总纲!P145&lt;C$13,0,求节点($C$18:$C$23,$E$18:$E$23,$Q148)*节奏总纲!W145)*$D$1</f>
        <v>945253078.55760813</v>
      </c>
      <c r="S148" s="16">
        <f>IF(节奏总纲!Q145&lt;D$13,0,求节点($C$18:$C$23,$E$18:$E$23,$Q148)*节奏总纲!X145)*$D$1</f>
        <v>798833376.68903458</v>
      </c>
      <c r="T148" s="16">
        <f>IF(节奏总纲!R145&lt;E$13,0,求节点($C$18:$C$23,$E$18:$E$23,$Q148)*节奏总纲!Y145)*$D$1</f>
        <v>658637491.10012484</v>
      </c>
      <c r="U148" s="16">
        <f>IF(节奏总纲!S145&lt;F$13,0,求节点($C$18:$C$23,$E$18:$E$23,$Q148)*节奏总纲!Z145)*$D$1</f>
        <v>466695195.32037109</v>
      </c>
      <c r="V148" s="16">
        <f>IF(节奏总纲!T145&lt;G$13,0,求节点($C$18:$C$23,$E$18:$E$23,$Q148)*节奏总纲!AA145)*$D$1</f>
        <v>250169885.41890237</v>
      </c>
      <c r="W148" s="16">
        <f>SUM(R$7:R148)</f>
        <v>14005991124.898123</v>
      </c>
      <c r="X148" s="16">
        <f>SUM(S$7:S148)</f>
        <v>11834636406.968525</v>
      </c>
      <c r="Y148" s="16">
        <f>SUM(T$7:T148)</f>
        <v>9424478603.6282005</v>
      </c>
      <c r="Z148" s="16">
        <f>SUM(U$7:U148)</f>
        <v>6697201930.4320822</v>
      </c>
      <c r="AA148" s="16">
        <f>SUM(V$7:V148)</f>
        <v>3587342645.3105702</v>
      </c>
      <c r="AC148" s="16">
        <v>142</v>
      </c>
      <c r="AD148" s="16">
        <f>IF(节奏总纲!P145&lt;C$13,0,求节点($C$18:$C$23,$F$18:$F$23,$Q148)*节奏总纲!W145)*$D$1</f>
        <v>8434141.6459371466</v>
      </c>
      <c r="AE148" s="16">
        <f>IF(节奏总纲!Q145&lt;D$13,0,求节点($C$18:$C$23,$F$18:$F$23,$Q148)*节奏总纲!X145)*$D$1</f>
        <v>7127693.104981482</v>
      </c>
      <c r="AF148" s="16">
        <f>IF(节奏总纲!R145&lt;E$13,0,求节点($C$18:$C$23,$F$18:$F$23,$Q148)*节奏总纲!Y145)*$D$1</f>
        <v>5876777.3618254019</v>
      </c>
      <c r="AG148" s="16">
        <f>IF(节奏总纲!S145&lt;F$13,0,求节点($C$18:$C$23,$F$18:$F$23,$Q148)*节奏总纲!Z145)*$D$1</f>
        <v>4164147.6469102278</v>
      </c>
      <c r="AH148" s="16">
        <f>IF(节奏总纲!T145&lt;G$13,0,求节点($C$18:$C$23,$F$18:$F$23,$Q148)*节奏总纲!AA145)*$D$1</f>
        <v>2232172.8403049018</v>
      </c>
      <c r="AI148" s="16">
        <f>SUM(AD$7:AD148)</f>
        <v>124876612.79392129</v>
      </c>
      <c r="AJ148" s="16">
        <f>SUM(AE$7:AE148)</f>
        <v>105514777.46339312</v>
      </c>
      <c r="AK148" s="16">
        <f>SUM(AF$7:AF148)</f>
        <v>84024470.692269266</v>
      </c>
      <c r="AL148" s="16">
        <f>SUM(AG$7:AG148)</f>
        <v>59707679.095695518</v>
      </c>
      <c r="AM148" s="16">
        <f>SUM(AH$7:AH148)</f>
        <v>31981161.015506998</v>
      </c>
      <c r="AO148" s="16">
        <v>142</v>
      </c>
      <c r="AP148" s="16">
        <f>IF(节奏总纲!P145&lt;C$13,0,求节点($C$18:$C$23,$H$18:$H$23,$Q148)*节奏总纲!W145)*$D$1</f>
        <v>163339731.97475469</v>
      </c>
      <c r="AQ148" s="16">
        <f>IF(节奏总纲!Q145&lt;D$13,0,求节点($C$18:$C$23,$H$18:$H$23,$Q148)*节奏总纲!X145)*$D$1</f>
        <v>138038407.49186516</v>
      </c>
      <c r="AR148" s="16">
        <f>IF(节奏总纲!R145&lt;E$13,0,求节点($C$18:$C$23,$H$18:$H$23,$Q148)*节奏总纲!Y145)*$D$1</f>
        <v>113812558.46210158</v>
      </c>
      <c r="AS148" s="16">
        <f>IF(节奏总纲!S145&lt;F$13,0,求节点($C$18:$C$23,$H$18:$H$23,$Q148)*节奏总纲!Z145)*$D$1</f>
        <v>80644929.751360118</v>
      </c>
      <c r="AT148" s="16">
        <f>IF(节奏总纲!T145&lt;G$13,0,求节点($C$18:$C$23,$H$18:$H$23,$Q148)*节奏总纲!AA145)*$D$1</f>
        <v>43229356.20038633</v>
      </c>
      <c r="AU148" s="16">
        <f>SUM(AP$7:AP148)</f>
        <v>2430378331.0875058</v>
      </c>
      <c r="AV148" s="16">
        <f>SUM(AQ$7:AQ148)</f>
        <v>2053718303.9717686</v>
      </c>
      <c r="AW148" s="16">
        <f>SUM(AR$7:AR148)</f>
        <v>1635559590.4732881</v>
      </c>
      <c r="AX148" s="16">
        <f>SUM(AS$7:AS148)</f>
        <v>1162316631.4343238</v>
      </c>
      <c r="AY148" s="16">
        <f>SUM(AT$7:AT148)</f>
        <v>622613923.38573825</v>
      </c>
    </row>
    <row r="149" spans="10:51">
      <c r="J149" s="16">
        <v>143</v>
      </c>
      <c r="K149" s="16">
        <f>MAX(求节点(节奏总纲!$O$4:$O$163,节奏总纲!P$4:P$163,$J149)-INT(C$13),0)*$D$1*$D$2</f>
        <v>24178.884081891738</v>
      </c>
      <c r="L149" s="16">
        <f>MAX(求节点(节奏总纲!$O$4:$O$163,节奏总纲!Q$4:Q$163,$J149)-INT(D$13),0)*$D$1*$D$2</f>
        <v>20457.4755416886</v>
      </c>
      <c r="M149" s="16">
        <f>MAX(求节点(节奏总纲!$O$4:$O$163,节奏总纲!R$4:R$163,$J149)-INT(E$13),0)*$D$1*$D$2</f>
        <v>16295.552671195032</v>
      </c>
      <c r="N149" s="16">
        <f>MAX(求节点(节奏总纲!$O$4:$O$163,节奏总纲!S$4:S$163,$J149)-INT(F$13),0)*$D$1*$D$2</f>
        <v>11590.2379088589</v>
      </c>
      <c r="O149" s="16">
        <f>MAX(求节点(节奏总纲!$O$4:$O$163,节奏总纲!T$4:T$163,$J149)-INT(G$13),0)*$D$1*$D$2</f>
        <v>6215.6700174543666</v>
      </c>
      <c r="Q149" s="16">
        <v>143</v>
      </c>
      <c r="R149" s="16">
        <f>IF(节奏总纲!P146&lt;C$13,0,求节点($C$18:$C$23,$E$18:$E$23,$Q149)*节奏总纲!W146)*$D$1</f>
        <v>1013097164.978778</v>
      </c>
      <c r="S149" s="16">
        <f>IF(节奏总纲!Q146&lt;D$13,0,求节点($C$18:$C$23,$E$18:$E$23,$Q149)*节奏总纲!X146)*$D$1</f>
        <v>871295966.67474604</v>
      </c>
      <c r="T149" s="16">
        <f>IF(节奏总纲!R146&lt;E$13,0,求节点($C$18:$C$23,$E$18:$E$23,$Q149)*节奏总纲!Y146)*$D$1</f>
        <v>695530499.04327869</v>
      </c>
      <c r="U149" s="16">
        <f>IF(节奏总纲!S146&lt;F$13,0,求节点($C$18:$C$23,$E$18:$E$23,$Q149)*节奏总纲!Z146)*$D$1</f>
        <v>499793236.27702886</v>
      </c>
      <c r="V149" s="16">
        <f>IF(节奏总纲!T146&lt;G$13,0,求节点($C$18:$C$23,$E$18:$E$23,$Q149)*节奏总纲!AA146)*$D$1</f>
        <v>271758845.4250074</v>
      </c>
      <c r="W149" s="16">
        <f>SUM(R$7:R149)</f>
        <v>15019088289.876902</v>
      </c>
      <c r="X149" s="16">
        <f>SUM(S$7:S149)</f>
        <v>12705932373.64327</v>
      </c>
      <c r="Y149" s="16">
        <f>SUM(T$7:T149)</f>
        <v>10120009102.671478</v>
      </c>
      <c r="Z149" s="16">
        <f>SUM(U$7:U149)</f>
        <v>7196995166.7091112</v>
      </c>
      <c r="AA149" s="16">
        <f>SUM(V$7:V149)</f>
        <v>3859101490.7355776</v>
      </c>
      <c r="AC149" s="16">
        <v>143</v>
      </c>
      <c r="AD149" s="16">
        <f>IF(节奏总纲!P146&lt;C$13,0,求节点($C$18:$C$23,$F$18:$F$23,$Q149)*节奏总纲!W146)*$D$1</f>
        <v>9039489.1953876019</v>
      </c>
      <c r="AE149" s="16">
        <f>IF(节奏总纲!Q146&lt;D$13,0,求节点($C$18:$C$23,$F$18:$F$23,$Q149)*节奏总纲!X146)*$D$1</f>
        <v>7774249.8439487275</v>
      </c>
      <c r="AF149" s="16">
        <f>IF(节奏总纲!R146&lt;E$13,0,求节点($C$18:$C$23,$F$18:$F$23,$Q149)*节奏总纲!Y146)*$D$1</f>
        <v>6205959.9498493988</v>
      </c>
      <c r="AG149" s="16">
        <f>IF(节奏总纲!S146&lt;F$13,0,求节点($C$18:$C$23,$F$18:$F$23,$Q149)*节奏总纲!Z146)*$D$1</f>
        <v>4459469.1560001001</v>
      </c>
      <c r="AH149" s="16">
        <f>IF(节奏总纲!T146&lt;G$13,0,求节点($C$18:$C$23,$F$18:$F$23,$Q149)*节奏总纲!AA146)*$D$1</f>
        <v>2424803.1007191921</v>
      </c>
      <c r="AI149" s="16">
        <f>SUM(AD$7:AD149)</f>
        <v>133916101.98930889</v>
      </c>
      <c r="AJ149" s="16">
        <f>SUM(AE$7:AE149)</f>
        <v>113289027.30734184</v>
      </c>
      <c r="AK149" s="16">
        <f>SUM(AF$7:AF149)</f>
        <v>90230430.642118663</v>
      </c>
      <c r="AL149" s="16">
        <f>SUM(AG$7:AG149)</f>
        <v>64167148.251695618</v>
      </c>
      <c r="AM149" s="16">
        <f>SUM(AH$7:AH149)</f>
        <v>34405964.116226189</v>
      </c>
      <c r="AO149" s="16">
        <v>143</v>
      </c>
      <c r="AP149" s="16">
        <f>IF(节奏总纲!P146&lt;C$13,0,求节点($C$18:$C$23,$H$18:$H$23,$Q149)*节奏总纲!W146)*$D$1</f>
        <v>175063190.10833281</v>
      </c>
      <c r="AQ149" s="16">
        <f>IF(节奏总纲!Q146&lt;D$13,0,求节点($C$18:$C$23,$H$18:$H$23,$Q149)*节奏总纲!X146)*$D$1</f>
        <v>150559943.04139611</v>
      </c>
      <c r="AR149" s="16">
        <f>IF(节奏总纲!R146&lt;E$13,0,求节点($C$18:$C$23,$H$18:$H$23,$Q149)*节奏总纲!Y146)*$D$1</f>
        <v>120187670.23467857</v>
      </c>
      <c r="AS149" s="16">
        <f>IF(节奏总纲!S146&lt;F$13,0,求节点($C$18:$C$23,$H$18:$H$23,$Q149)*节奏总纲!Z146)*$D$1</f>
        <v>86364271.228670582</v>
      </c>
      <c r="AT149" s="16">
        <f>IF(节奏总纲!T146&lt;G$13,0,求节点($C$18:$C$23,$H$18:$H$23,$Q149)*节奏总纲!AA146)*$D$1</f>
        <v>46959928.489441276</v>
      </c>
      <c r="AU149" s="16">
        <f>SUM(AP$7:AP149)</f>
        <v>2605441521.1958385</v>
      </c>
      <c r="AV149" s="16">
        <f>SUM(AQ$7:AQ149)</f>
        <v>2204278247.0131645</v>
      </c>
      <c r="AW149" s="16">
        <f>SUM(AR$7:AR149)</f>
        <v>1755747260.7079666</v>
      </c>
      <c r="AX149" s="16">
        <f>SUM(AS$7:AS149)</f>
        <v>1248680902.6629944</v>
      </c>
      <c r="AY149" s="16">
        <f>SUM(AT$7:AT149)</f>
        <v>669573851.87517953</v>
      </c>
    </row>
    <row r="150" spans="10:51">
      <c r="J150" s="16">
        <v>144</v>
      </c>
      <c r="K150" s="16">
        <f>MAX(求节点(节奏总纲!$O$4:$O$163,节奏总纲!P$4:P$163,$J150)-INT(C$13),0)*$D$1*$D$2</f>
        <v>25916.181132123707</v>
      </c>
      <c r="L150" s="16">
        <f>MAX(求节点(节奏总纲!$O$4:$O$163,节奏总纲!Q$4:Q$163,$J150)-INT(D$13),0)*$D$1*$D$2</f>
        <v>21927.402575889868</v>
      </c>
      <c r="M150" s="16">
        <f>MAX(求节点(节奏总纲!$O$4:$O$163,节奏总纲!R$4:R$163,$J150)-INT(E$13),0)*$D$1*$D$2</f>
        <v>17484.649849843863</v>
      </c>
      <c r="N150" s="16">
        <f>MAX(求节点(节奏总纲!$O$4:$O$163,节奏总纲!S$4:S$163,$J150)-INT(F$13),0)*$D$1*$D$2</f>
        <v>12443.851219645803</v>
      </c>
      <c r="O150" s="16">
        <f>MAX(求节点(节奏总纲!$O$4:$O$163,节奏总纲!T$4:T$163,$J150)-INT(G$13),0)*$D$1*$D$2</f>
        <v>6649.3583985029436</v>
      </c>
      <c r="Q150" s="16">
        <v>144</v>
      </c>
      <c r="R150" s="16">
        <f>IF(节奏总纲!P147&lt;C$13,0,求节点($C$18:$C$23,$E$18:$E$23,$Q150)*节奏总纲!W147)*$D$1</f>
        <v>1085810656.3949785</v>
      </c>
      <c r="S150" s="16">
        <f>IF(节奏总纲!Q147&lt;D$13,0,求节点($C$18:$C$23,$E$18:$E$23,$Q150)*节奏总纲!X147)*$D$1</f>
        <v>918704396.37579322</v>
      </c>
      <c r="T150" s="16">
        <f>IF(节奏总纲!R147&lt;E$13,0,求节点($C$18:$C$23,$E$18:$E$23,$Q150)*节奏总纲!Y147)*$D$1</f>
        <v>743185736.6555196</v>
      </c>
      <c r="U150" s="16">
        <f>IF(节奏总纲!S147&lt;F$13,0,求节点($C$18:$C$23,$E$18:$E$23,$Q150)*节奏总纲!Z147)*$D$1</f>
        <v>533508319.24181557</v>
      </c>
      <c r="V150" s="16">
        <f>IF(节奏总纲!T147&lt;G$13,0,求节点($C$18:$C$23,$E$18:$E$23,$Q150)*节奏总纲!AA147)*$D$1</f>
        <v>271055238.15536004</v>
      </c>
      <c r="W150" s="16">
        <f>SUM(R$7:R150)</f>
        <v>16104898946.271881</v>
      </c>
      <c r="X150" s="16">
        <f>SUM(S$7:S150)</f>
        <v>13624636770.019064</v>
      </c>
      <c r="Y150" s="16">
        <f>SUM(T$7:T150)</f>
        <v>10863194839.326998</v>
      </c>
      <c r="Z150" s="16">
        <f>SUM(U$7:U150)</f>
        <v>7730503485.9509268</v>
      </c>
      <c r="AA150" s="16">
        <f>SUM(V$7:V150)</f>
        <v>4130156728.8909378</v>
      </c>
      <c r="AC150" s="16">
        <v>144</v>
      </c>
      <c r="AD150" s="16">
        <f>IF(节奏总纲!P147&lt;C$13,0,求节点($C$18:$C$23,$F$18:$F$23,$Q150)*节奏总纲!W147)*$D$1</f>
        <v>9688284.6344997268</v>
      </c>
      <c r="AE150" s="16">
        <f>IF(节奏总纲!Q147&lt;D$13,0,求节点($C$18:$C$23,$F$18:$F$23,$Q150)*节奏总纲!X147)*$D$1</f>
        <v>8197257.6292502359</v>
      </c>
      <c r="AF150" s="16">
        <f>IF(节奏总纲!R147&lt;E$13,0,求节点($C$18:$C$23,$F$18:$F$23,$Q150)*节奏总纲!Y147)*$D$1</f>
        <v>6631169.91034564</v>
      </c>
      <c r="AG150" s="16">
        <f>IF(节奏总纲!S147&lt;F$13,0,求节点($C$18:$C$23,$F$18:$F$23,$Q150)*节奏总纲!Z147)*$D$1</f>
        <v>4760296.3014281206</v>
      </c>
      <c r="AH150" s="16">
        <f>IF(节奏总纲!T147&lt;G$13,0,求节点($C$18:$C$23,$F$18:$F$23,$Q150)*节奏总纲!AA147)*$D$1</f>
        <v>2418525.0747492877</v>
      </c>
      <c r="AI150" s="16">
        <f>SUM(AD$7:AD150)</f>
        <v>143604386.62380862</v>
      </c>
      <c r="AJ150" s="16">
        <f>SUM(AE$7:AE150)</f>
        <v>121486284.93659207</v>
      </c>
      <c r="AK150" s="16">
        <f>SUM(AF$7:AF150)</f>
        <v>96861600.552464306</v>
      </c>
      <c r="AL150" s="16">
        <f>SUM(AG$7:AG150)</f>
        <v>68927444.553123742</v>
      </c>
      <c r="AM150" s="16">
        <f>SUM(AH$7:AH150)</f>
        <v>36824489.19097548</v>
      </c>
      <c r="AO150" s="16">
        <v>144</v>
      </c>
      <c r="AP150" s="16">
        <f>IF(节奏总纲!P147&lt;C$13,0,求节点($C$18:$C$23,$H$18:$H$23,$Q150)*节奏总纲!W147)*$D$1</f>
        <v>187628081.42505231</v>
      </c>
      <c r="AQ150" s="16">
        <f>IF(节奏总纲!Q147&lt;D$13,0,求节点($C$18:$C$23,$H$18:$H$23,$Q150)*节奏总纲!X147)*$D$1</f>
        <v>158752119.69373709</v>
      </c>
      <c r="AR150" s="16">
        <f>IF(节奏总纲!R147&lt;E$13,0,求节点($C$18:$C$23,$H$18:$H$23,$Q150)*节奏总纲!Y147)*$D$1</f>
        <v>128422495.29407379</v>
      </c>
      <c r="AS150" s="16">
        <f>IF(节奏总纲!S147&lt;F$13,0,求节点($C$18:$C$23,$H$18:$H$23,$Q150)*节奏总纲!Z147)*$D$1</f>
        <v>92190237.564985722</v>
      </c>
      <c r="AT150" s="16">
        <f>IF(节奏总纲!T147&lt;G$13,0,求节点($C$18:$C$23,$H$18:$H$23,$Q150)*节奏总纲!AA147)*$D$1</f>
        <v>46838345.153246209</v>
      </c>
      <c r="AU150" s="16">
        <f>SUM(AP$7:AP150)</f>
        <v>2793069602.6208906</v>
      </c>
      <c r="AV150" s="16">
        <f>SUM(AQ$7:AQ150)</f>
        <v>2363030366.7069016</v>
      </c>
      <c r="AW150" s="16">
        <f>SUM(AR$7:AR150)</f>
        <v>1884169756.0020404</v>
      </c>
      <c r="AX150" s="16">
        <f>SUM(AS$7:AS150)</f>
        <v>1340871140.2279801</v>
      </c>
      <c r="AY150" s="16">
        <f>SUM(AT$7:AT150)</f>
        <v>716412197.02842569</v>
      </c>
    </row>
    <row r="151" spans="10:51">
      <c r="J151" s="16">
        <v>145</v>
      </c>
      <c r="K151" s="16">
        <f>MAX(求节点(节奏总纲!$O$4:$O$163,节奏总纲!P$4:P$163,$J151)-INT(C$13),0)*$D$1*$D$2</f>
        <v>27778.170007104956</v>
      </c>
      <c r="L151" s="16">
        <f>MAX(求节点(节奏总纲!$O$4:$O$163,节奏总纲!Q$4:Q$163,$J151)-INT(D$13),0)*$D$1*$D$2</f>
        <v>23536.195407020034</v>
      </c>
      <c r="M151" s="16">
        <f>MAX(求节点(节奏总纲!$O$4:$O$163,节奏总纲!R$4:R$163,$J151)-INT(E$13),0)*$D$1*$D$2</f>
        <v>18763.176439799401</v>
      </c>
      <c r="N151" s="16">
        <f>MAX(求节点(节奏总纲!$O$4:$O$163,节奏总纲!S$4:S$163,$J151)-INT(F$13),0)*$D$1*$D$2</f>
        <v>13312.955244405406</v>
      </c>
      <c r="O151" s="16">
        <f>MAX(求节点(节奏总纲!$O$4:$O$163,节奏总纲!T$4:T$163,$J151)-INT(G$13),0)*$D$1*$D$2</f>
        <v>7104.9020478174498</v>
      </c>
      <c r="Q151" s="16">
        <v>145</v>
      </c>
      <c r="R151" s="16">
        <f>IF(节奏总纲!P148&lt;C$13,0,求节点($C$18:$C$23,$E$18:$E$23,$Q151)*节奏总纲!W148)*$D$1</f>
        <v>1163743046.8632827</v>
      </c>
      <c r="S151" s="16">
        <f>IF(节奏总纲!Q148&lt;D$13,0,求节点($C$18:$C$23,$E$18:$E$23,$Q151)*节奏总纲!X148)*$D$1</f>
        <v>1005495519.4563535</v>
      </c>
      <c r="T151" s="16">
        <f>IF(节奏总纲!R148&lt;E$13,0,求节点($C$18:$C$23,$E$18:$E$23,$Q151)*节奏总纲!Y148)*$D$1</f>
        <v>799079118.72220981</v>
      </c>
      <c r="U151" s="16">
        <f>IF(节奏总纲!S148&lt;F$13,0,求节点($C$18:$C$23,$E$18:$E$23,$Q151)*节奏总纲!Z148)*$D$1</f>
        <v>543190015.474751</v>
      </c>
      <c r="V151" s="16">
        <f>IF(节奏总纲!T148&lt;G$13,0,求节点($C$18:$C$23,$E$18:$E$23,$Q151)*节奏总纲!AA148)*$D$1</f>
        <v>284714780.82156682</v>
      </c>
      <c r="W151" s="16">
        <f>SUM(R$7:R151)</f>
        <v>17268641993.135162</v>
      </c>
      <c r="X151" s="16">
        <f>SUM(S$7:S151)</f>
        <v>14630132289.475418</v>
      </c>
      <c r="Y151" s="16">
        <f>SUM(T$7:T151)</f>
        <v>11662273958.049208</v>
      </c>
      <c r="Z151" s="16">
        <f>SUM(U$7:U151)</f>
        <v>8273693501.4256783</v>
      </c>
      <c r="AA151" s="16">
        <f>SUM(V$7:V151)</f>
        <v>4414871509.7125044</v>
      </c>
      <c r="AC151" s="16">
        <v>145</v>
      </c>
      <c r="AD151" s="16">
        <f>IF(节奏总纲!P148&lt;C$13,0,求节点($C$18:$C$23,$F$18:$F$23,$Q151)*节奏总纲!W148)*$D$1</f>
        <v>10383646.368755218</v>
      </c>
      <c r="AE151" s="16">
        <f>IF(节奏总纲!Q148&lt;D$13,0,求节点($C$18:$C$23,$F$18:$F$23,$Q151)*节奏总纲!X148)*$D$1</f>
        <v>8971662.5397197213</v>
      </c>
      <c r="AF151" s="16">
        <f>IF(节奏总纲!R148&lt;E$13,0,求节点($C$18:$C$23,$F$18:$F$23,$Q151)*节奏总纲!Y148)*$D$1</f>
        <v>7129885.7697430961</v>
      </c>
      <c r="AG151" s="16">
        <f>IF(节奏总纲!S148&lt;F$13,0,求节点($C$18:$C$23,$F$18:$F$23,$Q151)*节奏总纲!Z148)*$D$1</f>
        <v>4846682.4759393055</v>
      </c>
      <c r="AH151" s="16">
        <f>IF(节奏总纲!T148&lt;G$13,0,求节点($C$18:$C$23,$F$18:$F$23,$Q151)*节奏总纲!AA148)*$D$1</f>
        <v>2540404.0934786499</v>
      </c>
      <c r="AI151" s="16">
        <f>SUM(AD$7:AD151)</f>
        <v>153988032.99256384</v>
      </c>
      <c r="AJ151" s="16">
        <f>SUM(AE$7:AE151)</f>
        <v>130457947.47631179</v>
      </c>
      <c r="AK151" s="16">
        <f>SUM(AF$7:AF151)</f>
        <v>103991486.32220741</v>
      </c>
      <c r="AL151" s="16">
        <f>SUM(AG$7:AG151)</f>
        <v>73774127.029063046</v>
      </c>
      <c r="AM151" s="16">
        <f>SUM(AH$7:AH151)</f>
        <v>39364893.28445413</v>
      </c>
      <c r="AO151" s="16">
        <v>145</v>
      </c>
      <c r="AP151" s="16">
        <f>IF(节奏总纲!P148&lt;C$13,0,求节点($C$18:$C$23,$H$18:$H$23,$Q151)*节奏总纲!W148)*$D$1</f>
        <v>201094798.49797529</v>
      </c>
      <c r="AQ151" s="16">
        <f>IF(节奏总纲!Q148&lt;D$13,0,求节点($C$18:$C$23,$H$18:$H$23,$Q151)*节奏总纲!X148)*$D$1</f>
        <v>173749625.7620579</v>
      </c>
      <c r="AR151" s="16">
        <f>IF(节奏总纲!R148&lt;E$13,0,求节点($C$18:$C$23,$H$18:$H$23,$Q151)*节奏总纲!Y148)*$D$1</f>
        <v>138080871.71519786</v>
      </c>
      <c r="AS151" s="16">
        <f>IF(节奏总纲!S148&lt;F$13,0,求节点($C$18:$C$23,$H$18:$H$23,$Q151)*节奏总纲!Z148)*$D$1</f>
        <v>93863234.674036965</v>
      </c>
      <c r="AT151" s="16">
        <f>IF(节奏总纲!T148&lt;G$13,0,求节点($C$18:$C$23,$H$18:$H$23,$Q151)*节奏总纲!AA148)*$D$1</f>
        <v>49198714.125966743</v>
      </c>
      <c r="AU151" s="16">
        <f>SUM(AP$7:AP151)</f>
        <v>2994164401.118866</v>
      </c>
      <c r="AV151" s="16">
        <f>SUM(AQ$7:AQ151)</f>
        <v>2536779992.4689593</v>
      </c>
      <c r="AW151" s="16">
        <f>SUM(AR$7:AR151)</f>
        <v>2022250627.7172382</v>
      </c>
      <c r="AX151" s="16">
        <f>SUM(AS$7:AS151)</f>
        <v>1434734374.9020171</v>
      </c>
      <c r="AY151" s="16">
        <f>SUM(AT$7:AT151)</f>
        <v>765610911.15439248</v>
      </c>
    </row>
    <row r="152" spans="10:51">
      <c r="J152" s="16">
        <v>146</v>
      </c>
      <c r="K152" s="16">
        <f>MAX(求节点(节奏总纲!$O$4:$O$163,节奏总纲!P$4:P$163,$J152)-INT(C$13),0)*$D$1*$D$2</f>
        <v>29773.800270847623</v>
      </c>
      <c r="L152" s="16">
        <f>MAX(求节点(节奏总纲!$O$4:$O$163,节奏总纲!Q$4:Q$163,$J152)-INT(D$13),0)*$D$1*$D$2</f>
        <v>25221.133129435024</v>
      </c>
      <c r="M152" s="16">
        <f>MAX(求节点(节奏总纲!$O$4:$O$163,节奏总纲!R$4:R$163,$J152)-INT(E$13),0)*$D$1*$D$2</f>
        <v>20045.666882361707</v>
      </c>
      <c r="N152" s="16">
        <f>MAX(求节点(节奏总纲!$O$4:$O$163,节奏总纲!S$4:S$163,$J152)-INT(F$13),0)*$D$1*$D$2</f>
        <v>14203.903029221401</v>
      </c>
      <c r="O152" s="16">
        <f>MAX(求节点(节奏总纲!$O$4:$O$163,节奏总纲!T$4:T$163,$J152)-INT(G$13),0)*$D$1*$D$2</f>
        <v>7582.6053689848895</v>
      </c>
      <c r="Q152" s="16">
        <v>146</v>
      </c>
      <c r="R152" s="16">
        <f>IF(节奏总纲!P149&lt;C$13,0,求节点($C$18:$C$23,$E$18:$E$23,$Q152)*节奏总纲!W149)*$D$1</f>
        <v>1247268914.8391638</v>
      </c>
      <c r="S152" s="16">
        <f>IF(节奏总纲!Q149&lt;D$13,0,求节点($C$18:$C$23,$E$18:$E$23,$Q152)*节奏总纲!X149)*$D$1</f>
        <v>1053086076.5093668</v>
      </c>
      <c r="T152" s="16">
        <f>IF(节奏总纲!R149&lt;E$13,0,求节点($C$18:$C$23,$E$18:$E$23,$Q152)*节奏总纲!Y149)*$D$1</f>
        <v>801556526.60144055</v>
      </c>
      <c r="U152" s="16">
        <f>IF(节奏总纲!S149&lt;F$13,0,求节点($C$18:$C$23,$E$18:$E$23,$Q152)*节奏总纲!Z149)*$D$1</f>
        <v>556842365.50999689</v>
      </c>
      <c r="V152" s="16">
        <f>IF(节奏总纲!T149&lt;G$13,0,求节点($C$18:$C$23,$E$18:$E$23,$Q152)*节奏总纲!AA149)*$D$1</f>
        <v>298564575.72964948</v>
      </c>
      <c r="W152" s="16">
        <f>SUM(R$7:R152)</f>
        <v>18515910907.974327</v>
      </c>
      <c r="X152" s="16">
        <f>SUM(S$7:S152)</f>
        <v>15683218365.984785</v>
      </c>
      <c r="Y152" s="16">
        <f>SUM(T$7:T152)</f>
        <v>12463830484.650648</v>
      </c>
      <c r="Z152" s="16">
        <f>SUM(U$7:U152)</f>
        <v>8830535866.9356747</v>
      </c>
      <c r="AA152" s="16">
        <f>SUM(V$7:V152)</f>
        <v>4713436085.4421539</v>
      </c>
      <c r="AC152" s="16">
        <v>146</v>
      </c>
      <c r="AD152" s="16">
        <f>IF(节奏总纲!P149&lt;C$13,0,求节点($C$18:$C$23,$F$18:$F$23,$Q152)*节奏总纲!W149)*$D$1</f>
        <v>11128916.622392895</v>
      </c>
      <c r="AE152" s="16">
        <f>IF(节奏总纲!Q149&lt;D$13,0,求节点($C$18:$C$23,$F$18:$F$23,$Q152)*节奏总纲!X149)*$D$1</f>
        <v>9396295.3796430267</v>
      </c>
      <c r="AF152" s="16">
        <f>IF(节奏总纲!R149&lt;E$13,0,求节点($C$18:$C$23,$F$18:$F$23,$Q152)*节奏总纲!Y149)*$D$1</f>
        <v>7151990.7588112894</v>
      </c>
      <c r="AG152" s="16">
        <f>IF(节奏总纲!S149&lt;F$13,0,求节点($C$18:$C$23,$F$18:$F$23,$Q152)*节奏总纲!Z149)*$D$1</f>
        <v>4968497.3174978057</v>
      </c>
      <c r="AH152" s="16">
        <f>IF(节奏总纲!T149&lt;G$13,0,求节点($C$18:$C$23,$F$18:$F$23,$Q152)*节奏总纲!AA149)*$D$1</f>
        <v>2663980.6622005356</v>
      </c>
      <c r="AI152" s="16">
        <f>SUM(AD$7:AD152)</f>
        <v>165116949.61495674</v>
      </c>
      <c r="AJ152" s="16">
        <f>SUM(AE$7:AE152)</f>
        <v>139854242.85595483</v>
      </c>
      <c r="AK152" s="16">
        <f>SUM(AF$7:AF152)</f>
        <v>111143477.0810187</v>
      </c>
      <c r="AL152" s="16">
        <f>SUM(AG$7:AG152)</f>
        <v>78742624.346560851</v>
      </c>
      <c r="AM152" s="16">
        <f>SUM(AH$7:AH152)</f>
        <v>42028873.946654662</v>
      </c>
      <c r="AO152" s="16">
        <v>146</v>
      </c>
      <c r="AP152" s="16">
        <f>IF(节奏总纲!P149&lt;C$13,0,求节点($C$18:$C$23,$H$18:$H$23,$Q152)*节奏总纲!W149)*$D$1</f>
        <v>215528068.48420745</v>
      </c>
      <c r="AQ152" s="16">
        <f>IF(节奏总纲!Q149&lt;D$13,0,求节点($C$18:$C$23,$H$18:$H$23,$Q152)*节奏总纲!X149)*$D$1</f>
        <v>181973274.02081853</v>
      </c>
      <c r="AR152" s="16">
        <f>IF(节奏总纲!R149&lt;E$13,0,求节点($C$18:$C$23,$H$18:$H$23,$Q152)*节奏总纲!Y149)*$D$1</f>
        <v>138508967.79672891</v>
      </c>
      <c r="AS152" s="16">
        <f>IF(节奏总纲!S149&lt;F$13,0,求节点($C$18:$C$23,$H$18:$H$23,$Q152)*节奏总纲!Z149)*$D$1</f>
        <v>96222360.760127455</v>
      </c>
      <c r="AT152" s="16">
        <f>IF(节奏总纲!T149&lt;G$13,0,求节点($C$18:$C$23,$H$18:$H$23,$Q152)*节奏总纲!AA149)*$D$1</f>
        <v>51591958.686083436</v>
      </c>
      <c r="AU152" s="16">
        <f>SUM(AP$7:AP152)</f>
        <v>3209692469.6030736</v>
      </c>
      <c r="AV152" s="16">
        <f>SUM(AQ$7:AQ152)</f>
        <v>2718753266.489778</v>
      </c>
      <c r="AW152" s="16">
        <f>SUM(AR$7:AR152)</f>
        <v>2160759595.513967</v>
      </c>
      <c r="AX152" s="16">
        <f>SUM(AS$7:AS152)</f>
        <v>1530956735.6621447</v>
      </c>
      <c r="AY152" s="16">
        <f>SUM(AT$7:AT152)</f>
        <v>817202869.84047592</v>
      </c>
    </row>
    <row r="153" spans="10:51">
      <c r="J153" s="16">
        <v>147</v>
      </c>
      <c r="K153" s="16">
        <f>MAX(求节点(节奏总纲!$O$4:$O$163,节奏总纲!P$4:P$163,$J153)-INT(C$13),0)*$D$1*$D$2</f>
        <v>31912.663828561304</v>
      </c>
      <c r="L153" s="16">
        <f>MAX(求节点(节奏总纲!$O$4:$O$163,节奏总纲!Q$4:Q$163,$J153)-INT(D$13),0)*$D$1*$D$2</f>
        <v>26943.538430454311</v>
      </c>
      <c r="M153" s="16">
        <f>MAX(求节点(节奏总纲!$O$4:$O$163,节奏总纲!R$4:R$163,$J153)-INT(E$13),0)*$D$1*$D$2</f>
        <v>21386.756337901788</v>
      </c>
      <c r="N153" s="16">
        <f>MAX(求节点(节奏总纲!$O$4:$O$163,节奏总纲!S$4:S$163,$J153)-INT(F$13),0)*$D$1*$D$2</f>
        <v>15144.510173035198</v>
      </c>
      <c r="O153" s="16">
        <f>MAX(求节点(节奏总纲!$O$4:$O$163,节奏总纲!T$4:T$163,$J153)-INT(G$13),0)*$D$1*$D$2</f>
        <v>8098.6298396888596</v>
      </c>
      <c r="Q153" s="16">
        <v>147</v>
      </c>
      <c r="R153" s="16">
        <f>IF(节奏总纲!P150&lt;C$13,0,求节点($C$18:$C$23,$E$18:$E$23,$Q153)*节奏总纲!W150)*$D$1</f>
        <v>1336789723.5710533</v>
      </c>
      <c r="S153" s="16">
        <f>IF(节奏总纲!Q150&lt;D$13,0,求节点($C$18:$C$23,$E$18:$E$23,$Q153)*节奏总纲!X150)*$D$1</f>
        <v>1076503313.1370564</v>
      </c>
      <c r="T153" s="16">
        <f>IF(节奏总纲!R150&lt;E$13,0,求节点($C$18:$C$23,$E$18:$E$23,$Q153)*节奏总纲!Y150)*$D$1</f>
        <v>838180909.71255147</v>
      </c>
      <c r="U153" s="16">
        <f>IF(节奏总纲!S150&lt;F$13,0,求节点($C$18:$C$23,$E$18:$E$23,$Q153)*节奏总纲!Z150)*$D$1</f>
        <v>587879464.88362241</v>
      </c>
      <c r="V153" s="16">
        <f>IF(节奏总纲!T150&lt;G$13,0,求节点($C$18:$C$23,$E$18:$E$23,$Q153)*节奏总纲!AA150)*$D$1</f>
        <v>322515294.18998188</v>
      </c>
      <c r="W153" s="16">
        <f>SUM(R$7:R153)</f>
        <v>19852700631.54538</v>
      </c>
      <c r="X153" s="16">
        <f>SUM(S$7:S153)</f>
        <v>16759721679.121841</v>
      </c>
      <c r="Y153" s="16">
        <f>SUM(T$7:T153)</f>
        <v>13302011394.363199</v>
      </c>
      <c r="Z153" s="16">
        <f>SUM(U$7:U153)</f>
        <v>9418415331.8192978</v>
      </c>
      <c r="AA153" s="16">
        <f>SUM(V$7:V153)</f>
        <v>5035951379.6321354</v>
      </c>
      <c r="AC153" s="16">
        <v>147</v>
      </c>
      <c r="AD153" s="16">
        <f>IF(节奏总纲!P150&lt;C$13,0,求节点($C$18:$C$23,$F$18:$F$23,$Q153)*节奏总纲!W150)*$D$1</f>
        <v>11927677.502659723</v>
      </c>
      <c r="AE153" s="16">
        <f>IF(节奏总纲!Q150&lt;D$13,0,求节点($C$18:$C$23,$F$18:$F$23,$Q153)*节奏总纲!X150)*$D$1</f>
        <v>9605238.6723490842</v>
      </c>
      <c r="AF153" s="16">
        <f>IF(节奏总纲!R150&lt;E$13,0,求节点($C$18:$C$23,$F$18:$F$23,$Q153)*节奏总纲!Y150)*$D$1</f>
        <v>7478776.507370322</v>
      </c>
      <c r="AG153" s="16">
        <f>IF(节奏总纲!S150&lt;F$13,0,求节点($C$18:$C$23,$F$18:$F$23,$Q153)*节奏总纲!Z150)*$D$1</f>
        <v>5245429.8113814862</v>
      </c>
      <c r="AH153" s="16">
        <f>IF(节奏总纲!T150&lt;G$13,0,求节点($C$18:$C$23,$F$18:$F$23,$Q153)*节奏总纲!AA150)*$D$1</f>
        <v>2877684.0148779466</v>
      </c>
      <c r="AI153" s="16">
        <f>SUM(AD$7:AD153)</f>
        <v>177044627.11761647</v>
      </c>
      <c r="AJ153" s="16">
        <f>SUM(AE$7:AE153)</f>
        <v>149459481.52830392</v>
      </c>
      <c r="AK153" s="16">
        <f>SUM(AF$7:AF153)</f>
        <v>118622253.58838902</v>
      </c>
      <c r="AL153" s="16">
        <f>SUM(AG$7:AG153)</f>
        <v>83988054.15794234</v>
      </c>
      <c r="AM153" s="16">
        <f>SUM(AH$7:AH153)</f>
        <v>44906557.961532608</v>
      </c>
      <c r="AO153" s="16">
        <v>147</v>
      </c>
      <c r="AP153" s="16">
        <f>IF(节奏总纲!P150&lt;C$13,0,求节点($C$18:$C$23,$H$18:$H$23,$Q153)*节奏总纲!W150)*$D$1</f>
        <v>230997264.233078</v>
      </c>
      <c r="AQ153" s="16">
        <f>IF(节奏总纲!Q150&lt;D$13,0,求节点($C$18:$C$23,$H$18:$H$23,$Q153)*节奏总纲!X150)*$D$1</f>
        <v>186019772.51008335</v>
      </c>
      <c r="AR153" s="16">
        <f>IF(节奏总纲!R150&lt;E$13,0,求节点($C$18:$C$23,$H$18:$H$23,$Q153)*节奏总纲!Y150)*$D$1</f>
        <v>144837661.19832891</v>
      </c>
      <c r="AS153" s="16">
        <f>IF(节奏总纲!S150&lt;F$13,0,求节点($C$18:$C$23,$H$18:$H$23,$Q153)*节奏总纲!Z150)*$D$1</f>
        <v>101585571.53188996</v>
      </c>
      <c r="AT153" s="16">
        <f>IF(节奏总纲!T150&lt;G$13,0,求节点($C$18:$C$23,$H$18:$H$23,$Q153)*节奏总纲!AA150)*$D$1</f>
        <v>55730642.836028874</v>
      </c>
      <c r="AU153" s="16">
        <f>SUM(AP$7:AP153)</f>
        <v>3440689733.8361516</v>
      </c>
      <c r="AV153" s="16">
        <f>SUM(AQ$7:AQ153)</f>
        <v>2904773038.9998612</v>
      </c>
      <c r="AW153" s="16">
        <f>SUM(AR$7:AR153)</f>
        <v>2305597256.712296</v>
      </c>
      <c r="AX153" s="16">
        <f>SUM(AS$7:AS153)</f>
        <v>1632542307.1940346</v>
      </c>
      <c r="AY153" s="16">
        <f>SUM(AT$7:AT153)</f>
        <v>872933512.67650485</v>
      </c>
    </row>
    <row r="154" spans="10:51">
      <c r="J154" s="16">
        <v>148</v>
      </c>
      <c r="K154" s="16">
        <f>MAX(求节点(节奏总纲!$O$4:$O$163,节奏总纲!P$4:P$163,$J154)-INT(C$13),0)*$D$1*$D$2</f>
        <v>34205.041029704858</v>
      </c>
      <c r="L154" s="16">
        <f>MAX(求节点(节奏总纲!$O$4:$O$163,节奏总纲!Q$4:Q$163,$J154)-INT(D$13),0)*$D$1*$D$2</f>
        <v>28878.99250137982</v>
      </c>
      <c r="M154" s="16">
        <f>MAX(求节点(节奏总纲!$O$4:$O$163,节奏总纲!R$4:R$163,$J154)-INT(E$13),0)*$D$1*$D$2</f>
        <v>22936.799634520081</v>
      </c>
      <c r="N154" s="16">
        <f>MAX(求节点(节奏总纲!$O$4:$O$163,节奏总纲!S$4:S$163,$J154)-INT(F$13),0)*$D$1*$D$2</f>
        <v>16266.702633727633</v>
      </c>
      <c r="O154" s="16">
        <f>MAX(求节点(节奏总纲!$O$4:$O$163,节奏总纲!T$4:T$163,$J154)-INT(G$13),0)*$D$1*$D$2</f>
        <v>8683.8581974420649</v>
      </c>
      <c r="Q154" s="16">
        <v>148</v>
      </c>
      <c r="R154" s="16">
        <f>IF(节奏总纲!P151&lt;C$13,0,求节点($C$18:$C$23,$E$18:$E$23,$Q154)*节奏总纲!W151)*$D$1</f>
        <v>1432735750.71472</v>
      </c>
      <c r="S154" s="16">
        <f>IF(节奏总纲!Q151&lt;D$13,0,求节点($C$18:$C$23,$E$18:$E$23,$Q154)*节奏总纲!X151)*$D$1</f>
        <v>1209658794.3284402</v>
      </c>
      <c r="T154" s="16">
        <f>IF(节奏总纲!R151&lt;E$13,0,求节点($C$18:$C$23,$E$18:$E$23,$Q154)*节奏总纲!Y151)*$D$1</f>
        <v>968777060.38643193</v>
      </c>
      <c r="U154" s="16">
        <f>IF(节奏总纲!S151&lt;F$13,0,求节点($C$18:$C$23,$E$18:$E$23,$Q154)*节奏总纲!Z151)*$D$1</f>
        <v>701370287.93277204</v>
      </c>
      <c r="V154" s="16">
        <f>IF(节奏总纲!T151&lt;G$13,0,求节点($C$18:$C$23,$E$18:$E$23,$Q154)*节奏总纲!AA151)*$D$1</f>
        <v>365767723.59575242</v>
      </c>
      <c r="W154" s="16">
        <f>SUM(R$7:R154)</f>
        <v>21285436382.260101</v>
      </c>
      <c r="X154" s="16">
        <f>SUM(S$7:S154)</f>
        <v>17969380473.450283</v>
      </c>
      <c r="Y154" s="16">
        <f>SUM(T$7:T154)</f>
        <v>14270788454.749632</v>
      </c>
      <c r="Z154" s="16">
        <f>SUM(U$7:U154)</f>
        <v>10119785619.752069</v>
      </c>
      <c r="AA154" s="16">
        <f>SUM(V$7:V154)</f>
        <v>5401719103.2278881</v>
      </c>
      <c r="AC154" s="16">
        <v>148</v>
      </c>
      <c r="AD154" s="16">
        <f>IF(节奏总纲!P151&lt;C$13,0,求节点($C$18:$C$23,$F$18:$F$23,$Q154)*节奏总纲!W151)*$D$1</f>
        <v>12783768.217042193</v>
      </c>
      <c r="AE154" s="16">
        <f>IF(节奏总纲!Q151&lt;D$13,0,求节点($C$18:$C$23,$F$18:$F$23,$Q154)*节奏总纲!X151)*$D$1</f>
        <v>10793335.505648747</v>
      </c>
      <c r="AF154" s="16">
        <f>IF(节奏总纲!R151&lt;E$13,0,求节点($C$18:$C$23,$F$18:$F$23,$Q154)*节奏总纲!Y151)*$D$1</f>
        <v>8644037.386370495</v>
      </c>
      <c r="AG154" s="16">
        <f>IF(节奏总纲!S151&lt;F$13,0,求节点($C$18:$C$23,$F$18:$F$23,$Q154)*节奏总纲!Z151)*$D$1</f>
        <v>6258066.2140802583</v>
      </c>
      <c r="AH154" s="16">
        <f>IF(节奏总纲!T151&lt;G$13,0,求节点($C$18:$C$23,$F$18:$F$23,$Q154)*节奏总纲!AA151)*$D$1</f>
        <v>3263609.3553125113</v>
      </c>
      <c r="AI154" s="16">
        <f>SUM(AD$7:AD154)</f>
        <v>189828395.33465868</v>
      </c>
      <c r="AJ154" s="16">
        <f>SUM(AE$7:AE154)</f>
        <v>160252817.03395265</v>
      </c>
      <c r="AK154" s="16">
        <f>SUM(AF$7:AF154)</f>
        <v>127266290.97475952</v>
      </c>
      <c r="AL154" s="16">
        <f>SUM(AG$7:AG154)</f>
        <v>90246120.372022599</v>
      </c>
      <c r="AM154" s="16">
        <f>SUM(AH$7:AH154)</f>
        <v>48170167.316845119</v>
      </c>
      <c r="AO154" s="16">
        <v>148</v>
      </c>
      <c r="AP154" s="16">
        <f>IF(节奏总纲!P151&lt;C$13,0,求节点($C$18:$C$23,$H$18:$H$23,$Q154)*节奏总纲!W151)*$D$1</f>
        <v>247576737.72350359</v>
      </c>
      <c r="AQ154" s="16">
        <f>IF(节奏总纲!Q151&lt;D$13,0,求节点($C$18:$C$23,$H$18:$H$23,$Q154)*节奏总纲!X151)*$D$1</f>
        <v>209029039.65995449</v>
      </c>
      <c r="AR154" s="16">
        <f>IF(节奏总纲!R151&lt;E$13,0,求节点($C$18:$C$23,$H$18:$H$23,$Q154)*节奏总纲!Y151)*$D$1</f>
        <v>167404676.03477544</v>
      </c>
      <c r="AS154" s="16">
        <f>IF(节奏总纲!S151&lt;F$13,0,求节点($C$18:$C$23,$H$18:$H$23,$Q154)*节奏总纲!Z151)*$D$1</f>
        <v>121196785.754783</v>
      </c>
      <c r="AT154" s="16">
        <f>IF(节奏总纲!T151&lt;G$13,0,求节点($C$18:$C$23,$H$18:$H$23,$Q154)*节奏总纲!AA151)*$D$1</f>
        <v>63204662.637346007</v>
      </c>
      <c r="AU154" s="16">
        <f>SUM(AP$7:AP154)</f>
        <v>3688266471.5596552</v>
      </c>
      <c r="AV154" s="16">
        <f>SUM(AQ$7:AQ154)</f>
        <v>3113802078.6598158</v>
      </c>
      <c r="AW154" s="16">
        <f>SUM(AR$7:AR154)</f>
        <v>2473001932.7470713</v>
      </c>
      <c r="AX154" s="16">
        <f>SUM(AS$7:AS154)</f>
        <v>1753739092.9488175</v>
      </c>
      <c r="AY154" s="16">
        <f>SUM(AT$7:AT154)</f>
        <v>936138175.31385088</v>
      </c>
    </row>
    <row r="155" spans="10:51">
      <c r="J155" s="16">
        <v>149</v>
      </c>
      <c r="K155" s="16">
        <f>MAX(求节点(节奏总纲!$O$4:$O$163,节奏总纲!P$4:P$163,$J155)-INT(C$13),0)*$D$1*$D$2</f>
        <v>36661.950080013739</v>
      </c>
      <c r="L155" s="16">
        <f>MAX(求节点(节奏总纲!$O$4:$O$163,节奏总纲!Q$4:Q$163,$J155)-INT(D$13),0)*$D$1*$D$2</f>
        <v>30960.698242571609</v>
      </c>
      <c r="M155" s="16">
        <f>MAX(求节点(节奏总纲!$O$4:$O$163,节奏总纲!R$4:R$163,$J155)-INT(E$13),0)*$D$1*$D$2</f>
        <v>24606.415133705224</v>
      </c>
      <c r="N155" s="16">
        <f>MAX(求节点(节奏总纲!$O$4:$O$163,节奏总纲!S$4:S$163,$J155)-INT(F$13),0)*$D$1*$D$2</f>
        <v>17446.214723078541</v>
      </c>
      <c r="O155" s="16">
        <f>MAX(求节点(节奏总纲!$O$4:$O$163,节奏总纲!T$4:T$163,$J155)-INT(G$13),0)*$D$1*$D$2</f>
        <v>9315.0048353314924</v>
      </c>
      <c r="Q155" s="16">
        <v>149</v>
      </c>
      <c r="R155" s="16">
        <f>IF(节奏总纲!P152&lt;C$13,0,求节点($C$18:$C$23,$E$18:$E$23,$Q155)*节奏总纲!W152)*$D$1</f>
        <v>1535568156.4430542</v>
      </c>
      <c r="S155" s="16">
        <f>IF(节奏总纲!Q152&lt;D$13,0,求节点($C$18:$C$23,$E$18:$E$23,$Q155)*节奏总纲!X152)*$D$1</f>
        <v>1301066088.2448711</v>
      </c>
      <c r="T155" s="16">
        <f>IF(节奏总纲!R152&lt;E$13,0,求节点($C$18:$C$23,$E$18:$E$23,$Q155)*节奏总纲!Y152)*$D$1</f>
        <v>1043509686.9907165</v>
      </c>
      <c r="U155" s="16">
        <f>IF(节奏总纲!S152&lt;F$13,0,求节点($C$18:$C$23,$E$18:$E$23,$Q155)*节奏总纲!Z152)*$D$1</f>
        <v>737195055.84431767</v>
      </c>
      <c r="V155" s="16">
        <f>IF(节奏总纲!T152&lt;G$13,0,求节点($C$18:$C$23,$E$18:$E$23,$Q155)*节奏总纲!AA152)*$D$1</f>
        <v>394466648.68089283</v>
      </c>
      <c r="W155" s="16">
        <f>SUM(R$7:R155)</f>
        <v>22821004538.703156</v>
      </c>
      <c r="X155" s="16">
        <f>SUM(S$7:S155)</f>
        <v>19270446561.695152</v>
      </c>
      <c r="Y155" s="16">
        <f>SUM(T$7:T155)</f>
        <v>15314298141.740349</v>
      </c>
      <c r="Z155" s="16">
        <f>SUM(U$7:U155)</f>
        <v>10856980675.596388</v>
      </c>
      <c r="AA155" s="16">
        <f>SUM(V$7:V155)</f>
        <v>5796185751.9087811</v>
      </c>
      <c r="AC155" s="16">
        <v>149</v>
      </c>
      <c r="AD155" s="16">
        <f>IF(节奏总纲!P152&lt;C$13,0,求节点($C$18:$C$23,$F$18:$F$23,$Q155)*节奏总纲!W152)*$D$1</f>
        <v>13701303.526240759</v>
      </c>
      <c r="AE155" s="16">
        <f>IF(节奏总纲!Q152&lt;D$13,0,求节点($C$18:$C$23,$F$18:$F$23,$Q155)*节奏总纲!X152)*$D$1</f>
        <v>11608928.791564714</v>
      </c>
      <c r="AF155" s="16">
        <f>IF(节奏总纲!R152&lt;E$13,0,求节点($C$18:$C$23,$F$18:$F$23,$Q155)*节奏总纲!Y152)*$D$1</f>
        <v>9310848.8177760094</v>
      </c>
      <c r="AG155" s="16">
        <f>IF(节奏总纲!S152&lt;F$13,0,求节点($C$18:$C$23,$F$18:$F$23,$Q155)*节奏总纲!Z152)*$D$1</f>
        <v>6577717.2936195731</v>
      </c>
      <c r="AH155" s="16">
        <f>IF(节奏总纲!T152&lt;G$13,0,求节点($C$18:$C$23,$F$18:$F$23,$Q155)*节奏总纲!AA152)*$D$1</f>
        <v>3519679.1896721795</v>
      </c>
      <c r="AI155" s="16">
        <f>SUM(AD$7:AD155)</f>
        <v>203529698.86089945</v>
      </c>
      <c r="AJ155" s="16">
        <f>SUM(AE$7:AE155)</f>
        <v>171861745.82551736</v>
      </c>
      <c r="AK155" s="16">
        <f>SUM(AF$7:AF155)</f>
        <v>136577139.79253554</v>
      </c>
      <c r="AL155" s="16">
        <f>SUM(AG$7:AG155)</f>
        <v>96823837.665642172</v>
      </c>
      <c r="AM155" s="16">
        <f>SUM(AH$7:AH155)</f>
        <v>51689846.506517299</v>
      </c>
      <c r="AO155" s="16">
        <v>149</v>
      </c>
      <c r="AP155" s="16">
        <f>IF(节奏总纲!P152&lt;C$13,0,求节点($C$18:$C$23,$H$18:$H$23,$Q155)*节奏总纲!W152)*$D$1</f>
        <v>265346177.4333598</v>
      </c>
      <c r="AQ155" s="16">
        <f>IF(节奏总纲!Q152&lt;D$13,0,求节点($C$18:$C$23,$H$18:$H$23,$Q155)*节奏总纲!X152)*$D$1</f>
        <v>224824220.04871371</v>
      </c>
      <c r="AR155" s="16">
        <f>IF(节奏总纲!R152&lt;E$13,0,求节点($C$18:$C$23,$H$18:$H$23,$Q155)*节奏总纲!Y152)*$D$1</f>
        <v>180318473.91199583</v>
      </c>
      <c r="AS155" s="16">
        <f>IF(节奏总纲!S152&lt;F$13,0,求节点($C$18:$C$23,$H$18:$H$23,$Q155)*节奏总纲!Z152)*$D$1</f>
        <v>127387305.64989811</v>
      </c>
      <c r="AT155" s="16">
        <f>IF(节奏总纲!T152&lt;G$13,0,求节点($C$18:$C$23,$H$18:$H$23,$Q155)*节奏总纲!AA152)*$D$1</f>
        <v>68163836.892058283</v>
      </c>
      <c r="AU155" s="16">
        <f>SUM(AP$7:AP155)</f>
        <v>3953612648.9930148</v>
      </c>
      <c r="AV155" s="16">
        <f>SUM(AQ$7:AQ155)</f>
        <v>3338626298.7085295</v>
      </c>
      <c r="AW155" s="16">
        <f>SUM(AR$7:AR155)</f>
        <v>2653320406.6590672</v>
      </c>
      <c r="AX155" s="16">
        <f>SUM(AS$7:AS155)</f>
        <v>1881126398.5987155</v>
      </c>
      <c r="AY155" s="16">
        <f>SUM(AT$7:AT155)</f>
        <v>1004302012.2059091</v>
      </c>
    </row>
    <row r="156" spans="10:51">
      <c r="J156" s="16">
        <v>150</v>
      </c>
      <c r="K156" s="16">
        <f>MAX(求节点(节奏总纲!$O$4:$O$163,节奏总纲!P$4:P$163,$J156)-INT(C$13),0)*$D$1*$D$2</f>
        <v>39295.200000000004</v>
      </c>
      <c r="L156" s="16">
        <f>MAX(求节点(节奏总纲!$O$4:$O$163,节奏总纲!Q$4:Q$163,$J156)-INT(D$13),0)*$D$1*$D$2</f>
        <v>33184.477800000008</v>
      </c>
      <c r="M156" s="16">
        <f>MAX(求节点(节奏总纲!$O$4:$O$163,节奏总纲!R$4:R$163,$J156)-INT(E$13),0)*$D$1*$D$2</f>
        <v>26377.784520000001</v>
      </c>
      <c r="N156" s="16">
        <f>MAX(求节点(节奏总纲!$O$4:$O$163,节奏总纲!S$4:S$163,$J156)-INT(F$13),0)*$D$1*$D$2</f>
        <v>18711.174480000001</v>
      </c>
      <c r="O156" s="16">
        <f>MAX(求节点(节奏总纲!$O$4:$O$163,节奏总纲!T$4:T$163,$J156)-INT(G$13),0)*$D$1*$D$2</f>
        <v>10019.502000000002</v>
      </c>
      <c r="Q156" s="16">
        <v>150</v>
      </c>
      <c r="R156" s="16">
        <f>IF(节奏总纲!P153&lt;C$13,0,求节点($C$18:$C$23,$E$18:$E$23,$Q156)*节奏总纲!W153)*$D$1</f>
        <v>1645781199.9914103</v>
      </c>
      <c r="S156" s="16">
        <f>IF(节奏总纲!Q153&lt;D$13,0,求节点($C$18:$C$23,$E$18:$E$23,$Q156)*节奏总纲!X153)*$D$1</f>
        <v>1389862223.3927462</v>
      </c>
      <c r="T156" s="16">
        <f>IF(节奏总纲!R153&lt;E$13,0,求节点($C$18:$C$23,$E$18:$E$23,$Q156)*节奏总纲!Y153)*$D$1</f>
        <v>1107105866.4342337</v>
      </c>
      <c r="U156" s="16">
        <f>IF(节奏总纲!S153&lt;F$13,0,求节点($C$18:$C$23,$E$18:$E$23,$Q156)*节奏总纲!Z153)*$D$1</f>
        <v>790599848.07591355</v>
      </c>
      <c r="V156" s="16">
        <f>IF(节奏总纲!T153&lt;G$13,0,求节点($C$18:$C$23,$E$18:$E$23,$Q156)*节奏总纲!AA153)*$D$1</f>
        <v>440310727.91781825</v>
      </c>
      <c r="W156" s="16">
        <f>SUM(R$7:R156)</f>
        <v>24466785738.694565</v>
      </c>
      <c r="X156" s="16">
        <f>SUM(S$7:S156)</f>
        <v>20660308785.087898</v>
      </c>
      <c r="Y156" s="16">
        <f>SUM(T$7:T156)</f>
        <v>16421404008.174583</v>
      </c>
      <c r="Z156" s="16">
        <f>SUM(U$7:U156)</f>
        <v>11647580523.672302</v>
      </c>
      <c r="AA156" s="16">
        <f>SUM(V$7:V156)</f>
        <v>6236496479.8265991</v>
      </c>
      <c r="AC156" s="16">
        <v>150</v>
      </c>
      <c r="AD156" s="16">
        <f>IF(节奏总纲!P153&lt;C$13,0,求节点($C$18:$C$23,$F$18:$F$23,$Q156)*节奏总纲!W153)*$D$1</f>
        <v>14684693.521579478</v>
      </c>
      <c r="AE156" s="16">
        <f>IF(节奏总纲!Q153&lt;D$13,0,求节点($C$18:$C$23,$F$18:$F$23,$Q156)*节奏总纲!X153)*$D$1</f>
        <v>12401223.67897387</v>
      </c>
      <c r="AF156" s="16">
        <f>IF(节奏总纲!R153&lt;E$13,0,求节点($C$18:$C$23,$F$18:$F$23,$Q156)*节奏总纲!Y153)*$D$1</f>
        <v>9878293.8732161205</v>
      </c>
      <c r="AG156" s="16">
        <f>IF(节奏总纲!S153&lt;F$13,0,求节点($C$18:$C$23,$F$18:$F$23,$Q156)*节奏总纲!Z153)*$D$1</f>
        <v>7054228.3915156396</v>
      </c>
      <c r="AH156" s="16">
        <f>IF(节奏总纲!T153&lt;G$13,0,求节点($C$18:$C$23,$F$18:$F$23,$Q156)*节奏总纲!AA153)*$D$1</f>
        <v>3928728.8576212171</v>
      </c>
      <c r="AI156" s="16">
        <f>SUM(AD$7:AD156)</f>
        <v>218214392.38247892</v>
      </c>
      <c r="AJ156" s="16">
        <f>SUM(AE$7:AE156)</f>
        <v>184262969.50449124</v>
      </c>
      <c r="AK156" s="16">
        <f>SUM(AF$7:AF156)</f>
        <v>146455433.66575167</v>
      </c>
      <c r="AL156" s="16">
        <f>SUM(AG$7:AG156)</f>
        <v>103878066.05715781</v>
      </c>
      <c r="AM156" s="16">
        <f>SUM(AH$7:AH156)</f>
        <v>55618575.364138514</v>
      </c>
      <c r="AO156" s="16">
        <v>150</v>
      </c>
      <c r="AP156" s="16">
        <f>IF(节奏总纲!P153&lt;C$13,0,求节点($C$18:$C$23,$H$18:$H$23,$Q156)*节奏总纲!W153)*$D$1</f>
        <v>284390991.35851568</v>
      </c>
      <c r="AQ156" s="16">
        <f>IF(节奏总纲!Q153&lt;D$13,0,求节点($C$18:$C$23,$H$18:$H$23,$Q156)*节奏总纲!X153)*$D$1</f>
        <v>240168192.20226654</v>
      </c>
      <c r="AR156" s="16">
        <f>IF(节奏总纲!R153&lt;E$13,0,求节点($C$18:$C$23,$H$18:$H$23,$Q156)*节奏总纲!Y153)*$D$1</f>
        <v>191307893.71983555</v>
      </c>
      <c r="AS156" s="16">
        <f>IF(节奏总纲!S153&lt;F$13,0,求节点($C$18:$C$23,$H$18:$H$23,$Q156)*节奏总纲!Z153)*$D$1</f>
        <v>136615653.74751785</v>
      </c>
      <c r="AT156" s="16">
        <f>IF(节奏总纲!T153&lt;G$13,0,求节点($C$18:$C$23,$H$18:$H$23,$Q156)*节奏总纲!AA153)*$D$1</f>
        <v>76085693.784198985</v>
      </c>
      <c r="AU156" s="16">
        <f>SUM(AP$7:AP156)</f>
        <v>4238003640.3515306</v>
      </c>
      <c r="AV156" s="16">
        <f>SUM(AQ$7:AQ156)</f>
        <v>3578794490.9107962</v>
      </c>
      <c r="AW156" s="16">
        <f>SUM(AR$7:AR156)</f>
        <v>2844628300.3789029</v>
      </c>
      <c r="AX156" s="16">
        <f>SUM(AS$7:AS156)</f>
        <v>2017742052.3462334</v>
      </c>
      <c r="AY156" s="16">
        <f>SUM(AT$7:AT156)</f>
        <v>1080387705.990108</v>
      </c>
    </row>
    <row r="157" spans="10:51">
      <c r="J157" s="16">
        <v>151</v>
      </c>
      <c r="K157" s="16">
        <f>MAX(求节点(节奏总纲!$O$4:$O$163,节奏总纲!P$4:P$163,$J157)-INT(C$13),0)*$D$1*$D$2</f>
        <v>42117.447384467057</v>
      </c>
      <c r="L157" s="16">
        <f>MAX(求节点(节奏总纲!$O$4:$O$163,节奏总纲!Q$4:Q$163,$J157)-INT(D$13),0)*$D$1*$D$2</f>
        <v>35584.722775136215</v>
      </c>
      <c r="M157" s="16">
        <f>MAX(求节点(节奏总纲!$O$4:$O$163,节奏总纲!R$4:R$163,$J157)-INT(E$13),0)*$D$1*$D$2</f>
        <v>28293.430512884966</v>
      </c>
      <c r="N157" s="16">
        <f>MAX(求节点(节奏总纲!$O$4:$O$163,节奏总纲!S$4:S$163,$J157)-INT(F$13),0)*$D$1*$D$2</f>
        <v>20152.056773467484</v>
      </c>
      <c r="O157" s="16">
        <f>MAX(求节点(节奏总纲!$O$4:$O$163,节奏总纲!T$4:T$163,$J157)-INT(G$13),0)*$D$1*$D$2</f>
        <v>10907.745672576966</v>
      </c>
      <c r="Q157" s="16">
        <v>151</v>
      </c>
      <c r="R157" s="16">
        <f>IF(节奏总纲!P154&lt;C$13,0,求节点($C$18:$C$23,$E$18:$E$23,$Q157)*节奏总纲!W154)*$D$1</f>
        <v>1763904615.2919073</v>
      </c>
      <c r="S157" s="16">
        <f>IF(节奏总纲!Q154&lt;D$13,0,求节点($C$18:$C$23,$E$18:$E$23,$Q157)*节奏总纲!X154)*$D$1</f>
        <v>1500153109.4601314</v>
      </c>
      <c r="T157" s="16">
        <f>IF(节奏总纲!R154&lt;E$13,0,求节点($C$18:$C$23,$E$18:$E$23,$Q157)*节奏总纲!Y154)*$D$1</f>
        <v>1197278745.5531025</v>
      </c>
      <c r="U157" s="16">
        <f>IF(节奏总纲!S154&lt;F$13,0,求节点($C$18:$C$23,$E$18:$E$23,$Q157)*节奏总纲!Z154)*$D$1</f>
        <v>900551433.41717672</v>
      </c>
      <c r="V157" s="16">
        <f>IF(节奏总纲!T154&lt;G$13,0,求节点($C$18:$C$23,$E$18:$E$23,$Q157)*节奏总纲!AA154)*$D$1</f>
        <v>555152295.36060309</v>
      </c>
      <c r="W157" s="16">
        <f>SUM(R$7:R157)</f>
        <v>26230690353.986473</v>
      </c>
      <c r="X157" s="16">
        <f>SUM(S$7:S157)</f>
        <v>22160461894.548031</v>
      </c>
      <c r="Y157" s="16">
        <f>SUM(T$7:T157)</f>
        <v>17618682753.727684</v>
      </c>
      <c r="Z157" s="16">
        <f>SUM(U$7:U157)</f>
        <v>12548131957.089479</v>
      </c>
      <c r="AA157" s="16">
        <f>SUM(V$7:V157)</f>
        <v>6791648775.1872025</v>
      </c>
      <c r="AC157" s="16">
        <v>151</v>
      </c>
      <c r="AD157" s="16">
        <f>IF(节奏总纲!P154&lt;C$13,0,求节点($C$18:$C$23,$F$18:$F$23,$Q157)*节奏总纲!W154)*$D$1</f>
        <v>15738664.82190731</v>
      </c>
      <c r="AE157" s="16">
        <f>IF(节奏总纲!Q154&lt;D$13,0,求节点($C$18:$C$23,$F$18:$F$23,$Q157)*节奏总纲!X154)*$D$1</f>
        <v>13385308.234157417</v>
      </c>
      <c r="AF157" s="16">
        <f>IF(节奏总纲!R154&lt;E$13,0,求节点($C$18:$C$23,$F$18:$F$23,$Q157)*节奏总纲!Y154)*$D$1</f>
        <v>10682872.935017249</v>
      </c>
      <c r="AG157" s="16">
        <f>IF(节奏总纲!S154&lt;F$13,0,求节点($C$18:$C$23,$F$18:$F$23,$Q157)*节奏总纲!Z154)*$D$1</f>
        <v>8035285.4925182927</v>
      </c>
      <c r="AH157" s="16">
        <f>IF(节奏总纲!T154&lt;G$13,0,求节点($C$18:$C$23,$F$18:$F$23,$Q157)*节奏总纲!AA154)*$D$1</f>
        <v>4953417.4501533825</v>
      </c>
      <c r="AI157" s="16">
        <f>SUM(AD$7:AD157)</f>
        <v>233953057.20438623</v>
      </c>
      <c r="AJ157" s="16">
        <f>SUM(AE$7:AE157)</f>
        <v>197648277.73864865</v>
      </c>
      <c r="AK157" s="16">
        <f>SUM(AF$7:AF157)</f>
        <v>157138306.60076892</v>
      </c>
      <c r="AL157" s="16">
        <f>SUM(AG$7:AG157)</f>
        <v>111913351.54967611</v>
      </c>
      <c r="AM157" s="16">
        <f>SUM(AH$7:AH157)</f>
        <v>60571992.814291894</v>
      </c>
      <c r="AO157" s="16">
        <v>151</v>
      </c>
      <c r="AP157" s="16">
        <f>IF(节奏总纲!P154&lt;C$13,0,求节点($C$18:$C$23,$H$18:$H$23,$Q157)*节奏总纲!W154)*$D$1</f>
        <v>304802717.52244157</v>
      </c>
      <c r="AQ157" s="16">
        <f>IF(节奏总纲!Q154&lt;D$13,0,求节点($C$18:$C$23,$H$18:$H$23,$Q157)*节奏总纲!X154)*$D$1</f>
        <v>259226457.31471068</v>
      </c>
      <c r="AR157" s="16">
        <f>IF(节奏总纲!R154&lt;E$13,0,求节点($C$18:$C$23,$H$18:$H$23,$Q157)*节奏总纲!Y154)*$D$1</f>
        <v>206889767.23157609</v>
      </c>
      <c r="AS157" s="16">
        <f>IF(节奏总纲!S154&lt;F$13,0,求节点($C$18:$C$23,$H$18:$H$23,$Q157)*节奏总纲!Z154)*$D$1</f>
        <v>155615287.69448814</v>
      </c>
      <c r="AT157" s="16">
        <f>IF(节奏总纲!T154&lt;G$13,0,求节点($C$18:$C$23,$H$18:$H$23,$Q157)*节奏总纲!AA154)*$D$1</f>
        <v>95930316.638312221</v>
      </c>
      <c r="AU157" s="16">
        <f>SUM(AP$7:AP157)</f>
        <v>4542806357.8739719</v>
      </c>
      <c r="AV157" s="16">
        <f>SUM(AQ$7:AQ157)</f>
        <v>3838020948.2255068</v>
      </c>
      <c r="AW157" s="16">
        <f>SUM(AR$7:AR157)</f>
        <v>3051518067.6104789</v>
      </c>
      <c r="AX157" s="16">
        <f>SUM(AS$7:AS157)</f>
        <v>2173357340.0407214</v>
      </c>
      <c r="AY157" s="16">
        <f>SUM(AT$7:AT157)</f>
        <v>1176318022.6284204</v>
      </c>
    </row>
    <row r="158" spans="10:51">
      <c r="J158" s="16">
        <v>152</v>
      </c>
      <c r="K158" s="16">
        <f>MAX(求节点(节奏总纲!$O$4:$O$163,节奏总纲!P$4:P$163,$J158)-INT(C$13),0)*$D$1*$D$2</f>
        <v>45142.257235851393</v>
      </c>
      <c r="L158" s="16">
        <f>MAX(求节点(节奏总纲!$O$4:$O$163,节奏总纲!Q$4:Q$163,$J158)-INT(D$13),0)*$D$1*$D$2</f>
        <v>38131.351127123671</v>
      </c>
      <c r="M158" s="16">
        <f>MAX(求节点(节奏总纲!$O$4:$O$163,节奏总纲!R$4:R$163,$J158)-INT(E$13),0)*$D$1*$D$2</f>
        <v>30492.617362817611</v>
      </c>
      <c r="N158" s="16">
        <f>MAX(求节点(节奏总纲!$O$4:$O$163,节奏总纲!S$4:S$163,$J158)-INT(F$13),0)*$D$1*$D$2</f>
        <v>21893.016759387927</v>
      </c>
      <c r="O158" s="16">
        <f>MAX(求节点(节奏总纲!$O$4:$O$163,节奏总纲!T$4:T$163,$J158)-INT(G$13),0)*$D$1*$D$2</f>
        <v>16930.596463444272</v>
      </c>
      <c r="Q158" s="16">
        <v>152</v>
      </c>
      <c r="R158" s="16">
        <f>IF(节奏总纲!P155&lt;C$13,0,求节点($C$18:$C$23,$E$18:$E$23,$Q158)*节奏总纲!W155)*$D$1</f>
        <v>1890506157.115211</v>
      </c>
      <c r="S158" s="16">
        <f>IF(节奏总纲!Q155&lt;D$13,0,求节点($C$18:$C$23,$E$18:$E$23,$Q158)*节奏总纲!X155)*$D$1</f>
        <v>1591642719.9921608</v>
      </c>
      <c r="T158" s="16">
        <f>IF(节奏总纲!R155&lt;E$13,0,求节点($C$18:$C$23,$E$18:$E$23,$Q158)*节奏总纲!Y155)*$D$1</f>
        <v>1374491781.2079067</v>
      </c>
      <c r="U158" s="16">
        <f>IF(节奏总纲!S155&lt;F$13,0,求节点($C$18:$C$23,$E$18:$E$23,$Q158)*节奏总纲!Z155)*$D$1</f>
        <v>1088099991.2002754</v>
      </c>
      <c r="V158" s="16">
        <f>IF(节奏总纲!T155&lt;G$13,0,求节点($C$18:$C$23,$E$18:$E$23,$Q158)*节奏总纲!AA155)*$D$1</f>
        <v>3764281744.2920651</v>
      </c>
      <c r="W158" s="16">
        <f>SUM(R$7:R158)</f>
        <v>28121196511.101685</v>
      </c>
      <c r="X158" s="16">
        <f>SUM(S$7:S158)</f>
        <v>23752104614.540192</v>
      </c>
      <c r="Y158" s="16">
        <f>SUM(T$7:T158)</f>
        <v>18993174534.935593</v>
      </c>
      <c r="Z158" s="16">
        <f>SUM(U$7:U158)</f>
        <v>13636231948.289755</v>
      </c>
      <c r="AA158" s="16">
        <f>SUM(V$7:V158)</f>
        <v>10555930519.479267</v>
      </c>
      <c r="AC158" s="16">
        <v>152</v>
      </c>
      <c r="AD158" s="16">
        <f>IF(节奏总纲!P155&lt;C$13,0,求节点($C$18:$C$23,$F$18:$F$23,$Q158)*节奏总纲!W155)*$D$1</f>
        <v>16868283.291874245</v>
      </c>
      <c r="AE158" s="16">
        <f>IF(节奏总纲!Q155&lt;D$13,0,求节点($C$18:$C$23,$F$18:$F$23,$Q158)*节奏总纲!X155)*$D$1</f>
        <v>14201636.000617828</v>
      </c>
      <c r="AF158" s="16">
        <f>IF(节奏总纲!R155&lt;E$13,0,求节点($C$18:$C$23,$F$18:$F$23,$Q158)*节奏总纲!Y155)*$D$1</f>
        <v>12264078.940185566</v>
      </c>
      <c r="AG158" s="16">
        <f>IF(节奏总纲!S155&lt;F$13,0,求节点($C$18:$C$23,$F$18:$F$23,$Q158)*节奏总纲!Z155)*$D$1</f>
        <v>9708711.5174804311</v>
      </c>
      <c r="AH158" s="16">
        <f>IF(节奏总纲!T155&lt;G$13,0,求节点($C$18:$C$23,$F$18:$F$23,$Q158)*节奏总纲!AA155)*$D$1</f>
        <v>33587285.93089658</v>
      </c>
      <c r="AI158" s="16">
        <f>SUM(AD$7:AD158)</f>
        <v>250821340.49626046</v>
      </c>
      <c r="AJ158" s="16">
        <f>SUM(AE$7:AE158)</f>
        <v>211849913.73926648</v>
      </c>
      <c r="AK158" s="16">
        <f>SUM(AF$7:AF158)</f>
        <v>169402385.5409545</v>
      </c>
      <c r="AL158" s="16">
        <f>SUM(AG$7:AG158)</f>
        <v>121622063.06715654</v>
      </c>
      <c r="AM158" s="16">
        <f>SUM(AH$7:AH158)</f>
        <v>94159278.745188475</v>
      </c>
      <c r="AO158" s="16">
        <v>152</v>
      </c>
      <c r="AP158" s="16">
        <f>IF(节奏总纲!P155&lt;C$13,0,求节点($C$18:$C$23,$H$18:$H$23,$Q158)*节奏总纲!W155)*$D$1</f>
        <v>326679463.94950843</v>
      </c>
      <c r="AQ158" s="16">
        <f>IF(节奏总纲!Q155&lt;D$13,0,求节点($C$18:$C$23,$H$18:$H$23,$Q158)*节奏总纲!X155)*$D$1</f>
        <v>275035862.0146454</v>
      </c>
      <c r="AR158" s="16">
        <f>IF(节奏总纲!R155&lt;E$13,0,求节点($C$18:$C$23,$H$18:$H$23,$Q158)*节奏总纲!Y155)*$D$1</f>
        <v>237512179.79272622</v>
      </c>
      <c r="AS158" s="16">
        <f>IF(节奏总纲!S155&lt;F$13,0,求节点($C$18:$C$23,$H$18:$H$23,$Q158)*节奏总纲!Z155)*$D$1</f>
        <v>188023678.47940758</v>
      </c>
      <c r="AT158" s="16">
        <f>IF(节奏总纲!T155&lt;G$13,0,求节点($C$18:$C$23,$H$18:$H$23,$Q158)*节奏总纲!AA155)*$D$1</f>
        <v>650467885.41366887</v>
      </c>
      <c r="AU158" s="16">
        <f>SUM(AP$7:AP158)</f>
        <v>4869485821.8234806</v>
      </c>
      <c r="AV158" s="16">
        <f>SUM(AQ$7:AQ158)</f>
        <v>4113056810.2401524</v>
      </c>
      <c r="AW158" s="16">
        <f>SUM(AR$7:AR158)</f>
        <v>3289030247.4032049</v>
      </c>
      <c r="AX158" s="16">
        <f>SUM(AS$7:AS158)</f>
        <v>2361381018.5201292</v>
      </c>
      <c r="AY158" s="16">
        <f>SUM(AT$7:AT158)</f>
        <v>1826785908.0420892</v>
      </c>
    </row>
    <row r="159" spans="10:51">
      <c r="J159" s="16">
        <v>153</v>
      </c>
      <c r="K159" s="16">
        <f>MAX(求节点(节奏总纲!$O$4:$O$163,节奏总纲!P$4:P$163,$J159)-INT(C$13),0)*$D$1*$D$2</f>
        <v>48384.168163783477</v>
      </c>
      <c r="L159" s="16">
        <f>MAX(求节点(节奏总纲!$O$4:$O$163,节奏总纲!Q$4:Q$163,$J159)-INT(D$13),0)*$D$1*$D$2</f>
        <v>41174.772307379739</v>
      </c>
      <c r="M159" s="16">
        <f>MAX(求节点(节奏总纲!$O$4:$O$163,节奏总纲!R$4:R$163,$J159)-INT(E$13),0)*$D$1*$D$2</f>
        <v>33045.598455864121</v>
      </c>
      <c r="N159" s="16">
        <f>MAX(求节点(节奏总纲!$O$4:$O$163,节奏总纲!S$4:S$163,$J159)-INT(F$13),0)*$D$1*$D$2</f>
        <v>29032.420898270084</v>
      </c>
      <c r="O159" s="16">
        <f>MAX(求节点(节奏总纲!$O$4:$O$163,节奏总纲!T$4:T$163,$J159)-INT(G$13),0)*$D$1*$D$2</f>
        <v>29038.420898270084</v>
      </c>
      <c r="Q159" s="16">
        <v>153</v>
      </c>
      <c r="R159" s="16">
        <f>IF(节奏总纲!P156&lt;C$13,0,求节点($C$18:$C$23,$E$18:$E$23,$Q159)*节奏总纲!W156)*$D$1</f>
        <v>2026194329.957556</v>
      </c>
      <c r="S159" s="16">
        <f>IF(节奏总纲!Q156&lt;D$13,0,求节点($C$18:$C$23,$E$18:$E$23,$Q159)*节奏总纲!X156)*$D$1</f>
        <v>1902138237.6600413</v>
      </c>
      <c r="T159" s="16">
        <f>IF(节奏总纲!R156&lt;E$13,0,求节点($C$18:$C$23,$E$18:$E$23,$Q159)*节奏总纲!Y156)*$D$1</f>
        <v>1595613183.1540661</v>
      </c>
      <c r="U159" s="16">
        <f>IF(节奏总纲!S156&lt;F$13,0,求节点($C$18:$C$23,$E$18:$E$23,$Q159)*节奏总纲!Z156)*$D$1</f>
        <v>4462127586.8013496</v>
      </c>
      <c r="V159" s="16">
        <f>IF(节奏总纲!T156&lt;G$13,0,求节点($C$18:$C$23,$E$18:$E$23,$Q159)*节奏总纲!AA156)*$D$1</f>
        <v>7567390271.7661324</v>
      </c>
      <c r="W159" s="16">
        <f>SUM(R$7:R159)</f>
        <v>30147390841.059242</v>
      </c>
      <c r="X159" s="16">
        <f>SUM(S$7:S159)</f>
        <v>25654242852.200233</v>
      </c>
      <c r="Y159" s="16">
        <f>SUM(T$7:T159)</f>
        <v>20588787718.089661</v>
      </c>
      <c r="Z159" s="16">
        <f>SUM(U$7:U159)</f>
        <v>18098359535.091103</v>
      </c>
      <c r="AA159" s="16">
        <f>SUM(V$7:V159)</f>
        <v>18123320791.245399</v>
      </c>
      <c r="AC159" s="16">
        <v>153</v>
      </c>
      <c r="AD159" s="16">
        <f>IF(节奏总纲!P156&lt;C$13,0,求节点($C$18:$C$23,$F$18:$F$23,$Q159)*节奏总纲!W156)*$D$1</f>
        <v>18078978.390775204</v>
      </c>
      <c r="AE159" s="16">
        <f>IF(节奏总纲!Q156&lt;D$13,0,求节点($C$18:$C$23,$F$18:$F$23,$Q159)*节奏总纲!X156)*$D$1</f>
        <v>16972072.020181537</v>
      </c>
      <c r="AF159" s="16">
        <f>IF(节奏总纲!R156&lt;E$13,0,求节点($C$18:$C$23,$F$18:$F$23,$Q159)*节奏总纲!Y156)*$D$1</f>
        <v>14237062.966651712</v>
      </c>
      <c r="AG159" s="16">
        <f>IF(节奏总纲!S156&lt;F$13,0,求节点($C$18:$C$23,$F$18:$F$23,$Q159)*节奏总纲!Z156)*$D$1</f>
        <v>39813904.82933262</v>
      </c>
      <c r="AH159" s="16">
        <f>IF(节奏总纲!T156&lt;G$13,0,求节点($C$18:$C$23,$F$18:$F$23,$Q159)*节奏总纲!AA156)*$D$1</f>
        <v>67521008.807031989</v>
      </c>
      <c r="AI159" s="16">
        <f>SUM(AD$7:AD159)</f>
        <v>268900318.88703567</v>
      </c>
      <c r="AJ159" s="16">
        <f>SUM(AE$7:AE159)</f>
        <v>228821985.75944802</v>
      </c>
      <c r="AK159" s="16">
        <f>SUM(AF$7:AF159)</f>
        <v>183639448.50760621</v>
      </c>
      <c r="AL159" s="16">
        <f>SUM(AG$7:AG159)</f>
        <v>161435967.89648914</v>
      </c>
      <c r="AM159" s="16">
        <f>SUM(AH$7:AH159)</f>
        <v>161680287.55222046</v>
      </c>
      <c r="AO159" s="16">
        <v>153</v>
      </c>
      <c r="AP159" s="16">
        <f>IF(节奏总纲!P156&lt;C$13,0,求节点($C$18:$C$23,$H$18:$H$23,$Q159)*节奏总纲!W156)*$D$1</f>
        <v>350126380.21666563</v>
      </c>
      <c r="AQ159" s="16">
        <f>IF(节奏总纲!Q156&lt;D$13,0,求节点($C$18:$C$23,$H$18:$H$23,$Q159)*节奏总纲!X156)*$D$1</f>
        <v>328689487.46765518</v>
      </c>
      <c r="AR159" s="16">
        <f>IF(节奏总纲!R156&lt;E$13,0,求节点($C$18:$C$23,$H$18:$H$23,$Q159)*节奏总纲!Y156)*$D$1</f>
        <v>275721958.04902261</v>
      </c>
      <c r="AS159" s="16">
        <f>IF(节奏总纲!S156&lt;F$13,0,求节点($C$18:$C$23,$H$18:$H$23,$Q159)*节奏总纲!Z156)*$D$1</f>
        <v>771055646.9992733</v>
      </c>
      <c r="AT159" s="16">
        <f>IF(节奏总纲!T156&lt;G$13,0,求节点($C$18:$C$23,$H$18:$H$23,$Q159)*节奏总纲!AA156)*$D$1</f>
        <v>1307645038.9611878</v>
      </c>
      <c r="AU159" s="16">
        <f>SUM(AP$7:AP159)</f>
        <v>5219612202.0401459</v>
      </c>
      <c r="AV159" s="16">
        <f>SUM(AQ$7:AQ159)</f>
        <v>4441746297.7078075</v>
      </c>
      <c r="AW159" s="16">
        <f>SUM(AR$7:AR159)</f>
        <v>3564752205.4522276</v>
      </c>
      <c r="AX159" s="16">
        <f>SUM(AS$7:AS159)</f>
        <v>3132436665.5194025</v>
      </c>
      <c r="AY159" s="16">
        <f>SUM(AT$7:AT159)</f>
        <v>3134430947.0032768</v>
      </c>
    </row>
    <row r="160" spans="10:51">
      <c r="J160" s="16">
        <v>154</v>
      </c>
      <c r="K160" s="16">
        <f>MAX(求节点(节奏总纲!$O$4:$O$163,节奏总纲!P$4:P$163,$J160)-INT(C$13),0)*$D$1*$D$2</f>
        <v>51858.762264247423</v>
      </c>
      <c r="L160" s="16">
        <f>MAX(求节点(节奏总纲!$O$4:$O$163,节奏总纲!Q$4:Q$163,$J160)-INT(D$13),0)*$D$1*$D$2</f>
        <v>44339.187735931548</v>
      </c>
      <c r="M160" s="16">
        <f>MAX(求节点(节奏总纲!$O$4:$O$163,节奏总纲!R$4:R$163,$J160)-INT(E$13),0)*$D$1*$D$2</f>
        <v>40710.910377434222</v>
      </c>
      <c r="N160" s="16">
        <f>MAX(求节点(节奏总纲!$O$4:$O$163,节奏总纲!S$4:S$163,$J160)-INT(F$13),0)*$D$1*$D$2</f>
        <v>40975.130188755465</v>
      </c>
      <c r="O160" s="16">
        <f>MAX(求节点(节奏总纲!$O$4:$O$163,节奏总纲!T$4:T$163,$J160)-INT(G$13),0)*$D$1*$D$2</f>
        <v>40981.130188755465</v>
      </c>
      <c r="Q160" s="16">
        <v>154</v>
      </c>
      <c r="R160" s="16">
        <f>IF(节奏总纲!P157&lt;C$13,0,求节点($C$18:$C$23,$E$18:$E$23,$Q160)*节奏总纲!W157)*$D$1</f>
        <v>2171621312.7899628</v>
      </c>
      <c r="S160" s="16">
        <f>IF(节奏总纲!Q157&lt;D$13,0,求节点($C$18:$C$23,$E$18:$E$23,$Q160)*节奏总纲!X157)*$D$1</f>
        <v>1977759642.8448815</v>
      </c>
      <c r="T160" s="16">
        <f>IF(节奏总纲!R157&lt;E$13,0,求节点($C$18:$C$23,$E$18:$E$23,$Q160)*节奏总纲!Y157)*$D$1</f>
        <v>4790819950.9813166</v>
      </c>
      <c r="U160" s="16">
        <f>IF(节奏总纲!S157&lt;F$13,0,求节点($C$18:$C$23,$E$18:$E$23,$Q160)*节奏总纲!Z157)*$D$1</f>
        <v>7464193306.5533619</v>
      </c>
      <c r="V160" s="16">
        <f>IF(节奏总纲!T157&lt;G$13,0,求节点($C$18:$C$23,$E$18:$E$23,$Q160)*节奏总纲!AA157)*$D$1</f>
        <v>7464193306.5533619</v>
      </c>
      <c r="W160" s="16">
        <f>SUM(R$7:R160)</f>
        <v>32319012153.849205</v>
      </c>
      <c r="X160" s="16">
        <f>SUM(S$7:S160)</f>
        <v>27632002495.045116</v>
      </c>
      <c r="Y160" s="16">
        <f>SUM(T$7:T160)</f>
        <v>25379607669.070976</v>
      </c>
      <c r="Z160" s="16">
        <f>SUM(U$7:U160)</f>
        <v>25562552841.644463</v>
      </c>
      <c r="AA160" s="16">
        <f>SUM(V$7:V160)</f>
        <v>25587514097.798759</v>
      </c>
      <c r="AC160" s="16">
        <v>154</v>
      </c>
      <c r="AD160" s="16">
        <f>IF(节奏总纲!P157&lt;C$13,0,求节点($C$18:$C$23,$F$18:$F$23,$Q160)*节奏总纲!W157)*$D$1</f>
        <v>19376569.268999502</v>
      </c>
      <c r="AE160" s="16">
        <f>IF(节奏总纲!Q157&lt;D$13,0,求节点($C$18:$C$23,$F$18:$F$23,$Q160)*节奏总纲!X157)*$D$1</f>
        <v>17646813.69229224</v>
      </c>
      <c r="AF160" s="16">
        <f>IF(节奏总纲!R157&lt;E$13,0,求节点($C$18:$C$23,$F$18:$F$23,$Q160)*节奏总纲!Y157)*$D$1</f>
        <v>42746704.542253993</v>
      </c>
      <c r="AG160" s="16">
        <f>IF(节奏总纲!S157&lt;F$13,0,求节点($C$18:$C$23,$F$18:$F$23,$Q160)*节奏总纲!Z157)*$D$1</f>
        <v>66600220.669146739</v>
      </c>
      <c r="AH160" s="16">
        <f>IF(节奏总纲!T157&lt;G$13,0,求节点($C$18:$C$23,$F$18:$F$23,$Q160)*节奏总纲!AA157)*$D$1</f>
        <v>66600220.669146739</v>
      </c>
      <c r="AI160" s="16">
        <f>SUM(AD$7:AD160)</f>
        <v>288276888.15603518</v>
      </c>
      <c r="AJ160" s="16">
        <f>SUM(AE$7:AE160)</f>
        <v>246468799.45174026</v>
      </c>
      <c r="AK160" s="16">
        <f>SUM(AF$7:AF160)</f>
        <v>226386153.04986021</v>
      </c>
      <c r="AL160" s="16">
        <f>SUM(AG$7:AG160)</f>
        <v>228036188.56563589</v>
      </c>
      <c r="AM160" s="16">
        <f>SUM(AH$7:AH160)</f>
        <v>228280508.22136721</v>
      </c>
      <c r="AO160" s="16">
        <v>154</v>
      </c>
      <c r="AP160" s="16">
        <f>IF(节奏总纲!P157&lt;C$13,0,求节点($C$18:$C$23,$H$18:$H$23,$Q160)*节奏总纲!W157)*$D$1</f>
        <v>375256162.85010558</v>
      </c>
      <c r="AQ160" s="16">
        <f>IF(节奏总纲!Q157&lt;D$13,0,求节点($C$18:$C$23,$H$18:$H$23,$Q160)*节奏总纲!X157)*$D$1</f>
        <v>341756866.28359556</v>
      </c>
      <c r="AR160" s="16">
        <f>IF(节奏总纲!R157&lt;E$13,0,求节点($C$18:$C$23,$H$18:$H$23,$Q160)*节奏总纲!Y157)*$D$1</f>
        <v>827853687.52957153</v>
      </c>
      <c r="AS160" s="16">
        <f>IF(节奏总纲!S157&lt;F$13,0,求节点($C$18:$C$23,$H$18:$H$23,$Q160)*节奏总纲!Z157)*$D$1</f>
        <v>1289812603.3724208</v>
      </c>
      <c r="AT160" s="16">
        <f>IF(节奏总纲!T157&lt;G$13,0,求节点($C$18:$C$23,$H$18:$H$23,$Q160)*节奏总纲!AA157)*$D$1</f>
        <v>1289812603.3724208</v>
      </c>
      <c r="AU160" s="16">
        <f>SUM(AP$7:AP160)</f>
        <v>5594868364.8902512</v>
      </c>
      <c r="AV160" s="16">
        <f>SUM(AQ$7:AQ160)</f>
        <v>4783503163.9914036</v>
      </c>
      <c r="AW160" s="16">
        <f>SUM(AR$7:AR160)</f>
        <v>4392605892.9817991</v>
      </c>
      <c r="AX160" s="16">
        <f>SUM(AS$7:AS160)</f>
        <v>4422249268.8918228</v>
      </c>
      <c r="AY160" s="16">
        <f>SUM(AT$7:AT160)</f>
        <v>4424243550.3756981</v>
      </c>
    </row>
    <row r="161" spans="10:51">
      <c r="J161" s="16">
        <v>155</v>
      </c>
      <c r="K161" s="16">
        <f>MAX(求节点(节奏总纲!$O$4:$O$163,节奏总纲!P$4:P$163,$J161)-INT(C$13),0)*$D$1*$D$2</f>
        <v>55582.740014209929</v>
      </c>
      <c r="L161" s="16">
        <f>MAX(求节点(节奏总纲!$O$4:$O$163,节奏总纲!Q$4:Q$163,$J161)-INT(D$13),0)*$D$1*$D$2</f>
        <v>52872.672541516484</v>
      </c>
      <c r="M161" s="16">
        <f>MAX(求节点(节奏总纲!$O$4:$O$163,节奏总纲!R$4:R$163,$J161)-INT(E$13),0)*$D$1*$D$2</f>
        <v>53265.528121615949</v>
      </c>
      <c r="N161" s="16">
        <f>MAX(求节点(节奏总纲!$O$4:$O$163,节奏总纲!S$4:S$163,$J161)-INT(F$13),0)*$D$1*$D$2</f>
        <v>53270.328121615952</v>
      </c>
      <c r="O161" s="16">
        <f>MAX(求节点(节奏总纲!$O$4:$O$163,节奏总纲!T$4:T$163,$J161)-INT(G$13),0)*$D$1*$D$2</f>
        <v>53443.15194165858</v>
      </c>
      <c r="Q161" s="16">
        <v>155</v>
      </c>
      <c r="R161" s="16">
        <f>IF(节奏总纲!P158&lt;C$13,0,求节点($C$18:$C$23,$E$18:$E$23,$Q161)*节奏总纲!W158)*$D$1</f>
        <v>2327486093.7265654</v>
      </c>
      <c r="S161" s="16">
        <f>IF(节奏总纲!Q158&lt;D$13,0,求节点($C$18:$C$23,$E$18:$E$23,$Q161)*节奏总纲!X158)*$D$1</f>
        <v>5333428003.4905853</v>
      </c>
      <c r="T161" s="16">
        <f>IF(节奏总纲!R158&lt;E$13,0,求节点($C$18:$C$23,$E$18:$E$23,$Q161)*节奏总纲!Y158)*$D$1</f>
        <v>7846636090.1135788</v>
      </c>
      <c r="U161" s="16">
        <f>IF(节奏总纲!S158&lt;F$13,0,求节点($C$18:$C$23,$E$18:$E$23,$Q161)*节奏总纲!Z158)*$D$1</f>
        <v>7684498708.0378046</v>
      </c>
      <c r="V161" s="16">
        <f>IF(节奏总纲!T158&lt;G$13,0,求节点($C$18:$C$23,$E$18:$E$23,$Q161)*节奏总纲!AA158)*$D$1</f>
        <v>7788763595.5644493</v>
      </c>
      <c r="W161" s="16">
        <f>SUM(R$7:R161)</f>
        <v>34646498247.575768</v>
      </c>
      <c r="X161" s="16">
        <f>SUM(S$7:S161)</f>
        <v>32965430498.535702</v>
      </c>
      <c r="Y161" s="16">
        <f>SUM(T$7:T161)</f>
        <v>33226243759.184555</v>
      </c>
      <c r="Z161" s="16">
        <f>SUM(U$7:U161)</f>
        <v>33247051549.682266</v>
      </c>
      <c r="AA161" s="16">
        <f>SUM(V$7:V161)</f>
        <v>33376277693.363209</v>
      </c>
      <c r="AC161" s="16">
        <v>155</v>
      </c>
      <c r="AD161" s="16">
        <f>IF(节奏总纲!P158&lt;C$13,0,求节点($C$18:$C$23,$F$18:$F$23,$Q161)*节奏总纲!W158)*$D$1</f>
        <v>20767292.737510435</v>
      </c>
      <c r="AE161" s="16">
        <f>IF(节奏总纲!Q158&lt;D$13,0,求节点($C$18:$C$23,$F$18:$F$23,$Q161)*节奏总纲!X158)*$D$1</f>
        <v>47588194.379105523</v>
      </c>
      <c r="AF161" s="16">
        <f>IF(节奏总纲!R158&lt;E$13,0,求节点($C$18:$C$23,$F$18:$F$23,$Q161)*节奏总纲!Y158)*$D$1</f>
        <v>70012615.382460296</v>
      </c>
      <c r="AG161" s="16">
        <f>IF(节奏总纲!S158&lt;F$13,0,求节点($C$18:$C$23,$F$18:$F$23,$Q161)*节奏总纲!Z158)*$D$1</f>
        <v>68565923.826993272</v>
      </c>
      <c r="AH161" s="16">
        <f>IF(节奏总纲!T158&lt;G$13,0,求节点($C$18:$C$23,$F$18:$F$23,$Q161)*节奏总纲!AA158)*$D$1</f>
        <v>69496240.638486013</v>
      </c>
      <c r="AI161" s="16">
        <f>SUM(AD$7:AD161)</f>
        <v>309044180.89354563</v>
      </c>
      <c r="AJ161" s="16">
        <f>SUM(AE$7:AE161)</f>
        <v>294056993.83084577</v>
      </c>
      <c r="AK161" s="16">
        <f>SUM(AF$7:AF161)</f>
        <v>296398768.43232048</v>
      </c>
      <c r="AL161" s="16">
        <f>SUM(AG$7:AG161)</f>
        <v>296602112.39262915</v>
      </c>
      <c r="AM161" s="16">
        <f>SUM(AH$7:AH161)</f>
        <v>297776748.85985321</v>
      </c>
      <c r="AO161" s="16">
        <v>155</v>
      </c>
      <c r="AP161" s="16">
        <f>IF(节奏总纲!P158&lt;C$13,0,求节点($C$18:$C$23,$H$18:$H$23,$Q161)*节奏总纲!W158)*$D$1</f>
        <v>402189596.99595058</v>
      </c>
      <c r="AQ161" s="16">
        <f>IF(节奏总纲!Q158&lt;D$13,0,求节点($C$18:$C$23,$H$18:$H$23,$Q161)*节奏总纲!X158)*$D$1</f>
        <v>921616359.00317323</v>
      </c>
      <c r="AR161" s="16">
        <f>IF(节奏总纲!R158&lt;E$13,0,求节点($C$18:$C$23,$H$18:$H$23,$Q161)*节奏总纲!Y158)*$D$1</f>
        <v>1355898716.3716266</v>
      </c>
      <c r="AS161" s="16">
        <f>IF(节奏总纲!S158&lt;F$13,0,求节点($C$18:$C$23,$H$18:$H$23,$Q161)*节奏总纲!Z158)*$D$1</f>
        <v>1327881376.7489328</v>
      </c>
      <c r="AT161" s="16">
        <f>IF(节奏总纲!T158&lt;G$13,0,求节点($C$18:$C$23,$H$18:$H$23,$Q161)*节奏总纲!AA158)*$D$1</f>
        <v>1345898349.3135369</v>
      </c>
      <c r="AU161" s="16">
        <f>SUM(AP$7:AP161)</f>
        <v>5997057961.8862019</v>
      </c>
      <c r="AV161" s="16">
        <f>SUM(AQ$7:AQ161)</f>
        <v>5705119522.9945765</v>
      </c>
      <c r="AW161" s="16">
        <f>SUM(AR$7:AR161)</f>
        <v>5748504609.353426</v>
      </c>
      <c r="AX161" s="16">
        <f>SUM(AS$7:AS161)</f>
        <v>5750130645.6407557</v>
      </c>
      <c r="AY161" s="16">
        <f>SUM(AT$7:AT161)</f>
        <v>5770141899.6892347</v>
      </c>
    </row>
    <row r="162" spans="10:51">
      <c r="J162" s="16">
        <v>156</v>
      </c>
      <c r="K162" s="16">
        <f>MAX(求节点(节奏总纲!$O$4:$O$163,节奏总纲!P$4:P$163,$J162)-INT(C$13),0)*$D$1*$D$2</f>
        <v>59574.000541695255</v>
      </c>
      <c r="L162" s="16">
        <f>MAX(求节点(节奏总纲!$O$4:$O$163,节奏总纲!Q$4:Q$163,$J162)-INT(D$13),0)*$D$1*$D$2</f>
        <v>59577.600541695254</v>
      </c>
      <c r="M162" s="16">
        <f>MAX(求节点(节奏总纲!$O$4:$O$163,节奏总纲!R$4:R$163,$J162)-INT(E$13),0)*$D$1*$D$2</f>
        <v>60177.192547112194</v>
      </c>
      <c r="N162" s="16">
        <f>MAX(求节点(节奏总纲!$O$4:$O$163,节奏总纲!S$4:S$163,$J162)-INT(F$13),0)*$D$1*$D$2</f>
        <v>60181.992547112197</v>
      </c>
      <c r="O162" s="16">
        <f>MAX(求节点(节奏总纲!$O$4:$O$163,节奏总纲!T$4:T$163,$J162)-INT(G$13),0)*$D$1*$D$2</f>
        <v>60366.790148737287</v>
      </c>
      <c r="Q162" s="16">
        <v>156</v>
      </c>
      <c r="R162" s="16">
        <f>IF(节奏总纲!P159&lt;C$13,0,求节点($C$18:$C$23,$E$18:$E$23,$Q162)*节奏总纲!W159)*$D$1</f>
        <v>2494537829.6783276</v>
      </c>
      <c r="S162" s="16">
        <f>IF(节奏总纲!Q159&lt;D$13,0,求节点($C$18:$C$23,$E$18:$E$23,$Q162)*节奏总纲!X159)*$D$1</f>
        <v>4190580000.1117277</v>
      </c>
      <c r="T162" s="16">
        <f>IF(节奏总纲!R159&lt;E$13,0,求节点($C$18:$C$23,$E$18:$E$23,$Q162)*节奏总纲!Y159)*$D$1</f>
        <v>4319790265.935153</v>
      </c>
      <c r="U162" s="16">
        <f>IF(节奏总纲!S159&lt;F$13,0,求节点($C$18:$C$23,$E$18:$E$23,$Q162)*节奏总纲!Z159)*$D$1</f>
        <v>4319790265.935153</v>
      </c>
      <c r="V162" s="16">
        <f>IF(节奏总纲!T159&lt;G$13,0,求节点($C$18:$C$23,$E$18:$E$23,$Q162)*节奏总纲!AA159)*$D$1</f>
        <v>4327273879.4241867</v>
      </c>
      <c r="W162" s="16">
        <f>SUM(R$7:R162)</f>
        <v>37141036077.254097</v>
      </c>
      <c r="X162" s="16">
        <f>SUM(S$7:S162)</f>
        <v>37156010498.64743</v>
      </c>
      <c r="Y162" s="16">
        <f>SUM(T$7:T162)</f>
        <v>37546034025.119705</v>
      </c>
      <c r="Z162" s="16">
        <f>SUM(U$7:U162)</f>
        <v>37566841815.617416</v>
      </c>
      <c r="AA162" s="16">
        <f>SUM(V$7:V162)</f>
        <v>37703551572.787399</v>
      </c>
      <c r="AC162" s="16">
        <v>156</v>
      </c>
      <c r="AD162" s="16">
        <f>IF(节奏总纲!P159&lt;C$13,0,求节点($C$18:$C$23,$F$18:$F$23,$Q162)*节奏总纲!W159)*$D$1</f>
        <v>22257833.244785789</v>
      </c>
      <c r="AE162" s="16">
        <f>IF(节奏总纲!Q159&lt;D$13,0,求节点($C$18:$C$23,$F$18:$F$23,$Q162)*节奏总纲!X159)*$D$1</f>
        <v>37390986.711734459</v>
      </c>
      <c r="AF162" s="16">
        <f>IF(节奏总纲!R159&lt;E$13,0,求节点($C$18:$C$23,$F$18:$F$23,$Q162)*节奏总纲!Y159)*$D$1</f>
        <v>38543881.855675049</v>
      </c>
      <c r="AG162" s="16">
        <f>IF(节奏总纲!S159&lt;F$13,0,求节点($C$18:$C$23,$F$18:$F$23,$Q162)*节奏总纲!Z159)*$D$1</f>
        <v>38543881.855675049</v>
      </c>
      <c r="AH162" s="16">
        <f>IF(节奏总纲!T159&lt;G$13,0,求节点($C$18:$C$23,$F$18:$F$23,$Q162)*节奏总纲!AA159)*$D$1</f>
        <v>38610655.355409391</v>
      </c>
      <c r="AI162" s="16">
        <f>SUM(AD$7:AD162)</f>
        <v>331302014.13833141</v>
      </c>
      <c r="AJ162" s="16">
        <f>SUM(AE$7:AE162)</f>
        <v>331447980.54258025</v>
      </c>
      <c r="AK162" s="16">
        <f>SUM(AF$7:AF162)</f>
        <v>334942650.28799552</v>
      </c>
      <c r="AL162" s="16">
        <f>SUM(AG$7:AG162)</f>
        <v>335145994.24830419</v>
      </c>
      <c r="AM162" s="16">
        <f>SUM(AH$7:AH162)</f>
        <v>336387404.21526259</v>
      </c>
      <c r="AO162" s="16">
        <v>156</v>
      </c>
      <c r="AP162" s="16">
        <f>IF(节奏总纲!P159&lt;C$13,0,求节点($C$18:$C$23,$H$18:$H$23,$Q162)*节奏总纲!W159)*$D$1</f>
        <v>431056136.9684149</v>
      </c>
      <c r="AQ162" s="16">
        <f>IF(节奏总纲!Q159&lt;D$13,0,求节点($C$18:$C$23,$H$18:$H$23,$Q162)*节奏总纲!X159)*$D$1</f>
        <v>724132224.01930654</v>
      </c>
      <c r="AR162" s="16">
        <f>IF(节奏总纲!R159&lt;E$13,0,求节点($C$18:$C$23,$H$18:$H$23,$Q162)*节奏总纲!Y159)*$D$1</f>
        <v>746459757.95359445</v>
      </c>
      <c r="AS162" s="16">
        <f>IF(节奏总纲!S159&lt;F$13,0,求节点($C$18:$C$23,$H$18:$H$23,$Q162)*节奏总纲!Z159)*$D$1</f>
        <v>746459757.95359445</v>
      </c>
      <c r="AT162" s="16">
        <f>IF(节奏总纲!T159&lt;G$13,0,求节点($C$18:$C$23,$H$18:$H$23,$Q162)*节奏总纲!AA159)*$D$1</f>
        <v>747752926.36449945</v>
      </c>
      <c r="AU162" s="16">
        <f>SUM(AP$7:AP162)</f>
        <v>6428114098.8546171</v>
      </c>
      <c r="AV162" s="16">
        <f>SUM(AQ$7:AQ162)</f>
        <v>6429251747.0138826</v>
      </c>
      <c r="AW162" s="16">
        <f>SUM(AR$7:AR162)</f>
        <v>6494964367.3070202</v>
      </c>
      <c r="AX162" s="16">
        <f>SUM(AS$7:AS162)</f>
        <v>6496590403.5943499</v>
      </c>
      <c r="AY162" s="16">
        <f>SUM(AT$7:AT162)</f>
        <v>6517894826.0537338</v>
      </c>
    </row>
    <row r="163" spans="10:51">
      <c r="J163" s="16">
        <v>157</v>
      </c>
      <c r="K163" s="16">
        <f>MAX(求节点(节奏总纲!$O$4:$O$163,节奏总纲!P$4:P$163,$J163)-INT(C$13),0)*$D$1*$D$2</f>
        <v>63851.727657122625</v>
      </c>
      <c r="L163" s="16">
        <f>MAX(求节点(节奏总纲!$O$4:$O$163,节奏总纲!Q$4:Q$163,$J163)-INT(D$13),0)*$D$1*$D$2</f>
        <v>63855.327657122623</v>
      </c>
      <c r="M163" s="16">
        <f>MAX(求节点(节奏总纲!$O$4:$O$163,节奏总纲!R$4:R$163,$J163)-INT(E$13),0)*$D$1*$D$2</f>
        <v>64497.696933693849</v>
      </c>
      <c r="N163" s="16">
        <f>MAX(求节点(节奏总纲!$O$4:$O$163,节奏总纲!S$4:S$163,$J163)-INT(F$13),0)*$D$1*$D$2</f>
        <v>64502.496933693852</v>
      </c>
      <c r="O163" s="16">
        <f>MAX(求节点(节奏总纲!$O$4:$O$163,节奏总纲!T$4:T$163,$J163)-INT(G$13),0)*$D$1*$D$2</f>
        <v>64508.496933693852</v>
      </c>
      <c r="Q163" s="16">
        <v>157</v>
      </c>
      <c r="R163" s="16">
        <f>IF(节奏总纲!P160&lt;C$13,0,求节点($C$18:$C$23,$E$18:$E$23,$Q163)*节奏总纲!W160)*$D$1</f>
        <v>2673579447.1421065</v>
      </c>
      <c r="S163" s="16">
        <f>IF(节奏总纲!Q160&lt;D$13,0,求节点($C$18:$C$23,$E$18:$E$23,$Q163)*节奏总纲!X160)*$D$1</f>
        <v>2673579447.1421065</v>
      </c>
      <c r="T163" s="16">
        <f>IF(节奏总纲!R160&lt;E$13,0,求节点($C$18:$C$23,$E$18:$E$23,$Q163)*节奏总纲!Y160)*$D$1</f>
        <v>2700315241.6135306</v>
      </c>
      <c r="U163" s="16">
        <f>IF(节奏总纲!S160&lt;F$13,0,求节点($C$18:$C$23,$E$18:$E$23,$Q163)*节奏总纲!Z160)*$D$1</f>
        <v>2700315241.6135306</v>
      </c>
      <c r="V163" s="16">
        <f>IF(节奏总纲!T160&lt;G$13,0,求节点($C$18:$C$23,$E$18:$E$23,$Q163)*节奏总纲!AA160)*$D$1</f>
        <v>2588566740.5978527</v>
      </c>
      <c r="W163" s="16">
        <f>SUM(R$7:R163)</f>
        <v>39814615524.396202</v>
      </c>
      <c r="X163" s="16">
        <f>SUM(S$7:S163)</f>
        <v>39829589945.789536</v>
      </c>
      <c r="Y163" s="16">
        <f>SUM(T$7:T163)</f>
        <v>40246349266.733238</v>
      </c>
      <c r="Z163" s="16">
        <f>SUM(U$7:U163)</f>
        <v>40267157057.230949</v>
      </c>
      <c r="AA163" s="16">
        <f>SUM(V$7:V163)</f>
        <v>40292118313.385254</v>
      </c>
      <c r="AC163" s="16">
        <v>157</v>
      </c>
      <c r="AD163" s="16">
        <f>IF(节奏总纲!P160&lt;C$13,0,求节点($C$18:$C$23,$F$18:$F$23,$Q163)*节奏总纲!W160)*$D$1</f>
        <v>23855355.005319446</v>
      </c>
      <c r="AE163" s="16">
        <f>IF(节奏总纲!Q160&lt;D$13,0,求节点($C$18:$C$23,$F$18:$F$23,$Q163)*节奏总纲!X160)*$D$1</f>
        <v>23855355.005319446</v>
      </c>
      <c r="AF163" s="16">
        <f>IF(节奏总纲!R160&lt;E$13,0,求节点($C$18:$C$23,$F$18:$F$23,$Q163)*节奏总纲!Y160)*$D$1</f>
        <v>24093908.555372667</v>
      </c>
      <c r="AG163" s="16">
        <f>IF(节奏总纲!S160&lt;F$13,0,求节点($C$18:$C$23,$F$18:$F$23,$Q163)*节奏总纲!Z160)*$D$1</f>
        <v>24093908.555372667</v>
      </c>
      <c r="AH163" s="16">
        <f>IF(节奏总纲!T160&lt;G$13,0,求节点($C$18:$C$23,$F$18:$F$23,$Q163)*节奏总纲!AA160)*$D$1</f>
        <v>23096818.244145568</v>
      </c>
      <c r="AI163" s="16">
        <f>SUM(AD$7:AD163)</f>
        <v>355157369.14365089</v>
      </c>
      <c r="AJ163" s="16">
        <f>SUM(AE$7:AE163)</f>
        <v>355303335.54789972</v>
      </c>
      <c r="AK163" s="16">
        <f>SUM(AF$7:AF163)</f>
        <v>359036558.84336817</v>
      </c>
      <c r="AL163" s="16">
        <f>SUM(AG$7:AG163)</f>
        <v>359239902.80367684</v>
      </c>
      <c r="AM163" s="16">
        <f>SUM(AH$7:AH163)</f>
        <v>359484222.45940816</v>
      </c>
      <c r="AO163" s="16">
        <v>157</v>
      </c>
      <c r="AP163" s="16">
        <f>IF(节奏总纲!P160&lt;C$13,0,求节点($C$18:$C$23,$H$18:$H$23,$Q163)*节奏总纲!W160)*$D$1</f>
        <v>461994528.46615601</v>
      </c>
      <c r="AQ163" s="16">
        <f>IF(节奏总纲!Q160&lt;D$13,0,求节点($C$18:$C$23,$H$18:$H$23,$Q163)*节奏总纲!X160)*$D$1</f>
        <v>461994528.46615601</v>
      </c>
      <c r="AR163" s="16">
        <f>IF(节奏总纲!R160&lt;E$13,0,求节点($C$18:$C$23,$H$18:$H$23,$Q163)*节奏总纲!Y160)*$D$1</f>
        <v>466614473.75081813</v>
      </c>
      <c r="AS163" s="16">
        <f>IF(节奏总纲!S160&lt;F$13,0,求节点($C$18:$C$23,$H$18:$H$23,$Q163)*节奏总纲!Z160)*$D$1</f>
        <v>466614473.75081813</v>
      </c>
      <c r="AT163" s="16">
        <f>IF(节奏总纲!T160&lt;G$13,0,求节点($C$18:$C$23,$H$18:$H$23,$Q163)*节奏总纲!AA160)*$D$1</f>
        <v>447304332.77530897</v>
      </c>
      <c r="AU163" s="16">
        <f>SUM(AP$7:AP163)</f>
        <v>6890108627.3207731</v>
      </c>
      <c r="AV163" s="16">
        <f>SUM(AQ$7:AQ163)</f>
        <v>6891246275.4800386</v>
      </c>
      <c r="AW163" s="16">
        <f>SUM(AR$7:AR163)</f>
        <v>6961578841.0578384</v>
      </c>
      <c r="AX163" s="16">
        <f>SUM(AS$7:AS163)</f>
        <v>6963204877.3451681</v>
      </c>
      <c r="AY163" s="16">
        <f>SUM(AT$7:AT163)</f>
        <v>6965199158.8290424</v>
      </c>
    </row>
    <row r="164" spans="10:51">
      <c r="J164" s="16">
        <v>158</v>
      </c>
      <c r="K164" s="16">
        <f>MAX(求节点(节奏总纲!$O$4:$O$163,节奏总纲!P$4:P$163,$J164)-INT(C$13),0)*$D$1*$D$2</f>
        <v>68436.482059409725</v>
      </c>
      <c r="L164" s="16">
        <f>MAX(求节点(节奏总纲!$O$4:$O$163,节奏总纲!Q$4:Q$163,$J164)-INT(D$13),0)*$D$1*$D$2</f>
        <v>68440.082059409731</v>
      </c>
      <c r="M164" s="16">
        <f>MAX(求节点(节奏总纲!$O$4:$O$163,节奏总纲!R$4:R$163,$J164)-INT(E$13),0)*$D$1*$D$2</f>
        <v>69128.298880003815</v>
      </c>
      <c r="N164" s="16">
        <f>MAX(求节点(节奏总纲!$O$4:$O$163,节奏总纲!S$4:S$163,$J164)-INT(F$13),0)*$D$1*$D$2</f>
        <v>69133.098880003818</v>
      </c>
      <c r="O164" s="16">
        <f>MAX(求节点(节奏总纲!$O$4:$O$163,节奏总纲!T$4:T$163,$J164)-INT(G$13),0)*$D$1*$D$2</f>
        <v>69139.098880003818</v>
      </c>
      <c r="Q164" s="16">
        <v>158</v>
      </c>
      <c r="R164" s="16">
        <f>IF(节奏总纲!P161&lt;C$13,0,求节点($C$18:$C$23,$E$18:$E$23,$Q164)*节奏总纲!W161)*$D$1</f>
        <v>2865471501.42944</v>
      </c>
      <c r="S164" s="16">
        <f>IF(节奏总纲!Q161&lt;D$13,0,求节点($C$18:$C$23,$E$18:$E$23,$Q164)*节奏总纲!X161)*$D$1</f>
        <v>2865471501.42944</v>
      </c>
      <c r="T164" s="16">
        <f>IF(节奏总纲!R161&lt;E$13,0,求节点($C$18:$C$23,$E$18:$E$23,$Q164)*节奏总纲!Y161)*$D$1</f>
        <v>2894126216.4437323</v>
      </c>
      <c r="U164" s="16">
        <f>IF(节奏总纲!S161&lt;F$13,0,求节点($C$18:$C$23,$E$18:$E$23,$Q164)*节奏总纲!Z161)*$D$1</f>
        <v>2894126216.4437323</v>
      </c>
      <c r="V164" s="16">
        <f>IF(节奏总纲!T161&lt;G$13,0,求节点($C$18:$C$23,$E$18:$E$23,$Q164)*节奏总纲!AA161)*$D$1</f>
        <v>2894126216.4437323</v>
      </c>
      <c r="W164" s="16">
        <f>SUM(R$7:R164)</f>
        <v>42680087025.825645</v>
      </c>
      <c r="X164" s="16">
        <f>SUM(S$7:S164)</f>
        <v>42695061447.218979</v>
      </c>
      <c r="Y164" s="16">
        <f>SUM(T$7:T164)</f>
        <v>43140475483.176971</v>
      </c>
      <c r="Z164" s="16">
        <f>SUM(U$7:U164)</f>
        <v>43161283273.674683</v>
      </c>
      <c r="AA164" s="16">
        <f>SUM(V$7:V164)</f>
        <v>43186244529.828987</v>
      </c>
      <c r="AC164" s="16">
        <v>158</v>
      </c>
      <c r="AD164" s="16">
        <f>IF(节奏总纲!P161&lt;C$13,0,求节点($C$18:$C$23,$F$18:$F$23,$Q164)*节奏总纲!W161)*$D$1</f>
        <v>25567536.434084386</v>
      </c>
      <c r="AE164" s="16">
        <f>IF(节奏总纲!Q161&lt;D$13,0,求节点($C$18:$C$23,$F$18:$F$23,$Q164)*节奏总纲!X161)*$D$1</f>
        <v>25567536.434084386</v>
      </c>
      <c r="AF164" s="16">
        <f>IF(节奏总纲!R161&lt;E$13,0,求节点($C$18:$C$23,$F$18:$F$23,$Q164)*节奏总纲!Y161)*$D$1</f>
        <v>25823211.798425216</v>
      </c>
      <c r="AG164" s="16">
        <f>IF(节奏总纲!S161&lt;F$13,0,求节点($C$18:$C$23,$F$18:$F$23,$Q164)*节奏总纲!Z161)*$D$1</f>
        <v>25823211.798425216</v>
      </c>
      <c r="AH164" s="16">
        <f>IF(节奏总纲!T161&lt;G$13,0,求节点($C$18:$C$23,$F$18:$F$23,$Q164)*节奏总纲!AA161)*$D$1</f>
        <v>25823211.798425216</v>
      </c>
      <c r="AI164" s="16">
        <f>SUM(AD$7:AD164)</f>
        <v>380724905.5777353</v>
      </c>
      <c r="AJ164" s="16">
        <f>SUM(AE$7:AE164)</f>
        <v>380870871.98198414</v>
      </c>
      <c r="AK164" s="16">
        <f>SUM(AF$7:AF164)</f>
        <v>384859770.64179337</v>
      </c>
      <c r="AL164" s="16">
        <f>SUM(AG$7:AG164)</f>
        <v>385063114.60210204</v>
      </c>
      <c r="AM164" s="16">
        <f>SUM(AH$7:AH164)</f>
        <v>385307434.25783336</v>
      </c>
      <c r="AO164" s="16">
        <v>158</v>
      </c>
      <c r="AP164" s="16">
        <f>IF(节奏总纲!P161&lt;C$13,0,求节点($C$18:$C$23,$H$18:$H$23,$Q164)*节奏总纲!W161)*$D$1</f>
        <v>495153475.44700718</v>
      </c>
      <c r="AQ164" s="16">
        <f>IF(节奏总纲!Q161&lt;D$13,0,求节点($C$18:$C$23,$H$18:$H$23,$Q164)*节奏总纲!X161)*$D$1</f>
        <v>495153475.44700718</v>
      </c>
      <c r="AR164" s="16">
        <f>IF(节奏总纲!R161&lt;E$13,0,求节点($C$18:$C$23,$H$18:$H$23,$Q164)*节奏总纲!Y161)*$D$1</f>
        <v>500105010.20147693</v>
      </c>
      <c r="AS164" s="16">
        <f>IF(节奏总纲!S161&lt;F$13,0,求节点($C$18:$C$23,$H$18:$H$23,$Q164)*节奏总纲!Z161)*$D$1</f>
        <v>500105010.20147693</v>
      </c>
      <c r="AT164" s="16">
        <f>IF(节奏总纲!T161&lt;G$13,0,求节点($C$18:$C$23,$H$18:$H$23,$Q164)*节奏总纲!AA161)*$D$1</f>
        <v>500105010.20147693</v>
      </c>
      <c r="AU164" s="16">
        <f>SUM(AP$7:AP164)</f>
        <v>7385262102.7677803</v>
      </c>
      <c r="AV164" s="16">
        <f>SUM(AQ$7:AQ164)</f>
        <v>7386399750.9270458</v>
      </c>
      <c r="AW164" s="16">
        <f>SUM(AR$7:AR164)</f>
        <v>7461683851.2593155</v>
      </c>
      <c r="AX164" s="16">
        <f>SUM(AS$7:AS164)</f>
        <v>7463309887.5466452</v>
      </c>
      <c r="AY164" s="16">
        <f>SUM(AT$7:AT164)</f>
        <v>7465304169.0305195</v>
      </c>
    </row>
    <row r="165" spans="10:51">
      <c r="J165" s="16">
        <v>159</v>
      </c>
      <c r="K165" s="16">
        <f>MAX(求节点(节奏总纲!$O$4:$O$163,节奏总纲!P$4:P$163,$J165)-INT(C$13),0)*$D$1*$D$2</f>
        <v>73350.300160027487</v>
      </c>
      <c r="L165" s="16">
        <f>MAX(求节点(节奏总纲!$O$4:$O$163,节奏总纲!Q$4:Q$163,$J165)-INT(D$13),0)*$D$1*$D$2</f>
        <v>73353.900160027479</v>
      </c>
      <c r="M165" s="16">
        <f>MAX(求节点(节奏总纲!$O$4:$O$163,节奏总纲!R$4:R$163,$J165)-INT(E$13),0)*$D$1*$D$2</f>
        <v>74091.255161627763</v>
      </c>
      <c r="N165" s="16">
        <f>MAX(求节点(节奏总纲!$O$4:$O$163,节奏总纲!S$4:S$163,$J165)-INT(F$13),0)*$D$1*$D$2</f>
        <v>74096.055161627752</v>
      </c>
      <c r="O165" s="16">
        <f>MAX(求节点(节奏总纲!$O$4:$O$163,节奏总纲!T$4:T$163,$J165)-INT(G$13),0)*$D$1*$D$2</f>
        <v>74102.055161627752</v>
      </c>
      <c r="Q165" s="16">
        <v>159</v>
      </c>
      <c r="R165" s="16">
        <f>IF(节奏总纲!P162&lt;C$13,0,求节点($C$18:$C$23,$E$18:$E$23,$Q165)*节奏总纲!W162)*$D$1</f>
        <v>3071136312.8861032</v>
      </c>
      <c r="S165" s="16">
        <f>IF(节奏总纲!Q162&lt;D$13,0,求节点($C$18:$C$23,$E$18:$E$23,$Q165)*节奏总纲!X162)*$D$1</f>
        <v>3071136312.8861032</v>
      </c>
      <c r="T165" s="16">
        <f>IF(节奏总纲!R162&lt;E$13,0,求节点($C$18:$C$23,$E$18:$E$23,$Q165)*节奏总纲!Y162)*$D$1</f>
        <v>3101847676.0149641</v>
      </c>
      <c r="U165" s="16">
        <f>IF(节奏总纲!S162&lt;F$13,0,求节点($C$18:$C$23,$E$18:$E$23,$Q165)*节奏总纲!Z162)*$D$1</f>
        <v>3101847676.0149641</v>
      </c>
      <c r="V165" s="16">
        <f>IF(节奏总纲!T162&lt;G$13,0,求节点($C$18:$C$23,$E$18:$E$23,$Q165)*节奏总纲!AA162)*$D$1</f>
        <v>3101847676.0149641</v>
      </c>
      <c r="W165" s="16">
        <f>SUM(R$7:R165)</f>
        <v>45751223338.711746</v>
      </c>
      <c r="X165" s="16">
        <f>SUM(S$7:S165)</f>
        <v>45766197760.10508</v>
      </c>
      <c r="Y165" s="16">
        <f>SUM(T$7:T165)</f>
        <v>46242323159.191933</v>
      </c>
      <c r="Z165" s="16">
        <f>SUM(U$7:U165)</f>
        <v>46263130949.689644</v>
      </c>
      <c r="AA165" s="16">
        <f>SUM(V$7:V165)</f>
        <v>46288092205.843948</v>
      </c>
      <c r="AC165" s="16">
        <v>159</v>
      </c>
      <c r="AD165" s="16">
        <f>IF(节奏总纲!P162&lt;C$13,0,求节点($C$18:$C$23,$F$18:$F$23,$Q165)*节奏总纲!W162)*$D$1</f>
        <v>27402607.052481472</v>
      </c>
      <c r="AE165" s="16">
        <f>IF(节奏总纲!Q162&lt;D$13,0,求节点($C$18:$C$23,$F$18:$F$23,$Q165)*节奏总纲!X162)*$D$1</f>
        <v>27402607.052481472</v>
      </c>
      <c r="AF165" s="16">
        <f>IF(节奏总纲!R162&lt;E$13,0,求节点($C$18:$C$23,$F$18:$F$23,$Q165)*节奏总纲!Y162)*$D$1</f>
        <v>27676633.123006284</v>
      </c>
      <c r="AG165" s="16">
        <f>IF(节奏总纲!S162&lt;F$13,0,求节点($C$18:$C$23,$F$18:$F$23,$Q165)*节奏总纲!Z162)*$D$1</f>
        <v>27676633.123006284</v>
      </c>
      <c r="AH165" s="16">
        <f>IF(节奏总纲!T162&lt;G$13,0,求节点($C$18:$C$23,$F$18:$F$23,$Q165)*节奏总纲!AA162)*$D$1</f>
        <v>27676633.123006284</v>
      </c>
      <c r="AI165" s="16">
        <f>SUM(AD$7:AD165)</f>
        <v>408127512.63021678</v>
      </c>
      <c r="AJ165" s="16">
        <f>SUM(AE$7:AE165)</f>
        <v>408273479.03446561</v>
      </c>
      <c r="AK165" s="16">
        <f>SUM(AF$7:AF165)</f>
        <v>412536403.76479965</v>
      </c>
      <c r="AL165" s="16">
        <f>SUM(AG$7:AG165)</f>
        <v>412739747.72510833</v>
      </c>
      <c r="AM165" s="16">
        <f>SUM(AH$7:AH165)</f>
        <v>412984067.38083965</v>
      </c>
      <c r="AO165" s="16">
        <v>159</v>
      </c>
      <c r="AP165" s="16">
        <f>IF(节奏总纲!P162&lt;C$13,0,求节点($C$18:$C$23,$H$18:$H$23,$Q165)*节奏总纲!W162)*$D$1</f>
        <v>530692354.86671859</v>
      </c>
      <c r="AQ165" s="16">
        <f>IF(节奏总纲!Q162&lt;D$13,0,求节点($C$18:$C$23,$H$18:$H$23,$Q165)*节奏总纲!X162)*$D$1</f>
        <v>530692354.86671859</v>
      </c>
      <c r="AR165" s="16">
        <f>IF(节奏总纲!R162&lt;E$13,0,求节点($C$18:$C$23,$H$18:$H$23,$Q165)*节奏总纲!Y162)*$D$1</f>
        <v>535999278.41538584</v>
      </c>
      <c r="AS165" s="16">
        <f>IF(节奏总纲!S162&lt;F$13,0,求节点($C$18:$C$23,$H$18:$H$23,$Q165)*节奏总纲!Z162)*$D$1</f>
        <v>535999278.41538584</v>
      </c>
      <c r="AT165" s="16">
        <f>IF(节奏总纲!T162&lt;G$13,0,求节点($C$18:$C$23,$H$18:$H$23,$Q165)*节奏总纲!AA162)*$D$1</f>
        <v>535999278.41538584</v>
      </c>
      <c r="AU165" s="16">
        <f>SUM(AP$7:AP165)</f>
        <v>7915954457.6344986</v>
      </c>
      <c r="AV165" s="16">
        <f>SUM(AQ$7:AQ165)</f>
        <v>7917092105.7937641</v>
      </c>
      <c r="AW165" s="16">
        <f>SUM(AR$7:AR165)</f>
        <v>7997683129.6747017</v>
      </c>
      <c r="AX165" s="16">
        <f>SUM(AS$7:AS165)</f>
        <v>7999309165.9620314</v>
      </c>
      <c r="AY165" s="16">
        <f>SUM(AT$7:AT165)</f>
        <v>8001303447.4459057</v>
      </c>
    </row>
    <row r="166" spans="10:51">
      <c r="J166" s="16">
        <v>160</v>
      </c>
      <c r="K166" s="16">
        <f>MAX(求节点(节奏总纲!$O$4:$O$163,节奏总纲!P$4:P$163,$J166)-INT(C$13),0)*$D$1*$D$2</f>
        <v>78616.800000000003</v>
      </c>
      <c r="L166" s="16">
        <f>MAX(求节点(节奏总纲!$O$4:$O$163,节奏总纲!Q$4:Q$163,$J166)-INT(D$13),0)*$D$1*$D$2</f>
        <v>78620.400000000009</v>
      </c>
      <c r="M166" s="16">
        <f>MAX(求节点(节奏总纲!$O$4:$O$163,节奏总纲!R$4:R$163,$J166)-INT(E$13),0)*$D$1*$D$2</f>
        <v>79410.420000000013</v>
      </c>
      <c r="N166" s="16">
        <f>MAX(求节点(节奏总纲!$O$4:$O$163,节奏总纲!S$4:S$163,$J166)-INT(F$13),0)*$D$1*$D$2</f>
        <v>79415.220000000016</v>
      </c>
      <c r="O166" s="16">
        <f>MAX(求节点(节奏总纲!$O$4:$O$163,节奏总纲!T$4:T$163,$J166)-INT(G$13),0)*$D$1*$D$2</f>
        <v>79421.220000000016</v>
      </c>
      <c r="Q166" s="16">
        <v>160</v>
      </c>
      <c r="R166" s="16">
        <f>IF(节奏总纲!P163&lt;C$13,0,求节点($C$18:$C$23,$E$18:$E$23,$Q166)*节奏总纲!W163)*$D$1</f>
        <v>3291562399.9828205</v>
      </c>
      <c r="S166" s="16">
        <f>IF(节奏总纲!Q163&lt;D$13,0,求节点($C$18:$C$23,$E$18:$E$23,$Q166)*节奏总纲!X163)*$D$1</f>
        <v>3291562399.9828205</v>
      </c>
      <c r="T166" s="16">
        <f>IF(节奏总纲!R163&lt;E$13,0,求节点($C$18:$C$23,$E$18:$E$23,$Q166)*节奏总纲!Y163)*$D$1</f>
        <v>3324478023.9826541</v>
      </c>
      <c r="U166" s="16">
        <f>IF(节奏总纲!S163&lt;F$13,0,求节点($C$18:$C$23,$E$18:$E$23,$Q166)*节奏总纲!Z163)*$D$1</f>
        <v>3324478023.9826541</v>
      </c>
      <c r="V166" s="16">
        <f>IF(节奏总纲!T163&lt;G$13,0,求节点($C$18:$C$23,$E$18:$E$23,$Q166)*节奏总纲!AA163)*$D$1</f>
        <v>3324478023.9826541</v>
      </c>
      <c r="W166" s="16">
        <f>SUM(R$7:R166)</f>
        <v>49042785738.694565</v>
      </c>
      <c r="X166" s="16">
        <f>SUM(S$7:S166)</f>
        <v>49057760160.087898</v>
      </c>
      <c r="Y166" s="16">
        <f>SUM(T$7:T166)</f>
        <v>49566801183.174583</v>
      </c>
      <c r="Z166" s="16">
        <f>SUM(U$7:U166)</f>
        <v>49587608973.672295</v>
      </c>
      <c r="AA166" s="16">
        <f>SUM(V$7:V166)</f>
        <v>49612570229.826599</v>
      </c>
      <c r="AC166" s="16">
        <v>160</v>
      </c>
      <c r="AD166" s="16">
        <f>IF(节奏总纲!P163&lt;C$13,0,求节点($C$18:$C$23,$F$18:$F$23,$Q166)*节奏总纲!W163)*$D$1</f>
        <v>29369387.043158956</v>
      </c>
      <c r="AE166" s="16">
        <f>IF(节奏总纲!Q163&lt;D$13,0,求节点($C$18:$C$23,$F$18:$F$23,$Q166)*节奏总纲!X163)*$D$1</f>
        <v>29369387.043158956</v>
      </c>
      <c r="AF166" s="16">
        <f>IF(节奏总纲!R163&lt;E$13,0,求节点($C$18:$C$23,$F$18:$F$23,$Q166)*节奏总纲!Y163)*$D$1</f>
        <v>29663080.913590588</v>
      </c>
      <c r="AG166" s="16">
        <f>IF(节奏总纲!S163&lt;F$13,0,求节点($C$18:$C$23,$F$18:$F$23,$Q166)*节奏总纲!Z163)*$D$1</f>
        <v>29663080.913590588</v>
      </c>
      <c r="AH166" s="16">
        <f>IF(节奏总纲!T163&lt;G$13,0,求节点($C$18:$C$23,$F$18:$F$23,$Q166)*节奏总纲!AA163)*$D$1</f>
        <v>29663080.913590588</v>
      </c>
      <c r="AI166" s="16">
        <f>SUM(AD$7:AD166)</f>
        <v>437496899.67337573</v>
      </c>
      <c r="AJ166" s="16">
        <f>SUM(AE$7:AE166)</f>
        <v>437642866.07762456</v>
      </c>
      <c r="AK166" s="16">
        <f>SUM(AF$7:AF166)</f>
        <v>442199484.67839026</v>
      </c>
      <c r="AL166" s="16">
        <f>SUM(AG$7:AG166)</f>
        <v>442402828.63869894</v>
      </c>
      <c r="AM166" s="16">
        <f>SUM(AH$7:AH166)</f>
        <v>442647148.29443026</v>
      </c>
      <c r="AO166" s="16">
        <v>160</v>
      </c>
      <c r="AP166" s="16">
        <f>IF(节奏总纲!P163&lt;C$13,0,求节点($C$18:$C$23,$H$18:$H$23,$Q166)*节奏总纲!W163)*$D$1</f>
        <v>568781982.71703136</v>
      </c>
      <c r="AQ166" s="16">
        <f>IF(节奏总纲!Q163&lt;D$13,0,求节点($C$18:$C$23,$H$18:$H$23,$Q166)*节奏总纲!X163)*$D$1</f>
        <v>568781982.71703136</v>
      </c>
      <c r="AR166" s="16">
        <f>IF(节奏总纲!R163&lt;E$13,0,求节点($C$18:$C$23,$H$18:$H$23,$Q166)*节奏总纲!Y163)*$D$1</f>
        <v>574469802.54420257</v>
      </c>
      <c r="AS166" s="16">
        <f>IF(节奏总纲!S163&lt;F$13,0,求节点($C$18:$C$23,$H$18:$H$23,$Q166)*节奏总纲!Z163)*$D$1</f>
        <v>574469802.54420257</v>
      </c>
      <c r="AT166" s="16">
        <f>IF(节奏总纲!T163&lt;G$13,0,求节点($C$18:$C$23,$H$18:$H$23,$Q166)*节奏总纲!AA163)*$D$1</f>
        <v>574469802.54420257</v>
      </c>
      <c r="AU166" s="16">
        <f>SUM(AP$7:AP166)</f>
        <v>8484736440.3515301</v>
      </c>
      <c r="AV166" s="16">
        <f>SUM(AQ$7:AQ166)</f>
        <v>8485874088.5107956</v>
      </c>
      <c r="AW166" s="16">
        <f>SUM(AR$7:AR166)</f>
        <v>8572152932.2189045</v>
      </c>
      <c r="AX166" s="16">
        <f>SUM(AS$7:AS166)</f>
        <v>8573778968.5062342</v>
      </c>
      <c r="AY166" s="16">
        <f>SUM(AT$7:AT166)</f>
        <v>8575773249.9901085</v>
      </c>
    </row>
  </sheetData>
  <mergeCells count="7">
    <mergeCell ref="AP5:AT5"/>
    <mergeCell ref="AU5:AY5"/>
    <mergeCell ref="AI5:AM5"/>
    <mergeCell ref="K5:O5"/>
    <mergeCell ref="R5:V5"/>
    <mergeCell ref="W5:AA5"/>
    <mergeCell ref="AD5:AH5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AE30"/>
  <sheetViews>
    <sheetView workbookViewId="0">
      <selection activeCell="G17" sqref="G17"/>
    </sheetView>
  </sheetViews>
  <sheetFormatPr defaultColWidth="9" defaultRowHeight="11.25"/>
  <cols>
    <col min="1" max="1" width="9" style="22"/>
    <col min="2" max="2" width="9" style="21" customWidth="1"/>
    <col min="3" max="7" width="6.75" style="21" customWidth="1"/>
    <col min="8" max="16384" width="9" style="21"/>
  </cols>
  <sheetData>
    <row r="1" spans="1:31">
      <c r="A1" s="22" t="s">
        <v>226</v>
      </c>
      <c r="K1" s="21" t="s">
        <v>279</v>
      </c>
      <c r="L1" s="21">
        <v>1</v>
      </c>
      <c r="M1" s="21">
        <v>2</v>
      </c>
      <c r="N1" s="21">
        <v>3</v>
      </c>
      <c r="O1" s="21">
        <v>4</v>
      </c>
      <c r="P1" s="21">
        <v>5</v>
      </c>
      <c r="Q1" s="21">
        <v>6</v>
      </c>
      <c r="R1" s="21">
        <v>7</v>
      </c>
      <c r="S1" s="21">
        <v>8</v>
      </c>
      <c r="T1" s="21">
        <v>9</v>
      </c>
      <c r="U1" s="21">
        <v>10</v>
      </c>
      <c r="V1" s="21">
        <v>11</v>
      </c>
      <c r="W1" s="21">
        <v>12</v>
      </c>
      <c r="X1" s="21">
        <v>13</v>
      </c>
      <c r="Y1" s="21">
        <v>14</v>
      </c>
      <c r="Z1" s="21">
        <v>15</v>
      </c>
      <c r="AA1" s="21">
        <v>16</v>
      </c>
      <c r="AB1" s="21">
        <v>17</v>
      </c>
      <c r="AC1" s="21">
        <v>18</v>
      </c>
    </row>
    <row r="2" spans="1:31">
      <c r="A2" s="22" t="s">
        <v>227</v>
      </c>
    </row>
    <row r="3" spans="1:31">
      <c r="A3" s="22" t="s">
        <v>228</v>
      </c>
    </row>
    <row r="5" spans="1:31">
      <c r="J5" s="36" t="s">
        <v>262</v>
      </c>
    </row>
    <row r="7" spans="1:31">
      <c r="B7" s="21" t="s">
        <v>229</v>
      </c>
      <c r="C7" s="21" t="s">
        <v>230</v>
      </c>
      <c r="D7" s="21" t="s">
        <v>231</v>
      </c>
      <c r="E7" s="21" t="s">
        <v>232</v>
      </c>
      <c r="F7" s="21" t="s">
        <v>234</v>
      </c>
      <c r="J7" s="166" t="s">
        <v>242</v>
      </c>
      <c r="K7" s="166"/>
      <c r="L7" s="166" t="s">
        <v>235</v>
      </c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</row>
    <row r="8" spans="1:31">
      <c r="B8" s="21" t="s">
        <v>233</v>
      </c>
      <c r="C8" s="21">
        <v>1</v>
      </c>
      <c r="D8" s="21">
        <v>2</v>
      </c>
      <c r="E8" s="21">
        <v>3</v>
      </c>
      <c r="F8" s="21">
        <v>3</v>
      </c>
      <c r="J8" s="21" t="s">
        <v>229</v>
      </c>
      <c r="K8" s="21" t="s">
        <v>241</v>
      </c>
      <c r="L8" s="21" t="s">
        <v>243</v>
      </c>
      <c r="M8" s="21" t="s">
        <v>244</v>
      </c>
      <c r="N8" s="21" t="s">
        <v>260</v>
      </c>
      <c r="O8" s="21" t="s">
        <v>261</v>
      </c>
      <c r="P8" s="21" t="s">
        <v>264</v>
      </c>
      <c r="Q8" s="21" t="s">
        <v>265</v>
      </c>
      <c r="R8" s="21" t="s">
        <v>266</v>
      </c>
      <c r="S8" s="21" t="s">
        <v>267</v>
      </c>
      <c r="T8" s="21" t="s">
        <v>236</v>
      </c>
      <c r="U8" s="21" t="s">
        <v>237</v>
      </c>
      <c r="V8" s="21" t="s">
        <v>238</v>
      </c>
      <c r="W8" s="21" t="s">
        <v>239</v>
      </c>
      <c r="X8" s="21" t="s">
        <v>240</v>
      </c>
      <c r="Y8" s="21" t="s">
        <v>292</v>
      </c>
      <c r="Z8" s="21" t="s">
        <v>293</v>
      </c>
      <c r="AA8" s="21" t="s">
        <v>280</v>
      </c>
      <c r="AB8" s="21" t="s">
        <v>281</v>
      </c>
      <c r="AC8" s="21" t="s">
        <v>282</v>
      </c>
      <c r="AE8" s="21" t="s">
        <v>263</v>
      </c>
    </row>
    <row r="9" spans="1:31">
      <c r="J9" s="21" t="s">
        <v>230</v>
      </c>
      <c r="K9" s="21" t="s">
        <v>276</v>
      </c>
      <c r="N9" s="21">
        <v>1</v>
      </c>
      <c r="O9" s="21">
        <v>1</v>
      </c>
      <c r="T9" s="21">
        <v>1</v>
      </c>
      <c r="AE9" s="21">
        <f>IF(J9="","",SUM(L9:AD9))</f>
        <v>3</v>
      </c>
    </row>
    <row r="10" spans="1:31">
      <c r="B10" s="49" t="s">
        <v>370</v>
      </c>
      <c r="C10" s="21">
        <v>1</v>
      </c>
      <c r="AE10" s="21" t="str">
        <f t="shared" ref="AE10:AE22" si="0">IF(J10="","",SUM(L10:AD10))</f>
        <v/>
      </c>
    </row>
    <row r="11" spans="1:31">
      <c r="B11" s="49" t="s">
        <v>326</v>
      </c>
      <c r="C11" s="21">
        <v>500</v>
      </c>
      <c r="J11" s="21" t="s">
        <v>231</v>
      </c>
      <c r="K11" s="21" t="s">
        <v>270</v>
      </c>
      <c r="N11" s="21">
        <v>1</v>
      </c>
      <c r="P11" s="21">
        <v>1</v>
      </c>
      <c r="R11" s="21">
        <v>1</v>
      </c>
      <c r="U11" s="21">
        <v>1</v>
      </c>
      <c r="V11" s="21">
        <v>1</v>
      </c>
      <c r="W11" s="21">
        <v>1</v>
      </c>
      <c r="X11" s="21">
        <v>1</v>
      </c>
      <c r="AE11" s="21">
        <f t="shared" si="0"/>
        <v>7</v>
      </c>
    </row>
    <row r="12" spans="1:31">
      <c r="J12" s="21" t="s">
        <v>231</v>
      </c>
      <c r="K12" s="21" t="s">
        <v>271</v>
      </c>
      <c r="O12" s="21">
        <v>1</v>
      </c>
      <c r="Q12" s="21">
        <v>1</v>
      </c>
      <c r="S12" s="21">
        <v>1</v>
      </c>
      <c r="T12" s="21">
        <v>1</v>
      </c>
      <c r="U12" s="21">
        <v>1</v>
      </c>
      <c r="V12" s="21">
        <v>1</v>
      </c>
      <c r="W12" s="21">
        <v>1</v>
      </c>
      <c r="X12" s="21">
        <v>1</v>
      </c>
      <c r="AE12" s="21">
        <f t="shared" si="0"/>
        <v>8</v>
      </c>
    </row>
    <row r="13" spans="1:31">
      <c r="AE13" s="21" t="str">
        <f t="shared" si="0"/>
        <v/>
      </c>
    </row>
    <row r="14" spans="1:31">
      <c r="J14" s="21" t="s">
        <v>232</v>
      </c>
      <c r="K14" s="21" t="s">
        <v>270</v>
      </c>
      <c r="L14" s="21">
        <v>1</v>
      </c>
      <c r="P14" s="21">
        <v>1</v>
      </c>
      <c r="R14" s="21">
        <v>1</v>
      </c>
      <c r="U14" s="21">
        <v>1</v>
      </c>
      <c r="V14" s="21">
        <v>1</v>
      </c>
      <c r="W14" s="21">
        <v>1</v>
      </c>
      <c r="X14" s="21">
        <v>1</v>
      </c>
      <c r="AA14" s="21">
        <v>1</v>
      </c>
      <c r="AB14" s="21">
        <v>1</v>
      </c>
      <c r="AC14" s="21">
        <v>1</v>
      </c>
      <c r="AE14" s="21">
        <f t="shared" si="0"/>
        <v>10</v>
      </c>
    </row>
    <row r="15" spans="1:31">
      <c r="J15" s="21" t="s">
        <v>232</v>
      </c>
      <c r="K15" s="21" t="s">
        <v>271</v>
      </c>
      <c r="M15" s="21">
        <v>1</v>
      </c>
      <c r="Q15" s="21">
        <v>1</v>
      </c>
      <c r="S15" s="21">
        <v>1</v>
      </c>
      <c r="T15" s="21">
        <v>1</v>
      </c>
      <c r="U15" s="21">
        <v>1</v>
      </c>
      <c r="V15" s="21">
        <v>1</v>
      </c>
      <c r="W15" s="21">
        <v>1</v>
      </c>
      <c r="X15" s="21">
        <v>1</v>
      </c>
      <c r="AA15" s="21">
        <v>1</v>
      </c>
      <c r="AB15" s="21">
        <v>1</v>
      </c>
      <c r="AC15" s="21">
        <v>1</v>
      </c>
      <c r="AE15" s="21">
        <f t="shared" si="0"/>
        <v>11</v>
      </c>
    </row>
    <row r="16" spans="1:31">
      <c r="J16" s="21" t="s">
        <v>0</v>
      </c>
      <c r="K16" s="21" t="s">
        <v>274</v>
      </c>
      <c r="L16" s="21">
        <v>1</v>
      </c>
      <c r="M16" s="21">
        <v>1</v>
      </c>
      <c r="P16" s="21">
        <v>1</v>
      </c>
      <c r="Q16" s="21">
        <v>1</v>
      </c>
      <c r="T16" s="21">
        <v>1</v>
      </c>
      <c r="U16" s="21">
        <v>1</v>
      </c>
      <c r="V16" s="21">
        <v>1</v>
      </c>
      <c r="W16" s="21">
        <v>1</v>
      </c>
      <c r="X16" s="21">
        <v>1</v>
      </c>
      <c r="AA16" s="21">
        <v>1</v>
      </c>
      <c r="AB16" s="21">
        <v>1</v>
      </c>
      <c r="AE16" s="21">
        <f t="shared" si="0"/>
        <v>11</v>
      </c>
    </row>
    <row r="17" spans="10:31">
      <c r="J17" s="21" t="s">
        <v>0</v>
      </c>
      <c r="K17" s="21" t="s">
        <v>275</v>
      </c>
      <c r="L17" s="21">
        <v>1</v>
      </c>
      <c r="M17" s="21">
        <v>1</v>
      </c>
      <c r="R17" s="21">
        <v>1</v>
      </c>
      <c r="S17" s="21">
        <v>1</v>
      </c>
      <c r="T17" s="21">
        <v>1</v>
      </c>
      <c r="U17" s="21">
        <v>1</v>
      </c>
      <c r="V17" s="21">
        <v>1</v>
      </c>
      <c r="W17" s="21">
        <v>1</v>
      </c>
      <c r="X17" s="21">
        <v>1</v>
      </c>
      <c r="AA17" s="21">
        <v>1</v>
      </c>
      <c r="AC17" s="21">
        <v>1</v>
      </c>
      <c r="AE17" s="21">
        <f t="shared" si="0"/>
        <v>11</v>
      </c>
    </row>
    <row r="18" spans="10:31">
      <c r="J18" s="21" t="s">
        <v>0</v>
      </c>
      <c r="K18" s="21" t="s">
        <v>268</v>
      </c>
      <c r="N18" s="21">
        <v>1</v>
      </c>
      <c r="P18" s="21">
        <v>1</v>
      </c>
      <c r="R18" s="21">
        <v>1</v>
      </c>
      <c r="U18" s="21">
        <v>1</v>
      </c>
      <c r="V18" s="21">
        <v>1</v>
      </c>
      <c r="W18" s="21">
        <v>1</v>
      </c>
      <c r="X18" s="21">
        <v>1</v>
      </c>
      <c r="AA18" s="21">
        <v>1</v>
      </c>
      <c r="AB18" s="21">
        <v>1</v>
      </c>
      <c r="AC18" s="21">
        <v>1</v>
      </c>
      <c r="AE18" s="21">
        <f t="shared" si="0"/>
        <v>10</v>
      </c>
    </row>
    <row r="19" spans="10:31">
      <c r="J19" s="21" t="s">
        <v>0</v>
      </c>
      <c r="K19" s="21" t="s">
        <v>269</v>
      </c>
      <c r="O19" s="21">
        <v>1</v>
      </c>
      <c r="Q19" s="21">
        <v>1</v>
      </c>
      <c r="S19" s="21">
        <v>1</v>
      </c>
      <c r="T19" s="21">
        <v>1</v>
      </c>
      <c r="U19" s="21">
        <v>1</v>
      </c>
      <c r="V19" s="21">
        <v>1</v>
      </c>
      <c r="W19" s="21">
        <v>1</v>
      </c>
      <c r="X19" s="21">
        <v>1</v>
      </c>
      <c r="AA19" s="21">
        <v>1</v>
      </c>
      <c r="AB19" s="21">
        <v>1</v>
      </c>
      <c r="AC19" s="21">
        <v>1</v>
      </c>
      <c r="AE19" s="21">
        <f t="shared" si="0"/>
        <v>11</v>
      </c>
    </row>
    <row r="20" spans="10:31">
      <c r="J20" s="21" t="s">
        <v>0</v>
      </c>
      <c r="K20" s="21" t="s">
        <v>272</v>
      </c>
      <c r="L20" s="21">
        <v>1</v>
      </c>
      <c r="M20" s="21">
        <v>1</v>
      </c>
      <c r="P20" s="21">
        <v>1</v>
      </c>
      <c r="Q20" s="21">
        <v>1</v>
      </c>
      <c r="R20" s="21">
        <v>1</v>
      </c>
      <c r="S20" s="21">
        <v>1</v>
      </c>
      <c r="T20" s="21">
        <v>1</v>
      </c>
      <c r="U20" s="21">
        <v>1</v>
      </c>
      <c r="V20" s="21">
        <v>1</v>
      </c>
      <c r="AA20" s="21">
        <v>1</v>
      </c>
      <c r="AB20" s="21">
        <v>1</v>
      </c>
      <c r="AC20" s="21">
        <v>1</v>
      </c>
      <c r="AE20" s="21">
        <f t="shared" si="0"/>
        <v>12</v>
      </c>
    </row>
    <row r="21" spans="10:31">
      <c r="J21" s="21" t="s">
        <v>0</v>
      </c>
      <c r="K21" s="21" t="s">
        <v>273</v>
      </c>
      <c r="L21" s="21">
        <v>1</v>
      </c>
      <c r="M21" s="21">
        <v>1</v>
      </c>
      <c r="P21" s="21">
        <v>1</v>
      </c>
      <c r="Q21" s="21">
        <v>1</v>
      </c>
      <c r="R21" s="21">
        <v>1</v>
      </c>
      <c r="S21" s="21">
        <v>1</v>
      </c>
      <c r="T21" s="21">
        <v>1</v>
      </c>
      <c r="W21" s="21">
        <v>1</v>
      </c>
      <c r="X21" s="21">
        <v>1</v>
      </c>
      <c r="AA21" s="21">
        <v>1</v>
      </c>
      <c r="AB21" s="21">
        <v>1</v>
      </c>
      <c r="AC21" s="21">
        <v>1</v>
      </c>
      <c r="AE21" s="21">
        <f t="shared" si="0"/>
        <v>12</v>
      </c>
    </row>
    <row r="22" spans="10:31">
      <c r="AE22" s="21" t="str">
        <f t="shared" si="0"/>
        <v/>
      </c>
    </row>
    <row r="23" spans="10:31">
      <c r="J23" s="21" t="s">
        <v>234</v>
      </c>
      <c r="K23" s="21" t="s">
        <v>270</v>
      </c>
      <c r="L23" s="21">
        <v>1</v>
      </c>
      <c r="P23" s="21">
        <v>1</v>
      </c>
      <c r="R23" s="21">
        <v>1</v>
      </c>
      <c r="U23" s="21">
        <v>1</v>
      </c>
      <c r="V23" s="21">
        <v>1</v>
      </c>
      <c r="W23" s="21">
        <v>1</v>
      </c>
      <c r="X23" s="21">
        <v>1</v>
      </c>
      <c r="AA23" s="21">
        <v>1</v>
      </c>
      <c r="AB23" s="21">
        <v>1</v>
      </c>
      <c r="AC23" s="21">
        <v>1</v>
      </c>
      <c r="AE23" s="21">
        <f t="shared" ref="AE23:AE30" si="1">IF(J23="","",SUM(L23:AD23))</f>
        <v>10</v>
      </c>
    </row>
    <row r="24" spans="10:31">
      <c r="J24" s="21" t="s">
        <v>234</v>
      </c>
      <c r="K24" s="21" t="s">
        <v>271</v>
      </c>
      <c r="M24" s="21">
        <v>1</v>
      </c>
      <c r="Q24" s="21">
        <v>1</v>
      </c>
      <c r="S24" s="21">
        <v>1</v>
      </c>
      <c r="T24" s="21">
        <v>1</v>
      </c>
      <c r="U24" s="21">
        <v>1</v>
      </c>
      <c r="V24" s="21">
        <v>1</v>
      </c>
      <c r="W24" s="21">
        <v>1</v>
      </c>
      <c r="X24" s="21">
        <v>1</v>
      </c>
      <c r="AA24" s="21">
        <v>1</v>
      </c>
      <c r="AB24" s="21">
        <v>1</v>
      </c>
      <c r="AC24" s="21">
        <v>1</v>
      </c>
      <c r="AE24" s="21">
        <f t="shared" si="1"/>
        <v>11</v>
      </c>
    </row>
    <row r="25" spans="10:31">
      <c r="J25" s="21" t="s">
        <v>167</v>
      </c>
      <c r="K25" s="21" t="s">
        <v>274</v>
      </c>
      <c r="L25" s="21">
        <v>1</v>
      </c>
      <c r="M25" s="21">
        <v>1</v>
      </c>
      <c r="P25" s="21">
        <v>1</v>
      </c>
      <c r="Q25" s="21">
        <v>1</v>
      </c>
      <c r="T25" s="21">
        <v>1</v>
      </c>
      <c r="U25" s="21">
        <v>1</v>
      </c>
      <c r="V25" s="21">
        <v>1</v>
      </c>
      <c r="W25" s="21">
        <v>1</v>
      </c>
      <c r="X25" s="21">
        <v>1</v>
      </c>
      <c r="AA25" s="21">
        <v>1</v>
      </c>
      <c r="AB25" s="21">
        <v>1</v>
      </c>
      <c r="AE25" s="21">
        <f t="shared" si="1"/>
        <v>11</v>
      </c>
    </row>
    <row r="26" spans="10:31">
      <c r="J26" s="21" t="s">
        <v>167</v>
      </c>
      <c r="K26" s="21" t="s">
        <v>275</v>
      </c>
      <c r="L26" s="21">
        <v>1</v>
      </c>
      <c r="M26" s="21">
        <v>1</v>
      </c>
      <c r="R26" s="21">
        <v>1</v>
      </c>
      <c r="S26" s="21">
        <v>1</v>
      </c>
      <c r="T26" s="21">
        <v>1</v>
      </c>
      <c r="U26" s="21">
        <v>1</v>
      </c>
      <c r="V26" s="21">
        <v>1</v>
      </c>
      <c r="W26" s="21">
        <v>1</v>
      </c>
      <c r="X26" s="21">
        <v>1</v>
      </c>
      <c r="AA26" s="21">
        <v>1</v>
      </c>
      <c r="AC26" s="21">
        <v>1</v>
      </c>
      <c r="AE26" s="21">
        <f t="shared" si="1"/>
        <v>11</v>
      </c>
    </row>
    <row r="27" spans="10:31">
      <c r="J27" s="21" t="s">
        <v>167</v>
      </c>
      <c r="K27" s="21" t="s">
        <v>268</v>
      </c>
      <c r="N27" s="21">
        <v>1</v>
      </c>
      <c r="P27" s="21">
        <v>1</v>
      </c>
      <c r="R27" s="21">
        <v>1</v>
      </c>
      <c r="U27" s="21">
        <v>1</v>
      </c>
      <c r="V27" s="21">
        <v>1</v>
      </c>
      <c r="W27" s="21">
        <v>1</v>
      </c>
      <c r="X27" s="21">
        <v>1</v>
      </c>
      <c r="AA27" s="21">
        <v>1</v>
      </c>
      <c r="AB27" s="21">
        <v>1</v>
      </c>
      <c r="AC27" s="21">
        <v>1</v>
      </c>
      <c r="AE27" s="21">
        <f t="shared" si="1"/>
        <v>10</v>
      </c>
    </row>
    <row r="28" spans="10:31">
      <c r="J28" s="21" t="s">
        <v>167</v>
      </c>
      <c r="K28" s="21" t="s">
        <v>269</v>
      </c>
      <c r="O28" s="21">
        <v>1</v>
      </c>
      <c r="Q28" s="21">
        <v>1</v>
      </c>
      <c r="S28" s="21">
        <v>1</v>
      </c>
      <c r="T28" s="21">
        <v>1</v>
      </c>
      <c r="U28" s="21">
        <v>1</v>
      </c>
      <c r="V28" s="21">
        <v>1</v>
      </c>
      <c r="W28" s="21">
        <v>1</v>
      </c>
      <c r="X28" s="21">
        <v>1</v>
      </c>
      <c r="AA28" s="21">
        <v>1</v>
      </c>
      <c r="AB28" s="21">
        <v>1</v>
      </c>
      <c r="AC28" s="21">
        <v>1</v>
      </c>
      <c r="AE28" s="21">
        <f t="shared" si="1"/>
        <v>11</v>
      </c>
    </row>
    <row r="29" spans="10:31">
      <c r="J29" s="21" t="s">
        <v>167</v>
      </c>
      <c r="K29" s="21" t="s">
        <v>272</v>
      </c>
      <c r="L29" s="21">
        <v>1</v>
      </c>
      <c r="M29" s="21">
        <v>1</v>
      </c>
      <c r="P29" s="21">
        <v>1</v>
      </c>
      <c r="Q29" s="21">
        <v>1</v>
      </c>
      <c r="R29" s="21">
        <v>1</v>
      </c>
      <c r="S29" s="21">
        <v>1</v>
      </c>
      <c r="T29" s="21">
        <v>1</v>
      </c>
      <c r="U29" s="21">
        <v>1</v>
      </c>
      <c r="V29" s="21">
        <v>1</v>
      </c>
      <c r="AA29" s="21">
        <v>1</v>
      </c>
      <c r="AB29" s="21">
        <v>1</v>
      </c>
      <c r="AC29" s="21">
        <v>1</v>
      </c>
      <c r="AE29" s="21">
        <f t="shared" si="1"/>
        <v>12</v>
      </c>
    </row>
    <row r="30" spans="10:31">
      <c r="J30" s="21" t="s">
        <v>167</v>
      </c>
      <c r="K30" s="21" t="s">
        <v>273</v>
      </c>
      <c r="L30" s="21">
        <v>1</v>
      </c>
      <c r="M30" s="21">
        <v>1</v>
      </c>
      <c r="P30" s="21">
        <v>1</v>
      </c>
      <c r="Q30" s="21">
        <v>1</v>
      </c>
      <c r="R30" s="21">
        <v>1</v>
      </c>
      <c r="S30" s="21">
        <v>1</v>
      </c>
      <c r="T30" s="21">
        <v>1</v>
      </c>
      <c r="W30" s="21">
        <v>1</v>
      </c>
      <c r="X30" s="21">
        <v>1</v>
      </c>
      <c r="AA30" s="21">
        <v>1</v>
      </c>
      <c r="AB30" s="21">
        <v>1</v>
      </c>
      <c r="AC30" s="21">
        <v>1</v>
      </c>
      <c r="AE30" s="21">
        <f t="shared" si="1"/>
        <v>12</v>
      </c>
    </row>
  </sheetData>
  <mergeCells count="2">
    <mergeCell ref="L7:AD7"/>
    <mergeCell ref="J7:K7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B1:CV226"/>
  <sheetViews>
    <sheetView workbookViewId="0">
      <selection activeCell="E18" sqref="E18"/>
    </sheetView>
  </sheetViews>
  <sheetFormatPr defaultColWidth="6.625" defaultRowHeight="11.25"/>
  <cols>
    <col min="1" max="2" width="6.625" style="16"/>
    <col min="3" max="3" width="6.625" style="16" customWidth="1"/>
    <col min="4" max="4" width="7.75" style="16" customWidth="1"/>
    <col min="5" max="5" width="9.125" style="16" customWidth="1"/>
    <col min="6" max="9" width="6.625" style="16" customWidth="1"/>
    <col min="10" max="11" width="6.625" style="16"/>
    <col min="12" max="12" width="6.625" style="13"/>
    <col min="13" max="14" width="6.625" style="16" customWidth="1"/>
    <col min="15" max="15" width="26.375" style="16" customWidth="1"/>
    <col min="16" max="31" width="6.625" style="16" customWidth="1"/>
    <col min="32" max="35" width="6.625" style="41" customWidth="1"/>
    <col min="36" max="36" width="13.375" style="16" customWidth="1"/>
    <col min="37" max="45" width="6.625" style="16" customWidth="1"/>
    <col min="46" max="46" width="6.625" style="13" customWidth="1"/>
    <col min="47" max="58" width="6.625" style="16" customWidth="1"/>
    <col min="59" max="63" width="6.625" style="41" customWidth="1"/>
    <col min="64" max="67" width="6.625" style="16" customWidth="1"/>
    <col min="68" max="68" width="6.625" style="13" customWidth="1"/>
    <col min="69" max="69" width="6.625" style="16"/>
    <col min="70" max="76" width="6.75" style="16" customWidth="1"/>
    <col min="77" max="78" width="6.625" style="16"/>
    <col min="79" max="84" width="6.75" style="16" customWidth="1"/>
    <col min="85" max="86" width="6.625" style="16"/>
    <col min="87" max="88" width="6.75" style="16" customWidth="1"/>
    <col min="89" max="89" width="10.375" style="16" customWidth="1"/>
    <col min="90" max="90" width="9.75" style="16" customWidth="1"/>
    <col min="91" max="91" width="6.625" style="16"/>
    <col min="92" max="92" width="6.625" style="13"/>
    <col min="93" max="93" width="6.625" style="16"/>
    <col min="94" max="94" width="6.75" style="16" customWidth="1"/>
    <col min="95" max="95" width="9" style="16" customWidth="1"/>
    <col min="96" max="97" width="6.625" style="16"/>
    <col min="98" max="100" width="6.75" style="16" customWidth="1"/>
    <col min="101" max="16384" width="6.625" style="16"/>
  </cols>
  <sheetData>
    <row r="1" spans="4:100">
      <c r="N1" s="68" t="s">
        <v>285</v>
      </c>
    </row>
    <row r="2" spans="4:100">
      <c r="N2" s="68" t="s">
        <v>411</v>
      </c>
      <c r="CH2" s="16">
        <v>1</v>
      </c>
      <c r="CI2" s="17" t="s">
        <v>74</v>
      </c>
      <c r="CJ2" s="70" t="s">
        <v>54</v>
      </c>
      <c r="CK2" s="170" t="s">
        <v>414</v>
      </c>
      <c r="CL2" s="170"/>
      <c r="CP2" s="16" t="s">
        <v>254</v>
      </c>
      <c r="CQ2" s="174" t="s">
        <v>450</v>
      </c>
      <c r="CT2" s="17" t="s">
        <v>74</v>
      </c>
      <c r="CU2" s="170" t="s">
        <v>415</v>
      </c>
      <c r="CV2" s="170"/>
    </row>
    <row r="3" spans="4:100">
      <c r="E3" s="16" t="s">
        <v>468</v>
      </c>
      <c r="F3" s="16">
        <v>0</v>
      </c>
      <c r="G3" s="16">
        <v>3</v>
      </c>
      <c r="H3" s="16">
        <v>5</v>
      </c>
      <c r="I3" s="16">
        <v>5</v>
      </c>
      <c r="J3" s="16">
        <v>5</v>
      </c>
      <c r="CH3" s="16">
        <v>2</v>
      </c>
      <c r="CI3" s="17" t="s">
        <v>161</v>
      </c>
      <c r="CJ3" s="17" t="s">
        <v>461</v>
      </c>
      <c r="CK3" s="17" t="s">
        <v>461</v>
      </c>
      <c r="CL3" s="17" t="s">
        <v>413</v>
      </c>
      <c r="CP3" s="16" t="s">
        <v>161</v>
      </c>
      <c r="CQ3" s="174"/>
      <c r="CT3" s="17" t="s">
        <v>161</v>
      </c>
      <c r="CU3" s="17" t="s">
        <v>432</v>
      </c>
      <c r="CV3" s="17" t="s">
        <v>192</v>
      </c>
    </row>
    <row r="4" spans="4:100">
      <c r="D4" s="175" t="s">
        <v>458</v>
      </c>
      <c r="E4" s="17" t="s">
        <v>223</v>
      </c>
      <c r="F4" s="17" t="s">
        <v>1</v>
      </c>
      <c r="G4" s="17" t="s">
        <v>2</v>
      </c>
      <c r="H4" s="17" t="s">
        <v>0</v>
      </c>
      <c r="I4" s="17" t="s">
        <v>205</v>
      </c>
      <c r="J4" s="17" t="s">
        <v>29</v>
      </c>
      <c r="O4" s="16" t="s">
        <v>283</v>
      </c>
      <c r="P4" s="16" t="s">
        <v>79</v>
      </c>
      <c r="Q4" s="16" t="s">
        <v>80</v>
      </c>
      <c r="R4" s="16" t="s">
        <v>81</v>
      </c>
      <c r="S4" s="16" t="s">
        <v>205</v>
      </c>
      <c r="T4" s="16" t="s">
        <v>29</v>
      </c>
      <c r="V4" s="164" t="s">
        <v>400</v>
      </c>
      <c r="W4" s="164"/>
      <c r="X4" s="164"/>
      <c r="Y4" s="164"/>
      <c r="Z4" s="164" t="s">
        <v>398</v>
      </c>
      <c r="AA4" s="164"/>
      <c r="AB4" s="164"/>
      <c r="AC4" s="164"/>
      <c r="AE4" s="16" t="s">
        <v>74</v>
      </c>
      <c r="AF4" s="179" t="s">
        <v>402</v>
      </c>
      <c r="AG4" s="179"/>
      <c r="AH4" s="179"/>
      <c r="AI4" s="179"/>
      <c r="AJ4" s="178" t="s">
        <v>453</v>
      </c>
      <c r="AN4" s="164" t="s">
        <v>288</v>
      </c>
      <c r="AO4" s="164"/>
      <c r="AP4" s="164"/>
      <c r="AQ4" s="164"/>
      <c r="AR4" s="164"/>
      <c r="AW4" s="164" t="s">
        <v>289</v>
      </c>
      <c r="AX4" s="164"/>
      <c r="AY4" s="164"/>
      <c r="AZ4" s="164"/>
      <c r="BA4" s="164"/>
      <c r="BC4" s="16" t="s">
        <v>371</v>
      </c>
      <c r="BD4" s="32"/>
      <c r="BE4" s="32"/>
      <c r="BG4" s="41" t="s">
        <v>298</v>
      </c>
      <c r="BR4" s="16">
        <v>1</v>
      </c>
      <c r="BS4" s="69" t="s">
        <v>74</v>
      </c>
      <c r="BT4" s="170" t="s">
        <v>459</v>
      </c>
      <c r="BU4" s="170"/>
      <c r="BV4" s="170"/>
      <c r="BW4" s="170"/>
      <c r="BX4" s="170"/>
      <c r="CB4" s="164" t="s">
        <v>460</v>
      </c>
      <c r="CC4" s="164"/>
      <c r="CD4" s="164"/>
      <c r="CE4" s="164"/>
      <c r="CF4" s="164"/>
      <c r="CH4" s="16">
        <v>3</v>
      </c>
      <c r="CI4" s="17">
        <v>10</v>
      </c>
      <c r="CJ4" s="17">
        <f>求节点($CA$6:$CA$165,$CB$6:$CB$165,$CI4)</f>
        <v>0</v>
      </c>
      <c r="CK4" s="51">
        <f>CJ4*(INDEX([3]非r将兵属性验证!$V$7:$V$166,$CI4,1)+INDEX([3]非r将兵属性验证!$AP$7:$AP$166,$CI4,1))</f>
        <v>0</v>
      </c>
      <c r="CL4" s="17">
        <f t="shared" ref="CL4:CL19" si="0">SUM(CK4:CK4)</f>
        <v>0</v>
      </c>
      <c r="CP4" s="16">
        <v>50</v>
      </c>
      <c r="CQ4" s="16">
        <v>0</v>
      </c>
      <c r="CT4" s="17">
        <v>10</v>
      </c>
      <c r="CU4" s="17">
        <f>求节点($CP$4:$CP$24,CQ$4:CQ$24,$CT4)</f>
        <v>0</v>
      </c>
      <c r="CV4" s="17">
        <f t="shared" ref="CV4:CV19" si="1">SUM(CU4:CU4)</f>
        <v>0</v>
      </c>
    </row>
    <row r="5" spans="4:100">
      <c r="D5" s="176"/>
      <c r="E5" s="17">
        <v>0</v>
      </c>
      <c r="F5" s="17">
        <v>6</v>
      </c>
      <c r="G5" s="17">
        <v>8</v>
      </c>
      <c r="H5" s="17">
        <v>10</v>
      </c>
      <c r="I5" s="17">
        <v>12</v>
      </c>
      <c r="J5" s="17">
        <v>14</v>
      </c>
      <c r="O5" s="16" t="s">
        <v>286</v>
      </c>
      <c r="P5" s="16">
        <v>1</v>
      </c>
      <c r="Q5" s="16">
        <v>2</v>
      </c>
      <c r="R5" s="16">
        <v>3</v>
      </c>
      <c r="S5" s="16">
        <v>3</v>
      </c>
      <c r="T5" s="16">
        <v>3</v>
      </c>
      <c r="U5" s="16" t="s">
        <v>399</v>
      </c>
      <c r="V5" s="16" t="s">
        <v>79</v>
      </c>
      <c r="W5" s="16" t="s">
        <v>80</v>
      </c>
      <c r="X5" s="16" t="s">
        <v>81</v>
      </c>
      <c r="Y5" s="16" t="s">
        <v>205</v>
      </c>
      <c r="Z5" s="16" t="s">
        <v>79</v>
      </c>
      <c r="AA5" s="16" t="s">
        <v>80</v>
      </c>
      <c r="AB5" s="16" t="s">
        <v>81</v>
      </c>
      <c r="AC5" s="16" t="s">
        <v>205</v>
      </c>
      <c r="AE5" s="17" t="s">
        <v>161</v>
      </c>
      <c r="AF5" s="64" t="s">
        <v>1</v>
      </c>
      <c r="AG5" s="64" t="s">
        <v>2</v>
      </c>
      <c r="AH5" s="64" t="s">
        <v>0</v>
      </c>
      <c r="AI5" s="64" t="s">
        <v>205</v>
      </c>
      <c r="AJ5" s="178"/>
      <c r="AM5" s="16" t="s">
        <v>401</v>
      </c>
      <c r="AN5" s="16" t="s">
        <v>254</v>
      </c>
      <c r="AO5" s="16" t="s">
        <v>255</v>
      </c>
      <c r="AP5" s="16" t="s">
        <v>256</v>
      </c>
      <c r="AQ5" s="16" t="s">
        <v>257</v>
      </c>
      <c r="AR5" s="16" t="s">
        <v>258</v>
      </c>
      <c r="AV5" s="16" t="s">
        <v>287</v>
      </c>
      <c r="AW5" s="16" t="s">
        <v>254</v>
      </c>
      <c r="AX5" s="16" t="s">
        <v>255</v>
      </c>
      <c r="AY5" s="16" t="s">
        <v>256</v>
      </c>
      <c r="AZ5" s="16" t="s">
        <v>257</v>
      </c>
      <c r="BA5" s="16" t="s">
        <v>258</v>
      </c>
      <c r="BC5" s="16" t="s">
        <v>372</v>
      </c>
      <c r="BG5" s="41" t="s">
        <v>254</v>
      </c>
      <c r="BH5" s="41" t="s">
        <v>255</v>
      </c>
      <c r="BI5" s="41" t="s">
        <v>256</v>
      </c>
      <c r="BJ5" s="41" t="s">
        <v>257</v>
      </c>
      <c r="BK5" s="41" t="s">
        <v>258</v>
      </c>
      <c r="BR5" s="16">
        <v>2</v>
      </c>
      <c r="BS5" s="17" t="s">
        <v>161</v>
      </c>
      <c r="BT5" s="17" t="s">
        <v>1</v>
      </c>
      <c r="BU5" s="17" t="s">
        <v>2</v>
      </c>
      <c r="BV5" s="17" t="s">
        <v>0</v>
      </c>
      <c r="BW5" s="17" t="s">
        <v>205</v>
      </c>
      <c r="BX5" s="71" t="s">
        <v>172</v>
      </c>
      <c r="CA5" s="16" t="s">
        <v>161</v>
      </c>
      <c r="CB5" s="16" t="s">
        <v>254</v>
      </c>
      <c r="CC5" s="16" t="s">
        <v>255</v>
      </c>
      <c r="CD5" s="16" t="s">
        <v>256</v>
      </c>
      <c r="CE5" s="16" t="s">
        <v>257</v>
      </c>
      <c r="CF5" s="16" t="s">
        <v>258</v>
      </c>
      <c r="CH5" s="16">
        <v>4</v>
      </c>
      <c r="CI5" s="17">
        <v>20</v>
      </c>
      <c r="CJ5" s="17">
        <f t="shared" ref="CJ5:CJ19" si="2">求节点($CA$6:$CA$165,$CB$6:$CB$165,$CI5)</f>
        <v>0</v>
      </c>
      <c r="CK5" s="17">
        <f>(CJ5-CJ4)*(INDEX([3]非r将兵属性验证!$V$7:$V$166,$CI5,1)+INDEX([3]非r将兵属性验证!$AP$7:$AP$166,$CI5,1))+CK4</f>
        <v>0</v>
      </c>
      <c r="CL5" s="17">
        <f t="shared" si="0"/>
        <v>0</v>
      </c>
      <c r="CP5" s="16">
        <v>60</v>
      </c>
      <c r="CQ5" s="16">
        <v>0</v>
      </c>
      <c r="CT5" s="17">
        <v>20</v>
      </c>
      <c r="CU5" s="17">
        <f t="shared" ref="CU5:CU19" si="3">求节点($CP$4:$CP$24,CQ$4:CQ$24,$CT5)</f>
        <v>0</v>
      </c>
      <c r="CV5" s="17">
        <f t="shared" si="1"/>
        <v>0</v>
      </c>
    </row>
    <row r="6" spans="4:100">
      <c r="D6" s="176"/>
      <c r="E6" s="17">
        <v>1</v>
      </c>
      <c r="F6" s="86">
        <f>F5+6</f>
        <v>12</v>
      </c>
      <c r="G6" s="17">
        <f>G5+8</f>
        <v>16</v>
      </c>
      <c r="H6" s="17">
        <f>H5+10</f>
        <v>20</v>
      </c>
      <c r="I6" s="17">
        <f>I5+12</f>
        <v>24</v>
      </c>
      <c r="J6" s="17">
        <f>J5+14</f>
        <v>28</v>
      </c>
      <c r="O6" s="16" t="s">
        <v>284</v>
      </c>
      <c r="P6" s="16">
        <v>100</v>
      </c>
      <c r="Q6" s="16">
        <v>400</v>
      </c>
      <c r="R6" s="16">
        <v>800</v>
      </c>
      <c r="S6" s="16">
        <v>1600</v>
      </c>
      <c r="T6" s="16">
        <v>2400</v>
      </c>
      <c r="U6" s="16">
        <v>1</v>
      </c>
      <c r="V6" s="16">
        <f>P$23</f>
        <v>27.777777777777775</v>
      </c>
      <c r="W6" s="16">
        <f>Q$23</f>
        <v>39.506172839506171</v>
      </c>
      <c r="X6" s="16">
        <f>R$23</f>
        <v>62.794348508634243</v>
      </c>
      <c r="Y6" s="16">
        <f>S$23</f>
        <v>75.138536676998257</v>
      </c>
      <c r="Z6" s="16">
        <f>SUM(V$6:V6)</f>
        <v>27.777777777777775</v>
      </c>
      <c r="AA6" s="16">
        <f>SUM(W$6:W6)</f>
        <v>39.506172839506171</v>
      </c>
      <c r="AB6" s="16">
        <f>SUM(X$6:X6)</f>
        <v>62.794348508634243</v>
      </c>
      <c r="AC6" s="16">
        <f>SUM(Y$6:Y6)</f>
        <v>75.138536676998257</v>
      </c>
      <c r="AE6" s="17">
        <f>基础状态预期!C17</f>
        <v>50</v>
      </c>
      <c r="AF6" s="64">
        <f>求节点(P$7:P$9,Z$6:Z$8,基础状态预期!Q17)*P$6</f>
        <v>0</v>
      </c>
      <c r="AG6" s="64">
        <f>求节点(Q$7:Q$9,AA$6:AA$8,基础状态预期!R17)*Q$6</f>
        <v>0</v>
      </c>
      <c r="AH6" s="64">
        <f>求节点(R$7:R$9,AB$6:AB$8,基础状态预期!S17)*R$6</f>
        <v>0</v>
      </c>
      <c r="AI6" s="64">
        <f>求节点(S$7:S$9,AC$6:AC$8,基础状态预期!T17)*S$6</f>
        <v>0</v>
      </c>
      <c r="AJ6" s="17">
        <f>SUMPRODUCT(AF6:AI6,基础状态预期!I17:L17)</f>
        <v>0</v>
      </c>
      <c r="AM6" s="16">
        <v>1</v>
      </c>
      <c r="AN6" s="16">
        <f>求节点($AE$6:$AE$26,$AJ$6:$AJ$26,$AM6)</f>
        <v>0</v>
      </c>
      <c r="AO6" s="16">
        <f>求节点($AE$32:$AE$52,$AJ$32:$AJ$52,$AM6)</f>
        <v>0</v>
      </c>
      <c r="AP6" s="16">
        <f>求节点($AE$58:$AE$78,$AJ$58:$AJ$78,$AM6)</f>
        <v>0</v>
      </c>
      <c r="AQ6" s="16">
        <f>求节点($AE$84:$AE$104,$AJ$84:$AJ$104,$AM6)</f>
        <v>0</v>
      </c>
      <c r="AR6" s="16">
        <f>求节点($AE$110:$AE$130,$AJ$110:$AJ$130,$AM6)</f>
        <v>0</v>
      </c>
      <c r="AV6" s="16">
        <v>1</v>
      </c>
      <c r="AW6" s="16">
        <f>盗宝贼掉落!AI5</f>
        <v>11.225369540676247</v>
      </c>
      <c r="AX6" s="16">
        <f>盗宝贼掉落!AJ5</f>
        <v>13.619545639884391</v>
      </c>
      <c r="AY6" s="16">
        <f>盗宝贼掉落!AK5</f>
        <v>14.472112456498751</v>
      </c>
      <c r="AZ6" s="16">
        <f>盗宝贼掉落!AL5</f>
        <v>11.411320227415276</v>
      </c>
      <c r="BA6" s="16">
        <f>盗宝贼掉落!AM5</f>
        <v>5.9670648061418197</v>
      </c>
      <c r="BC6" s="16">
        <f>盗宝贼掉落!AI5/AW6</f>
        <v>1</v>
      </c>
      <c r="BG6" s="41" t="e">
        <f>AW6/AN6</f>
        <v>#DIV/0!</v>
      </c>
      <c r="BH6" s="41" t="e">
        <f>AX6/AO6</f>
        <v>#DIV/0!</v>
      </c>
      <c r="BI6" s="41" t="e">
        <f>AY6/AP6</f>
        <v>#DIV/0!</v>
      </c>
      <c r="BJ6" s="41" t="e">
        <f>AZ6/AQ6</f>
        <v>#DIV/0!</v>
      </c>
      <c r="BK6" s="41" t="e">
        <f>BA6/AR6</f>
        <v>#DIV/0!</v>
      </c>
      <c r="BR6" s="16">
        <v>3</v>
      </c>
      <c r="BS6" s="17">
        <f>基础状态预期!C17</f>
        <v>50</v>
      </c>
      <c r="BT6" s="17">
        <f>求节点($E$5:$E$10,F$5:F$10,基础状态预期!M17)</f>
        <v>6</v>
      </c>
      <c r="BU6" s="17">
        <f>求节点($E$5:$E$10,G$5:G$10,基础状态预期!N17)</f>
        <v>8</v>
      </c>
      <c r="BV6" s="17">
        <f>求节点($E$5:$E$10,H$5:H$10,基础状态预期!O17)</f>
        <v>10</v>
      </c>
      <c r="BW6" s="17">
        <f>求节点($E$5:$E$10,I$5:I$10,基础状态预期!P17)</f>
        <v>12</v>
      </c>
      <c r="BX6" s="51">
        <f>SUMPRODUCT(BT6:BW6,基础状态预期!I17:L17)/6</f>
        <v>0</v>
      </c>
      <c r="CA6" s="16">
        <v>1</v>
      </c>
      <c r="CB6" s="16">
        <f>求节点($BS$6:$BS$26,$BX$6:$BX$26,$CA6)</f>
        <v>0</v>
      </c>
      <c r="CC6" s="16">
        <f>求节点($BS$32:$BS$52,$BX$32:$BX$52,$CA6)</f>
        <v>0</v>
      </c>
      <c r="CD6" s="16">
        <f>求节点($BS$58:$BS$78,$BX$58:$BX$78,$CA6)</f>
        <v>0</v>
      </c>
      <c r="CE6" s="16">
        <f>求节点($BS$84:$BS$104,$BX$84:$BX$104,$CA6)</f>
        <v>0</v>
      </c>
      <c r="CF6" s="16">
        <f>求节点($BS$110:$BS$130,$BX$110:$BX$130,$CA6)</f>
        <v>0</v>
      </c>
      <c r="CH6" s="16">
        <v>5</v>
      </c>
      <c r="CI6" s="17">
        <v>30</v>
      </c>
      <c r="CJ6" s="17">
        <f t="shared" si="2"/>
        <v>0</v>
      </c>
      <c r="CK6" s="17">
        <f>(CJ6-CJ5)*(INDEX([3]非r将兵属性验证!$V$7:$V$166,$CI6,1)+INDEX([3]非r将兵属性验证!$AP$7:$AP$166,$CI6,1))+CK5</f>
        <v>0</v>
      </c>
      <c r="CL6" s="17">
        <f t="shared" si="0"/>
        <v>0</v>
      </c>
      <c r="CP6" s="16">
        <v>70</v>
      </c>
      <c r="CQ6" s="16">
        <v>0</v>
      </c>
      <c r="CT6" s="17">
        <v>30</v>
      </c>
      <c r="CU6" s="17">
        <f t="shared" si="3"/>
        <v>0</v>
      </c>
      <c r="CV6" s="17">
        <f t="shared" si="1"/>
        <v>0</v>
      </c>
    </row>
    <row r="7" spans="4:100">
      <c r="D7" s="176"/>
      <c r="E7" s="17">
        <v>2</v>
      </c>
      <c r="F7" s="86">
        <f t="shared" ref="F7:F10" si="4">F6+6</f>
        <v>18</v>
      </c>
      <c r="G7" s="17">
        <f t="shared" ref="G7:G10" si="5">G6+8</f>
        <v>24</v>
      </c>
      <c r="H7" s="17">
        <f t="shared" ref="H7:H10" si="6">H6+10</f>
        <v>30</v>
      </c>
      <c r="I7" s="17">
        <f t="shared" ref="I7:I10" si="7">I6+12</f>
        <v>36</v>
      </c>
      <c r="J7" s="17">
        <f t="shared" ref="J7:J10" si="8">J6+14</f>
        <v>42</v>
      </c>
      <c r="O7" s="16" t="s">
        <v>374</v>
      </c>
      <c r="P7" s="41">
        <f>1/3</f>
        <v>0.33333333333333331</v>
      </c>
      <c r="Q7" s="41">
        <f t="shared" ref="Q7:T7" si="9">1/3</f>
        <v>0.33333333333333331</v>
      </c>
      <c r="R7" s="41">
        <f t="shared" si="9"/>
        <v>0.33333333333333331</v>
      </c>
      <c r="S7" s="41">
        <f t="shared" si="9"/>
        <v>0.33333333333333331</v>
      </c>
      <c r="T7" s="41">
        <f t="shared" si="9"/>
        <v>0.33333333333333331</v>
      </c>
      <c r="U7" s="16">
        <v>2</v>
      </c>
      <c r="V7" s="16">
        <f>P$37</f>
        <v>44.444444444444443</v>
      </c>
      <c r="W7" s="16">
        <f>Q$37</f>
        <v>105.01995379122032</v>
      </c>
      <c r="X7" s="16">
        <f>R$37</f>
        <v>221.87609551322157</v>
      </c>
      <c r="Y7" s="16">
        <f>S$37</f>
        <v>274.8098315965351</v>
      </c>
      <c r="Z7" s="16">
        <f>SUM(V$6:V7)</f>
        <v>72.222222222222214</v>
      </c>
      <c r="AA7" s="16">
        <f>SUM(W$6:W7)</f>
        <v>144.52612663072648</v>
      </c>
      <c r="AB7" s="16">
        <f>SUM(X$6:X7)</f>
        <v>284.67044402185581</v>
      </c>
      <c r="AC7" s="16">
        <f>SUM(Y$6:Y7)</f>
        <v>349.94836827353333</v>
      </c>
      <c r="AE7" s="17">
        <f>基础状态预期!C18</f>
        <v>60</v>
      </c>
      <c r="AF7" s="64">
        <f>求节点(P$7:P$9,Z$6:Z$8,基础状态预期!Q18)*P$6</f>
        <v>0</v>
      </c>
      <c r="AG7" s="64">
        <f>求节点(Q$7:Q$9,AA$6:AA$8,基础状态预期!R18)*Q$6</f>
        <v>52763.221512920936</v>
      </c>
      <c r="AH7" s="64">
        <f>求节点(R$7:R$9,AB$6:AB$8,基础状态预期!S18)*R$6</f>
        <v>25117.739403453699</v>
      </c>
      <c r="AI7" s="64">
        <f>求节点(S$7:S$9,AC$6:AC$8,基础状态预期!T18)*S$6</f>
        <v>60110.829341598605</v>
      </c>
      <c r="AJ7" s="17">
        <f>SUMPRODUCT(AF7:AI7,基础状态预期!I18:L18)</f>
        <v>222444.81193100614</v>
      </c>
      <c r="AM7" s="16">
        <v>2</v>
      </c>
      <c r="AN7" s="16">
        <f t="shared" ref="AN7:AN70" si="10">求节点($AE$6:$AE$26,$AJ$6:$AJ$26,$AM7)</f>
        <v>0</v>
      </c>
      <c r="AO7" s="16">
        <f t="shared" ref="AO7:AO38" si="11">求节点($AE$32:$AE$52,$AJ$32:$AJ$52,$AM7)</f>
        <v>0</v>
      </c>
      <c r="AP7" s="16">
        <f t="shared" ref="AP7:AP38" si="12">求节点($AE$58:$AE$78,$AJ$58:$AJ$78,$AM7)</f>
        <v>0</v>
      </c>
      <c r="AQ7" s="16">
        <f t="shared" ref="AQ7:AQ38" si="13">求节点($AE$84:$AE$104,$AJ$84:$AJ$104,$AM7)</f>
        <v>0</v>
      </c>
      <c r="AR7" s="16">
        <f t="shared" ref="AR7:AR70" si="14">求节点($AE$110:$AE$130,$AJ$110:$AJ$130,$AM7)</f>
        <v>0</v>
      </c>
      <c r="AV7" s="16">
        <v>2</v>
      </c>
      <c r="AW7" s="16">
        <f>盗宝贼掉落!AI6</f>
        <v>24.276003499575282</v>
      </c>
      <c r="AX7" s="16">
        <f>盗宝贼掉落!AJ6</f>
        <v>29.747605811574253</v>
      </c>
      <c r="AY7" s="16">
        <f>盗宝贼掉落!AK6</f>
        <v>31.946195820496463</v>
      </c>
      <c r="AZ7" s="16">
        <f>盗宝贼掉落!AL6</f>
        <v>25.559341542017293</v>
      </c>
      <c r="BA7" s="16">
        <f>盗宝贼掉落!AM6</f>
        <v>13.582231369392398</v>
      </c>
      <c r="BC7" s="16">
        <f>盗宝贼掉落!AI6/AW7</f>
        <v>1</v>
      </c>
      <c r="BG7" s="41" t="e">
        <f t="shared" ref="BG7:BG70" si="15">AW7/AN7</f>
        <v>#DIV/0!</v>
      </c>
      <c r="BH7" s="41" t="e">
        <f t="shared" ref="BH7:BH70" si="16">AX7/AO7</f>
        <v>#DIV/0!</v>
      </c>
      <c r="BI7" s="41" t="e">
        <f t="shared" ref="BI7:BI70" si="17">AY7/AP7</f>
        <v>#DIV/0!</v>
      </c>
      <c r="BJ7" s="41" t="e">
        <f t="shared" ref="BJ7:BJ70" si="18">AZ7/AQ7</f>
        <v>#DIV/0!</v>
      </c>
      <c r="BK7" s="41" t="e">
        <f t="shared" ref="BK7:BK70" si="19">BA7/AR7</f>
        <v>#DIV/0!</v>
      </c>
      <c r="BR7" s="16">
        <v>4</v>
      </c>
      <c r="BS7" s="17">
        <f>基础状态预期!C18</f>
        <v>60</v>
      </c>
      <c r="BT7" s="17">
        <f>求节点($E$5:$E$10,F$5:F$10,基础状态预期!M18)</f>
        <v>6</v>
      </c>
      <c r="BU7" s="17">
        <f>求节点($E$5:$E$10,G$5:G$10,基础状态预期!N18)</f>
        <v>30.077611365396891</v>
      </c>
      <c r="BV7" s="17">
        <f>求节点($E$5:$E$10,H$5:H$10,基础状态预期!O18)</f>
        <v>10</v>
      </c>
      <c r="BW7" s="17">
        <f>求节点($E$5:$E$10,I$5:I$10,基础状态预期!P18)</f>
        <v>12</v>
      </c>
      <c r="BX7" s="17">
        <f>MAX(SUMPRODUCT(BT7:BW7,基础状态预期!I18:L18)/6,BX6)</f>
        <v>11.727650508839602</v>
      </c>
      <c r="CA7" s="16">
        <v>2</v>
      </c>
      <c r="CB7" s="16">
        <f t="shared" ref="CB7:CB70" si="20">求节点($BS$6:$BS$26,$BX$6:$BX$26,$CA7)</f>
        <v>0</v>
      </c>
      <c r="CC7" s="16">
        <f t="shared" ref="CC7:CC70" si="21">求节点($BS$32:$BS$52,$BX$32:$BX$52,$CA7)</f>
        <v>0</v>
      </c>
      <c r="CD7" s="16">
        <f t="shared" ref="CD7:CD70" si="22">求节点($BS$58:$BS$78,$BX$58:$BX$78,$CA7)</f>
        <v>0</v>
      </c>
      <c r="CE7" s="16">
        <f t="shared" ref="CE7:CE70" si="23">求节点($BS$84:$BS$104,$BX$84:$BX$104,$CA7)</f>
        <v>0</v>
      </c>
      <c r="CF7" s="16">
        <f t="shared" ref="CF7:CF70" si="24">求节点($BS$110:$BS$130,$BX$110:$BX$130,$CA7)</f>
        <v>0</v>
      </c>
      <c r="CH7" s="16">
        <v>6</v>
      </c>
      <c r="CI7" s="17">
        <v>40</v>
      </c>
      <c r="CJ7" s="17">
        <f t="shared" si="2"/>
        <v>0</v>
      </c>
      <c r="CK7" s="17">
        <f>(CJ7-CJ6)*(INDEX([3]非r将兵属性验证!$V$7:$V$166,$CI7,1)+INDEX([3]非r将兵属性验证!$AP$7:$AP$166,$CI7,1))+CK6</f>
        <v>0</v>
      </c>
      <c r="CL7" s="17">
        <f t="shared" si="0"/>
        <v>0</v>
      </c>
      <c r="CP7" s="16">
        <v>75</v>
      </c>
      <c r="CQ7" s="16">
        <v>0</v>
      </c>
      <c r="CT7" s="17">
        <v>40</v>
      </c>
      <c r="CU7" s="17">
        <f t="shared" si="3"/>
        <v>0</v>
      </c>
      <c r="CV7" s="17">
        <f t="shared" si="1"/>
        <v>0</v>
      </c>
    </row>
    <row r="8" spans="4:100">
      <c r="D8" s="176"/>
      <c r="E8" s="17">
        <v>3</v>
      </c>
      <c r="F8" s="86">
        <f t="shared" si="4"/>
        <v>24</v>
      </c>
      <c r="G8" s="17">
        <f t="shared" si="5"/>
        <v>32</v>
      </c>
      <c r="H8" s="17">
        <f t="shared" si="6"/>
        <v>40</v>
      </c>
      <c r="I8" s="17">
        <f t="shared" si="7"/>
        <v>48</v>
      </c>
      <c r="J8" s="17">
        <f t="shared" si="8"/>
        <v>56</v>
      </c>
      <c r="O8" s="16" t="s">
        <v>375</v>
      </c>
      <c r="P8" s="41">
        <f>2/3</f>
        <v>0.66666666666666663</v>
      </c>
      <c r="Q8" s="41">
        <f t="shared" ref="Q8:T8" si="25">2/3</f>
        <v>0.66666666666666663</v>
      </c>
      <c r="R8" s="41">
        <f t="shared" si="25"/>
        <v>0.66666666666666663</v>
      </c>
      <c r="S8" s="41">
        <f t="shared" si="25"/>
        <v>0.66666666666666663</v>
      </c>
      <c r="T8" s="41">
        <f t="shared" si="25"/>
        <v>0.66666666666666663</v>
      </c>
      <c r="U8" s="16">
        <v>3</v>
      </c>
      <c r="V8" s="16">
        <f>P$51</f>
        <v>83.333333333333343</v>
      </c>
      <c r="W8" s="16">
        <f>Q$51</f>
        <v>243.48672997321648</v>
      </c>
      <c r="X8" s="16">
        <f>R$51</f>
        <v>848.09010109234009</v>
      </c>
      <c r="Y8" s="16">
        <f>S$51</f>
        <v>1118.9061573405843</v>
      </c>
      <c r="Z8" s="16">
        <f>SUM(V$6:V8)</f>
        <v>155.55555555555554</v>
      </c>
      <c r="AA8" s="16">
        <f>SUM(W$6:W8)</f>
        <v>388.01285660394296</v>
      </c>
      <c r="AB8" s="16">
        <f>SUM(X$6:X8)</f>
        <v>1132.7605451141958</v>
      </c>
      <c r="AC8" s="16">
        <f>SUM(Y$6:Y8)</f>
        <v>1468.8545256141176</v>
      </c>
      <c r="AE8" s="17">
        <f>基础状态预期!C19</f>
        <v>70</v>
      </c>
      <c r="AF8" s="64">
        <f>求节点(P$7:P$9,Z$6:Z$8,基础状态预期!Q19)*P$6</f>
        <v>0</v>
      </c>
      <c r="AG8" s="64">
        <f>求节点(Q$7:Q$9,AA$6:AA$8,基础状态预期!R19)*Q$6</f>
        <v>57810.450652290594</v>
      </c>
      <c r="AH8" s="64">
        <f>求节点(R$7:R$9,AB$6:AB$8,基础状态预期!S19)*R$6</f>
        <v>38493.372830545835</v>
      </c>
      <c r="AI8" s="64">
        <f>求节点(S$7:S$9,AC$6:AC$8,基础状态预期!T19)*S$6</f>
        <v>60110.829341598605</v>
      </c>
      <c r="AJ8" s="17">
        <f>SUMPRODUCT(AF8:AI8,基础状态预期!I19:L19)</f>
        <v>320620.06661717151</v>
      </c>
      <c r="AM8" s="16">
        <v>3</v>
      </c>
      <c r="AN8" s="16">
        <f t="shared" si="10"/>
        <v>0</v>
      </c>
      <c r="AO8" s="16">
        <f t="shared" si="11"/>
        <v>0</v>
      </c>
      <c r="AP8" s="16">
        <f t="shared" si="12"/>
        <v>0</v>
      </c>
      <c r="AQ8" s="16">
        <f t="shared" si="13"/>
        <v>0</v>
      </c>
      <c r="AR8" s="16">
        <f t="shared" si="14"/>
        <v>0</v>
      </c>
      <c r="AV8" s="16">
        <v>3</v>
      </c>
      <c r="AW8" s="16">
        <f>盗宝贼掉落!AI7</f>
        <v>39.356086266812483</v>
      </c>
      <c r="AX8" s="16">
        <f>盗宝贼掉落!AJ7</f>
        <v>48.601514896265769</v>
      </c>
      <c r="AY8" s="16">
        <f>盗宝贼掉落!AK7</f>
        <v>52.687398873712567</v>
      </c>
      <c r="AZ8" s="16">
        <f>盗宝贼掉落!AL7</f>
        <v>42.504648511522419</v>
      </c>
      <c r="BA8" s="16">
        <f>盗宝贼掉落!AM7</f>
        <v>22.713538919421012</v>
      </c>
      <c r="BC8" s="16">
        <f>盗宝贼掉落!AI7/AW8</f>
        <v>1</v>
      </c>
      <c r="BG8" s="41" t="e">
        <f t="shared" si="15"/>
        <v>#DIV/0!</v>
      </c>
      <c r="BH8" s="41" t="e">
        <f t="shared" si="16"/>
        <v>#DIV/0!</v>
      </c>
      <c r="BI8" s="41" t="e">
        <f t="shared" si="17"/>
        <v>#DIV/0!</v>
      </c>
      <c r="BJ8" s="41" t="e">
        <f t="shared" si="18"/>
        <v>#DIV/0!</v>
      </c>
      <c r="BK8" s="41" t="e">
        <f t="shared" si="19"/>
        <v>#DIV/0!</v>
      </c>
      <c r="BR8" s="16">
        <v>5</v>
      </c>
      <c r="BS8" s="17">
        <f>基础状态预期!C19</f>
        <v>70</v>
      </c>
      <c r="BT8" s="17">
        <f>求节点($E$5:$E$10,F$5:F$10,基础状态预期!M19)</f>
        <v>6</v>
      </c>
      <c r="BU8" s="17">
        <f>求节点($E$5:$E$10,G$5:G$10,基础状态预期!N19)</f>
        <v>32</v>
      </c>
      <c r="BV8" s="17">
        <f>求节点($E$5:$E$10,H$5:H$10,基础状态预期!O19)</f>
        <v>15.325174058161057</v>
      </c>
      <c r="BW8" s="17">
        <f>求节点($E$5:$E$10,I$5:I$10,基础状态预期!P19)</f>
        <v>12</v>
      </c>
      <c r="BX8" s="17">
        <f>MAX(SUMPRODUCT(BT8:BW8,基础状态预期!I19:L19)/6,BX7)</f>
        <v>16.356909665243247</v>
      </c>
      <c r="CA8" s="16">
        <v>3</v>
      </c>
      <c r="CB8" s="16">
        <f t="shared" si="20"/>
        <v>0</v>
      </c>
      <c r="CC8" s="16">
        <f t="shared" si="21"/>
        <v>0</v>
      </c>
      <c r="CD8" s="16">
        <f t="shared" si="22"/>
        <v>0</v>
      </c>
      <c r="CE8" s="16">
        <f t="shared" si="23"/>
        <v>0</v>
      </c>
      <c r="CF8" s="16">
        <f t="shared" si="24"/>
        <v>0</v>
      </c>
      <c r="CH8" s="16">
        <v>7</v>
      </c>
      <c r="CI8" s="17">
        <v>50</v>
      </c>
      <c r="CJ8" s="17">
        <f t="shared" si="2"/>
        <v>0</v>
      </c>
      <c r="CK8" s="17">
        <f>(CJ8-CJ7)*(INDEX([3]非r将兵属性验证!$V$7:$V$166,$CI8,1)+INDEX([3]非r将兵属性验证!$AP$7:$AP$166,$CI8,1))+CK7</f>
        <v>0</v>
      </c>
      <c r="CL8" s="17">
        <f t="shared" si="0"/>
        <v>0</v>
      </c>
      <c r="CP8" s="16">
        <v>80</v>
      </c>
      <c r="CQ8" s="16">
        <v>0</v>
      </c>
      <c r="CT8" s="17">
        <v>50</v>
      </c>
      <c r="CU8" s="17">
        <f t="shared" si="3"/>
        <v>0</v>
      </c>
      <c r="CV8" s="17">
        <f t="shared" si="1"/>
        <v>0</v>
      </c>
    </row>
    <row r="9" spans="4:100">
      <c r="D9" s="176"/>
      <c r="E9" s="17">
        <v>4</v>
      </c>
      <c r="F9" s="86">
        <f t="shared" si="4"/>
        <v>30</v>
      </c>
      <c r="G9" s="86">
        <f t="shared" si="5"/>
        <v>40</v>
      </c>
      <c r="H9" s="17">
        <f t="shared" si="6"/>
        <v>50</v>
      </c>
      <c r="I9" s="17">
        <f t="shared" si="7"/>
        <v>60</v>
      </c>
      <c r="J9" s="17">
        <f t="shared" si="8"/>
        <v>70</v>
      </c>
      <c r="O9" s="16" t="s">
        <v>376</v>
      </c>
      <c r="P9" s="41">
        <v>1</v>
      </c>
      <c r="Q9" s="41">
        <v>1</v>
      </c>
      <c r="R9" s="41">
        <v>1</v>
      </c>
      <c r="S9" s="41">
        <v>1</v>
      </c>
      <c r="T9" s="41">
        <v>1</v>
      </c>
      <c r="AE9" s="17">
        <f>基础状态预期!C20</f>
        <v>75</v>
      </c>
      <c r="AF9" s="64">
        <f>求节点(P$7:P$9,Z$6:Z$8,基础状态预期!Q20)*P$6</f>
        <v>0</v>
      </c>
      <c r="AG9" s="64">
        <f>求节点(Q$7:Q$9,AA$6:AA$8,基础状态预期!R20)*Q$6</f>
        <v>57810.450652290594</v>
      </c>
      <c r="AH9" s="64">
        <f>求节点(R$7:R$9,AB$6:AB$8,基础状态预期!S20)*R$6</f>
        <v>57618.009827181893</v>
      </c>
      <c r="AI9" s="64">
        <f>求节点(S$7:S$9,AC$6:AC$8,基础状态预期!T20)*S$6</f>
        <v>60110.829341598605</v>
      </c>
      <c r="AJ9" s="17">
        <f>SUMPRODUCT(AF9:AI9,基础状态预期!I20:L20)</f>
        <v>356619.05895664997</v>
      </c>
      <c r="AM9" s="16">
        <v>4</v>
      </c>
      <c r="AN9" s="16">
        <f t="shared" si="10"/>
        <v>0</v>
      </c>
      <c r="AO9" s="16">
        <f t="shared" si="11"/>
        <v>0</v>
      </c>
      <c r="AP9" s="16">
        <f t="shared" si="12"/>
        <v>0</v>
      </c>
      <c r="AQ9" s="16">
        <f t="shared" si="13"/>
        <v>0</v>
      </c>
      <c r="AR9" s="16">
        <f t="shared" si="14"/>
        <v>0</v>
      </c>
      <c r="AV9" s="16">
        <v>4</v>
      </c>
      <c r="AW9" s="16">
        <f>盗宝贼掉落!AI8</f>
        <v>56.689709552108155</v>
      </c>
      <c r="AX9" s="16">
        <f>盗宝贼掉落!AJ8</f>
        <v>70.355756257513832</v>
      </c>
      <c r="AY9" s="16">
        <f>盗宝贼掉落!AK8</f>
        <v>76.746730151649103</v>
      </c>
      <c r="AZ9" s="16">
        <f>盗宝贼掉落!AL8</f>
        <v>62.215725250419567</v>
      </c>
      <c r="BA9" s="16">
        <f>盗宝贼掉落!AM8</f>
        <v>33.554504232135507</v>
      </c>
      <c r="BC9" s="16">
        <f>盗宝贼掉落!AI8/AW9</f>
        <v>1</v>
      </c>
      <c r="BG9" s="41" t="e">
        <f t="shared" si="15"/>
        <v>#DIV/0!</v>
      </c>
      <c r="BH9" s="41" t="e">
        <f t="shared" si="16"/>
        <v>#DIV/0!</v>
      </c>
      <c r="BI9" s="41" t="e">
        <f t="shared" si="17"/>
        <v>#DIV/0!</v>
      </c>
      <c r="BJ9" s="41" t="e">
        <f t="shared" si="18"/>
        <v>#DIV/0!</v>
      </c>
      <c r="BK9" s="41" t="e">
        <f t="shared" si="19"/>
        <v>#DIV/0!</v>
      </c>
      <c r="BR9" s="16">
        <v>6</v>
      </c>
      <c r="BS9" s="17">
        <f>基础状态预期!C20</f>
        <v>75</v>
      </c>
      <c r="BT9" s="17">
        <f>求节点($E$5:$E$10,F$5:F$10,基础状态预期!M20)</f>
        <v>6</v>
      </c>
      <c r="BU9" s="17">
        <f>求节点($E$5:$E$10,G$5:G$10,基础状态预期!N20)</f>
        <v>32</v>
      </c>
      <c r="BV9" s="17">
        <f>求节点($E$5:$E$10,H$5:H$10,基础状态预期!O20)</f>
        <v>20.831830373974938</v>
      </c>
      <c r="BW9" s="17">
        <f>求节点($E$5:$E$10,I$5:I$10,基础状态预期!P20)</f>
        <v>12</v>
      </c>
      <c r="BX9" s="17">
        <f>MAX(SUMPRODUCT(BT9:BW9,基础状态预期!I20:L20)/6,BX8)</f>
        <v>16.793168276817429</v>
      </c>
      <c r="CA9" s="16">
        <v>4</v>
      </c>
      <c r="CB9" s="16">
        <f t="shared" si="20"/>
        <v>0</v>
      </c>
      <c r="CC9" s="16">
        <f t="shared" si="21"/>
        <v>0</v>
      </c>
      <c r="CD9" s="16">
        <f t="shared" si="22"/>
        <v>0</v>
      </c>
      <c r="CE9" s="16">
        <f t="shared" si="23"/>
        <v>0</v>
      </c>
      <c r="CF9" s="16">
        <f t="shared" si="24"/>
        <v>0</v>
      </c>
      <c r="CH9" s="16">
        <v>8</v>
      </c>
      <c r="CI9" s="17">
        <v>60</v>
      </c>
      <c r="CJ9" s="17">
        <f t="shared" si="2"/>
        <v>11.727650508839602</v>
      </c>
      <c r="CK9" s="17">
        <f>(CJ9-CJ8)*(INDEX([3]非r将兵属性验证!$V$7:$V$166,$CI9,1)+INDEX([3]非r将兵属性验证!$AP$7:$AP$166,$CI9,1))+CK8</f>
        <v>416850956.49146378</v>
      </c>
      <c r="CL9" s="17">
        <f t="shared" si="0"/>
        <v>416850956.49146378</v>
      </c>
      <c r="CP9" s="16">
        <v>85</v>
      </c>
      <c r="CQ9" s="16">
        <v>0</v>
      </c>
      <c r="CT9" s="17">
        <v>60</v>
      </c>
      <c r="CU9" s="17">
        <f t="shared" si="3"/>
        <v>0</v>
      </c>
      <c r="CV9" s="17">
        <f t="shared" si="1"/>
        <v>0</v>
      </c>
    </row>
    <row r="10" spans="4:100">
      <c r="D10" s="176"/>
      <c r="E10" s="17">
        <v>5</v>
      </c>
      <c r="F10" s="86">
        <f t="shared" si="4"/>
        <v>36</v>
      </c>
      <c r="G10" s="86">
        <f t="shared" si="5"/>
        <v>48</v>
      </c>
      <c r="H10" s="17">
        <f t="shared" si="6"/>
        <v>60</v>
      </c>
      <c r="I10" s="17">
        <f t="shared" si="7"/>
        <v>72</v>
      </c>
      <c r="J10" s="17">
        <f t="shared" si="8"/>
        <v>84</v>
      </c>
      <c r="AE10" s="17">
        <f>基础状态预期!C21</f>
        <v>80</v>
      </c>
      <c r="AF10" s="64">
        <f>求节点(P$7:P$9,Z$6:Z$8,基础状态预期!Q21)*P$6</f>
        <v>0</v>
      </c>
      <c r="AG10" s="64">
        <f>求节点(Q$7:Q$9,AA$6:AA$8,基础状态预期!R21)*Q$6</f>
        <v>57810.450652290594</v>
      </c>
      <c r="AH10" s="64">
        <f>求节点(R$7:R$9,AB$6:AB$8,基础状态预期!S21)*R$6</f>
        <v>0</v>
      </c>
      <c r="AI10" s="64">
        <f>求节点(S$7:S$9,AC$6:AC$8,基础状态预期!T21)*S$6</f>
        <v>60110.829341598605</v>
      </c>
      <c r="AJ10" s="17">
        <f>SUMPRODUCT(AF10:AI10,基础状态预期!I21:L21)</f>
        <v>359763.42046964774</v>
      </c>
      <c r="AM10" s="16">
        <v>5</v>
      </c>
      <c r="AN10" s="16">
        <f t="shared" si="10"/>
        <v>0</v>
      </c>
      <c r="AO10" s="16">
        <f t="shared" si="11"/>
        <v>0</v>
      </c>
      <c r="AP10" s="16">
        <f t="shared" si="12"/>
        <v>0</v>
      </c>
      <c r="AQ10" s="16">
        <f t="shared" si="13"/>
        <v>0</v>
      </c>
      <c r="AR10" s="16">
        <f t="shared" si="14"/>
        <v>0</v>
      </c>
      <c r="AV10" s="16">
        <v>5</v>
      </c>
      <c r="AW10" s="16">
        <f>盗宝贼掉落!AI9</f>
        <v>76.522678177725822</v>
      </c>
      <c r="AX10" s="16">
        <f>盗宝贼掉落!AJ9</f>
        <v>94.89396087447534</v>
      </c>
      <c r="AY10" s="16">
        <f>盗宝贼掉落!AK9</f>
        <v>103.67352263316208</v>
      </c>
      <c r="AZ10" s="16">
        <f>盗宝贼掉落!AL9</f>
        <v>84.200672619856903</v>
      </c>
      <c r="BA10" s="16">
        <f>盗宝贼掉落!AM9</f>
        <v>45.490906405464621</v>
      </c>
      <c r="BC10" s="16">
        <f>盗宝贼掉落!AI9/AW10</f>
        <v>1</v>
      </c>
      <c r="BG10" s="41" t="e">
        <f t="shared" si="15"/>
        <v>#DIV/0!</v>
      </c>
      <c r="BH10" s="41" t="e">
        <f t="shared" si="16"/>
        <v>#DIV/0!</v>
      </c>
      <c r="BI10" s="41" t="e">
        <f t="shared" si="17"/>
        <v>#DIV/0!</v>
      </c>
      <c r="BJ10" s="41" t="e">
        <f t="shared" si="18"/>
        <v>#DIV/0!</v>
      </c>
      <c r="BK10" s="41" t="e">
        <f t="shared" si="19"/>
        <v>#DIV/0!</v>
      </c>
      <c r="BR10" s="16">
        <v>7</v>
      </c>
      <c r="BS10" s="17">
        <f>基础状态预期!C21</f>
        <v>80</v>
      </c>
      <c r="BT10" s="17">
        <f>求节点($E$5:$E$10,F$5:F$10,基础状态预期!M21)</f>
        <v>6</v>
      </c>
      <c r="BU10" s="17">
        <f>求节点($E$5:$E$10,G$5:G$10,基础状态预期!N21)</f>
        <v>32</v>
      </c>
      <c r="BV10" s="17">
        <f>求节点($E$5:$E$10,H$5:H$10,基础状态预期!O21)</f>
        <v>28.050314404100703</v>
      </c>
      <c r="BW10" s="17">
        <f>求节点($E$5:$E$10,I$5:I$10,基础状态预期!P21)</f>
        <v>12</v>
      </c>
      <c r="BX10" s="17">
        <f>MAX(SUMPRODUCT(BT10:BW10,基础状态预期!I21:L21)/6,BX9)</f>
        <v>16.793168276817429</v>
      </c>
      <c r="CA10" s="16">
        <v>5</v>
      </c>
      <c r="CB10" s="16">
        <f t="shared" si="20"/>
        <v>0</v>
      </c>
      <c r="CC10" s="16">
        <f t="shared" si="21"/>
        <v>0</v>
      </c>
      <c r="CD10" s="16">
        <f t="shared" si="22"/>
        <v>0</v>
      </c>
      <c r="CE10" s="16">
        <f t="shared" si="23"/>
        <v>0</v>
      </c>
      <c r="CF10" s="16">
        <f t="shared" si="24"/>
        <v>0</v>
      </c>
      <c r="CH10" s="16">
        <v>9</v>
      </c>
      <c r="CI10" s="17">
        <v>70</v>
      </c>
      <c r="CJ10" s="17">
        <f t="shared" si="2"/>
        <v>16.356909665243247</v>
      </c>
      <c r="CK10" s="17">
        <f>(CJ10-CJ9)*(INDEX([3]非r将兵属性验证!$V$7:$V$166,$CI10,1)+INDEX([3]非r将兵属性验证!$AP$7:$AP$166,$CI10,1))+CK9</f>
        <v>1013244055.4865767</v>
      </c>
      <c r="CL10" s="17">
        <f t="shared" si="0"/>
        <v>1013244055.4865767</v>
      </c>
      <c r="CP10" s="16">
        <v>90</v>
      </c>
      <c r="CQ10" s="16">
        <v>0</v>
      </c>
      <c r="CT10" s="17">
        <v>70</v>
      </c>
      <c r="CU10" s="17">
        <f t="shared" si="3"/>
        <v>0</v>
      </c>
      <c r="CV10" s="17">
        <f t="shared" si="1"/>
        <v>0</v>
      </c>
    </row>
    <row r="11" spans="4:100">
      <c r="D11" s="176"/>
      <c r="E11" s="17"/>
      <c r="F11" s="17"/>
      <c r="G11" s="17"/>
      <c r="H11" s="17"/>
      <c r="I11" s="17"/>
      <c r="J11" s="17"/>
      <c r="AE11" s="17">
        <f>基础状态预期!C22</f>
        <v>85</v>
      </c>
      <c r="AF11" s="64">
        <f>求节点(P$7:P$9,Z$6:Z$8,基础状态预期!Q22)*P$6</f>
        <v>0</v>
      </c>
      <c r="AG11" s="64">
        <f>求节点(Q$7:Q$9,AA$6:AA$8,基础状态预期!R22)*Q$6</f>
        <v>0</v>
      </c>
      <c r="AH11" s="64">
        <f>求节点(R$7:R$9,AB$6:AB$8,基础状态预期!S22)*R$6</f>
        <v>0</v>
      </c>
      <c r="AI11" s="64">
        <f>求节点(S$7:S$9,AC$6:AC$8,基础状态预期!T22)*S$6</f>
        <v>74941.865496660903</v>
      </c>
      <c r="AJ11" s="17">
        <f>SUMPRODUCT(AF11:AI11,基础状态预期!I22:L22)</f>
        <v>449651.19297996542</v>
      </c>
      <c r="AM11" s="16">
        <v>6</v>
      </c>
      <c r="AN11" s="16">
        <f t="shared" si="10"/>
        <v>0</v>
      </c>
      <c r="AO11" s="16">
        <f t="shared" si="11"/>
        <v>0</v>
      </c>
      <c r="AP11" s="16">
        <f t="shared" si="12"/>
        <v>0</v>
      </c>
      <c r="AQ11" s="16">
        <f t="shared" si="13"/>
        <v>0</v>
      </c>
      <c r="AR11" s="16">
        <f t="shared" si="14"/>
        <v>0</v>
      </c>
      <c r="AV11" s="16">
        <v>6</v>
      </c>
      <c r="AW11" s="16">
        <f>盗宝贼掉落!AI10</f>
        <v>99.124472536272094</v>
      </c>
      <c r="AX11" s="16">
        <f>盗宝贼掉落!AJ10</f>
        <v>123.10301297367705</v>
      </c>
      <c r="AY11" s="16">
        <f>盗宝贼掉落!AK10</f>
        <v>134.60229199689425</v>
      </c>
      <c r="AZ11" s="16">
        <f>盗宝贼掉落!AL10</f>
        <v>109.84730419513369</v>
      </c>
      <c r="BA11" s="16">
        <f>盗宝贼掉落!AM10</f>
        <v>59.874569316149397</v>
      </c>
      <c r="BC11" s="16">
        <f>盗宝贼掉落!AI10/AW11</f>
        <v>1</v>
      </c>
      <c r="BG11" s="41" t="e">
        <f t="shared" si="15"/>
        <v>#DIV/0!</v>
      </c>
      <c r="BH11" s="41" t="e">
        <f t="shared" si="16"/>
        <v>#DIV/0!</v>
      </c>
      <c r="BI11" s="41" t="e">
        <f t="shared" si="17"/>
        <v>#DIV/0!</v>
      </c>
      <c r="BJ11" s="41" t="e">
        <f t="shared" si="18"/>
        <v>#DIV/0!</v>
      </c>
      <c r="BK11" s="41" t="e">
        <f t="shared" si="19"/>
        <v>#DIV/0!</v>
      </c>
      <c r="BR11" s="16">
        <v>8</v>
      </c>
      <c r="BS11" s="17">
        <f>基础状态预期!C22</f>
        <v>85</v>
      </c>
      <c r="BT11" s="17">
        <f>求节点($E$5:$E$10,F$5:F$10,基础状态预期!M22)</f>
        <v>6</v>
      </c>
      <c r="BU11" s="17">
        <f>求节点($E$5:$E$10,G$5:G$10,基础状态预期!N22)</f>
        <v>32</v>
      </c>
      <c r="BV11" s="17">
        <f>求节点($E$5:$E$10,H$5:H$10,基础状态预期!O22)</f>
        <v>38.25254444608214</v>
      </c>
      <c r="BW11" s="17">
        <f>求节点($E$5:$E$10,I$5:I$10,基础状态预期!P22)</f>
        <v>14.960738286430278</v>
      </c>
      <c r="BX11" s="17">
        <f>MAX(SUMPRODUCT(BT11:BW11,基础状态预期!I22:L22)/6,BX10)</f>
        <v>16.793168276817429</v>
      </c>
      <c r="CA11" s="16">
        <v>6</v>
      </c>
      <c r="CB11" s="16">
        <f t="shared" si="20"/>
        <v>0</v>
      </c>
      <c r="CC11" s="16">
        <f t="shared" si="21"/>
        <v>0</v>
      </c>
      <c r="CD11" s="16">
        <f t="shared" si="22"/>
        <v>0</v>
      </c>
      <c r="CE11" s="16">
        <f t="shared" si="23"/>
        <v>0</v>
      </c>
      <c r="CF11" s="16">
        <f t="shared" si="24"/>
        <v>0</v>
      </c>
      <c r="CH11" s="16">
        <v>10</v>
      </c>
      <c r="CI11" s="17">
        <v>80</v>
      </c>
      <c r="CJ11" s="17">
        <f t="shared" si="2"/>
        <v>16.793168276817429</v>
      </c>
      <c r="CK11" s="17">
        <f>(CJ11-CJ10)*(INDEX([3]非r将兵属性验证!$V$7:$V$166,$CI11,1)+INDEX([3]非r将兵属性验证!$AP$7:$AP$166,$CI11,1))+CK10</f>
        <v>1171342667.5332744</v>
      </c>
      <c r="CL11" s="17">
        <f t="shared" si="0"/>
        <v>1171342667.5332744</v>
      </c>
      <c r="CP11" s="16">
        <v>95</v>
      </c>
      <c r="CQ11" s="16">
        <v>0</v>
      </c>
      <c r="CT11" s="17">
        <v>80</v>
      </c>
      <c r="CU11" s="17">
        <f t="shared" si="3"/>
        <v>0</v>
      </c>
      <c r="CV11" s="17">
        <f t="shared" si="1"/>
        <v>0</v>
      </c>
    </row>
    <row r="12" spans="4:100">
      <c r="D12" s="176"/>
      <c r="E12" s="17"/>
      <c r="F12" s="17"/>
      <c r="G12" s="17"/>
      <c r="H12" s="17"/>
      <c r="I12" s="17"/>
      <c r="J12" s="17"/>
      <c r="N12" s="170" t="s">
        <v>367</v>
      </c>
      <c r="O12" s="17" t="s">
        <v>377</v>
      </c>
      <c r="P12" s="17">
        <v>0</v>
      </c>
      <c r="Q12" s="17">
        <v>0</v>
      </c>
      <c r="R12" s="17">
        <v>0</v>
      </c>
      <c r="S12" s="17">
        <v>0</v>
      </c>
      <c r="T12" s="17">
        <v>0</v>
      </c>
      <c r="W12" s="16" t="s">
        <v>254</v>
      </c>
      <c r="X12" s="16" t="s">
        <v>255</v>
      </c>
      <c r="Y12" s="16" t="s">
        <v>256</v>
      </c>
      <c r="Z12" s="16" t="s">
        <v>257</v>
      </c>
      <c r="AA12" s="16" t="s">
        <v>258</v>
      </c>
      <c r="AE12" s="17">
        <f>基础状态预期!C23</f>
        <v>90</v>
      </c>
      <c r="AF12" s="64">
        <f>求节点(P$7:P$9,Z$6:Z$8,基础状态预期!Q23)*P$6</f>
        <v>0</v>
      </c>
      <c r="AG12" s="64">
        <f>求节点(Q$7:Q$9,AA$6:AA$8,基础状态预期!R23)*Q$6</f>
        <v>0</v>
      </c>
      <c r="AH12" s="64">
        <f>求节点(R$7:R$9,AB$6:AB$8,基础状态预期!S23)*R$6</f>
        <v>0</v>
      </c>
      <c r="AI12" s="64">
        <f>求节点(S$7:S$9,AC$6:AC$8,基础状态预期!T23)*S$6</f>
        <v>99082.531291247709</v>
      </c>
      <c r="AJ12" s="17">
        <f>SUMPRODUCT(AF12:AI12,基础状态预期!I23:L23)</f>
        <v>594495.18774748628</v>
      </c>
      <c r="AM12" s="16">
        <v>7</v>
      </c>
      <c r="AN12" s="16">
        <f t="shared" si="10"/>
        <v>0</v>
      </c>
      <c r="AO12" s="16">
        <f t="shared" si="11"/>
        <v>0</v>
      </c>
      <c r="AP12" s="16">
        <f t="shared" si="12"/>
        <v>0</v>
      </c>
      <c r="AQ12" s="16">
        <f t="shared" si="13"/>
        <v>0</v>
      </c>
      <c r="AR12" s="16">
        <f t="shared" si="14"/>
        <v>0</v>
      </c>
      <c r="AV12" s="16">
        <v>7</v>
      </c>
      <c r="AW12" s="16">
        <f>盗宝贼掉落!AI11</f>
        <v>124.79038089970217</v>
      </c>
      <c r="AX12" s="16">
        <f>盗宝贼掉落!AJ11</f>
        <v>155.66146571186766</v>
      </c>
      <c r="AY12" s="16">
        <f>盗宝贼掉落!AK11</f>
        <v>170.70415803608267</v>
      </c>
      <c r="AZ12" s="16">
        <f>盗宝贼掉落!AL11</f>
        <v>138.95570132356119</v>
      </c>
      <c r="BA12" s="16">
        <f>盗宝贼掉落!AM11</f>
        <v>74.996671753555034</v>
      </c>
      <c r="BC12" s="16">
        <f>盗宝贼掉落!AI11/AW12</f>
        <v>1</v>
      </c>
      <c r="BG12" s="41" t="e">
        <f t="shared" si="15"/>
        <v>#DIV/0!</v>
      </c>
      <c r="BH12" s="41" t="e">
        <f t="shared" si="16"/>
        <v>#DIV/0!</v>
      </c>
      <c r="BI12" s="41" t="e">
        <f t="shared" si="17"/>
        <v>#DIV/0!</v>
      </c>
      <c r="BJ12" s="41" t="e">
        <f t="shared" si="18"/>
        <v>#DIV/0!</v>
      </c>
      <c r="BK12" s="41" t="e">
        <f t="shared" si="19"/>
        <v>#DIV/0!</v>
      </c>
      <c r="BR12" s="16">
        <v>9</v>
      </c>
      <c r="BS12" s="17">
        <f>基础状态预期!C23</f>
        <v>90</v>
      </c>
      <c r="BT12" s="17">
        <f>求节点($E$5:$E$10,F$5:F$10,基础状态预期!M23)</f>
        <v>6</v>
      </c>
      <c r="BU12" s="17">
        <f>求节点($E$5:$E$10,G$5:G$10,基础状态预期!N23)</f>
        <v>32</v>
      </c>
      <c r="BV12" s="17">
        <f>求节点($E$5:$E$10,H$5:H$10,基础状态预期!O23)</f>
        <v>51.78744295281728</v>
      </c>
      <c r="BW12" s="17">
        <f>求节点($E$5:$E$10,I$5:I$10,基础状态预期!P23)</f>
        <v>19.779969574835881</v>
      </c>
      <c r="BX12" s="17">
        <f>MAX(SUMPRODUCT(BT12:BW12,基础状态预期!I23:L23)/6,BX11)</f>
        <v>19.779969574835881</v>
      </c>
      <c r="CA12" s="16">
        <v>7</v>
      </c>
      <c r="CB12" s="16">
        <f t="shared" si="20"/>
        <v>0</v>
      </c>
      <c r="CC12" s="16">
        <f t="shared" si="21"/>
        <v>0</v>
      </c>
      <c r="CD12" s="16">
        <f t="shared" si="22"/>
        <v>0</v>
      </c>
      <c r="CE12" s="16">
        <f t="shared" si="23"/>
        <v>0</v>
      </c>
      <c r="CF12" s="16">
        <f t="shared" si="24"/>
        <v>0</v>
      </c>
      <c r="CH12" s="16">
        <v>11</v>
      </c>
      <c r="CI12" s="17">
        <v>90</v>
      </c>
      <c r="CJ12" s="17">
        <f t="shared" si="2"/>
        <v>19.779969574835881</v>
      </c>
      <c r="CK12" s="17">
        <f>(CJ12-CJ11)*(INDEX([3]非r将兵属性验证!$V$7:$V$166,$CI12,1)+INDEX([3]非r将兵属性验证!$AP$7:$AP$166,$CI12,1))+CK11</f>
        <v>3730745643.7669554</v>
      </c>
      <c r="CL12" s="17">
        <f t="shared" si="0"/>
        <v>3730745643.7669554</v>
      </c>
      <c r="CP12" s="16">
        <v>100</v>
      </c>
      <c r="CQ12" s="16">
        <v>0</v>
      </c>
      <c r="CT12" s="17">
        <v>90</v>
      </c>
      <c r="CU12" s="17">
        <f t="shared" si="3"/>
        <v>0</v>
      </c>
      <c r="CV12" s="17">
        <f t="shared" si="1"/>
        <v>0</v>
      </c>
    </row>
    <row r="13" spans="4:100">
      <c r="D13" s="177"/>
      <c r="E13" s="17"/>
      <c r="F13" s="17"/>
      <c r="G13" s="17"/>
      <c r="H13" s="17"/>
      <c r="I13" s="17"/>
      <c r="J13" s="17"/>
      <c r="N13" s="170"/>
      <c r="O13" s="17" t="s">
        <v>378</v>
      </c>
      <c r="P13" s="17">
        <v>0.03</v>
      </c>
      <c r="Q13" s="17">
        <v>0.03</v>
      </c>
      <c r="R13" s="17">
        <v>0.03</v>
      </c>
      <c r="S13" s="17">
        <v>0.03</v>
      </c>
      <c r="T13" s="17">
        <v>0.03</v>
      </c>
      <c r="V13" s="16">
        <v>60</v>
      </c>
      <c r="W13" s="16">
        <f t="shared" ref="W13:W23" si="26">INDEX(BG$6:BG$165,$V13)</f>
        <v>0.21704435952401221</v>
      </c>
      <c r="X13" s="16">
        <f t="shared" ref="X13:X23" si="27">INDEX(BH$6:BH$165,$V13)</f>
        <v>0.27071043952271545</v>
      </c>
      <c r="Y13" s="16">
        <f t="shared" ref="Y13:Y23" si="28">INDEX(BI$6:BI$165,$V13)</f>
        <v>0.23626816099393119</v>
      </c>
      <c r="Z13" s="16">
        <f t="shared" ref="Z13:Z23" si="29">INDEX(BJ$6:BJ$165,$V13)</f>
        <v>7.7150593756456803E-2</v>
      </c>
      <c r="AA13" s="16">
        <f t="shared" ref="AA13:AA23" si="30">INDEX(BK$6:BK$165,$V13)</f>
        <v>2.1189689195187506E-2</v>
      </c>
      <c r="AE13" s="17">
        <f>基础状态预期!C24</f>
        <v>95</v>
      </c>
      <c r="AF13" s="64">
        <f>求节点(P$7:P$9,Z$6:Z$8,基础状态预期!Q24)*P$6</f>
        <v>0</v>
      </c>
      <c r="AG13" s="64">
        <f>求节点(Q$7:Q$9,AA$6:AA$8,基础状态预期!R24)*Q$6</f>
        <v>0</v>
      </c>
      <c r="AH13" s="64">
        <f>求节点(R$7:R$9,AB$6:AB$8,基础状态预期!S24)*R$6</f>
        <v>0</v>
      </c>
      <c r="AI13" s="64">
        <f>求节点(S$7:S$9,AC$6:AC$8,基础状态预期!T24)*S$6</f>
        <v>167632.4741984068</v>
      </c>
      <c r="AJ13" s="17">
        <f>SUMPRODUCT(AF13:AI13,基础状态预期!I24:L24)</f>
        <v>1005794.8451904408</v>
      </c>
      <c r="AM13" s="16">
        <v>8</v>
      </c>
      <c r="AN13" s="16">
        <f t="shared" si="10"/>
        <v>0</v>
      </c>
      <c r="AO13" s="16">
        <f t="shared" si="11"/>
        <v>0</v>
      </c>
      <c r="AP13" s="16">
        <f t="shared" si="12"/>
        <v>0</v>
      </c>
      <c r="AQ13" s="16">
        <f t="shared" si="13"/>
        <v>0</v>
      </c>
      <c r="AR13" s="16">
        <f t="shared" si="14"/>
        <v>0</v>
      </c>
      <c r="AV13" s="16">
        <v>8</v>
      </c>
      <c r="AW13" s="16">
        <f>盗宝贼掉落!AI12</f>
        <v>153.8438158516841</v>
      </c>
      <c r="AX13" s="16">
        <f>盗宝贼掉落!AJ12</f>
        <v>190.77927335308232</v>
      </c>
      <c r="AY13" s="16">
        <f>盗宝贼掉落!AK12</f>
        <v>207.56842103954597</v>
      </c>
      <c r="AZ13" s="16">
        <f>盗宝贼掉落!AL12</f>
        <v>168.21951856769618</v>
      </c>
      <c r="BA13" s="16">
        <f>盗宝贼掉落!AM12</f>
        <v>91.069044905496582</v>
      </c>
      <c r="BC13" s="16">
        <f>盗宝贼掉落!AI12/AW13</f>
        <v>1</v>
      </c>
      <c r="BG13" s="41" t="e">
        <f t="shared" si="15"/>
        <v>#DIV/0!</v>
      </c>
      <c r="BH13" s="41" t="e">
        <f t="shared" si="16"/>
        <v>#DIV/0!</v>
      </c>
      <c r="BI13" s="41" t="e">
        <f t="shared" si="17"/>
        <v>#DIV/0!</v>
      </c>
      <c r="BJ13" s="41" t="e">
        <f t="shared" si="18"/>
        <v>#DIV/0!</v>
      </c>
      <c r="BK13" s="41" t="e">
        <f t="shared" si="19"/>
        <v>#DIV/0!</v>
      </c>
      <c r="BR13" s="16">
        <v>10</v>
      </c>
      <c r="BS13" s="17">
        <f>基础状态预期!C24</f>
        <v>95</v>
      </c>
      <c r="BT13" s="17">
        <f>求节点($E$5:$E$10,F$5:F$10,基础状态预期!M24)</f>
        <v>6</v>
      </c>
      <c r="BU13" s="17">
        <f>求节点($E$5:$E$10,G$5:G$10,基础状态预期!N24)</f>
        <v>32</v>
      </c>
      <c r="BV13" s="17">
        <f>求节点($E$5:$E$10,H$5:H$10,基础状态预期!O24)</f>
        <v>60</v>
      </c>
      <c r="BW13" s="17">
        <f>求节点($E$5:$E$10,I$5:I$10,基础状态预期!P24)</f>
        <v>26.587834025429785</v>
      </c>
      <c r="BX13" s="17">
        <f>MAX(SUMPRODUCT(BT13:BW13,基础状态预期!I24:L24)/6,BX12)</f>
        <v>26.587834025429785</v>
      </c>
      <c r="CA13" s="16">
        <v>8</v>
      </c>
      <c r="CB13" s="16">
        <f t="shared" si="20"/>
        <v>0</v>
      </c>
      <c r="CC13" s="16">
        <f t="shared" si="21"/>
        <v>0</v>
      </c>
      <c r="CD13" s="16">
        <f t="shared" si="22"/>
        <v>0</v>
      </c>
      <c r="CE13" s="16">
        <f t="shared" si="23"/>
        <v>0</v>
      </c>
      <c r="CF13" s="16">
        <f t="shared" si="24"/>
        <v>0</v>
      </c>
      <c r="CH13" s="16">
        <v>12</v>
      </c>
      <c r="CI13" s="17">
        <v>100</v>
      </c>
      <c r="CJ13" s="17">
        <f t="shared" si="2"/>
        <v>35.489702057509319</v>
      </c>
      <c r="CK13" s="17">
        <f>(CJ13-CJ12)*(INDEX([3]非r将兵属性验证!$V$7:$V$166,$CI13,1)+INDEX([3]非r将兵属性验证!$AP$7:$AP$166,$CI13,1))+CK12</f>
        <v>34167929905.077919</v>
      </c>
      <c r="CL13" s="17">
        <f t="shared" si="0"/>
        <v>34167929905.077919</v>
      </c>
      <c r="CP13" s="16">
        <v>105</v>
      </c>
      <c r="CQ13" s="16">
        <v>0</v>
      </c>
      <c r="CT13" s="17">
        <v>100</v>
      </c>
      <c r="CU13" s="17">
        <f t="shared" si="3"/>
        <v>0</v>
      </c>
      <c r="CV13" s="17">
        <f t="shared" si="1"/>
        <v>0</v>
      </c>
    </row>
    <row r="14" spans="4:100">
      <c r="E14" s="16" t="s">
        <v>469</v>
      </c>
      <c r="F14" s="16">
        <f>INDEX(F$5:F$10,F$3+1)</f>
        <v>6</v>
      </c>
      <c r="G14" s="16">
        <f>INDEX(G$5:G$10,G$3+1)</f>
        <v>32</v>
      </c>
      <c r="H14" s="16">
        <f>INDEX(H$5:H$10,H$3+1)</f>
        <v>60</v>
      </c>
      <c r="I14" s="16">
        <f>INDEX(I$5:I$10,I$3+1)</f>
        <v>72</v>
      </c>
      <c r="J14" s="16">
        <f>INDEX(J$5:J$10,J$3+1)</f>
        <v>84</v>
      </c>
      <c r="N14" s="170"/>
      <c r="O14" s="17" t="s">
        <v>379</v>
      </c>
      <c r="P14" s="17">
        <v>0.8</v>
      </c>
      <c r="Q14" s="17">
        <f>P14-0.05</f>
        <v>0.75</v>
      </c>
      <c r="R14" s="17">
        <f t="shared" ref="R14:T14" si="31">Q14-0.05</f>
        <v>0.7</v>
      </c>
      <c r="S14" s="17">
        <f t="shared" si="31"/>
        <v>0.64999999999999991</v>
      </c>
      <c r="T14" s="17">
        <f t="shared" si="31"/>
        <v>0.59999999999999987</v>
      </c>
      <c r="V14" s="16">
        <v>65</v>
      </c>
      <c r="W14" s="16">
        <f t="shared" si="26"/>
        <v>0.27840798197423733</v>
      </c>
      <c r="X14" s="16">
        <f t="shared" si="27"/>
        <v>0.34112709179880829</v>
      </c>
      <c r="Y14" s="16">
        <f t="shared" si="28"/>
        <v>0.27691002567314882</v>
      </c>
      <c r="Z14" s="16">
        <f t="shared" si="29"/>
        <v>8.1624308791482164E-2</v>
      </c>
      <c r="AA14" s="16">
        <f t="shared" si="30"/>
        <v>2.1736188230814132E-2</v>
      </c>
      <c r="AE14" s="17">
        <f>基础状态预期!C25</f>
        <v>100</v>
      </c>
      <c r="AF14" s="64">
        <f>求节点(P$7:P$9,Z$6:Z$8,基础状态预期!Q25)*P$6</f>
        <v>0</v>
      </c>
      <c r="AG14" s="64">
        <f>求节点(Q$7:Q$9,AA$6:AA$8,基础状态预期!R25)*Q$6</f>
        <v>0</v>
      </c>
      <c r="AH14" s="64">
        <f>求节点(R$7:R$9,AB$6:AB$8,基础状态预期!S25)*R$6</f>
        <v>0</v>
      </c>
      <c r="AI14" s="64">
        <f>求节点(S$7:S$9,AC$6:AC$8,基础状态预期!T25)*S$6</f>
        <v>330720.53118443053</v>
      </c>
      <c r="AJ14" s="17">
        <f>SUMPRODUCT(AF14:AI14,基础状态预期!I25:L25)</f>
        <v>1984323.1871065833</v>
      </c>
      <c r="AM14" s="16">
        <v>9</v>
      </c>
      <c r="AN14" s="16">
        <f t="shared" si="10"/>
        <v>0</v>
      </c>
      <c r="AO14" s="16">
        <f t="shared" si="11"/>
        <v>0</v>
      </c>
      <c r="AP14" s="16">
        <f t="shared" si="12"/>
        <v>0</v>
      </c>
      <c r="AQ14" s="16">
        <f t="shared" si="13"/>
        <v>0</v>
      </c>
      <c r="AR14" s="16">
        <f t="shared" si="14"/>
        <v>0</v>
      </c>
      <c r="AV14" s="16">
        <v>9</v>
      </c>
      <c r="AW14" s="16">
        <f>盗宝贼掉落!AI13</f>
        <v>186.63883028922459</v>
      </c>
      <c r="AX14" s="16">
        <f>盗宝贼掉落!AJ13</f>
        <v>231.3437100492927</v>
      </c>
      <c r="AY14" s="16">
        <f>盗宝贼掉落!AK13</f>
        <v>252.90019670056012</v>
      </c>
      <c r="AZ14" s="16">
        <f>盗宝贼掉落!AL13</f>
        <v>206.83203416336224</v>
      </c>
      <c r="BA14" s="16">
        <f>盗宝贼掉落!AM13</f>
        <v>112.30197783218932</v>
      </c>
      <c r="BC14" s="16">
        <f>盗宝贼掉落!AI13/AW14</f>
        <v>1</v>
      </c>
      <c r="BG14" s="41" t="e">
        <f t="shared" si="15"/>
        <v>#DIV/0!</v>
      </c>
      <c r="BH14" s="41" t="e">
        <f t="shared" si="16"/>
        <v>#DIV/0!</v>
      </c>
      <c r="BI14" s="41" t="e">
        <f t="shared" si="17"/>
        <v>#DIV/0!</v>
      </c>
      <c r="BJ14" s="41" t="e">
        <f t="shared" si="18"/>
        <v>#DIV/0!</v>
      </c>
      <c r="BK14" s="41" t="e">
        <f t="shared" si="19"/>
        <v>#DIV/0!</v>
      </c>
      <c r="BR14" s="16">
        <v>11</v>
      </c>
      <c r="BS14" s="17">
        <f>基础状态预期!C25</f>
        <v>100</v>
      </c>
      <c r="BT14" s="17">
        <f>求节点($E$5:$E$10,F$5:F$10,基础状态预期!M25)</f>
        <v>6</v>
      </c>
      <c r="BU14" s="17">
        <f>求节点($E$5:$E$10,G$5:G$10,基础状态预期!N25)</f>
        <v>32</v>
      </c>
      <c r="BV14" s="17">
        <f>求节点($E$5:$E$10,H$5:H$10,基础状态预期!O25)</f>
        <v>60</v>
      </c>
      <c r="BW14" s="17">
        <f>求节点($E$5:$E$10,I$5:I$10,基础状态预期!P25)</f>
        <v>35.489702057509319</v>
      </c>
      <c r="BX14" s="17">
        <f>MAX(SUMPRODUCT(BT14:BW14,基础状态预期!I25:L25)/6,BX13)</f>
        <v>35.489702057509319</v>
      </c>
      <c r="CA14" s="16">
        <v>9</v>
      </c>
      <c r="CB14" s="16">
        <f t="shared" si="20"/>
        <v>0</v>
      </c>
      <c r="CC14" s="16">
        <f t="shared" si="21"/>
        <v>0</v>
      </c>
      <c r="CD14" s="16">
        <f t="shared" si="22"/>
        <v>0</v>
      </c>
      <c r="CE14" s="16">
        <f t="shared" si="23"/>
        <v>0</v>
      </c>
      <c r="CF14" s="16">
        <f t="shared" si="24"/>
        <v>0</v>
      </c>
      <c r="CH14" s="16">
        <v>13</v>
      </c>
      <c r="CI14" s="17">
        <v>110</v>
      </c>
      <c r="CJ14" s="17">
        <f t="shared" si="2"/>
        <v>64.836047176735917</v>
      </c>
      <c r="CK14" s="17">
        <f>(CJ14-CJ13)*(INDEX([3]非r将兵属性验证!$V$7:$V$166,$CI14,1)+INDEX([3]非r将兵属性验证!$AP$7:$AP$166,$CI14,1))+CK13</f>
        <v>138638168762.46515</v>
      </c>
      <c r="CL14" s="17">
        <f t="shared" si="0"/>
        <v>138638168762.46515</v>
      </c>
      <c r="CP14" s="16">
        <v>110</v>
      </c>
      <c r="CQ14" s="16">
        <v>0</v>
      </c>
      <c r="CT14" s="17">
        <v>110</v>
      </c>
      <c r="CU14" s="17">
        <f t="shared" si="3"/>
        <v>0</v>
      </c>
      <c r="CV14" s="17">
        <f t="shared" si="1"/>
        <v>0</v>
      </c>
    </row>
    <row r="15" spans="4:100">
      <c r="N15" s="170"/>
      <c r="O15" s="17"/>
      <c r="P15" s="17"/>
      <c r="Q15" s="17"/>
      <c r="R15" s="17"/>
      <c r="S15" s="17"/>
      <c r="T15" s="17"/>
      <c r="V15" s="16">
        <v>70</v>
      </c>
      <c r="W15" s="16">
        <f t="shared" si="26"/>
        <v>0.37341721158281799</v>
      </c>
      <c r="X15" s="16">
        <f t="shared" si="27"/>
        <v>0.45045302585424873</v>
      </c>
      <c r="Y15" s="16">
        <f t="shared" si="28"/>
        <v>0.34720894080178727</v>
      </c>
      <c r="Z15" s="16">
        <f t="shared" si="29"/>
        <v>9.5982673939171634E-2</v>
      </c>
      <c r="AA15" s="16">
        <f t="shared" si="30"/>
        <v>2.5262098801856463E-2</v>
      </c>
      <c r="AE15" s="17">
        <f>基础状态预期!C26</f>
        <v>105</v>
      </c>
      <c r="AF15" s="64">
        <f>求节点(P$7:P$9,Z$6:Z$8,基础状态预期!Q26)*P$6</f>
        <v>0</v>
      </c>
      <c r="AG15" s="64">
        <f>求节点(Q$7:Q$9,AA$6:AA$8,基础状态预期!R26)*Q$6</f>
        <v>0</v>
      </c>
      <c r="AH15" s="64">
        <f>求节点(R$7:R$9,AB$6:AB$8,基础状态预期!S26)*R$6</f>
        <v>0</v>
      </c>
      <c r="AI15" s="64">
        <f>求节点(S$7:S$9,AC$6:AC$8,基础状态预期!T26)*S$6</f>
        <v>564878.55242488044</v>
      </c>
      <c r="AJ15" s="17">
        <f>SUMPRODUCT(AF15:AI15,基础状态预期!I26:L26)</f>
        <v>3389271.3145492827</v>
      </c>
      <c r="AM15" s="16">
        <v>10</v>
      </c>
      <c r="AN15" s="16">
        <f t="shared" si="10"/>
        <v>0</v>
      </c>
      <c r="AO15" s="16">
        <f t="shared" si="11"/>
        <v>0</v>
      </c>
      <c r="AP15" s="16">
        <f t="shared" si="12"/>
        <v>0</v>
      </c>
      <c r="AQ15" s="16">
        <f t="shared" si="13"/>
        <v>0</v>
      </c>
      <c r="AR15" s="16">
        <f t="shared" si="14"/>
        <v>0</v>
      </c>
      <c r="AV15" s="16">
        <v>10</v>
      </c>
      <c r="AW15" s="16">
        <f>盗宝贼掉落!AI14</f>
        <v>223.56284970817052</v>
      </c>
      <c r="AX15" s="16">
        <f>盗宝贼掉落!AJ14</f>
        <v>278.63690601738131</v>
      </c>
      <c r="AY15" s="16">
        <f>盗宝贼掉落!AK14</f>
        <v>305.62664907645899</v>
      </c>
      <c r="AZ15" s="16">
        <f>盗宝贼掉落!AL14</f>
        <v>251.36209044752286</v>
      </c>
      <c r="BA15" s="16">
        <f>盗宝贼掉落!AM14</f>
        <v>137.77649388126548</v>
      </c>
      <c r="BC15" s="16">
        <f>盗宝贼掉落!AI14/AW15</f>
        <v>1</v>
      </c>
      <c r="BG15" s="41" t="e">
        <f t="shared" si="15"/>
        <v>#DIV/0!</v>
      </c>
      <c r="BH15" s="41" t="e">
        <f t="shared" si="16"/>
        <v>#DIV/0!</v>
      </c>
      <c r="BI15" s="41" t="e">
        <f t="shared" si="17"/>
        <v>#DIV/0!</v>
      </c>
      <c r="BJ15" s="41" t="e">
        <f t="shared" si="18"/>
        <v>#DIV/0!</v>
      </c>
      <c r="BK15" s="41" t="e">
        <f t="shared" si="19"/>
        <v>#DIV/0!</v>
      </c>
      <c r="BR15" s="16">
        <v>12</v>
      </c>
      <c r="BS15" s="17">
        <f>基础状态预期!C26</f>
        <v>105</v>
      </c>
      <c r="BT15" s="17">
        <f>求节点($E$5:$E$10,F$5:F$10,基础状态预期!M26)</f>
        <v>6</v>
      </c>
      <c r="BU15" s="17">
        <f>求节点($E$5:$E$10,G$5:G$10,基础状态预期!N26)</f>
        <v>32</v>
      </c>
      <c r="BV15" s="17">
        <f>求节点($E$5:$E$10,H$5:H$10,基础状态预期!O26)</f>
        <v>60</v>
      </c>
      <c r="BW15" s="17">
        <f>求节点($E$5:$E$10,I$5:I$10,基础状态预期!P26)</f>
        <v>48.066509105629805</v>
      </c>
      <c r="BX15" s="17">
        <f>MAX(SUMPRODUCT(BT15:BW15,基础状态预期!I26:L26)/6,BX14)</f>
        <v>48.066509105629812</v>
      </c>
      <c r="CA15" s="16">
        <v>10</v>
      </c>
      <c r="CB15" s="16">
        <f t="shared" si="20"/>
        <v>0</v>
      </c>
      <c r="CC15" s="16">
        <f t="shared" si="21"/>
        <v>0</v>
      </c>
      <c r="CD15" s="16">
        <f t="shared" si="22"/>
        <v>0</v>
      </c>
      <c r="CE15" s="16">
        <f t="shared" si="23"/>
        <v>0</v>
      </c>
      <c r="CF15" s="16">
        <f t="shared" si="24"/>
        <v>0</v>
      </c>
      <c r="CH15" s="16">
        <v>14</v>
      </c>
      <c r="CI15" s="17">
        <v>120</v>
      </c>
      <c r="CJ15" s="17">
        <f t="shared" si="2"/>
        <v>72</v>
      </c>
      <c r="CK15" s="17">
        <f>(CJ15-CJ14)*(INDEX([3]非r将兵属性验证!$V$7:$V$166,$CI15,1)+INDEX([3]非r将兵属性验证!$AP$7:$AP$166,$CI15,1))+CK14</f>
        <v>185976568406.80945</v>
      </c>
      <c r="CL15" s="17">
        <f t="shared" si="0"/>
        <v>185976568406.80945</v>
      </c>
      <c r="CP15" s="16">
        <v>115</v>
      </c>
      <c r="CQ15" s="16">
        <v>0</v>
      </c>
      <c r="CT15" s="17">
        <v>120</v>
      </c>
      <c r="CU15" s="17">
        <f t="shared" si="3"/>
        <v>0</v>
      </c>
      <c r="CV15" s="17">
        <f t="shared" si="1"/>
        <v>0</v>
      </c>
    </row>
    <row r="16" spans="4:100">
      <c r="N16" s="170"/>
      <c r="O16" s="17" t="s">
        <v>380</v>
      </c>
      <c r="P16" s="17">
        <v>0</v>
      </c>
      <c r="Q16" s="17">
        <v>0.05</v>
      </c>
      <c r="R16" s="17">
        <v>0.1</v>
      </c>
      <c r="S16" s="17">
        <v>0.15</v>
      </c>
      <c r="T16" s="17">
        <v>0.2</v>
      </c>
      <c r="V16" s="16">
        <v>75</v>
      </c>
      <c r="W16" s="16">
        <f t="shared" si="26"/>
        <v>0.5325172062710084</v>
      </c>
      <c r="X16" s="16">
        <f t="shared" si="27"/>
        <v>0.64061828701652501</v>
      </c>
      <c r="Y16" s="16">
        <f t="shared" si="28"/>
        <v>0.49928789572373949</v>
      </c>
      <c r="Z16" s="16">
        <f t="shared" si="29"/>
        <v>0.11723256789810581</v>
      </c>
      <c r="AA16" s="16">
        <f t="shared" si="30"/>
        <v>4.1350143739468187E-2</v>
      </c>
      <c r="AE16" s="17">
        <f>基础状态预期!C27</f>
        <v>110</v>
      </c>
      <c r="AF16" s="64">
        <f>求节点(P$7:P$9,Z$6:Z$8,基础状态预期!Q27)*P$6</f>
        <v>0</v>
      </c>
      <c r="AG16" s="64">
        <f>求节点(Q$7:Q$9,AA$6:AA$8,基础状态预期!R27)*Q$6</f>
        <v>0</v>
      </c>
      <c r="AH16" s="64">
        <f>求节点(R$7:R$9,AB$6:AB$8,基础状态预期!S27)*R$6</f>
        <v>0</v>
      </c>
      <c r="AI16" s="64">
        <f>求节点(S$7:S$9,AC$6:AC$8,基础状态预期!T27)*S$6</f>
        <v>1815781.1793260786</v>
      </c>
      <c r="AJ16" s="17">
        <f>SUMPRODUCT(AF16:AI16,基础状态预期!I27:L27)</f>
        <v>10894687.075956471</v>
      </c>
      <c r="AM16" s="16">
        <v>11</v>
      </c>
      <c r="AN16" s="16">
        <f t="shared" si="10"/>
        <v>0</v>
      </c>
      <c r="AO16" s="16">
        <f t="shared" si="11"/>
        <v>0</v>
      </c>
      <c r="AP16" s="16">
        <f t="shared" si="12"/>
        <v>0</v>
      </c>
      <c r="AQ16" s="16">
        <f t="shared" si="13"/>
        <v>0</v>
      </c>
      <c r="AR16" s="16">
        <f t="shared" si="14"/>
        <v>0</v>
      </c>
      <c r="AV16" s="16">
        <v>11</v>
      </c>
      <c r="AW16" s="16">
        <f>盗宝贼掉落!AI15</f>
        <v>265.03963885846582</v>
      </c>
      <c r="AX16" s="16">
        <f>盗宝贼掉落!AJ15</f>
        <v>331.48010791173675</v>
      </c>
      <c r="AY16" s="16">
        <f>盗宝贼掉落!AK15</f>
        <v>365.66581339577567</v>
      </c>
      <c r="AZ16" s="16">
        <f>盗宝贼掉落!AL15</f>
        <v>300.51693744826133</v>
      </c>
      <c r="BA16" s="16">
        <f>盗宝贼掉落!AM15</f>
        <v>166.55242551048818</v>
      </c>
      <c r="BC16" s="16">
        <f>盗宝贼掉落!AI15/AW16</f>
        <v>1</v>
      </c>
      <c r="BG16" s="41" t="e">
        <f t="shared" si="15"/>
        <v>#DIV/0!</v>
      </c>
      <c r="BH16" s="41" t="e">
        <f t="shared" si="16"/>
        <v>#DIV/0!</v>
      </c>
      <c r="BI16" s="41" t="e">
        <f t="shared" si="17"/>
        <v>#DIV/0!</v>
      </c>
      <c r="BJ16" s="41" t="e">
        <f t="shared" si="18"/>
        <v>#DIV/0!</v>
      </c>
      <c r="BK16" s="41" t="e">
        <f t="shared" si="19"/>
        <v>#DIV/0!</v>
      </c>
      <c r="BR16" s="16">
        <v>13</v>
      </c>
      <c r="BS16" s="17">
        <f>基础状态预期!C27</f>
        <v>110</v>
      </c>
      <c r="BT16" s="17">
        <f>求节点($E$5:$E$10,F$5:F$10,基础状态预期!M27)</f>
        <v>6</v>
      </c>
      <c r="BU16" s="17">
        <f>求节点($E$5:$E$10,G$5:G$10,基础状态预期!N27)</f>
        <v>32</v>
      </c>
      <c r="BV16" s="17">
        <f>求节点($E$5:$E$10,H$5:H$10,基础状态预期!O27)</f>
        <v>60</v>
      </c>
      <c r="BW16" s="17">
        <f>求节点($E$5:$E$10,I$5:I$10,基础状态预期!P27)</f>
        <v>64.836047176735917</v>
      </c>
      <c r="BX16" s="17">
        <f>MAX(SUMPRODUCT(BT16:BW16,基础状态预期!I27:L27)/6,BX15)</f>
        <v>64.836047176735917</v>
      </c>
      <c r="CA16" s="16">
        <v>11</v>
      </c>
      <c r="CB16" s="16">
        <f t="shared" si="20"/>
        <v>0</v>
      </c>
      <c r="CC16" s="16">
        <f t="shared" si="21"/>
        <v>0</v>
      </c>
      <c r="CD16" s="16">
        <f t="shared" si="22"/>
        <v>0</v>
      </c>
      <c r="CE16" s="16">
        <f t="shared" si="23"/>
        <v>0</v>
      </c>
      <c r="CF16" s="16">
        <f t="shared" si="24"/>
        <v>0</v>
      </c>
      <c r="CH16" s="16">
        <v>15</v>
      </c>
      <c r="CI16" s="17">
        <v>130</v>
      </c>
      <c r="CJ16" s="17">
        <f t="shared" si="2"/>
        <v>72</v>
      </c>
      <c r="CK16" s="17">
        <f>(CJ16-CJ15)*(INDEX([3]非r将兵属性验证!$V$7:$V$166,$CI16,1)+INDEX([3]非r将兵属性验证!$AP$7:$AP$166,$CI16,1))+CK15</f>
        <v>185976568406.80945</v>
      </c>
      <c r="CL16" s="17">
        <f t="shared" si="0"/>
        <v>185976568406.80945</v>
      </c>
      <c r="CP16" s="16">
        <v>120</v>
      </c>
      <c r="CQ16" s="16">
        <v>0</v>
      </c>
      <c r="CT16" s="17">
        <v>130</v>
      </c>
      <c r="CU16" s="17">
        <f t="shared" si="3"/>
        <v>0</v>
      </c>
      <c r="CV16" s="17">
        <f t="shared" si="1"/>
        <v>0</v>
      </c>
    </row>
    <row r="17" spans="3:100">
      <c r="C17" s="164" t="s">
        <v>478</v>
      </c>
      <c r="D17" s="164"/>
      <c r="N17" s="170"/>
      <c r="O17" s="17"/>
      <c r="P17" s="17"/>
      <c r="Q17" s="17"/>
      <c r="R17" s="17"/>
      <c r="S17" s="17"/>
      <c r="T17" s="17"/>
      <c r="V17" s="16">
        <v>80</v>
      </c>
      <c r="W17" s="16">
        <f t="shared" si="26"/>
        <v>0.83429930118856632</v>
      </c>
      <c r="X17" s="16">
        <f t="shared" si="27"/>
        <v>0.87471297115719193</v>
      </c>
      <c r="Y17" s="16">
        <f t="shared" si="28"/>
        <v>0.67119894323174945</v>
      </c>
      <c r="Z17" s="16">
        <f t="shared" si="29"/>
        <v>0.13095949636092563</v>
      </c>
      <c r="AA17" s="16">
        <f t="shared" si="30"/>
        <v>2.8225604969097966E-2</v>
      </c>
      <c r="AE17" s="17">
        <f>基础状态预期!C28</f>
        <v>115</v>
      </c>
      <c r="AF17" s="64">
        <f>求节点(P$7:P$9,Z$6:Z$8,基础状态预期!Q28)*P$6</f>
        <v>0</v>
      </c>
      <c r="AG17" s="64">
        <f>求节点(Q$7:Q$9,AA$6:AA$8,基础状态预期!R28)*Q$6</f>
        <v>0</v>
      </c>
      <c r="AH17" s="64">
        <f>求节点(R$7:R$9,AB$6:AB$8,基础状态预期!S28)*R$6</f>
        <v>0</v>
      </c>
      <c r="AI17" s="64">
        <f>求节点(S$7:S$9,AC$6:AC$8,基础状态预期!T28)*S$6</f>
        <v>2350167.2409825884</v>
      </c>
      <c r="AJ17" s="17">
        <f>SUMPRODUCT(AF17:AI17,基础状态预期!I28:L28)</f>
        <v>14101003.44589553</v>
      </c>
      <c r="AM17" s="16">
        <v>12</v>
      </c>
      <c r="AN17" s="16">
        <f t="shared" si="10"/>
        <v>0</v>
      </c>
      <c r="AO17" s="16">
        <f t="shared" si="11"/>
        <v>0</v>
      </c>
      <c r="AP17" s="16">
        <f t="shared" si="12"/>
        <v>0</v>
      </c>
      <c r="AQ17" s="16">
        <f t="shared" si="13"/>
        <v>0</v>
      </c>
      <c r="AR17" s="16">
        <f t="shared" si="14"/>
        <v>0</v>
      </c>
      <c r="AV17" s="16">
        <v>12</v>
      </c>
      <c r="AW17" s="16">
        <f>盗宝贼掉落!AI16</f>
        <v>311.53252233704359</v>
      </c>
      <c r="AX17" s="16">
        <f>盗宝贼掉落!AJ16</f>
        <v>389.70597678259031</v>
      </c>
      <c r="AY17" s="16">
        <f>盗宝贼掉落!AK16</f>
        <v>432.20716902643426</v>
      </c>
      <c r="AZ17" s="16">
        <f>盗宝贼掉落!AL16</f>
        <v>358.99057967008696</v>
      </c>
      <c r="BA17" s="16">
        <f>盗宝贼掉落!AM16</f>
        <v>198.98398755182956</v>
      </c>
      <c r="BC17" s="16">
        <f>盗宝贼掉落!AI16/AW17</f>
        <v>1</v>
      </c>
      <c r="BG17" s="41" t="e">
        <f t="shared" si="15"/>
        <v>#DIV/0!</v>
      </c>
      <c r="BH17" s="41" t="e">
        <f t="shared" si="16"/>
        <v>#DIV/0!</v>
      </c>
      <c r="BI17" s="41" t="e">
        <f t="shared" si="17"/>
        <v>#DIV/0!</v>
      </c>
      <c r="BJ17" s="41" t="e">
        <f t="shared" si="18"/>
        <v>#DIV/0!</v>
      </c>
      <c r="BK17" s="41" t="e">
        <f t="shared" si="19"/>
        <v>#DIV/0!</v>
      </c>
      <c r="BR17" s="16">
        <v>14</v>
      </c>
      <c r="BS17" s="17">
        <f>基础状态预期!C28</f>
        <v>115</v>
      </c>
      <c r="BT17" s="17">
        <f>求节点($E$5:$E$10,F$5:F$10,基础状态预期!M28)</f>
        <v>6</v>
      </c>
      <c r="BU17" s="17">
        <f>求节点($E$5:$E$10,G$5:G$10,基础状态预期!N28)</f>
        <v>32</v>
      </c>
      <c r="BV17" s="17">
        <f>求节点($E$5:$E$10,H$5:H$10,基础状态预期!O28)</f>
        <v>60</v>
      </c>
      <c r="BW17" s="17">
        <f>求节点($E$5:$E$10,I$5:I$10,基础状态预期!P28)</f>
        <v>72</v>
      </c>
      <c r="BX17" s="17">
        <f>MAX(SUMPRODUCT(BT17:BW17,基础状态预期!I28:L28)/6,BX16)</f>
        <v>72</v>
      </c>
      <c r="CA17" s="16">
        <v>12</v>
      </c>
      <c r="CB17" s="16">
        <f t="shared" si="20"/>
        <v>0</v>
      </c>
      <c r="CC17" s="16">
        <f t="shared" si="21"/>
        <v>0</v>
      </c>
      <c r="CD17" s="16">
        <f t="shared" si="22"/>
        <v>0</v>
      </c>
      <c r="CE17" s="16">
        <f t="shared" si="23"/>
        <v>0</v>
      </c>
      <c r="CF17" s="16">
        <f t="shared" si="24"/>
        <v>0</v>
      </c>
      <c r="CH17" s="16">
        <v>16</v>
      </c>
      <c r="CI17" s="17">
        <v>140</v>
      </c>
      <c r="CJ17" s="17">
        <f t="shared" si="2"/>
        <v>72</v>
      </c>
      <c r="CK17" s="17">
        <f>(CJ17-CJ16)*(INDEX([3]非r将兵属性验证!$V$7:$V$166,$CI17,1)+INDEX([3]非r将兵属性验证!$AP$7:$AP$166,$CI17,1))+CK16</f>
        <v>185976568406.80945</v>
      </c>
      <c r="CL17" s="17">
        <f t="shared" si="0"/>
        <v>185976568406.80945</v>
      </c>
      <c r="CP17" s="16">
        <v>125</v>
      </c>
      <c r="CQ17" s="16">
        <v>0</v>
      </c>
      <c r="CT17" s="17">
        <v>140</v>
      </c>
      <c r="CU17" s="17">
        <f t="shared" si="3"/>
        <v>0</v>
      </c>
      <c r="CV17" s="17">
        <f t="shared" si="1"/>
        <v>0</v>
      </c>
    </row>
    <row r="18" spans="3:100" ht="11.25" customHeight="1">
      <c r="C18" s="16" t="s">
        <v>472</v>
      </c>
      <c r="D18" s="16">
        <v>0.23</v>
      </c>
      <c r="N18" s="170"/>
      <c r="O18" s="17" t="s">
        <v>381</v>
      </c>
      <c r="P18" s="17">
        <v>5.0000000000000001E-3</v>
      </c>
      <c r="Q18" s="17">
        <v>5.0000000000000001E-3</v>
      </c>
      <c r="R18" s="17">
        <v>5.0000000000000001E-3</v>
      </c>
      <c r="S18" s="17">
        <v>5.0000000000000001E-3</v>
      </c>
      <c r="T18" s="17">
        <v>5.0000000000000001E-3</v>
      </c>
      <c r="V18" s="16">
        <v>85</v>
      </c>
      <c r="W18" s="16">
        <f>INDEX(BG$6:BG$165,$V18)</f>
        <v>1.0488300390572765</v>
      </c>
      <c r="X18" s="16">
        <f t="shared" si="27"/>
        <v>1.0201066039718685</v>
      </c>
      <c r="Y18" s="16">
        <f t="shared" si="28"/>
        <v>0.55592977295224011</v>
      </c>
      <c r="Z18" s="16">
        <f t="shared" si="29"/>
        <v>7.115283196289468E-2</v>
      </c>
      <c r="AA18" s="16">
        <f t="shared" si="30"/>
        <v>2.1195585108723197E-2</v>
      </c>
      <c r="AE18" s="17">
        <f>基础状态预期!C29</f>
        <v>120</v>
      </c>
      <c r="AF18" s="64">
        <f>求节点(P$7:P$9,Z$6:Z$8,基础状态预期!Q29)*P$6</f>
        <v>0</v>
      </c>
      <c r="AG18" s="64">
        <f>求节点(Q$7:Q$9,AA$6:AA$8,基础状态预期!R29)*Q$6</f>
        <v>0</v>
      </c>
      <c r="AH18" s="64">
        <f>求节点(R$7:R$9,AB$6:AB$8,基础状态预期!S29)*R$6</f>
        <v>0</v>
      </c>
      <c r="AI18" s="64">
        <f>求节点(S$7:S$9,AC$6:AC$8,基础状态预期!T29)*S$6</f>
        <v>2350167.2409825884</v>
      </c>
      <c r="AJ18" s="17">
        <f>SUMPRODUCT(AF18:AI18,基础状态预期!I29:L29)</f>
        <v>14101003.44589553</v>
      </c>
      <c r="AM18" s="16">
        <v>13</v>
      </c>
      <c r="AN18" s="16">
        <f t="shared" si="10"/>
        <v>0</v>
      </c>
      <c r="AO18" s="16">
        <f t="shared" si="11"/>
        <v>0</v>
      </c>
      <c r="AP18" s="16">
        <f t="shared" si="12"/>
        <v>0</v>
      </c>
      <c r="AQ18" s="16">
        <f t="shared" si="13"/>
        <v>0</v>
      </c>
      <c r="AR18" s="16">
        <f t="shared" si="14"/>
        <v>0</v>
      </c>
      <c r="AV18" s="16">
        <v>13</v>
      </c>
      <c r="AW18" s="16">
        <f>盗宝贼掉落!AI17</f>
        <v>363.54788028780382</v>
      </c>
      <c r="AX18" s="16">
        <f>盗宝贼掉落!AJ17</f>
        <v>458.71022712838146</v>
      </c>
      <c r="AY18" s="16">
        <f>盗宝贼掉落!AK17</f>
        <v>509.34460166934139</v>
      </c>
      <c r="AZ18" s="16">
        <f>盗宝贼掉落!AL17</f>
        <v>424.943504449893</v>
      </c>
      <c r="BA18" s="16">
        <f>盗宝贼掉落!AM17</f>
        <v>236.45289986393607</v>
      </c>
      <c r="BC18" s="16">
        <f>盗宝贼掉落!AI17/AW18</f>
        <v>1</v>
      </c>
      <c r="BG18" s="41" t="e">
        <f t="shared" si="15"/>
        <v>#DIV/0!</v>
      </c>
      <c r="BH18" s="41" t="e">
        <f t="shared" si="16"/>
        <v>#DIV/0!</v>
      </c>
      <c r="BI18" s="41" t="e">
        <f t="shared" si="17"/>
        <v>#DIV/0!</v>
      </c>
      <c r="BJ18" s="41" t="e">
        <f t="shared" si="18"/>
        <v>#DIV/0!</v>
      </c>
      <c r="BK18" s="41" t="e">
        <f t="shared" si="19"/>
        <v>#DIV/0!</v>
      </c>
      <c r="BR18" s="16">
        <v>15</v>
      </c>
      <c r="BS18" s="17">
        <f>基础状态预期!C29</f>
        <v>120</v>
      </c>
      <c r="BT18" s="17">
        <f>求节点($E$5:$E$10,F$5:F$10,基础状态预期!M29)</f>
        <v>6</v>
      </c>
      <c r="BU18" s="17">
        <f>求节点($E$5:$E$10,G$5:G$10,基础状态预期!N29)</f>
        <v>32</v>
      </c>
      <c r="BV18" s="17">
        <f>求节点($E$5:$E$10,H$5:H$10,基础状态预期!O29)</f>
        <v>60</v>
      </c>
      <c r="BW18" s="17">
        <f>求节点($E$5:$E$10,I$5:I$10,基础状态预期!P29)</f>
        <v>72</v>
      </c>
      <c r="BX18" s="17">
        <f>MAX(SUMPRODUCT(BT18:BW18,基础状态预期!I29:L29)/6,BX17)</f>
        <v>72</v>
      </c>
      <c r="CA18" s="16">
        <v>13</v>
      </c>
      <c r="CB18" s="16">
        <f t="shared" si="20"/>
        <v>0</v>
      </c>
      <c r="CC18" s="16">
        <f t="shared" si="21"/>
        <v>0</v>
      </c>
      <c r="CD18" s="16">
        <f t="shared" si="22"/>
        <v>0</v>
      </c>
      <c r="CE18" s="16">
        <f t="shared" si="23"/>
        <v>0</v>
      </c>
      <c r="CF18" s="16">
        <f t="shared" si="24"/>
        <v>0</v>
      </c>
      <c r="CH18" s="16">
        <v>17</v>
      </c>
      <c r="CI18" s="17">
        <v>150</v>
      </c>
      <c r="CJ18" s="17">
        <f t="shared" si="2"/>
        <v>72</v>
      </c>
      <c r="CK18" s="17">
        <f>(CJ18-CJ17)*(INDEX([3]非r将兵属性验证!$V$7:$V$166,$CI18,1)+INDEX([3]非r将兵属性验证!$AP$7:$AP$166,$CI18,1))+CK17</f>
        <v>185976568406.80945</v>
      </c>
      <c r="CL18" s="17">
        <f t="shared" si="0"/>
        <v>185976568406.80945</v>
      </c>
      <c r="CP18" s="16">
        <v>130</v>
      </c>
      <c r="CQ18" s="16">
        <v>0</v>
      </c>
      <c r="CT18" s="17">
        <v>150</v>
      </c>
      <c r="CU18" s="17">
        <f t="shared" si="3"/>
        <v>0</v>
      </c>
      <c r="CV18" s="17">
        <f t="shared" si="1"/>
        <v>0</v>
      </c>
    </row>
    <row r="19" spans="3:100">
      <c r="C19" s="16" t="s">
        <v>473</v>
      </c>
      <c r="D19" s="16">
        <v>2000</v>
      </c>
      <c r="N19" s="170"/>
      <c r="O19" s="17" t="s">
        <v>382</v>
      </c>
      <c r="P19" s="17">
        <v>0.02</v>
      </c>
      <c r="Q19" s="17">
        <v>0.02</v>
      </c>
      <c r="R19" s="17">
        <v>0.02</v>
      </c>
      <c r="S19" s="17">
        <v>0.02</v>
      </c>
      <c r="T19" s="17">
        <v>0.02</v>
      </c>
      <c r="V19" s="16">
        <v>90</v>
      </c>
      <c r="W19" s="16">
        <f t="shared" si="26"/>
        <v>1.2381479674456048</v>
      </c>
      <c r="X19" s="16">
        <f t="shared" si="27"/>
        <v>0.98621658260790135</v>
      </c>
      <c r="Y19" s="16">
        <f t="shared" si="28"/>
        <v>0.44036923846157866</v>
      </c>
      <c r="Z19" s="77">
        <f t="shared" si="29"/>
        <v>5.7774738460512294E-2</v>
      </c>
      <c r="AA19" s="77">
        <f t="shared" si="30"/>
        <v>3.1255151089354352E-2</v>
      </c>
      <c r="AE19" s="17">
        <f>基础状态预期!C30</f>
        <v>125</v>
      </c>
      <c r="AF19" s="64">
        <f>求节点(P$7:P$9,Z$6:Z$8,基础状态预期!Q30)*P$6</f>
        <v>0</v>
      </c>
      <c r="AG19" s="64">
        <f>求节点(Q$7:Q$9,AA$6:AA$8,基础状态预期!R30)*Q$6</f>
        <v>0</v>
      </c>
      <c r="AH19" s="64">
        <f>求节点(R$7:R$9,AB$6:AB$8,基础状态预期!S30)*R$6</f>
        <v>0</v>
      </c>
      <c r="AI19" s="64">
        <f>求节点(S$7:S$9,AC$6:AC$8,基础状态预期!T30)*S$6</f>
        <v>2350167.2409825884</v>
      </c>
      <c r="AJ19" s="17">
        <f>SUMPRODUCT(AF19:AI19,基础状态预期!I30:L30)</f>
        <v>14101003.44589553</v>
      </c>
      <c r="AM19" s="16">
        <v>14</v>
      </c>
      <c r="AN19" s="16">
        <f t="shared" si="10"/>
        <v>0</v>
      </c>
      <c r="AO19" s="16">
        <f t="shared" si="11"/>
        <v>0</v>
      </c>
      <c r="AP19" s="16">
        <f t="shared" si="12"/>
        <v>0</v>
      </c>
      <c r="AQ19" s="16">
        <f t="shared" si="13"/>
        <v>0</v>
      </c>
      <c r="AR19" s="16">
        <f t="shared" si="14"/>
        <v>0</v>
      </c>
      <c r="AV19" s="16">
        <v>14</v>
      </c>
      <c r="AW19" s="16">
        <f>盗宝贼掉落!AI18</f>
        <v>421.63894210879471</v>
      </c>
      <c r="AX19" s="16">
        <f>盗宝贼掉落!AJ18</f>
        <v>530.9170197877844</v>
      </c>
      <c r="AY19" s="16">
        <f>盗宝贼掉落!AK18</f>
        <v>590.67408835796152</v>
      </c>
      <c r="AZ19" s="16">
        <f>盗宝贼掉落!AL18</f>
        <v>491.54929462905591</v>
      </c>
      <c r="BA19" s="16">
        <f>盗宝贼掉落!AM18</f>
        <v>272.84849624576361</v>
      </c>
      <c r="BC19" s="16">
        <f>盗宝贼掉落!AI18/AW19</f>
        <v>1</v>
      </c>
      <c r="BG19" s="41" t="e">
        <f t="shared" si="15"/>
        <v>#DIV/0!</v>
      </c>
      <c r="BH19" s="41" t="e">
        <f t="shared" si="16"/>
        <v>#DIV/0!</v>
      </c>
      <c r="BI19" s="41" t="e">
        <f t="shared" si="17"/>
        <v>#DIV/0!</v>
      </c>
      <c r="BJ19" s="41" t="e">
        <f t="shared" si="18"/>
        <v>#DIV/0!</v>
      </c>
      <c r="BK19" s="41" t="e">
        <f t="shared" si="19"/>
        <v>#DIV/0!</v>
      </c>
      <c r="BR19" s="16">
        <v>16</v>
      </c>
      <c r="BS19" s="17">
        <f>基础状态预期!C30</f>
        <v>125</v>
      </c>
      <c r="BT19" s="17">
        <f>求节点($E$5:$E$10,F$5:F$10,基础状态预期!M30)</f>
        <v>6</v>
      </c>
      <c r="BU19" s="17">
        <f>求节点($E$5:$E$10,G$5:G$10,基础状态预期!N30)</f>
        <v>32</v>
      </c>
      <c r="BV19" s="17">
        <f>求节点($E$5:$E$10,H$5:H$10,基础状态预期!O30)</f>
        <v>60</v>
      </c>
      <c r="BW19" s="17">
        <f>求节点($E$5:$E$10,I$5:I$10,基础状态预期!P30)</f>
        <v>72</v>
      </c>
      <c r="BX19" s="17">
        <f>MAX(SUMPRODUCT(BT19:BW19,基础状态预期!I30:L30)/6,BX18)</f>
        <v>72</v>
      </c>
      <c r="CA19" s="16">
        <v>14</v>
      </c>
      <c r="CB19" s="16">
        <f t="shared" si="20"/>
        <v>0</v>
      </c>
      <c r="CC19" s="16">
        <f t="shared" si="21"/>
        <v>0</v>
      </c>
      <c r="CD19" s="16">
        <f t="shared" si="22"/>
        <v>0</v>
      </c>
      <c r="CE19" s="16">
        <f t="shared" si="23"/>
        <v>0</v>
      </c>
      <c r="CF19" s="16">
        <f t="shared" si="24"/>
        <v>0</v>
      </c>
      <c r="CH19" s="16">
        <v>18</v>
      </c>
      <c r="CI19" s="17">
        <v>160</v>
      </c>
      <c r="CJ19" s="17">
        <f t="shared" si="2"/>
        <v>72</v>
      </c>
      <c r="CK19" s="17">
        <f>(CJ19-CJ18)*(INDEX([3]非r将兵属性验证!$V$7:$V$166,$CI19,1)+INDEX([3]非r将兵属性验证!$AP$7:$AP$166,$CI19,1))+CK18</f>
        <v>185976568406.80945</v>
      </c>
      <c r="CL19" s="17">
        <f t="shared" si="0"/>
        <v>185976568406.80945</v>
      </c>
      <c r="CP19" s="16">
        <v>135</v>
      </c>
      <c r="CQ19" s="16">
        <v>0</v>
      </c>
      <c r="CT19" s="17">
        <v>160</v>
      </c>
      <c r="CU19" s="17">
        <f t="shared" si="3"/>
        <v>0</v>
      </c>
      <c r="CV19" s="17">
        <f t="shared" si="1"/>
        <v>0</v>
      </c>
    </row>
    <row r="20" spans="3:100">
      <c r="C20" s="16" t="s">
        <v>474</v>
      </c>
      <c r="D20" s="16">
        <v>0.25</v>
      </c>
      <c r="N20" s="170"/>
      <c r="O20" s="17" t="s">
        <v>383</v>
      </c>
      <c r="P20" s="17">
        <f>1-P14-P16</f>
        <v>0.19999999999999996</v>
      </c>
      <c r="Q20" s="17">
        <f t="shared" ref="Q20:S20" si="32">1-Q14-Q16</f>
        <v>0.2</v>
      </c>
      <c r="R20" s="17">
        <f t="shared" si="32"/>
        <v>0.20000000000000004</v>
      </c>
      <c r="S20" s="17">
        <f t="shared" si="32"/>
        <v>0.20000000000000009</v>
      </c>
      <c r="T20" s="17">
        <f t="shared" ref="T20" si="33">1-T14-T16</f>
        <v>0.20000000000000012</v>
      </c>
      <c r="V20" s="16">
        <v>95</v>
      </c>
      <c r="W20" s="16">
        <f t="shared" si="26"/>
        <v>1.1373078404460759</v>
      </c>
      <c r="X20" s="16">
        <f t="shared" si="27"/>
        <v>0.73581123800783199</v>
      </c>
      <c r="Y20" s="16">
        <f t="shared" si="28"/>
        <v>0.30395544951209491</v>
      </c>
      <c r="Z20" s="16">
        <f t="shared" si="29"/>
        <v>8.8454500472003927E-2</v>
      </c>
      <c r="AA20" s="16">
        <f t="shared" si="30"/>
        <v>4.786547432373231E-2</v>
      </c>
      <c r="AE20" s="17">
        <f>基础状态预期!C31</f>
        <v>130</v>
      </c>
      <c r="AF20" s="64">
        <f>求节点(P$7:P$9,Z$6:Z$8,基础状态预期!Q31)*P$6</f>
        <v>0</v>
      </c>
      <c r="AG20" s="64">
        <f>求节点(Q$7:Q$9,AA$6:AA$8,基础状态预期!R31)*Q$6</f>
        <v>0</v>
      </c>
      <c r="AH20" s="64">
        <f>求节点(R$7:R$9,AB$6:AB$8,基础状态预期!S31)*R$6</f>
        <v>0</v>
      </c>
      <c r="AI20" s="64">
        <f>求节点(S$7:S$9,AC$6:AC$8,基础状态预期!T31)*S$6</f>
        <v>2350167.2409825884</v>
      </c>
      <c r="AJ20" s="17">
        <f>SUMPRODUCT(AF20:AI20,基础状态预期!I31:L31)</f>
        <v>14101003.44589553</v>
      </c>
      <c r="AM20" s="16">
        <v>15</v>
      </c>
      <c r="AN20" s="16">
        <f t="shared" si="10"/>
        <v>0</v>
      </c>
      <c r="AO20" s="16">
        <f t="shared" si="11"/>
        <v>0</v>
      </c>
      <c r="AP20" s="16">
        <f t="shared" si="12"/>
        <v>0</v>
      </c>
      <c r="AQ20" s="16">
        <f t="shared" si="13"/>
        <v>0</v>
      </c>
      <c r="AR20" s="16">
        <f t="shared" si="14"/>
        <v>0</v>
      </c>
      <c r="AV20" s="16">
        <v>15</v>
      </c>
      <c r="AW20" s="16">
        <f>盗宝贼掉落!AI19</f>
        <v>486.40990293676111</v>
      </c>
      <c r="AX20" s="16">
        <f>盗宝贼掉落!AJ19</f>
        <v>613.46943225546249</v>
      </c>
      <c r="AY20" s="16">
        <f>盗宝贼掉落!AK19</f>
        <v>684.27121569141309</v>
      </c>
      <c r="AZ20" s="16">
        <f>盗宝贼掉落!AL19</f>
        <v>570.33413690184238</v>
      </c>
      <c r="BA20" s="16">
        <f>盗宝贼掉落!AM19</f>
        <v>318.04927419891214</v>
      </c>
      <c r="BC20" s="16">
        <f>盗宝贼掉落!AI19/AW20</f>
        <v>1</v>
      </c>
      <c r="BG20" s="41" t="e">
        <f t="shared" si="15"/>
        <v>#DIV/0!</v>
      </c>
      <c r="BH20" s="41" t="e">
        <f t="shared" si="16"/>
        <v>#DIV/0!</v>
      </c>
      <c r="BI20" s="41" t="e">
        <f t="shared" si="17"/>
        <v>#DIV/0!</v>
      </c>
      <c r="BJ20" s="41" t="e">
        <f t="shared" si="18"/>
        <v>#DIV/0!</v>
      </c>
      <c r="BK20" s="41" t="e">
        <f t="shared" si="19"/>
        <v>#DIV/0!</v>
      </c>
      <c r="BR20" s="16">
        <v>17</v>
      </c>
      <c r="BS20" s="17">
        <f>基础状态预期!C31</f>
        <v>130</v>
      </c>
      <c r="BT20" s="17">
        <f>求节点($E$5:$E$10,F$5:F$10,基础状态预期!M31)</f>
        <v>6</v>
      </c>
      <c r="BU20" s="17">
        <f>求节点($E$5:$E$10,G$5:G$10,基础状态预期!N31)</f>
        <v>32</v>
      </c>
      <c r="BV20" s="17">
        <f>求节点($E$5:$E$10,H$5:H$10,基础状态预期!O31)</f>
        <v>60</v>
      </c>
      <c r="BW20" s="17">
        <f>求节点($E$5:$E$10,I$5:I$10,基础状态预期!P31)</f>
        <v>72</v>
      </c>
      <c r="BX20" s="17">
        <f>MAX(SUMPRODUCT(BT20:BW20,基础状态预期!I31:L31)/6,BX19)</f>
        <v>72</v>
      </c>
      <c r="CA20" s="16">
        <v>15</v>
      </c>
      <c r="CB20" s="16">
        <f t="shared" si="20"/>
        <v>0</v>
      </c>
      <c r="CC20" s="16">
        <f t="shared" si="21"/>
        <v>0</v>
      </c>
      <c r="CD20" s="16">
        <f t="shared" si="22"/>
        <v>0</v>
      </c>
      <c r="CE20" s="16">
        <f t="shared" si="23"/>
        <v>0</v>
      </c>
      <c r="CF20" s="16">
        <f t="shared" si="24"/>
        <v>0</v>
      </c>
      <c r="CH20" s="16">
        <v>19</v>
      </c>
      <c r="CP20" s="16">
        <v>140</v>
      </c>
      <c r="CQ20" s="16">
        <v>0</v>
      </c>
    </row>
    <row r="21" spans="3:100" ht="11.25" customHeight="1">
      <c r="C21" s="16" t="s">
        <v>475</v>
      </c>
      <c r="D21" s="16">
        <v>0.18</v>
      </c>
      <c r="N21" s="170"/>
      <c r="O21" s="17"/>
      <c r="P21" s="17"/>
      <c r="Q21" s="17"/>
      <c r="R21" s="17"/>
      <c r="S21" s="17"/>
      <c r="T21" s="17"/>
      <c r="V21" s="16">
        <v>100</v>
      </c>
      <c r="W21" s="16">
        <f t="shared" si="26"/>
        <v>0.89641516056866155</v>
      </c>
      <c r="X21" s="16">
        <f t="shared" si="27"/>
        <v>0.6677159950236452</v>
      </c>
      <c r="Y21" s="16">
        <f t="shared" si="28"/>
        <v>0.17206893183891481</v>
      </c>
      <c r="Z21" s="16">
        <f t="shared" si="29"/>
        <v>0.13981618597901779</v>
      </c>
      <c r="AA21" s="16">
        <f t="shared" si="30"/>
        <v>7.5377133330202323E-2</v>
      </c>
      <c r="AE21" s="17">
        <f>基础状态预期!C32</f>
        <v>135</v>
      </c>
      <c r="AF21" s="64">
        <f>求节点(P$7:P$9,Z$6:Z$8,基础状态预期!Q32)*P$6</f>
        <v>0</v>
      </c>
      <c r="AG21" s="64">
        <f>求节点(Q$7:Q$9,AA$6:AA$8,基础状态预期!R32)*Q$6</f>
        <v>0</v>
      </c>
      <c r="AH21" s="64">
        <f>求节点(R$7:R$9,AB$6:AB$8,基础状态预期!S32)*R$6</f>
        <v>0</v>
      </c>
      <c r="AI21" s="64">
        <f>求节点(S$7:S$9,AC$6:AC$8,基础状态预期!T32)*S$6</f>
        <v>2350167.2409825884</v>
      </c>
      <c r="AJ21" s="17">
        <f>SUMPRODUCT(AF21:AI21,基础状态预期!I32:L32)</f>
        <v>14101003.44589553</v>
      </c>
      <c r="AM21" s="16">
        <v>16</v>
      </c>
      <c r="AN21" s="16">
        <f t="shared" si="10"/>
        <v>0</v>
      </c>
      <c r="AO21" s="16">
        <f t="shared" si="11"/>
        <v>0</v>
      </c>
      <c r="AP21" s="16">
        <f t="shared" si="12"/>
        <v>0</v>
      </c>
      <c r="AQ21" s="16">
        <f t="shared" si="13"/>
        <v>0</v>
      </c>
      <c r="AR21" s="16">
        <f t="shared" si="14"/>
        <v>0</v>
      </c>
      <c r="AV21" s="16">
        <v>16</v>
      </c>
      <c r="AW21" s="16">
        <f>盗宝贼掉落!AI20</f>
        <v>558.52038969974228</v>
      </c>
      <c r="AX21" s="16">
        <f>盗宝贼掉落!AJ20</f>
        <v>706.19169995962511</v>
      </c>
      <c r="AY21" s="16">
        <f>盗宝贼掉落!AK20</f>
        <v>787.56814974675274</v>
      </c>
      <c r="AZ21" s="16">
        <f>盗宝贼掉落!AL20</f>
        <v>660.11259838770491</v>
      </c>
      <c r="BA21" s="16">
        <f>盗宝贼掉落!AM20</f>
        <v>371.70882760858973</v>
      </c>
      <c r="BC21" s="16">
        <f>盗宝贼掉落!AI20/AW21</f>
        <v>1</v>
      </c>
      <c r="BG21" s="41" t="e">
        <f t="shared" si="15"/>
        <v>#DIV/0!</v>
      </c>
      <c r="BH21" s="41" t="e">
        <f t="shared" si="16"/>
        <v>#DIV/0!</v>
      </c>
      <c r="BI21" s="41" t="e">
        <f t="shared" si="17"/>
        <v>#DIV/0!</v>
      </c>
      <c r="BJ21" s="41" t="e">
        <f t="shared" si="18"/>
        <v>#DIV/0!</v>
      </c>
      <c r="BK21" s="41" t="e">
        <f t="shared" si="19"/>
        <v>#DIV/0!</v>
      </c>
      <c r="BR21" s="16">
        <v>18</v>
      </c>
      <c r="BS21" s="17">
        <f>基础状态预期!C32</f>
        <v>135</v>
      </c>
      <c r="BT21" s="17">
        <f>求节点($E$5:$E$10,F$5:F$10,基础状态预期!M32)</f>
        <v>6</v>
      </c>
      <c r="BU21" s="17">
        <f>求节点($E$5:$E$10,G$5:G$10,基础状态预期!N32)</f>
        <v>32</v>
      </c>
      <c r="BV21" s="17">
        <f>求节点($E$5:$E$10,H$5:H$10,基础状态预期!O32)</f>
        <v>60</v>
      </c>
      <c r="BW21" s="17">
        <f>求节点($E$5:$E$10,I$5:I$10,基础状态预期!P32)</f>
        <v>72</v>
      </c>
      <c r="BX21" s="17">
        <f>MAX(SUMPRODUCT(BT21:BW21,基础状态预期!I32:L32)/6,BX20)</f>
        <v>72</v>
      </c>
      <c r="CA21" s="16">
        <v>16</v>
      </c>
      <c r="CB21" s="16">
        <f t="shared" si="20"/>
        <v>0</v>
      </c>
      <c r="CC21" s="16">
        <f t="shared" si="21"/>
        <v>0</v>
      </c>
      <c r="CD21" s="16">
        <f t="shared" si="22"/>
        <v>0</v>
      </c>
      <c r="CE21" s="16">
        <f t="shared" si="23"/>
        <v>0</v>
      </c>
      <c r="CF21" s="16">
        <f t="shared" si="24"/>
        <v>0</v>
      </c>
      <c r="CH21" s="16">
        <v>20</v>
      </c>
      <c r="CP21" s="16">
        <v>145</v>
      </c>
      <c r="CQ21" s="16">
        <v>0</v>
      </c>
    </row>
    <row r="22" spans="3:100" ht="11.25" customHeight="1">
      <c r="C22" s="16" t="s">
        <v>476</v>
      </c>
      <c r="D22" s="16">
        <v>0.24</v>
      </c>
      <c r="N22" s="170"/>
      <c r="O22" s="51" t="s">
        <v>291</v>
      </c>
      <c r="P22" s="17">
        <f t="shared" ref="P22:R22" si="34">P14^P$5*AVERAGE(P12:P13)*P$5+
IF(P$5&gt;1,MAX(MAX(P14^(P$5-1)*(1-P14)*AVERAGE(P12:P13)*(P$5-1)*MIN(((P13-P18)*(P$5-1))/((P19-P18)*1),1)*MIN((P13-P18)/(P13-P12),1),0)-P14^(P$5-1)*(P20)*(P13*(P$5-1)/1+P18)/2*1,0),0)+
IF(P$5&gt;2,MAX(MAX(P14^(P$5-2)*(1-P14)^2*AVERAGE(P12:P13)*(P$5-2)*MIN(((P13-P18)*(P$5-2))/((P19-P18)*2),1)*MIN((P13-P18)/(P13-P12),1),0)-P14^(P$5-2)*(P20^2+P20*P16*2)*(P13*(P$5-2)/2+P18)/2*2,0),0)</f>
        <v>1.2E-2</v>
      </c>
      <c r="Q22" s="17">
        <f t="shared" si="34"/>
        <v>1.6875000000000001E-2</v>
      </c>
      <c r="R22" s="17">
        <f t="shared" si="34"/>
        <v>1.5924999999999995E-2</v>
      </c>
      <c r="S22" s="17">
        <f>S14^S$5*AVERAGE(S12:S13)*S$5+
IF(S$5&gt;1,MAX(MAX(S14^(S$5-1)*(1-S14)*AVERAGE(S12:S13)*(S$5-1)*MIN(((S13-S18)*(S$5-1))/((S19-S18)*1),1)*MIN((S13-S18)/(S13-S12),1),0)-S14^(S$5-1)*(S20)*(S13*(S$5-1)/1+S18)/2*1,0),0)+
IF(S$5&gt;2,MAX(MAX(S14^(S$5-2)*(1-S14)^2*AVERAGE(S12:S13)*(S$5-2)*MIN(((S13-S18)*(S$5-2))/((S19-S18)*2),1)*MIN((S13-S18)/(S13-S12),1),0)-S14^(S$5-2)*(S20^2+S20*S16*2)*(S13*(S$5-2)/2+S18)/2*2,0),0)</f>
        <v>1.3308749999999992E-2</v>
      </c>
      <c r="T22" s="17">
        <f>T14^T$5*AVERAGE(T12:T13)*T$5+
IF(T$5&gt;1,MAX(MAX(T14^(T$5-1)*(1-T14)*AVERAGE(T12:T13)*(T$5-1)*MIN(((T13-T18)*(T$5-1))/((T19-T18)*1),1)*MIN((T13-T18)/(T13-T12),1),0)-T14^(T$5-1)*(T20)*(T13*(T$5-1)/1+T18)/2*1,0),0)+
IF(T$5&gt;2,MAX(MAX(T14^(T$5-2)*(1-T14)^2*AVERAGE(T12:T13)*(T$5-2)*MIN(((T13-T18)*(T$5-2))/((T19-T18)*2),1)*MIN((T13-T18)/(T13-T12),1),0)-T14^(T$5-2)*(T20^2+T20*T16*2)*(T13*(T$5-2)/2+T18)/2*2,0),0)</f>
        <v>1.0979999999999992E-2</v>
      </c>
      <c r="V22" s="16">
        <v>105</v>
      </c>
      <c r="W22" s="16">
        <f t="shared" si="26"/>
        <v>0.79884619485252983</v>
      </c>
      <c r="X22" s="16">
        <f t="shared" si="27"/>
        <v>0.30848453371068285</v>
      </c>
      <c r="Y22" s="77">
        <f t="shared" si="28"/>
        <v>0.26007520874226925</v>
      </c>
      <c r="Z22" s="16">
        <f t="shared" si="29"/>
        <v>0.21122006533855789</v>
      </c>
      <c r="AA22" s="16">
        <f t="shared" si="30"/>
        <v>0.11418385905327973</v>
      </c>
      <c r="AE22" s="17">
        <f>基础状态预期!C33</f>
        <v>140</v>
      </c>
      <c r="AF22" s="64">
        <f>求节点(P$7:P$9,Z$6:Z$8,基础状态预期!Q33)*P$6</f>
        <v>0</v>
      </c>
      <c r="AG22" s="64">
        <f>求节点(Q$7:Q$9,AA$6:AA$8,基础状态预期!R33)*Q$6</f>
        <v>0</v>
      </c>
      <c r="AH22" s="64">
        <f>求节点(R$7:R$9,AB$6:AB$8,基础状态预期!S33)*R$6</f>
        <v>0</v>
      </c>
      <c r="AI22" s="64">
        <f>求节点(S$7:S$9,AC$6:AC$8,基础状态预期!T33)*S$6</f>
        <v>2350167.2409825884</v>
      </c>
      <c r="AJ22" s="17">
        <f>SUMPRODUCT(AF22:AI22,基础状态预期!I33:L33)</f>
        <v>14101003.44589553</v>
      </c>
      <c r="AM22" s="16">
        <v>17</v>
      </c>
      <c r="AN22" s="16">
        <f t="shared" si="10"/>
        <v>0</v>
      </c>
      <c r="AO22" s="16">
        <f t="shared" si="11"/>
        <v>0</v>
      </c>
      <c r="AP22" s="16">
        <f t="shared" si="12"/>
        <v>0</v>
      </c>
      <c r="AQ22" s="16">
        <f t="shared" si="13"/>
        <v>0</v>
      </c>
      <c r="AR22" s="16">
        <f t="shared" si="14"/>
        <v>0</v>
      </c>
      <c r="AV22" s="16">
        <v>17</v>
      </c>
      <c r="AW22" s="16">
        <f>盗宝贼掉落!AI21</f>
        <v>638.69030571135545</v>
      </c>
      <c r="AX22" s="16">
        <f>盗宝贼掉落!AJ21</f>
        <v>805.34761604870198</v>
      </c>
      <c r="AY22" s="16">
        <f>盗宝贼掉落!AK21</f>
        <v>897.35873242449054</v>
      </c>
      <c r="AZ22" s="16">
        <f>盗宝贼掉落!AL21</f>
        <v>752.82962145603801</v>
      </c>
      <c r="BA22" s="16">
        <f>盗宝贼掉落!AM21</f>
        <v>419.98392654186461</v>
      </c>
      <c r="BC22" s="16">
        <f>盗宝贼掉落!AI21/AW22</f>
        <v>1</v>
      </c>
      <c r="BG22" s="41" t="e">
        <f t="shared" si="15"/>
        <v>#DIV/0!</v>
      </c>
      <c r="BH22" s="41" t="e">
        <f t="shared" si="16"/>
        <v>#DIV/0!</v>
      </c>
      <c r="BI22" s="41" t="e">
        <f t="shared" si="17"/>
        <v>#DIV/0!</v>
      </c>
      <c r="BJ22" s="41" t="e">
        <f t="shared" si="18"/>
        <v>#DIV/0!</v>
      </c>
      <c r="BK22" s="41" t="e">
        <f t="shared" si="19"/>
        <v>#DIV/0!</v>
      </c>
      <c r="BR22" s="16">
        <v>19</v>
      </c>
      <c r="BS22" s="17">
        <f>基础状态预期!C33</f>
        <v>140</v>
      </c>
      <c r="BT22" s="17">
        <f>求节点($E$5:$E$10,F$5:F$10,基础状态预期!M33)</f>
        <v>6</v>
      </c>
      <c r="BU22" s="17">
        <f>求节点($E$5:$E$10,G$5:G$10,基础状态预期!N33)</f>
        <v>32</v>
      </c>
      <c r="BV22" s="17">
        <f>求节点($E$5:$E$10,H$5:H$10,基础状态预期!O33)</f>
        <v>60</v>
      </c>
      <c r="BW22" s="17">
        <f>求节点($E$5:$E$10,I$5:I$10,基础状态预期!P33)</f>
        <v>72</v>
      </c>
      <c r="BX22" s="17">
        <f>MAX(SUMPRODUCT(BT22:BW22,基础状态预期!I33:L33)/6,BX21)</f>
        <v>72</v>
      </c>
      <c r="CA22" s="16">
        <v>17</v>
      </c>
      <c r="CB22" s="16">
        <f t="shared" si="20"/>
        <v>0</v>
      </c>
      <c r="CC22" s="16">
        <f t="shared" si="21"/>
        <v>0</v>
      </c>
      <c r="CD22" s="16">
        <f t="shared" si="22"/>
        <v>0</v>
      </c>
      <c r="CE22" s="16">
        <f t="shared" si="23"/>
        <v>0</v>
      </c>
      <c r="CF22" s="16">
        <f t="shared" si="24"/>
        <v>0</v>
      </c>
      <c r="CH22" s="16">
        <v>21</v>
      </c>
      <c r="CP22" s="16">
        <v>150</v>
      </c>
      <c r="CQ22" s="16">
        <v>0</v>
      </c>
    </row>
    <row r="23" spans="3:100">
      <c r="C23" s="16" t="s">
        <v>477</v>
      </c>
      <c r="D23" s="16">
        <v>600</v>
      </c>
      <c r="N23" s="170"/>
      <c r="O23" s="51" t="s">
        <v>408</v>
      </c>
      <c r="P23" s="17">
        <f>P7*P5/P22</f>
        <v>27.777777777777775</v>
      </c>
      <c r="Q23" s="17">
        <f>Q7*Q5/Q22</f>
        <v>39.506172839506171</v>
      </c>
      <c r="R23" s="17">
        <f>R7*R5/R22</f>
        <v>62.794348508634243</v>
      </c>
      <c r="S23" s="17">
        <f>S7*S5/S22</f>
        <v>75.138536676998257</v>
      </c>
      <c r="T23" s="17">
        <f>T7*T5/T22</f>
        <v>91.074681238615739</v>
      </c>
      <c r="V23" s="16">
        <v>110</v>
      </c>
      <c r="W23" s="16">
        <f t="shared" si="26"/>
        <v>0.36907235245554393</v>
      </c>
      <c r="X23" s="77">
        <f t="shared" si="27"/>
        <v>0.35292039525873387</v>
      </c>
      <c r="Y23" s="16">
        <f t="shared" si="28"/>
        <v>0.3842081682810361</v>
      </c>
      <c r="Z23" s="16">
        <f t="shared" si="29"/>
        <v>0.31128584585657731</v>
      </c>
      <c r="AA23" s="16">
        <f t="shared" si="30"/>
        <v>0.16830389381698274</v>
      </c>
      <c r="AE23" s="17">
        <f>基础状态预期!C34</f>
        <v>145</v>
      </c>
      <c r="AF23" s="64">
        <f>求节点(P$7:P$9,Z$6:Z$8,基础状态预期!Q34)*P$6</f>
        <v>0</v>
      </c>
      <c r="AG23" s="64">
        <f>求节点(Q$7:Q$9,AA$6:AA$8,基础状态预期!R34)*Q$6</f>
        <v>0</v>
      </c>
      <c r="AH23" s="64">
        <f>求节点(R$7:R$9,AB$6:AB$8,基础状态预期!S34)*R$6</f>
        <v>0</v>
      </c>
      <c r="AI23" s="64">
        <f>求节点(S$7:S$9,AC$6:AC$8,基础状态预期!T34)*S$6</f>
        <v>2350167.2409825884</v>
      </c>
      <c r="AJ23" s="17">
        <f>SUMPRODUCT(AF23:AI23,基础状态预期!I34:L34)</f>
        <v>14101003.44589553</v>
      </c>
      <c r="AM23" s="16">
        <v>18</v>
      </c>
      <c r="AN23" s="16">
        <f t="shared" si="10"/>
        <v>0</v>
      </c>
      <c r="AO23" s="16">
        <f t="shared" si="11"/>
        <v>0</v>
      </c>
      <c r="AP23" s="16">
        <f t="shared" si="12"/>
        <v>0</v>
      </c>
      <c r="AQ23" s="16">
        <f t="shared" si="13"/>
        <v>0</v>
      </c>
      <c r="AR23" s="16">
        <f t="shared" si="14"/>
        <v>0</v>
      </c>
      <c r="AV23" s="16">
        <v>18</v>
      </c>
      <c r="AW23" s="16">
        <f>盗宝贼掉落!AI22</f>
        <v>727.70508513870436</v>
      </c>
      <c r="AX23" s="16">
        <f>盗宝贼掉落!AJ22</f>
        <v>921.10606699108814</v>
      </c>
      <c r="AY23" s="16">
        <f>盗宝贼掉落!AK22</f>
        <v>1032.2020657933062</v>
      </c>
      <c r="AZ23" s="16">
        <f>盗宝贼掉落!AL22</f>
        <v>866.01523524790537</v>
      </c>
      <c r="BA23" s="16">
        <f>盗宝贼掉落!AM22</f>
        <v>481.89624894133226</v>
      </c>
      <c r="BC23" s="16">
        <f>盗宝贼掉落!AI22/AW23</f>
        <v>1</v>
      </c>
      <c r="BG23" s="41" t="e">
        <f t="shared" si="15"/>
        <v>#DIV/0!</v>
      </c>
      <c r="BH23" s="41" t="e">
        <f t="shared" si="16"/>
        <v>#DIV/0!</v>
      </c>
      <c r="BI23" s="41" t="e">
        <f t="shared" si="17"/>
        <v>#DIV/0!</v>
      </c>
      <c r="BJ23" s="41" t="e">
        <f t="shared" si="18"/>
        <v>#DIV/0!</v>
      </c>
      <c r="BK23" s="41" t="e">
        <f t="shared" si="19"/>
        <v>#DIV/0!</v>
      </c>
      <c r="BR23" s="16">
        <v>20</v>
      </c>
      <c r="BS23" s="17">
        <f>基础状态预期!C34</f>
        <v>145</v>
      </c>
      <c r="BT23" s="17">
        <f>求节点($E$5:$E$10,F$5:F$10,基础状态预期!M34)</f>
        <v>6</v>
      </c>
      <c r="BU23" s="17">
        <f>求节点($E$5:$E$10,G$5:G$10,基础状态预期!N34)</f>
        <v>32</v>
      </c>
      <c r="BV23" s="17">
        <f>求节点($E$5:$E$10,H$5:H$10,基础状态预期!O34)</f>
        <v>60</v>
      </c>
      <c r="BW23" s="17">
        <f>求节点($E$5:$E$10,I$5:I$10,基础状态预期!P34)</f>
        <v>72</v>
      </c>
      <c r="BX23" s="17">
        <f>MAX(SUMPRODUCT(BT23:BW23,基础状态预期!I34:L34)/6,BX22)</f>
        <v>72</v>
      </c>
      <c r="CA23" s="16">
        <v>18</v>
      </c>
      <c r="CB23" s="16">
        <f t="shared" si="20"/>
        <v>0</v>
      </c>
      <c r="CC23" s="16">
        <f t="shared" si="21"/>
        <v>0</v>
      </c>
      <c r="CD23" s="16">
        <f t="shared" si="22"/>
        <v>0</v>
      </c>
      <c r="CE23" s="16">
        <f t="shared" si="23"/>
        <v>0</v>
      </c>
      <c r="CF23" s="16">
        <f t="shared" si="24"/>
        <v>0</v>
      </c>
      <c r="CH23" s="16">
        <v>22</v>
      </c>
      <c r="CP23" s="16">
        <v>155</v>
      </c>
      <c r="CQ23" s="16">
        <v>0</v>
      </c>
    </row>
    <row r="24" spans="3:100">
      <c r="C24" s="16" t="s">
        <v>479</v>
      </c>
      <c r="D24" s="16">
        <v>600</v>
      </c>
      <c r="V24" s="16">
        <v>115</v>
      </c>
      <c r="W24" s="16">
        <f t="shared" ref="W24:W33" si="35">INDEX(BG$6:BG$165,$V24)</f>
        <v>0.41687714069893705</v>
      </c>
      <c r="X24" s="16">
        <f t="shared" ref="X24:X33" si="36">INDEX(BH$6:BH$165,$V24)</f>
        <v>0.51613628486242491</v>
      </c>
      <c r="Y24" s="16">
        <f t="shared" ref="Y24:Y33" si="37">INDEX(BI$6:BI$165,$V24)</f>
        <v>0.56012812910969567</v>
      </c>
      <c r="Z24" s="16">
        <f t="shared" ref="Z24:Z33" si="38">INDEX(BJ$6:BJ$165,$V24)</f>
        <v>0.45235403531546214</v>
      </c>
      <c r="AA24" s="16">
        <f t="shared" ref="AA24:AA33" si="39">INDEX(BK$6:BK$165,$V24)</f>
        <v>0.2436886367689699</v>
      </c>
      <c r="AE24" s="17">
        <f>基础状态预期!C35</f>
        <v>150</v>
      </c>
      <c r="AF24" s="64">
        <f>求节点(P$7:P$9,Z$6:Z$8,基础状态预期!Q35)*P$6</f>
        <v>0</v>
      </c>
      <c r="AG24" s="64">
        <f>求节点(Q$7:Q$9,AA$6:AA$8,基础状态预期!R35)*Q$6</f>
        <v>0</v>
      </c>
      <c r="AH24" s="64">
        <f>求节点(R$7:R$9,AB$6:AB$8,基础状态预期!S35)*R$6</f>
        <v>0</v>
      </c>
      <c r="AI24" s="64">
        <f>求节点(S$7:S$9,AC$6:AC$8,基础状态预期!T35)*S$6</f>
        <v>2350167.2409825884</v>
      </c>
      <c r="AJ24" s="17">
        <f>SUMPRODUCT(AF24:AI24,基础状态预期!I35:L35)</f>
        <v>14101003.44589553</v>
      </c>
      <c r="AM24" s="16">
        <v>19</v>
      </c>
      <c r="AN24" s="16">
        <f t="shared" si="10"/>
        <v>0</v>
      </c>
      <c r="AO24" s="16">
        <f t="shared" si="11"/>
        <v>0</v>
      </c>
      <c r="AP24" s="16">
        <f t="shared" si="12"/>
        <v>0</v>
      </c>
      <c r="AQ24" s="16">
        <f t="shared" si="13"/>
        <v>0</v>
      </c>
      <c r="AR24" s="16">
        <f t="shared" si="14"/>
        <v>0</v>
      </c>
      <c r="AV24" s="16">
        <v>19</v>
      </c>
      <c r="AW24" s="16">
        <f>盗宝贼掉落!AI23</f>
        <v>826.42139122342212</v>
      </c>
      <c r="AX24" s="16">
        <f>盗宝贼掉落!AJ23</f>
        <v>1048.7230585233181</v>
      </c>
      <c r="AY24" s="16">
        <f>盗宝贼掉落!AK23</f>
        <v>1174.371542969332</v>
      </c>
      <c r="AZ24" s="16">
        <f>盗宝贼掉落!AL23</f>
        <v>983.57815260947075</v>
      </c>
      <c r="BA24" s="16">
        <f>盗宝贼掉落!AM23</f>
        <v>550.13031683160193</v>
      </c>
      <c r="BC24" s="16">
        <f>盗宝贼掉落!AI23/AW24</f>
        <v>1</v>
      </c>
      <c r="BG24" s="41" t="e">
        <f t="shared" si="15"/>
        <v>#DIV/0!</v>
      </c>
      <c r="BH24" s="41" t="e">
        <f t="shared" si="16"/>
        <v>#DIV/0!</v>
      </c>
      <c r="BI24" s="41" t="e">
        <f t="shared" si="17"/>
        <v>#DIV/0!</v>
      </c>
      <c r="BJ24" s="41" t="e">
        <f t="shared" si="18"/>
        <v>#DIV/0!</v>
      </c>
      <c r="BK24" s="41" t="e">
        <f t="shared" si="19"/>
        <v>#DIV/0!</v>
      </c>
      <c r="BR24" s="16">
        <v>21</v>
      </c>
      <c r="BS24" s="17">
        <f>基础状态预期!C35</f>
        <v>150</v>
      </c>
      <c r="BT24" s="17">
        <f>求节点($E$5:$E$10,F$5:F$10,基础状态预期!M35)</f>
        <v>6</v>
      </c>
      <c r="BU24" s="17">
        <f>求节点($E$5:$E$10,G$5:G$10,基础状态预期!N35)</f>
        <v>32</v>
      </c>
      <c r="BV24" s="17">
        <f>求节点($E$5:$E$10,H$5:H$10,基础状态预期!O35)</f>
        <v>60</v>
      </c>
      <c r="BW24" s="17">
        <f>求节点($E$5:$E$10,I$5:I$10,基础状态预期!P35)</f>
        <v>72</v>
      </c>
      <c r="BX24" s="17">
        <f>MAX(SUMPRODUCT(BT24:BW24,基础状态预期!I35:L35)/6,BX23)</f>
        <v>72</v>
      </c>
      <c r="CA24" s="16">
        <v>19</v>
      </c>
      <c r="CB24" s="16">
        <f t="shared" si="20"/>
        <v>0</v>
      </c>
      <c r="CC24" s="16">
        <f t="shared" si="21"/>
        <v>0</v>
      </c>
      <c r="CD24" s="16">
        <f t="shared" si="22"/>
        <v>0</v>
      </c>
      <c r="CE24" s="16">
        <f t="shared" si="23"/>
        <v>0</v>
      </c>
      <c r="CF24" s="16">
        <f t="shared" si="24"/>
        <v>0</v>
      </c>
      <c r="CH24" s="16">
        <v>23</v>
      </c>
      <c r="CP24" s="16">
        <v>160</v>
      </c>
      <c r="CQ24" s="16">
        <v>0</v>
      </c>
    </row>
    <row r="25" spans="3:100">
      <c r="C25" s="16" t="s">
        <v>480</v>
      </c>
      <c r="D25" s="16">
        <v>800</v>
      </c>
      <c r="V25" s="16">
        <v>120</v>
      </c>
      <c r="W25" s="77">
        <f>INDEX(BG$6:BG$165,$V25)</f>
        <v>0.60316477625327725</v>
      </c>
      <c r="X25" s="16">
        <f t="shared" si="36"/>
        <v>0.74751410505174842</v>
      </c>
      <c r="Y25" s="16">
        <f t="shared" si="37"/>
        <v>0.81263399125595781</v>
      </c>
      <c r="Z25" s="16">
        <f t="shared" si="38"/>
        <v>0.65450596132210026</v>
      </c>
      <c r="AA25" s="16">
        <f t="shared" si="39"/>
        <v>0.35116545930866061</v>
      </c>
      <c r="AE25" s="17">
        <f>基础状态预期!C36</f>
        <v>155</v>
      </c>
      <c r="AF25" s="64">
        <f>求节点(P$7:P$9,Z$6:Z$8,基础状态预期!Q36)*P$6</f>
        <v>0</v>
      </c>
      <c r="AG25" s="64">
        <f>求节点(Q$7:Q$9,AA$6:AA$8,基础状态预期!R36)*Q$6</f>
        <v>0</v>
      </c>
      <c r="AH25" s="64">
        <f>求节点(R$7:R$9,AB$6:AB$8,基础状态预期!S36)*R$6</f>
        <v>0</v>
      </c>
      <c r="AI25" s="64">
        <f>求节点(S$7:S$9,AC$6:AC$8,基础状态预期!T36)*S$6</f>
        <v>2350167.2409825884</v>
      </c>
      <c r="AJ25" s="17">
        <f>SUMPRODUCT(AF25:AI25,基础状态预期!I36:L36)</f>
        <v>14101003.44589553</v>
      </c>
      <c r="AM25" s="16">
        <v>20</v>
      </c>
      <c r="AN25" s="16">
        <f t="shared" si="10"/>
        <v>0</v>
      </c>
      <c r="AO25" s="16">
        <f t="shared" si="11"/>
        <v>0</v>
      </c>
      <c r="AP25" s="16">
        <f t="shared" si="12"/>
        <v>0</v>
      </c>
      <c r="AQ25" s="16">
        <f t="shared" si="13"/>
        <v>0</v>
      </c>
      <c r="AR25" s="16">
        <f t="shared" si="14"/>
        <v>0</v>
      </c>
      <c r="AV25" s="16">
        <v>20</v>
      </c>
      <c r="AW25" s="16">
        <f>盗宝贼掉落!AI24</f>
        <v>935.77329488722353</v>
      </c>
      <c r="AX25" s="16">
        <f>盗宝贼掉落!AJ24</f>
        <v>1185.6568508709518</v>
      </c>
      <c r="AY25" s="16">
        <f>盗宝贼掉落!AK24</f>
        <v>1324.7316714909</v>
      </c>
      <c r="AZ25" s="16">
        <f>盗宝贼掉落!AL24</f>
        <v>1112.0428420169344</v>
      </c>
      <c r="BA25" s="16">
        <f>盗宝贼掉落!AM24</f>
        <v>620.6970577875245</v>
      </c>
      <c r="BC25" s="16">
        <f>盗宝贼掉落!AI24/AW25</f>
        <v>1</v>
      </c>
      <c r="BG25" s="41" t="e">
        <f t="shared" si="15"/>
        <v>#DIV/0!</v>
      </c>
      <c r="BH25" s="41" t="e">
        <f t="shared" si="16"/>
        <v>#DIV/0!</v>
      </c>
      <c r="BI25" s="41" t="e">
        <f t="shared" si="17"/>
        <v>#DIV/0!</v>
      </c>
      <c r="BJ25" s="41" t="e">
        <f t="shared" si="18"/>
        <v>#DIV/0!</v>
      </c>
      <c r="BK25" s="41" t="e">
        <f t="shared" si="19"/>
        <v>#DIV/0!</v>
      </c>
      <c r="BR25" s="16">
        <v>22</v>
      </c>
      <c r="BS25" s="17">
        <f>基础状态预期!C36</f>
        <v>155</v>
      </c>
      <c r="BT25" s="17">
        <f>求节点($E$5:$E$10,F$5:F$10,基础状态预期!M36)</f>
        <v>6</v>
      </c>
      <c r="BU25" s="17">
        <f>求节点($E$5:$E$10,G$5:G$10,基础状态预期!N36)</f>
        <v>32</v>
      </c>
      <c r="BV25" s="17">
        <f>求节点($E$5:$E$10,H$5:H$10,基础状态预期!O36)</f>
        <v>60</v>
      </c>
      <c r="BW25" s="17">
        <f>求节点($E$5:$E$10,I$5:I$10,基础状态预期!P36)</f>
        <v>72</v>
      </c>
      <c r="BX25" s="17">
        <f>MAX(SUMPRODUCT(BT25:BW25,基础状态预期!I36:L36)/6,BX24)</f>
        <v>72</v>
      </c>
      <c r="CA25" s="16">
        <v>20</v>
      </c>
      <c r="CB25" s="16">
        <f t="shared" si="20"/>
        <v>0</v>
      </c>
      <c r="CC25" s="16">
        <f t="shared" si="21"/>
        <v>0</v>
      </c>
      <c r="CD25" s="16">
        <f t="shared" si="22"/>
        <v>0</v>
      </c>
      <c r="CE25" s="16">
        <f t="shared" si="23"/>
        <v>0</v>
      </c>
      <c r="CF25" s="16">
        <f t="shared" si="24"/>
        <v>0</v>
      </c>
      <c r="CH25" s="16">
        <v>24</v>
      </c>
    </row>
    <row r="26" spans="3:100">
      <c r="N26" s="170" t="s">
        <v>368</v>
      </c>
      <c r="O26" s="17" t="s">
        <v>384</v>
      </c>
      <c r="P26" s="17">
        <v>0.01</v>
      </c>
      <c r="Q26" s="17">
        <v>0.01</v>
      </c>
      <c r="R26" s="17">
        <v>0.01</v>
      </c>
      <c r="S26" s="17">
        <v>0.01</v>
      </c>
      <c r="T26" s="17">
        <v>0.01</v>
      </c>
      <c r="V26" s="16">
        <v>125</v>
      </c>
      <c r="W26" s="16">
        <f t="shared" si="35"/>
        <v>0.86661527695664164</v>
      </c>
      <c r="X26" s="16">
        <f t="shared" si="36"/>
        <v>1.0715563559351082</v>
      </c>
      <c r="Y26" s="16">
        <f t="shared" si="37"/>
        <v>1.1653016621260472</v>
      </c>
      <c r="Z26" s="16">
        <f t="shared" si="38"/>
        <v>0.9423710058255762</v>
      </c>
      <c r="AA26" s="16">
        <f t="shared" si="39"/>
        <v>0.50481001852319007</v>
      </c>
      <c r="AE26" s="17">
        <f>基础状态预期!C37</f>
        <v>160</v>
      </c>
      <c r="AF26" s="64">
        <f>求节点(P$7:P$9,Z$6:Z$8,基础状态预期!Q37)*P$6</f>
        <v>0</v>
      </c>
      <c r="AG26" s="64">
        <f>求节点(Q$7:Q$9,AA$6:AA$8,基础状态预期!R37)*Q$6</f>
        <v>0</v>
      </c>
      <c r="AH26" s="64">
        <f>求节点(R$7:R$9,AB$6:AB$8,基础状态预期!S37)*R$6</f>
        <v>0</v>
      </c>
      <c r="AI26" s="64">
        <f>求节点(S$7:S$9,AC$6:AC$8,基础状态预期!T37)*S$6</f>
        <v>2350167.2409825884</v>
      </c>
      <c r="AJ26" s="17">
        <f>SUMPRODUCT(AF26:AI26,基础状态预期!I37:L37)</f>
        <v>14101003.44589553</v>
      </c>
      <c r="AM26" s="16">
        <v>21</v>
      </c>
      <c r="AN26" s="16">
        <f t="shared" si="10"/>
        <v>0</v>
      </c>
      <c r="AO26" s="16">
        <f t="shared" si="11"/>
        <v>0</v>
      </c>
      <c r="AP26" s="16">
        <f t="shared" si="12"/>
        <v>0</v>
      </c>
      <c r="AQ26" s="16">
        <f t="shared" si="13"/>
        <v>0</v>
      </c>
      <c r="AR26" s="16">
        <f t="shared" si="14"/>
        <v>0</v>
      </c>
      <c r="AV26" s="16">
        <v>21</v>
      </c>
      <c r="AW26" s="16">
        <f>盗宝贼掉落!AI25</f>
        <v>1056.7789733256998</v>
      </c>
      <c r="AX26" s="16">
        <f>盗宝贼掉落!AJ25</f>
        <v>1338.0165846300033</v>
      </c>
      <c r="AY26" s="16">
        <f>盗宝贼掉落!AK25</f>
        <v>1499.3777541556303</v>
      </c>
      <c r="AZ26" s="16">
        <f>盗宝贼掉落!AL25</f>
        <v>1259.7144496249111</v>
      </c>
      <c r="BA26" s="16">
        <f>盗宝贼掉落!AM25</f>
        <v>707.30107733304953</v>
      </c>
      <c r="BC26" s="16">
        <f>盗宝贼掉落!AI25/AW26</f>
        <v>1</v>
      </c>
      <c r="BG26" s="41" t="e">
        <f t="shared" si="15"/>
        <v>#DIV/0!</v>
      </c>
      <c r="BH26" s="41" t="e">
        <f t="shared" si="16"/>
        <v>#DIV/0!</v>
      </c>
      <c r="BI26" s="41" t="e">
        <f t="shared" si="17"/>
        <v>#DIV/0!</v>
      </c>
      <c r="BJ26" s="41" t="e">
        <f t="shared" si="18"/>
        <v>#DIV/0!</v>
      </c>
      <c r="BK26" s="41" t="e">
        <f t="shared" si="19"/>
        <v>#DIV/0!</v>
      </c>
      <c r="BR26" s="16">
        <v>23</v>
      </c>
      <c r="BS26" s="17">
        <f>基础状态预期!C37</f>
        <v>160</v>
      </c>
      <c r="BT26" s="17">
        <f>求节点($E$5:$E$10,F$5:F$10,基础状态预期!M37)</f>
        <v>6</v>
      </c>
      <c r="BU26" s="17">
        <f>求节点($E$5:$E$10,G$5:G$10,基础状态预期!N37)</f>
        <v>32</v>
      </c>
      <c r="BV26" s="17">
        <f>求节点($E$5:$E$10,H$5:H$10,基础状态预期!O37)</f>
        <v>60</v>
      </c>
      <c r="BW26" s="17">
        <f>求节点($E$5:$E$10,I$5:I$10,基础状态预期!P37)</f>
        <v>72</v>
      </c>
      <c r="BX26" s="17">
        <f>MAX(SUMPRODUCT(BT26:BW26,基础状态预期!I37:L37)/6,BX25)</f>
        <v>72</v>
      </c>
      <c r="CA26" s="16">
        <v>21</v>
      </c>
      <c r="CB26" s="16">
        <f t="shared" si="20"/>
        <v>0</v>
      </c>
      <c r="CC26" s="16">
        <f t="shared" si="21"/>
        <v>0</v>
      </c>
      <c r="CD26" s="16">
        <f t="shared" si="22"/>
        <v>0</v>
      </c>
      <c r="CE26" s="16">
        <f t="shared" si="23"/>
        <v>0</v>
      </c>
      <c r="CF26" s="16">
        <f t="shared" si="24"/>
        <v>0</v>
      </c>
      <c r="CH26" s="16">
        <v>25</v>
      </c>
    </row>
    <row r="27" spans="3:100">
      <c r="C27" s="164" t="s">
        <v>469</v>
      </c>
      <c r="D27" s="164"/>
      <c r="E27" s="164"/>
      <c r="F27" s="164"/>
      <c r="G27" s="164"/>
      <c r="H27" s="164"/>
      <c r="I27" s="164"/>
      <c r="N27" s="170"/>
      <c r="O27" s="17" t="s">
        <v>385</v>
      </c>
      <c r="P27" s="17">
        <v>0.02</v>
      </c>
      <c r="Q27" s="17">
        <v>0.02</v>
      </c>
      <c r="R27" s="17">
        <v>0.02</v>
      </c>
      <c r="S27" s="17">
        <v>0.02</v>
      </c>
      <c r="T27" s="17">
        <v>0.02</v>
      </c>
      <c r="V27" s="16">
        <v>130</v>
      </c>
      <c r="W27" s="16">
        <f t="shared" si="35"/>
        <v>1.2391905480653216</v>
      </c>
      <c r="X27" s="16">
        <f t="shared" si="36"/>
        <v>1.5291062955002959</v>
      </c>
      <c r="Y27" s="16">
        <f t="shared" si="37"/>
        <v>1.6574077840619834</v>
      </c>
      <c r="Z27" s="16">
        <f t="shared" si="38"/>
        <v>1.3369571964305564</v>
      </c>
      <c r="AA27" s="16">
        <f t="shared" si="39"/>
        <v>0.71859526912323135</v>
      </c>
      <c r="AM27" s="16">
        <v>22</v>
      </c>
      <c r="AN27" s="16">
        <f t="shared" si="10"/>
        <v>0</v>
      </c>
      <c r="AO27" s="16">
        <f t="shared" si="11"/>
        <v>0</v>
      </c>
      <c r="AP27" s="16">
        <f t="shared" si="12"/>
        <v>0</v>
      </c>
      <c r="AQ27" s="16">
        <f t="shared" si="13"/>
        <v>0</v>
      </c>
      <c r="AR27" s="16">
        <f t="shared" si="14"/>
        <v>0</v>
      </c>
      <c r="AV27" s="16">
        <v>22</v>
      </c>
      <c r="AW27" s="16">
        <f>盗宝贼掉落!AI26</f>
        <v>1190.5479714044145</v>
      </c>
      <c r="AX27" s="16">
        <f>盗宝贼掉落!AJ26</f>
        <v>1510.4719308279039</v>
      </c>
      <c r="AY27" s="16">
        <f>盗宝贼掉落!AK26</f>
        <v>1695.7169805077428</v>
      </c>
      <c r="AZ27" s="16">
        <f>盗宝贼掉落!AL26</f>
        <v>1426.3524937843551</v>
      </c>
      <c r="BA27" s="16">
        <f>盗宝贼掉落!AM26</f>
        <v>801.78985247720607</v>
      </c>
      <c r="BC27" s="16">
        <f>盗宝贼掉落!AI26/AW27</f>
        <v>1</v>
      </c>
      <c r="BG27" s="41" t="e">
        <f t="shared" si="15"/>
        <v>#DIV/0!</v>
      </c>
      <c r="BH27" s="41" t="e">
        <f t="shared" si="16"/>
        <v>#DIV/0!</v>
      </c>
      <c r="BI27" s="41" t="e">
        <f t="shared" si="17"/>
        <v>#DIV/0!</v>
      </c>
      <c r="BJ27" s="41" t="e">
        <f t="shared" si="18"/>
        <v>#DIV/0!</v>
      </c>
      <c r="BK27" s="41" t="e">
        <f t="shared" si="19"/>
        <v>#DIV/0!</v>
      </c>
      <c r="BR27" s="16">
        <v>24</v>
      </c>
      <c r="CA27" s="16">
        <v>22</v>
      </c>
      <c r="CB27" s="16">
        <f t="shared" si="20"/>
        <v>0</v>
      </c>
      <c r="CC27" s="16">
        <f t="shared" si="21"/>
        <v>0</v>
      </c>
      <c r="CD27" s="16">
        <f t="shared" si="22"/>
        <v>0</v>
      </c>
      <c r="CE27" s="16">
        <f t="shared" si="23"/>
        <v>0</v>
      </c>
      <c r="CF27" s="16">
        <f t="shared" si="24"/>
        <v>0</v>
      </c>
      <c r="CH27" s="16">
        <v>26</v>
      </c>
    </row>
    <row r="28" spans="3:100" ht="11.25" customHeight="1">
      <c r="C28" s="56" t="s">
        <v>278</v>
      </c>
      <c r="D28" s="56" t="s">
        <v>277</v>
      </c>
      <c r="E28" s="56" t="s">
        <v>156</v>
      </c>
      <c r="F28" s="56" t="s">
        <v>79</v>
      </c>
      <c r="G28" s="56" t="s">
        <v>80</v>
      </c>
      <c r="H28" s="56" t="s">
        <v>81</v>
      </c>
      <c r="I28" s="56" t="s">
        <v>205</v>
      </c>
      <c r="J28" s="56" t="s">
        <v>29</v>
      </c>
      <c r="N28" s="170"/>
      <c r="O28" s="17" t="s">
        <v>386</v>
      </c>
      <c r="P28" s="17">
        <v>0.5</v>
      </c>
      <c r="Q28" s="17">
        <f>P28-0.04</f>
        <v>0.46</v>
      </c>
      <c r="R28" s="17">
        <f t="shared" ref="R28:T28" si="40">Q28-0.04</f>
        <v>0.42000000000000004</v>
      </c>
      <c r="S28" s="17">
        <f t="shared" si="40"/>
        <v>0.38000000000000006</v>
      </c>
      <c r="T28" s="17">
        <f t="shared" si="40"/>
        <v>0.34000000000000008</v>
      </c>
      <c r="V28" s="16">
        <v>135</v>
      </c>
      <c r="W28" s="16">
        <f t="shared" si="35"/>
        <v>1.7660915494720502</v>
      </c>
      <c r="X28" s="16">
        <f t="shared" si="36"/>
        <v>2.1747980598955614</v>
      </c>
      <c r="Y28" s="16">
        <f t="shared" si="37"/>
        <v>2.3498496278250354</v>
      </c>
      <c r="Z28" s="16">
        <f t="shared" si="38"/>
        <v>1.892398427621597</v>
      </c>
      <c r="AA28" s="16">
        <f t="shared" si="39"/>
        <v>1.0157743751116652</v>
      </c>
      <c r="AM28" s="16">
        <v>23</v>
      </c>
      <c r="AN28" s="16">
        <f t="shared" si="10"/>
        <v>0</v>
      </c>
      <c r="AO28" s="16">
        <f t="shared" si="11"/>
        <v>0</v>
      </c>
      <c r="AP28" s="16">
        <f t="shared" si="12"/>
        <v>0</v>
      </c>
      <c r="AQ28" s="16">
        <f t="shared" si="13"/>
        <v>0</v>
      </c>
      <c r="AR28" s="16">
        <f t="shared" si="14"/>
        <v>0</v>
      </c>
      <c r="AV28" s="16">
        <v>23</v>
      </c>
      <c r="AW28" s="16">
        <f>盗宝贼掉落!AI27</f>
        <v>1338.2890721385065</v>
      </c>
      <c r="AX28" s="16">
        <f>盗宝贼掉落!AJ27</f>
        <v>1695.6993468128585</v>
      </c>
      <c r="AY28" s="16">
        <f>盗宝贼掉落!AK27</f>
        <v>1900.8965191788466</v>
      </c>
      <c r="AZ28" s="16">
        <f>盗宝贼掉落!AL27</f>
        <v>1598.7647643471594</v>
      </c>
      <c r="BA28" s="16">
        <f>盗宝贼掉落!AM27</f>
        <v>894.2349341411574</v>
      </c>
      <c r="BC28" s="16">
        <f>盗宝贼掉落!AI27/AW28</f>
        <v>1</v>
      </c>
      <c r="BG28" s="41" t="e">
        <f t="shared" si="15"/>
        <v>#DIV/0!</v>
      </c>
      <c r="BH28" s="41" t="e">
        <f t="shared" si="16"/>
        <v>#DIV/0!</v>
      </c>
      <c r="BI28" s="41" t="e">
        <f t="shared" si="17"/>
        <v>#DIV/0!</v>
      </c>
      <c r="BJ28" s="41" t="e">
        <f t="shared" si="18"/>
        <v>#DIV/0!</v>
      </c>
      <c r="BK28" s="41" t="e">
        <f t="shared" si="19"/>
        <v>#DIV/0!</v>
      </c>
      <c r="BR28" s="16">
        <v>25</v>
      </c>
      <c r="CA28" s="16">
        <v>23</v>
      </c>
      <c r="CB28" s="16">
        <f t="shared" si="20"/>
        <v>0</v>
      </c>
      <c r="CC28" s="16">
        <f t="shared" si="21"/>
        <v>0</v>
      </c>
      <c r="CD28" s="16">
        <f t="shared" si="22"/>
        <v>0</v>
      </c>
      <c r="CE28" s="16">
        <f t="shared" si="23"/>
        <v>0</v>
      </c>
      <c r="CF28" s="16">
        <f t="shared" si="24"/>
        <v>0</v>
      </c>
      <c r="CH28" s="16">
        <v>27</v>
      </c>
      <c r="CP28" s="16" t="s">
        <v>255</v>
      </c>
      <c r="CQ28" s="174" t="s">
        <v>450</v>
      </c>
    </row>
    <row r="29" spans="3:100">
      <c r="C29" s="56">
        <v>1</v>
      </c>
      <c r="D29" s="56" t="str">
        <f>INDEX(宝物鉴赏!$L$8:$AC$8,MATCH(C29,宝物鉴赏!$L$1:$AC$1,0))</f>
        <v>武将攻击%</v>
      </c>
      <c r="E29" s="56">
        <v>0.32</v>
      </c>
      <c r="F29" s="56">
        <v>4.4999999999999998E-2</v>
      </c>
      <c r="G29" s="56">
        <v>0.105</v>
      </c>
      <c r="H29" s="56">
        <v>0.19</v>
      </c>
      <c r="I29" s="56">
        <v>0.24</v>
      </c>
      <c r="J29" s="56">
        <v>0.28000000000000003</v>
      </c>
      <c r="N29" s="170"/>
      <c r="O29" s="17"/>
      <c r="P29" s="17"/>
      <c r="Q29" s="17"/>
      <c r="R29" s="17"/>
      <c r="S29" s="17"/>
      <c r="T29" s="17"/>
      <c r="V29" s="16">
        <v>140</v>
      </c>
      <c r="W29" s="16">
        <f t="shared" si="35"/>
        <v>2.51124209168941</v>
      </c>
      <c r="X29" s="16">
        <f t="shared" si="36"/>
        <v>3.0985884232223406</v>
      </c>
      <c r="Y29" s="16">
        <f t="shared" si="37"/>
        <v>3.3454431959197466</v>
      </c>
      <c r="Z29" s="16">
        <f t="shared" si="38"/>
        <v>2.6847693048470007</v>
      </c>
      <c r="AA29" s="16">
        <f t="shared" si="39"/>
        <v>1.4375047119112017</v>
      </c>
      <c r="AM29" s="16">
        <v>24</v>
      </c>
      <c r="AN29" s="16">
        <f t="shared" si="10"/>
        <v>0</v>
      </c>
      <c r="AO29" s="16">
        <f t="shared" si="11"/>
        <v>0</v>
      </c>
      <c r="AP29" s="16">
        <f t="shared" si="12"/>
        <v>0</v>
      </c>
      <c r="AQ29" s="16">
        <f t="shared" si="13"/>
        <v>0</v>
      </c>
      <c r="AR29" s="16">
        <f t="shared" si="14"/>
        <v>0</v>
      </c>
      <c r="AV29" s="16">
        <v>24</v>
      </c>
      <c r="AW29" s="16">
        <f>盗宝贼掉落!AI28</f>
        <v>1501.3188262812878</v>
      </c>
      <c r="AX29" s="16">
        <f>盗宝贼掉落!AJ28</f>
        <v>1906.2175493530883</v>
      </c>
      <c r="AY29" s="16">
        <f>盗宝贼掉落!AK28</f>
        <v>2141.2861849699516</v>
      </c>
      <c r="AZ29" s="16">
        <f>盗宝贼掉落!AL28</f>
        <v>1799.7131960566794</v>
      </c>
      <c r="BA29" s="16">
        <f>盗宝贼掉落!AM28</f>
        <v>1006.1917007797083</v>
      </c>
      <c r="BC29" s="16">
        <f>盗宝贼掉落!AI28/AW29</f>
        <v>1</v>
      </c>
      <c r="BG29" s="41" t="e">
        <f t="shared" si="15"/>
        <v>#DIV/0!</v>
      </c>
      <c r="BH29" s="41" t="e">
        <f t="shared" si="16"/>
        <v>#DIV/0!</v>
      </c>
      <c r="BI29" s="41" t="e">
        <f t="shared" si="17"/>
        <v>#DIV/0!</v>
      </c>
      <c r="BJ29" s="41" t="e">
        <f t="shared" si="18"/>
        <v>#DIV/0!</v>
      </c>
      <c r="BK29" s="41" t="e">
        <f t="shared" si="19"/>
        <v>#DIV/0!</v>
      </c>
      <c r="BR29" s="16">
        <v>26</v>
      </c>
      <c r="CA29" s="16">
        <v>24</v>
      </c>
      <c r="CB29" s="16">
        <f t="shared" si="20"/>
        <v>0</v>
      </c>
      <c r="CC29" s="16">
        <f t="shared" si="21"/>
        <v>0</v>
      </c>
      <c r="CD29" s="16">
        <f t="shared" si="22"/>
        <v>0</v>
      </c>
      <c r="CE29" s="16">
        <f t="shared" si="23"/>
        <v>0</v>
      </c>
      <c r="CF29" s="16">
        <f t="shared" si="24"/>
        <v>0</v>
      </c>
      <c r="CH29" s="16">
        <v>28</v>
      </c>
      <c r="CP29" s="16" t="s">
        <v>161</v>
      </c>
      <c r="CQ29" s="174"/>
    </row>
    <row r="30" spans="3:100">
      <c r="C30" s="56">
        <v>2</v>
      </c>
      <c r="D30" s="56" t="str">
        <f>INDEX(宝物鉴赏!$L$8:$AC$8,MATCH(C30,宝物鉴赏!$L$1:$AC$1,0))</f>
        <v>武将生命%</v>
      </c>
      <c r="E30" s="56">
        <v>0.32</v>
      </c>
      <c r="F30" s="56">
        <v>4.4999999999999998E-2</v>
      </c>
      <c r="G30" s="56">
        <v>0.105</v>
      </c>
      <c r="H30" s="56">
        <v>0.19</v>
      </c>
      <c r="I30" s="56">
        <v>0.24</v>
      </c>
      <c r="J30" s="56">
        <v>0.28000000000000003</v>
      </c>
      <c r="N30" s="170"/>
      <c r="O30" s="17" t="s">
        <v>387</v>
      </c>
      <c r="P30" s="17">
        <v>0.05</v>
      </c>
      <c r="Q30" s="17">
        <v>0.1</v>
      </c>
      <c r="R30" s="17">
        <v>0.15</v>
      </c>
      <c r="S30" s="17">
        <v>0.2</v>
      </c>
      <c r="T30" s="17">
        <v>0.25</v>
      </c>
      <c r="V30" s="16">
        <v>145</v>
      </c>
      <c r="W30" s="16">
        <f t="shared" si="35"/>
        <v>3.5650440945028685</v>
      </c>
      <c r="X30" s="16">
        <f t="shared" si="36"/>
        <v>4.399096929264025</v>
      </c>
      <c r="Y30" s="16">
        <f t="shared" si="37"/>
        <v>4.7627135147201001</v>
      </c>
      <c r="Z30" s="16">
        <f t="shared" si="38"/>
        <v>3.8242699968243081</v>
      </c>
      <c r="AA30" s="16">
        <f t="shared" si="39"/>
        <v>2.0405208037918512</v>
      </c>
      <c r="AE30" s="16" t="s">
        <v>75</v>
      </c>
      <c r="AF30" s="179" t="s">
        <v>402</v>
      </c>
      <c r="AG30" s="179"/>
      <c r="AH30" s="179"/>
      <c r="AI30" s="179"/>
      <c r="AJ30" s="178" t="s">
        <v>453</v>
      </c>
      <c r="AM30" s="16">
        <v>25</v>
      </c>
      <c r="AN30" s="16">
        <f t="shared" si="10"/>
        <v>0</v>
      </c>
      <c r="AO30" s="16">
        <f t="shared" si="11"/>
        <v>0</v>
      </c>
      <c r="AP30" s="16">
        <f t="shared" si="12"/>
        <v>0</v>
      </c>
      <c r="AQ30" s="16">
        <f t="shared" si="13"/>
        <v>0</v>
      </c>
      <c r="AR30" s="16">
        <f t="shared" si="14"/>
        <v>0</v>
      </c>
      <c r="AV30" s="16">
        <v>25</v>
      </c>
      <c r="AW30" s="16">
        <f>盗宝贼掉落!AI29</f>
        <v>1681.0707950906835</v>
      </c>
      <c r="AX30" s="16">
        <f>盗宝贼掉落!AJ29</f>
        <v>2136.2212919878716</v>
      </c>
      <c r="AY30" s="16">
        <f>盗宝贼掉落!AK29</f>
        <v>2399.0848801916809</v>
      </c>
      <c r="AZ30" s="16">
        <f>盗宝贼掉落!AL29</f>
        <v>2016.6445362577228</v>
      </c>
      <c r="BA30" s="16">
        <f>盗宝贼掉落!AM29</f>
        <v>1124.1255892203683</v>
      </c>
      <c r="BC30" s="16">
        <f>盗宝贼掉落!AI29/AW30</f>
        <v>1</v>
      </c>
      <c r="BG30" s="41" t="e">
        <f t="shared" si="15"/>
        <v>#DIV/0!</v>
      </c>
      <c r="BH30" s="41" t="e">
        <f t="shared" si="16"/>
        <v>#DIV/0!</v>
      </c>
      <c r="BI30" s="41" t="e">
        <f t="shared" si="17"/>
        <v>#DIV/0!</v>
      </c>
      <c r="BJ30" s="41" t="e">
        <f t="shared" si="18"/>
        <v>#DIV/0!</v>
      </c>
      <c r="BK30" s="41" t="e">
        <f t="shared" si="19"/>
        <v>#DIV/0!</v>
      </c>
      <c r="BR30" s="16">
        <v>1</v>
      </c>
      <c r="BS30" s="69" t="s">
        <v>75</v>
      </c>
      <c r="BT30" s="170" t="s">
        <v>459</v>
      </c>
      <c r="BU30" s="170"/>
      <c r="BV30" s="170"/>
      <c r="BW30" s="170"/>
      <c r="BX30" s="170"/>
      <c r="CA30" s="16">
        <v>25</v>
      </c>
      <c r="CB30" s="16">
        <f t="shared" si="20"/>
        <v>0</v>
      </c>
      <c r="CC30" s="16">
        <f t="shared" si="21"/>
        <v>0</v>
      </c>
      <c r="CD30" s="16">
        <f t="shared" si="22"/>
        <v>0</v>
      </c>
      <c r="CE30" s="16">
        <f t="shared" si="23"/>
        <v>0</v>
      </c>
      <c r="CF30" s="16">
        <f t="shared" si="24"/>
        <v>0</v>
      </c>
      <c r="CH30" s="16">
        <v>29</v>
      </c>
      <c r="CP30" s="16">
        <v>50</v>
      </c>
      <c r="CQ30" s="16">
        <v>0</v>
      </c>
    </row>
    <row r="31" spans="3:100">
      <c r="C31" s="56">
        <v>3</v>
      </c>
      <c r="D31" s="56" t="str">
        <f>INDEX(宝物鉴赏!$L$8:$AC$8,MATCH(C31,宝物鉴赏!$L$1:$AC$1,0))</f>
        <v>武将攻击</v>
      </c>
      <c r="E31" s="56"/>
      <c r="F31" s="56">
        <v>400</v>
      </c>
      <c r="G31" s="56">
        <v>1000</v>
      </c>
      <c r="H31" s="56">
        <v>1600</v>
      </c>
      <c r="I31" s="56">
        <v>2000</v>
      </c>
      <c r="J31" s="56">
        <v>2300</v>
      </c>
      <c r="N31" s="170"/>
      <c r="O31" s="17"/>
      <c r="P31" s="17"/>
      <c r="Q31" s="17"/>
      <c r="R31" s="17"/>
      <c r="S31" s="17"/>
      <c r="T31" s="17"/>
      <c r="V31" s="16">
        <v>150</v>
      </c>
      <c r="W31" s="16">
        <f t="shared" si="35"/>
        <v>5.0553451789375874</v>
      </c>
      <c r="X31" s="16">
        <f t="shared" si="36"/>
        <v>6.2175432976232576</v>
      </c>
      <c r="Y31" s="16">
        <f t="shared" si="37"/>
        <v>6.7119504659975879</v>
      </c>
      <c r="Z31" s="16">
        <f t="shared" si="38"/>
        <v>5.3883660893366061</v>
      </c>
      <c r="AA31" s="16">
        <f t="shared" si="39"/>
        <v>2.8850056602767751</v>
      </c>
      <c r="AE31" s="17" t="s">
        <v>161</v>
      </c>
      <c r="AF31" s="64" t="s">
        <v>1</v>
      </c>
      <c r="AG31" s="64" t="s">
        <v>2</v>
      </c>
      <c r="AH31" s="64" t="s">
        <v>0</v>
      </c>
      <c r="AI31" s="64" t="s">
        <v>205</v>
      </c>
      <c r="AJ31" s="178"/>
      <c r="AM31" s="16">
        <v>26</v>
      </c>
      <c r="AN31" s="16">
        <f t="shared" si="10"/>
        <v>0</v>
      </c>
      <c r="AO31" s="16">
        <f t="shared" si="11"/>
        <v>0</v>
      </c>
      <c r="AP31" s="16">
        <f t="shared" si="12"/>
        <v>0</v>
      </c>
      <c r="AQ31" s="16">
        <f t="shared" si="13"/>
        <v>0</v>
      </c>
      <c r="AR31" s="16">
        <f t="shared" si="14"/>
        <v>0</v>
      </c>
      <c r="AV31" s="16">
        <v>26</v>
      </c>
      <c r="AW31" s="16">
        <f>盗宝贼掉落!AI30</f>
        <v>1879.1055647084222</v>
      </c>
      <c r="AX31" s="16">
        <f>盗宝贼掉落!AJ30</f>
        <v>2388.0582105899684</v>
      </c>
      <c r="AY31" s="16">
        <f>盗宝贼掉落!AK30</f>
        <v>2681.4271383155019</v>
      </c>
      <c r="AZ31" s="16">
        <f>盗宝贼掉落!AL30</f>
        <v>2249.3180399841463</v>
      </c>
      <c r="BA31" s="16">
        <f>盗宝贼掉落!AM30</f>
        <v>1254.4510796915961</v>
      </c>
      <c r="BC31" s="16">
        <f>盗宝贼掉落!AI30/AW31</f>
        <v>1</v>
      </c>
      <c r="BG31" s="41" t="e">
        <f t="shared" si="15"/>
        <v>#DIV/0!</v>
      </c>
      <c r="BH31" s="41" t="e">
        <f t="shared" si="16"/>
        <v>#DIV/0!</v>
      </c>
      <c r="BI31" s="41" t="e">
        <f t="shared" si="17"/>
        <v>#DIV/0!</v>
      </c>
      <c r="BJ31" s="41" t="e">
        <f t="shared" si="18"/>
        <v>#DIV/0!</v>
      </c>
      <c r="BK31" s="41" t="e">
        <f t="shared" si="19"/>
        <v>#DIV/0!</v>
      </c>
      <c r="BR31" s="16">
        <v>2</v>
      </c>
      <c r="BS31" s="17" t="s">
        <v>161</v>
      </c>
      <c r="BT31" s="17" t="s">
        <v>1</v>
      </c>
      <c r="BU31" s="17" t="s">
        <v>2</v>
      </c>
      <c r="BV31" s="17" t="s">
        <v>0</v>
      </c>
      <c r="BW31" s="17" t="s">
        <v>205</v>
      </c>
      <c r="BX31" s="71" t="s">
        <v>172</v>
      </c>
      <c r="CA31" s="16">
        <v>26</v>
      </c>
      <c r="CB31" s="16">
        <f t="shared" si="20"/>
        <v>0</v>
      </c>
      <c r="CC31" s="16">
        <f t="shared" si="21"/>
        <v>0</v>
      </c>
      <c r="CD31" s="16">
        <f t="shared" si="22"/>
        <v>0</v>
      </c>
      <c r="CE31" s="16">
        <f t="shared" si="23"/>
        <v>0</v>
      </c>
      <c r="CF31" s="16">
        <f t="shared" si="24"/>
        <v>0</v>
      </c>
      <c r="CH31" s="16">
        <v>30</v>
      </c>
      <c r="CP31" s="16">
        <v>60</v>
      </c>
      <c r="CQ31" s="16">
        <v>0</v>
      </c>
    </row>
    <row r="32" spans="3:100">
      <c r="C32" s="56">
        <v>4</v>
      </c>
      <c r="D32" s="56" t="str">
        <f>INDEX(宝物鉴赏!$L$8:$AC$8,MATCH(C32,宝物鉴赏!$L$1:$AC$1,0))</f>
        <v>武将生命</v>
      </c>
      <c r="E32" s="56"/>
      <c r="F32" s="56">
        <f>F31</f>
        <v>400</v>
      </c>
      <c r="G32" s="56">
        <f t="shared" ref="G32:I32" si="41">G31</f>
        <v>1000</v>
      </c>
      <c r="H32" s="56">
        <f t="shared" si="41"/>
        <v>1600</v>
      </c>
      <c r="I32" s="56">
        <f t="shared" si="41"/>
        <v>2000</v>
      </c>
      <c r="J32" s="56">
        <v>2300</v>
      </c>
      <c r="N32" s="170"/>
      <c r="O32" s="17" t="s">
        <v>388</v>
      </c>
      <c r="P32" s="17">
        <v>0.01</v>
      </c>
      <c r="Q32" s="17">
        <v>0.01</v>
      </c>
      <c r="R32" s="17">
        <v>0.01</v>
      </c>
      <c r="S32" s="17">
        <v>0.01</v>
      </c>
      <c r="T32" s="17">
        <v>0.01</v>
      </c>
      <c r="V32" s="16">
        <v>155</v>
      </c>
      <c r="W32" s="16">
        <f t="shared" si="35"/>
        <v>7.1629491845645061</v>
      </c>
      <c r="X32" s="16">
        <f t="shared" si="36"/>
        <v>9.9282479359233609</v>
      </c>
      <c r="Y32" s="16">
        <f t="shared" si="37"/>
        <v>13.594850125800429</v>
      </c>
      <c r="Z32" s="16">
        <f t="shared" si="38"/>
        <v>15.401638024452785</v>
      </c>
      <c r="AA32" s="16">
        <f t="shared" si="39"/>
        <v>15.466703111267583</v>
      </c>
      <c r="AE32" s="17">
        <f>基础状态预期!C43</f>
        <v>50</v>
      </c>
      <c r="AF32" s="64">
        <f>求节点(P$7:P$9,Z$6:Z$8,基础状态预期!Q43)*P$6</f>
        <v>0</v>
      </c>
      <c r="AG32" s="64">
        <f>求节点(Q$7:Q$9,AA$6:AA$8,基础状态预期!R43)*Q$6</f>
        <v>0</v>
      </c>
      <c r="AH32" s="64">
        <f>求节点(R$7:R$9,AB$6:AB$8,基础状态预期!S43)*R$6</f>
        <v>0</v>
      </c>
      <c r="AI32" s="64">
        <f>求节点(S$7:S$9,AC$6:AC$8,基础状态预期!T43)*S$6</f>
        <v>0</v>
      </c>
      <c r="AJ32" s="17">
        <f>SUMPRODUCT(AF32:AI32,基础状态预期!I43:L43)</f>
        <v>0</v>
      </c>
      <c r="AM32" s="16">
        <v>27</v>
      </c>
      <c r="AN32" s="16">
        <f t="shared" si="10"/>
        <v>0</v>
      </c>
      <c r="AO32" s="16">
        <f t="shared" si="11"/>
        <v>0</v>
      </c>
      <c r="AP32" s="16">
        <f t="shared" si="12"/>
        <v>0</v>
      </c>
      <c r="AQ32" s="16">
        <f t="shared" si="13"/>
        <v>0</v>
      </c>
      <c r="AR32" s="16">
        <f t="shared" si="14"/>
        <v>0</v>
      </c>
      <c r="AV32" s="16">
        <v>27</v>
      </c>
      <c r="AW32" s="16">
        <f>盗宝贼掉落!AI31</f>
        <v>2097.1215953011547</v>
      </c>
      <c r="AX32" s="16">
        <f>盗宝贼掉落!AJ31</f>
        <v>2664.9776814171805</v>
      </c>
      <c r="AY32" s="16">
        <f>盗宝贼掉落!AK31</f>
        <v>2990.7228048889797</v>
      </c>
      <c r="AZ32" s="16">
        <f>盗宝贼掉落!AL31</f>
        <v>2506.360129875728</v>
      </c>
      <c r="BA32" s="16">
        <f>盗宝贼掉落!AM31</f>
        <v>1399.6627291516606</v>
      </c>
      <c r="BC32" s="16">
        <f>盗宝贼掉落!AI31/AW32</f>
        <v>1</v>
      </c>
      <c r="BG32" s="41" t="e">
        <f t="shared" si="15"/>
        <v>#DIV/0!</v>
      </c>
      <c r="BH32" s="41" t="e">
        <f t="shared" si="16"/>
        <v>#DIV/0!</v>
      </c>
      <c r="BI32" s="41" t="e">
        <f t="shared" si="17"/>
        <v>#DIV/0!</v>
      </c>
      <c r="BJ32" s="41" t="e">
        <f t="shared" si="18"/>
        <v>#DIV/0!</v>
      </c>
      <c r="BK32" s="41" t="e">
        <f t="shared" si="19"/>
        <v>#DIV/0!</v>
      </c>
      <c r="BR32" s="16">
        <v>3</v>
      </c>
      <c r="BS32" s="17">
        <f>基础状态预期!C43</f>
        <v>50</v>
      </c>
      <c r="BT32" s="17">
        <f>求节点($E$5:$E$10,F$5:F$10,基础状态预期!M43)</f>
        <v>6</v>
      </c>
      <c r="BU32" s="17">
        <f>求节点($E$5:$E$10,G$5:G$10,基础状态预期!N43)</f>
        <v>8</v>
      </c>
      <c r="BV32" s="17">
        <f>求节点($E$5:$E$10,H$5:H$10,基础状态预期!O43)</f>
        <v>10</v>
      </c>
      <c r="BW32" s="17">
        <f>求节点($E$5:$E$10,I$5:I$10,基础状态预期!P43)</f>
        <v>12</v>
      </c>
      <c r="BX32" s="51">
        <f>SUMPRODUCT(BT32:BW32,基础状态预期!I43:L43)/6</f>
        <v>0</v>
      </c>
      <c r="CA32" s="16">
        <v>27</v>
      </c>
      <c r="CB32" s="16">
        <f t="shared" si="20"/>
        <v>0</v>
      </c>
      <c r="CC32" s="16">
        <f t="shared" si="21"/>
        <v>0</v>
      </c>
      <c r="CD32" s="16">
        <f t="shared" si="22"/>
        <v>0</v>
      </c>
      <c r="CE32" s="16">
        <f t="shared" si="23"/>
        <v>0</v>
      </c>
      <c r="CF32" s="16">
        <f t="shared" si="24"/>
        <v>0</v>
      </c>
      <c r="CH32" s="16">
        <v>31</v>
      </c>
      <c r="CP32" s="16">
        <v>70</v>
      </c>
      <c r="CQ32" s="16">
        <v>0</v>
      </c>
    </row>
    <row r="33" spans="2:100">
      <c r="C33" s="56">
        <v>5</v>
      </c>
      <c r="D33" s="56" t="str">
        <f>INDEX(宝物鉴赏!$L$8:$AC$8,MATCH(C33,宝物鉴赏!$L$1:$AC$1,0))</f>
        <v>武力伤害</v>
      </c>
      <c r="E33" s="56">
        <v>0.30499999999999999</v>
      </c>
      <c r="F33" s="56">
        <v>4.4999999999999998E-2</v>
      </c>
      <c r="G33" s="56">
        <v>0.105</v>
      </c>
      <c r="H33" s="56">
        <v>0.19</v>
      </c>
      <c r="I33" s="56">
        <v>0.24</v>
      </c>
      <c r="J33" s="56">
        <v>0.28000000000000003</v>
      </c>
      <c r="N33" s="170"/>
      <c r="O33" s="17" t="s">
        <v>389</v>
      </c>
      <c r="P33" s="17">
        <v>0.03</v>
      </c>
      <c r="Q33" s="17">
        <v>0.03</v>
      </c>
      <c r="R33" s="17">
        <v>0.03</v>
      </c>
      <c r="S33" s="17">
        <v>0.03</v>
      </c>
      <c r="T33" s="17">
        <v>0.03</v>
      </c>
      <c r="V33" s="16">
        <v>160</v>
      </c>
      <c r="W33" s="16">
        <f t="shared" si="35"/>
        <v>10.143551353433942</v>
      </c>
      <c r="X33" s="16">
        <f t="shared" si="36"/>
        <v>14.781014426718578</v>
      </c>
      <c r="Y33" s="16">
        <f t="shared" si="37"/>
        <v>20.287589765154049</v>
      </c>
      <c r="Z33" s="16">
        <f t="shared" si="38"/>
        <v>22.976936737127758</v>
      </c>
      <c r="AA33" s="16">
        <f t="shared" si="39"/>
        <v>22.993665794285565</v>
      </c>
      <c r="AE33" s="17">
        <f>基础状态预期!C44</f>
        <v>60</v>
      </c>
      <c r="AF33" s="64">
        <f>求节点(P$7:P$9,Z$6:Z$8,基础状态预期!Q44)*P$6</f>
        <v>1388.8888888888887</v>
      </c>
      <c r="AG33" s="64">
        <f>求节点(Q$7:Q$9,AA$6:AA$8,基础状态预期!R44)*Q$6</f>
        <v>0</v>
      </c>
      <c r="AH33" s="64">
        <f>求节点(R$7:R$9,AB$6:AB$8,基础状态预期!S44)*R$6</f>
        <v>25117.739403453699</v>
      </c>
      <c r="AI33" s="64">
        <f>求节点(S$7:S$9,AC$6:AC$8,基础状态预期!T44)*S$6</f>
        <v>60110.829341598605</v>
      </c>
      <c r="AJ33" s="17">
        <f>SUMPRODUCT(AF33:AI33,基础状态预期!I44:L44)</f>
        <v>224850.97029977327</v>
      </c>
      <c r="AM33" s="16">
        <v>28</v>
      </c>
      <c r="AN33" s="16">
        <f t="shared" si="10"/>
        <v>0</v>
      </c>
      <c r="AO33" s="16">
        <f t="shared" si="11"/>
        <v>0</v>
      </c>
      <c r="AP33" s="16">
        <f t="shared" si="12"/>
        <v>0</v>
      </c>
      <c r="AQ33" s="16">
        <f t="shared" si="13"/>
        <v>0</v>
      </c>
      <c r="AR33" s="16">
        <f t="shared" si="14"/>
        <v>0</v>
      </c>
      <c r="AV33" s="16">
        <v>28</v>
      </c>
      <c r="AW33" s="16">
        <f>盗宝贼掉落!AI32</f>
        <v>2336.9669732026214</v>
      </c>
      <c r="AX33" s="16">
        <f>盗宝贼掉落!AJ32</f>
        <v>2966.9841127758259</v>
      </c>
      <c r="AY33" s="16">
        <f>盗宝贼掉落!AK32</f>
        <v>3322.4376142610345</v>
      </c>
      <c r="AZ33" s="16">
        <f>盗宝贼掉落!AL32</f>
        <v>2788.2044581293953</v>
      </c>
      <c r="BA33" s="16">
        <f>盗宝贼掉落!AM32</f>
        <v>1566.3440342546005</v>
      </c>
      <c r="BC33" s="16">
        <f>盗宝贼掉落!AI32/AW33</f>
        <v>1</v>
      </c>
      <c r="BG33" s="41" t="e">
        <f t="shared" si="15"/>
        <v>#DIV/0!</v>
      </c>
      <c r="BH33" s="41" t="e">
        <f t="shared" si="16"/>
        <v>#DIV/0!</v>
      </c>
      <c r="BI33" s="41" t="e">
        <f t="shared" si="17"/>
        <v>#DIV/0!</v>
      </c>
      <c r="BJ33" s="41" t="e">
        <f t="shared" si="18"/>
        <v>#DIV/0!</v>
      </c>
      <c r="BK33" s="41" t="e">
        <f t="shared" si="19"/>
        <v>#DIV/0!</v>
      </c>
      <c r="BR33" s="16">
        <v>4</v>
      </c>
      <c r="BS33" s="17">
        <f>基础状态预期!C44</f>
        <v>60</v>
      </c>
      <c r="BT33" s="17">
        <f>求节点($E$5:$E$10,F$5:F$10,基础状态预期!M44)</f>
        <v>6</v>
      </c>
      <c r="BU33" s="17">
        <f>求节点($E$5:$E$10,G$5:G$10,基础状态预期!N44)</f>
        <v>32</v>
      </c>
      <c r="BV33" s="17">
        <f>求节点($E$5:$E$10,H$5:H$10,基础状态预期!O44)</f>
        <v>10</v>
      </c>
      <c r="BW33" s="17">
        <f>求节点($E$5:$E$10,I$5:I$10,基础状态预期!P44)</f>
        <v>12</v>
      </c>
      <c r="BX33" s="17">
        <f>MAX(SUMPRODUCT(BT33:BW33,基础状态预期!I44:L44)/6,BX32)</f>
        <v>10.692675774417751</v>
      </c>
      <c r="CA33" s="16">
        <v>28</v>
      </c>
      <c r="CB33" s="16">
        <f t="shared" si="20"/>
        <v>0</v>
      </c>
      <c r="CC33" s="16">
        <f t="shared" si="21"/>
        <v>0</v>
      </c>
      <c r="CD33" s="16">
        <f t="shared" si="22"/>
        <v>0</v>
      </c>
      <c r="CE33" s="16">
        <f t="shared" si="23"/>
        <v>0</v>
      </c>
      <c r="CF33" s="16">
        <f t="shared" si="24"/>
        <v>0</v>
      </c>
      <c r="CH33" s="16">
        <v>32</v>
      </c>
      <c r="CP33" s="16">
        <v>75</v>
      </c>
      <c r="CQ33" s="16">
        <v>0</v>
      </c>
    </row>
    <row r="34" spans="2:100">
      <c r="C34" s="56">
        <v>6</v>
      </c>
      <c r="D34" s="56" t="str">
        <f>INDEX(宝物鉴赏!$L$8:$AC$8,MATCH(C34,宝物鉴赏!$L$1:$AC$1,0))</f>
        <v>武力免伤</v>
      </c>
      <c r="E34" s="56">
        <v>0.30499999999999999</v>
      </c>
      <c r="F34" s="56">
        <v>4.4999999999999998E-2</v>
      </c>
      <c r="G34" s="56">
        <v>0.105</v>
      </c>
      <c r="H34" s="56">
        <v>0.19</v>
      </c>
      <c r="I34" s="56">
        <v>0.24</v>
      </c>
      <c r="J34" s="56">
        <v>0.28000000000000003</v>
      </c>
      <c r="N34" s="170"/>
      <c r="O34" s="17" t="s">
        <v>390</v>
      </c>
      <c r="P34" s="17">
        <f>1-P28-P30</f>
        <v>0.45</v>
      </c>
      <c r="Q34" s="17">
        <f t="shared" ref="Q34:S34" si="42">1-Q28-Q30</f>
        <v>0.44000000000000006</v>
      </c>
      <c r="R34" s="17">
        <f t="shared" si="42"/>
        <v>0.42999999999999994</v>
      </c>
      <c r="S34" s="17">
        <f t="shared" si="42"/>
        <v>0.41999999999999987</v>
      </c>
      <c r="T34" s="17">
        <f t="shared" ref="T34" si="43">1-T28-T30</f>
        <v>0.40999999999999992</v>
      </c>
      <c r="AE34" s="17">
        <f>基础状态预期!C45</f>
        <v>70</v>
      </c>
      <c r="AF34" s="64">
        <f>求节点(P$7:P$9,Z$6:Z$8,基础状态预期!Q45)*P$6</f>
        <v>0</v>
      </c>
      <c r="AG34" s="64">
        <f>求节点(Q$7:Q$9,AA$6:AA$8,基础状态预期!R45)*Q$6</f>
        <v>57810.450652290594</v>
      </c>
      <c r="AH34" s="64">
        <f>求节点(R$7:R$9,AB$6:AB$8,基础状态预期!S45)*R$6</f>
        <v>45028.806757711311</v>
      </c>
      <c r="AI34" s="64">
        <f>求节点(S$7:S$9,AC$6:AC$8,基础状态预期!T45)*S$6</f>
        <v>60110.829341598605</v>
      </c>
      <c r="AJ34" s="17">
        <f>SUMPRODUCT(AF34:AI34,基础状态预期!I45:L45)</f>
        <v>334930.44391242589</v>
      </c>
      <c r="AM34" s="16">
        <v>29</v>
      </c>
      <c r="AN34" s="16">
        <f t="shared" si="10"/>
        <v>0</v>
      </c>
      <c r="AO34" s="16">
        <f t="shared" si="11"/>
        <v>0</v>
      </c>
      <c r="AP34" s="16">
        <f t="shared" si="12"/>
        <v>0</v>
      </c>
      <c r="AQ34" s="16">
        <f t="shared" si="13"/>
        <v>0</v>
      </c>
      <c r="AR34" s="16">
        <f t="shared" si="14"/>
        <v>0</v>
      </c>
      <c r="AV34" s="16">
        <v>29</v>
      </c>
      <c r="AW34" s="16">
        <f>盗宝贼掉落!AI33</f>
        <v>2600.6521397913307</v>
      </c>
      <c r="AX34" s="16">
        <f>盗宝贼掉落!AJ33</f>
        <v>3305.7427935043343</v>
      </c>
      <c r="AY34" s="16">
        <f>盗宝贼掉落!AK33</f>
        <v>3714.5617196000662</v>
      </c>
      <c r="AZ34" s="16">
        <f>盗宝贼掉落!AL33</f>
        <v>3128.2674377482354</v>
      </c>
      <c r="BA34" s="16">
        <f>盗宝贼掉落!AM33</f>
        <v>1758.7346262996734</v>
      </c>
      <c r="BC34" s="16">
        <f>盗宝贼掉落!AI33/AW34</f>
        <v>1</v>
      </c>
      <c r="BG34" s="41" t="e">
        <f t="shared" si="15"/>
        <v>#DIV/0!</v>
      </c>
      <c r="BH34" s="41" t="e">
        <f t="shared" si="16"/>
        <v>#DIV/0!</v>
      </c>
      <c r="BI34" s="41" t="e">
        <f t="shared" si="17"/>
        <v>#DIV/0!</v>
      </c>
      <c r="BJ34" s="41" t="e">
        <f t="shared" si="18"/>
        <v>#DIV/0!</v>
      </c>
      <c r="BK34" s="41" t="e">
        <f t="shared" si="19"/>
        <v>#DIV/0!</v>
      </c>
      <c r="BR34" s="16">
        <v>5</v>
      </c>
      <c r="BS34" s="17">
        <f>基础状态预期!C45</f>
        <v>70</v>
      </c>
      <c r="BT34" s="17">
        <f>求节点($E$5:$E$10,F$5:F$10,基础状态预期!M45)</f>
        <v>6</v>
      </c>
      <c r="BU34" s="17">
        <f>求节点($E$5:$E$10,G$5:G$10,基础状态预期!N45)</f>
        <v>32</v>
      </c>
      <c r="BV34" s="17">
        <f>求节点($E$5:$E$10,H$5:H$10,基础状态预期!O45)</f>
        <v>17.927093690413809</v>
      </c>
      <c r="BW34" s="17">
        <f>求节点($E$5:$E$10,I$5:I$10,基础状态预期!P45)</f>
        <v>12</v>
      </c>
      <c r="BX34" s="17">
        <f>MAX(SUMPRODUCT(BT34:BW34,基础状态预期!I45:L45)/6,BX33)</f>
        <v>14.620272388307223</v>
      </c>
      <c r="CA34" s="16">
        <v>29</v>
      </c>
      <c r="CB34" s="16">
        <f t="shared" si="20"/>
        <v>0</v>
      </c>
      <c r="CC34" s="16">
        <f t="shared" si="21"/>
        <v>0</v>
      </c>
      <c r="CD34" s="16">
        <f t="shared" si="22"/>
        <v>0</v>
      </c>
      <c r="CE34" s="16">
        <f t="shared" si="23"/>
        <v>0</v>
      </c>
      <c r="CF34" s="16">
        <f t="shared" si="24"/>
        <v>0</v>
      </c>
      <c r="CH34" s="16">
        <v>33</v>
      </c>
      <c r="CP34" s="16">
        <v>80</v>
      </c>
      <c r="CQ34" s="16">
        <v>0</v>
      </c>
    </row>
    <row r="35" spans="2:100">
      <c r="C35" s="56">
        <v>7</v>
      </c>
      <c r="D35" s="56" t="str">
        <f>INDEX(宝物鉴赏!$L$8:$AC$8,MATCH(C35,宝物鉴赏!$L$1:$AC$1,0))</f>
        <v>策略伤害</v>
      </c>
      <c r="E35" s="87">
        <f>E33</f>
        <v>0.30499999999999999</v>
      </c>
      <c r="F35" s="56">
        <f>F33</f>
        <v>4.4999999999999998E-2</v>
      </c>
      <c r="G35" s="56">
        <f t="shared" ref="G35:I35" si="44">G33</f>
        <v>0.105</v>
      </c>
      <c r="H35" s="56">
        <f t="shared" si="44"/>
        <v>0.19</v>
      </c>
      <c r="I35" s="56">
        <f t="shared" si="44"/>
        <v>0.24</v>
      </c>
      <c r="J35" s="56">
        <v>0.28000000000000003</v>
      </c>
      <c r="N35" s="170"/>
      <c r="O35" s="17"/>
      <c r="P35" s="17"/>
      <c r="Q35" s="17"/>
      <c r="R35" s="17"/>
      <c r="S35" s="17"/>
      <c r="T35" s="17"/>
      <c r="AE35" s="17">
        <f>基础状态预期!C46</f>
        <v>75</v>
      </c>
      <c r="AF35" s="64">
        <f>求节点(P$7:P$9,Z$6:Z$8,基础状态预期!Q46)*P$6</f>
        <v>0</v>
      </c>
      <c r="AG35" s="64">
        <f>求节点(Q$7:Q$9,AA$6:AA$8,基础状态预期!R46)*Q$6</f>
        <v>57810.450652290594</v>
      </c>
      <c r="AH35" s="64">
        <f>求节点(R$7:R$9,AB$6:AB$8,基础状态预期!S46)*R$6</f>
        <v>88678.548917414853</v>
      </c>
      <c r="AI35" s="64">
        <f>求节点(S$7:S$9,AC$6:AC$8,基础状态预期!T46)*S$6</f>
        <v>60110.829341598605</v>
      </c>
      <c r="AJ35" s="17">
        <f>SUMPRODUCT(AF35:AI35,基础状态预期!I46:L46)</f>
        <v>373289.32469993748</v>
      </c>
      <c r="AM35" s="16">
        <v>30</v>
      </c>
      <c r="AN35" s="16">
        <f t="shared" si="10"/>
        <v>0</v>
      </c>
      <c r="AO35" s="16">
        <f t="shared" si="11"/>
        <v>0</v>
      </c>
      <c r="AP35" s="16">
        <f t="shared" si="12"/>
        <v>0</v>
      </c>
      <c r="AQ35" s="16">
        <f t="shared" si="13"/>
        <v>0</v>
      </c>
      <c r="AR35" s="16">
        <f t="shared" si="14"/>
        <v>0</v>
      </c>
      <c r="AV35" s="16">
        <v>30</v>
      </c>
      <c r="AW35" s="16">
        <f>盗宝贼掉落!AI34</f>
        <v>2890.3636767707535</v>
      </c>
      <c r="AX35" s="16">
        <f>盗宝贼掉落!AJ34</f>
        <v>3676.1630240712784</v>
      </c>
      <c r="AY35" s="16">
        <f>盗宝贼掉落!AK34</f>
        <v>4132.915978041332</v>
      </c>
      <c r="AZ35" s="16">
        <f>盗宝贼掉落!AL34</f>
        <v>3479.0420168424266</v>
      </c>
      <c r="BA35" s="16">
        <f>盗宝贼掉落!AM34</f>
        <v>1957.3237350185741</v>
      </c>
      <c r="BC35" s="16">
        <f>盗宝贼掉落!AI34/AW35</f>
        <v>1</v>
      </c>
      <c r="BG35" s="41" t="e">
        <f t="shared" si="15"/>
        <v>#DIV/0!</v>
      </c>
      <c r="BH35" s="41" t="e">
        <f t="shared" si="16"/>
        <v>#DIV/0!</v>
      </c>
      <c r="BI35" s="41" t="e">
        <f t="shared" si="17"/>
        <v>#DIV/0!</v>
      </c>
      <c r="BJ35" s="41" t="e">
        <f t="shared" si="18"/>
        <v>#DIV/0!</v>
      </c>
      <c r="BK35" s="41" t="e">
        <f t="shared" si="19"/>
        <v>#DIV/0!</v>
      </c>
      <c r="BR35" s="16">
        <v>6</v>
      </c>
      <c r="BS35" s="17">
        <f>基础状态预期!C46</f>
        <v>75</v>
      </c>
      <c r="BT35" s="17">
        <f>求节点($E$5:$E$10,F$5:F$10,基础状态预期!M46)</f>
        <v>6</v>
      </c>
      <c r="BU35" s="17">
        <f>求节点($E$5:$E$10,G$5:G$10,基础状态预期!N46)</f>
        <v>32</v>
      </c>
      <c r="BV35" s="17">
        <f>求节点($E$5:$E$10,H$5:H$10,基础状态预期!O46)</f>
        <v>24.331592146236485</v>
      </c>
      <c r="BW35" s="17">
        <f>求节点($E$5:$E$10,I$5:I$10,基础状态预期!P46)</f>
        <v>12</v>
      </c>
      <c r="BX35" s="17">
        <f>MAX(SUMPRODUCT(BT35:BW35,基础状态预期!I46:L46)/6,BX34)</f>
        <v>14.620272388307223</v>
      </c>
      <c r="CA35" s="16">
        <v>30</v>
      </c>
      <c r="CB35" s="16">
        <f t="shared" si="20"/>
        <v>0</v>
      </c>
      <c r="CC35" s="16">
        <f t="shared" si="21"/>
        <v>0</v>
      </c>
      <c r="CD35" s="16">
        <f t="shared" si="22"/>
        <v>0</v>
      </c>
      <c r="CE35" s="16">
        <f t="shared" si="23"/>
        <v>0</v>
      </c>
      <c r="CF35" s="16">
        <f t="shared" si="24"/>
        <v>0</v>
      </c>
      <c r="CH35" s="16">
        <v>34</v>
      </c>
      <c r="CP35" s="16">
        <v>85</v>
      </c>
      <c r="CQ35" s="16">
        <v>0</v>
      </c>
    </row>
    <row r="36" spans="2:100">
      <c r="C36" s="56">
        <v>8</v>
      </c>
      <c r="D36" s="56" t="str">
        <f>INDEX(宝物鉴赏!$L$8:$AC$8,MATCH(C36,宝物鉴赏!$L$1:$AC$1,0))</f>
        <v>策略免伤</v>
      </c>
      <c r="E36" s="87">
        <f>E34</f>
        <v>0.30499999999999999</v>
      </c>
      <c r="F36" s="56">
        <f>F34</f>
        <v>4.4999999999999998E-2</v>
      </c>
      <c r="G36" s="56">
        <f t="shared" ref="G36:I36" si="45">G34</f>
        <v>0.105</v>
      </c>
      <c r="H36" s="56">
        <f t="shared" si="45"/>
        <v>0.19</v>
      </c>
      <c r="I36" s="56">
        <f t="shared" si="45"/>
        <v>0.24</v>
      </c>
      <c r="J36" s="56">
        <v>0.28000000000000003</v>
      </c>
      <c r="N36" s="170"/>
      <c r="O36" s="51" t="s">
        <v>291</v>
      </c>
      <c r="P36" s="17">
        <f t="shared" ref="P36:S36" si="46">P28^P$5*AVERAGE(P26:P27)*P$5+
IF(P$5&gt;1,MAX(MAX(P28^(P$5-1)*(1-P28)*AVERAGE(P26:P27)*(P$5-1)*MIN(((P27-P32)*(P$5-1))/((P33-P32)*1),1)*MIN((P27-P32)/(P27-P26),1),0)-P28^(P$5-1)*(P34)*(P27*(P$5-1)/1+P32)/2*1,0),0)+
IF(P$5&gt;2,MAX(MAX(P28^(P$5-2)*(1-P28)^2*AVERAGE(P26:P27)*(P$5-2)*MIN(((P27-P32)*(P$5-2))/((P33-P32)*2),1)*MIN((P27-P32)/(P27-P26),1),0)-P28^(P$5-2)*(P34^2+P34*P30*2)*(P27*(P$5-2)/2+P32)/2*2,0),0)</f>
        <v>7.4999999999999997E-3</v>
      </c>
      <c r="Q36" s="17">
        <f t="shared" si="46"/>
        <v>6.3480000000000003E-3</v>
      </c>
      <c r="R36" s="17">
        <f t="shared" si="46"/>
        <v>4.5070200000000005E-3</v>
      </c>
      <c r="S36" s="17">
        <f t="shared" si="46"/>
        <v>3.6388800000000015E-3</v>
      </c>
      <c r="T36" s="17">
        <f t="shared" ref="T36" si="47">T28^T$5*AVERAGE(T26:T27)*T$5+
IF(T$5&gt;1,MAX(MAX(T28^(T$5-1)*(1-T28)*AVERAGE(T26:T27)*(T$5-1)*MIN(((T27-T32)*(T$5-1))/((T33-T32)*1),1)*MIN((T27-T32)/(T27-T26),1),0)-T28^(T$5-1)*(T34)*(T27*(T$5-1)/1+T32)/2*1,0),0)+
IF(T$5&gt;2,MAX(MAX(T28^(T$5-2)*(1-T28)^2*AVERAGE(T26:T27)*(T$5-2)*MIN(((T27-T32)*(T$5-2))/((T33-T32)*2),1)*MIN((T27-T32)/(T27-T26),1),0)-T28^(T$5-2)*(T34^2+T34*T30*2)*(T27*(T$5-2)/2+T32)/2*2,0),0)</f>
        <v>2.8726600000000017E-3</v>
      </c>
      <c r="AE36" s="17">
        <f>基础状态预期!C47</f>
        <v>80</v>
      </c>
      <c r="AF36" s="64">
        <f>求节点(P$7:P$9,Z$6:Z$8,基础状态预期!Q47)*P$6</f>
        <v>0</v>
      </c>
      <c r="AG36" s="64">
        <f>求节点(Q$7:Q$9,AA$6:AA$8,基础状态预期!R47)*Q$6</f>
        <v>0</v>
      </c>
      <c r="AH36" s="64">
        <f>求节点(R$7:R$9,AB$6:AB$8,基础状态预期!S47)*R$6</f>
        <v>0</v>
      </c>
      <c r="AI36" s="64">
        <f>求节点(S$7:S$9,AC$6:AC$8,基础状态预期!T47)*S$6</f>
        <v>72226.55857342988</v>
      </c>
      <c r="AJ36" s="17">
        <f>SUMPRODUCT(AF36:AI36,基础状态预期!I47:L47)</f>
        <v>433359.35144057928</v>
      </c>
      <c r="AM36" s="16">
        <v>31</v>
      </c>
      <c r="AN36" s="16">
        <f t="shared" si="10"/>
        <v>0</v>
      </c>
      <c r="AO36" s="16">
        <f t="shared" si="11"/>
        <v>0</v>
      </c>
      <c r="AP36" s="16">
        <f t="shared" si="12"/>
        <v>0</v>
      </c>
      <c r="AQ36" s="16">
        <f t="shared" si="13"/>
        <v>0</v>
      </c>
      <c r="AR36" s="16">
        <f t="shared" si="14"/>
        <v>0</v>
      </c>
      <c r="AV36" s="16">
        <v>31</v>
      </c>
      <c r="AW36" s="16">
        <f>盗宝贼掉落!AI35</f>
        <v>3208.4792339234759</v>
      </c>
      <c r="AX36" s="16">
        <f>盗宝贼掉落!AJ35</f>
        <v>4086.8279864559622</v>
      </c>
      <c r="AY36" s="16">
        <f>盗宝贼掉落!AK35</f>
        <v>4594.5133617290239</v>
      </c>
      <c r="AZ36" s="16">
        <f>盗宝贼掉落!AL35</f>
        <v>3862.7288395090245</v>
      </c>
      <c r="BA36" s="16">
        <f>盗宝贼掉落!AM35</f>
        <v>2177.6628855557087</v>
      </c>
      <c r="BC36" s="16">
        <f>盗宝贼掉落!AI35/AW36</f>
        <v>1</v>
      </c>
      <c r="BG36" s="41" t="e">
        <f t="shared" si="15"/>
        <v>#DIV/0!</v>
      </c>
      <c r="BH36" s="41" t="e">
        <f t="shared" si="16"/>
        <v>#DIV/0!</v>
      </c>
      <c r="BI36" s="41" t="e">
        <f t="shared" si="17"/>
        <v>#DIV/0!</v>
      </c>
      <c r="BJ36" s="41" t="e">
        <f t="shared" si="18"/>
        <v>#DIV/0!</v>
      </c>
      <c r="BK36" s="41" t="e">
        <f t="shared" si="19"/>
        <v>#DIV/0!</v>
      </c>
      <c r="BR36" s="16">
        <v>7</v>
      </c>
      <c r="BS36" s="17">
        <f>基础状态预期!C47</f>
        <v>80</v>
      </c>
      <c r="BT36" s="17">
        <f>求节点($E$5:$E$10,F$5:F$10,基础状态预期!M47)</f>
        <v>6</v>
      </c>
      <c r="BU36" s="17">
        <f>求节点($E$5:$E$10,G$5:G$10,基础状态预期!N47)</f>
        <v>32</v>
      </c>
      <c r="BV36" s="17">
        <f>求节点($E$5:$E$10,H$5:H$10,基础状态预期!O47)</f>
        <v>33.127571571022536</v>
      </c>
      <c r="BW36" s="17">
        <f>求节点($E$5:$E$10,I$5:I$10,基础状态预期!P47)</f>
        <v>14.418678171212015</v>
      </c>
      <c r="BX36" s="17">
        <f>MAX(SUMPRODUCT(BT36:BW36,基础状态预期!I47:L47)/6,BX35)</f>
        <v>14.620272388307223</v>
      </c>
      <c r="CA36" s="16">
        <v>31</v>
      </c>
      <c r="CB36" s="16">
        <f t="shared" si="20"/>
        <v>0</v>
      </c>
      <c r="CC36" s="16">
        <f t="shared" si="21"/>
        <v>0</v>
      </c>
      <c r="CD36" s="16">
        <f t="shared" si="22"/>
        <v>0</v>
      </c>
      <c r="CE36" s="16">
        <f t="shared" si="23"/>
        <v>0</v>
      </c>
      <c r="CF36" s="16">
        <f t="shared" si="24"/>
        <v>0</v>
      </c>
      <c r="CH36" s="16">
        <v>35</v>
      </c>
      <c r="CP36" s="16">
        <v>90</v>
      </c>
      <c r="CQ36" s="16">
        <v>0</v>
      </c>
    </row>
    <row r="37" spans="2:100">
      <c r="C37" s="56">
        <v>9</v>
      </c>
      <c r="D37" s="56" t="str">
        <f>INDEX(宝物鉴赏!$L$8:$AC$8,MATCH(C37,宝物鉴赏!$L$1:$AC$1,0))</f>
        <v>武将护甲</v>
      </c>
      <c r="E37" s="56"/>
      <c r="F37" s="56">
        <v>100</v>
      </c>
      <c r="G37" s="56">
        <v>300</v>
      </c>
      <c r="H37" s="56">
        <v>480</v>
      </c>
      <c r="I37" s="56">
        <v>600</v>
      </c>
      <c r="J37" s="56">
        <v>700</v>
      </c>
      <c r="N37" s="170"/>
      <c r="O37" s="51" t="s">
        <v>409</v>
      </c>
      <c r="P37" s="17">
        <f>(P8-P7)*P5/P36</f>
        <v>44.444444444444443</v>
      </c>
      <c r="Q37" s="17">
        <f>(Q8-Q7)*Q5/Q36</f>
        <v>105.01995379122032</v>
      </c>
      <c r="R37" s="17">
        <f>(R8-R7)*R5/R36</f>
        <v>221.87609551322157</v>
      </c>
      <c r="S37" s="17">
        <f>(S8-S7)*S5/S36</f>
        <v>274.8098315965351</v>
      </c>
      <c r="T37" s="17">
        <f>(T8-T7)*T5/T36</f>
        <v>348.10941775218765</v>
      </c>
      <c r="AE37" s="17">
        <f>基础状态预期!C48</f>
        <v>85</v>
      </c>
      <c r="AF37" s="64">
        <f>求节点(P$7:P$9,Z$6:Z$8,基础状态预期!Q48)*P$6</f>
        <v>0</v>
      </c>
      <c r="AG37" s="64">
        <f>求节点(Q$7:Q$9,AA$6:AA$8,基础状态预期!R48)*Q$6</f>
        <v>0</v>
      </c>
      <c r="AH37" s="64">
        <f>求节点(R$7:R$9,AB$6:AB$8,基础状态预期!S48)*R$6</f>
        <v>0</v>
      </c>
      <c r="AI37" s="64">
        <f>求节点(S$7:S$9,AC$6:AC$8,基础状态预期!T48)*S$6</f>
        <v>96812.378149068783</v>
      </c>
      <c r="AJ37" s="17">
        <f>SUMPRODUCT(AF37:AI37,基础状态预期!I48:L48)</f>
        <v>580874.26889441267</v>
      </c>
      <c r="AM37" s="16">
        <v>32</v>
      </c>
      <c r="AN37" s="16">
        <f t="shared" si="10"/>
        <v>0</v>
      </c>
      <c r="AO37" s="16">
        <f t="shared" si="11"/>
        <v>0</v>
      </c>
      <c r="AP37" s="16">
        <f t="shared" si="12"/>
        <v>0</v>
      </c>
      <c r="AQ37" s="16">
        <f t="shared" si="13"/>
        <v>0</v>
      </c>
      <c r="AR37" s="16">
        <f t="shared" si="14"/>
        <v>0</v>
      </c>
      <c r="AV37" s="16">
        <v>32</v>
      </c>
      <c r="AW37" s="16">
        <f>盗宝贼掉落!AI36</f>
        <v>3557.5836923240254</v>
      </c>
      <c r="AX37" s="16">
        <f>盗宝贼掉落!AJ36</f>
        <v>4533.3853193794776</v>
      </c>
      <c r="AY37" s="16">
        <f>盗宝贼掉落!AK36</f>
        <v>5091.7382833050251</v>
      </c>
      <c r="AZ37" s="16">
        <f>盗宝贼掉落!AL36</f>
        <v>4286.1344889961592</v>
      </c>
      <c r="BA37" s="16">
        <f>盗宝贼掉落!AM36</f>
        <v>2414.8758736089162</v>
      </c>
      <c r="BC37" s="16">
        <f>盗宝贼掉落!AI36/AW37</f>
        <v>1</v>
      </c>
      <c r="BG37" s="41" t="e">
        <f t="shared" si="15"/>
        <v>#DIV/0!</v>
      </c>
      <c r="BH37" s="41" t="e">
        <f t="shared" si="16"/>
        <v>#DIV/0!</v>
      </c>
      <c r="BI37" s="41" t="e">
        <f t="shared" si="17"/>
        <v>#DIV/0!</v>
      </c>
      <c r="BJ37" s="41" t="e">
        <f t="shared" si="18"/>
        <v>#DIV/0!</v>
      </c>
      <c r="BK37" s="41" t="e">
        <f t="shared" si="19"/>
        <v>#DIV/0!</v>
      </c>
      <c r="BR37" s="16">
        <v>8</v>
      </c>
      <c r="BS37" s="17">
        <f>基础状态预期!C48</f>
        <v>85</v>
      </c>
      <c r="BT37" s="17">
        <f>求节点($E$5:$E$10,F$5:F$10,基础状态预期!M48)</f>
        <v>6</v>
      </c>
      <c r="BU37" s="17">
        <f>求节点($E$5:$E$10,G$5:G$10,基础状态预期!N48)</f>
        <v>32</v>
      </c>
      <c r="BV37" s="17">
        <f>求节点($E$5:$E$10,H$5:H$10,基础状态预期!O48)</f>
        <v>45.049328803873657</v>
      </c>
      <c r="BW37" s="17">
        <f>求节点($E$5:$E$10,I$5:I$10,基础状态预期!P48)</f>
        <v>19.326776065371277</v>
      </c>
      <c r="BX37" s="17">
        <f>MAX(SUMPRODUCT(BT37:BW37,基础状态预期!I48:L48)/6,BX36)</f>
        <v>19.326776065371277</v>
      </c>
      <c r="CA37" s="16">
        <v>32</v>
      </c>
      <c r="CB37" s="16">
        <f t="shared" si="20"/>
        <v>0</v>
      </c>
      <c r="CC37" s="16">
        <f t="shared" si="21"/>
        <v>0</v>
      </c>
      <c r="CD37" s="16">
        <f t="shared" si="22"/>
        <v>0</v>
      </c>
      <c r="CE37" s="16">
        <f t="shared" si="23"/>
        <v>0</v>
      </c>
      <c r="CF37" s="16">
        <f t="shared" si="24"/>
        <v>0</v>
      </c>
      <c r="CH37" s="16">
        <v>36</v>
      </c>
      <c r="CP37" s="16">
        <v>95</v>
      </c>
      <c r="CQ37" s="16">
        <v>0</v>
      </c>
    </row>
    <row r="38" spans="2:100">
      <c r="B38" s="44" t="s">
        <v>470</v>
      </c>
      <c r="C38" s="56">
        <v>10</v>
      </c>
      <c r="D38" s="56" t="str">
        <f>INDEX(宝物鉴赏!$L$8:$AC$8,MATCH(C38,宝物鉴赏!$L$1:$AC$1,0))</f>
        <v>武将暴击</v>
      </c>
      <c r="E38" s="56"/>
      <c r="F38" s="56">
        <v>0.05</v>
      </c>
      <c r="G38" s="56">
        <v>0.125</v>
      </c>
      <c r="H38" s="56">
        <v>0.2</v>
      </c>
      <c r="I38" s="56">
        <v>0.25</v>
      </c>
      <c r="J38" s="56">
        <v>0.28999999999999998</v>
      </c>
      <c r="AE38" s="17">
        <f>基础状态预期!C49</f>
        <v>90</v>
      </c>
      <c r="AF38" s="64">
        <f>求节点(P$7:P$9,Z$6:Z$8,基础状态预期!Q49)*P$6</f>
        <v>0</v>
      </c>
      <c r="AG38" s="64">
        <f>求节点(Q$7:Q$9,AA$6:AA$8,基础状态预期!R49)*Q$6</f>
        <v>0</v>
      </c>
      <c r="AH38" s="64">
        <f>求节点(R$7:R$9,AB$6:AB$8,基础状态预期!S49)*R$6</f>
        <v>0</v>
      </c>
      <c r="AI38" s="64">
        <f>求节点(S$7:S$9,AC$6:AC$8,基础状态预期!T49)*S$6</f>
        <v>154965.3446854997</v>
      </c>
      <c r="AJ38" s="17">
        <f>SUMPRODUCT(AF38:AI38,基础状态预期!I49:L49)</f>
        <v>929792.06811299827</v>
      </c>
      <c r="AM38" s="16">
        <v>33</v>
      </c>
      <c r="AN38" s="16">
        <f t="shared" si="10"/>
        <v>0</v>
      </c>
      <c r="AO38" s="16">
        <f t="shared" si="11"/>
        <v>0</v>
      </c>
      <c r="AP38" s="16">
        <f t="shared" si="12"/>
        <v>0</v>
      </c>
      <c r="AQ38" s="16">
        <f t="shared" si="13"/>
        <v>0</v>
      </c>
      <c r="AR38" s="16">
        <f t="shared" si="14"/>
        <v>0</v>
      </c>
      <c r="AV38" s="16">
        <v>33</v>
      </c>
      <c r="AW38" s="16">
        <f>盗宝贼掉落!AI37</f>
        <v>3940.4866634573527</v>
      </c>
      <c r="AX38" s="16">
        <f>盗宝贼掉落!AJ37</f>
        <v>5006.961878715194</v>
      </c>
      <c r="AY38" s="16">
        <f>盗宝贼掉落!AK37</f>
        <v>5623.8063283227111</v>
      </c>
      <c r="AZ38" s="16">
        <f>盗宝贼掉落!AL37</f>
        <v>4741.8050697328372</v>
      </c>
      <c r="BA38" s="16">
        <f>盗宝贼掉落!AM37</f>
        <v>2671.7938549763903</v>
      </c>
      <c r="BC38" s="16">
        <f>盗宝贼掉落!AI37/AW38</f>
        <v>1</v>
      </c>
      <c r="BG38" s="41" t="e">
        <f t="shared" si="15"/>
        <v>#DIV/0!</v>
      </c>
      <c r="BH38" s="41" t="e">
        <f t="shared" si="16"/>
        <v>#DIV/0!</v>
      </c>
      <c r="BI38" s="41" t="e">
        <f t="shared" si="17"/>
        <v>#DIV/0!</v>
      </c>
      <c r="BJ38" s="41" t="e">
        <f t="shared" si="18"/>
        <v>#DIV/0!</v>
      </c>
      <c r="BK38" s="41" t="e">
        <f t="shared" si="19"/>
        <v>#DIV/0!</v>
      </c>
      <c r="BR38" s="16">
        <v>9</v>
      </c>
      <c r="BS38" s="17">
        <f>基础状态预期!C49</f>
        <v>90</v>
      </c>
      <c r="BT38" s="17">
        <f>求节点($E$5:$E$10,F$5:F$10,基础状态预期!M49)</f>
        <v>6</v>
      </c>
      <c r="BU38" s="17">
        <f>求节点($E$5:$E$10,G$5:G$10,基础状态预期!N49)</f>
        <v>32</v>
      </c>
      <c r="BV38" s="17">
        <f>求节点($E$5:$E$10,H$5:H$10,基础状态预期!O49)</f>
        <v>60</v>
      </c>
      <c r="BW38" s="17">
        <f>求节点($E$5:$E$10,I$5:I$10,基础状态预期!P49)</f>
        <v>25.896421561800878</v>
      </c>
      <c r="BX38" s="17">
        <f>MAX(SUMPRODUCT(BT38:BW38,基础状态预期!I49:L49)/6,BX37)</f>
        <v>25.896421561800878</v>
      </c>
      <c r="CA38" s="16">
        <v>33</v>
      </c>
      <c r="CB38" s="16">
        <f t="shared" si="20"/>
        <v>0</v>
      </c>
      <c r="CC38" s="16">
        <f t="shared" si="21"/>
        <v>0</v>
      </c>
      <c r="CD38" s="16">
        <f t="shared" si="22"/>
        <v>0</v>
      </c>
      <c r="CE38" s="16">
        <f t="shared" si="23"/>
        <v>0</v>
      </c>
      <c r="CF38" s="16">
        <f t="shared" si="24"/>
        <v>0</v>
      </c>
      <c r="CH38" s="16">
        <v>37</v>
      </c>
      <c r="CP38" s="16">
        <v>100</v>
      </c>
      <c r="CQ38" s="16">
        <v>0</v>
      </c>
    </row>
    <row r="39" spans="2:100">
      <c r="C39" s="56">
        <v>11</v>
      </c>
      <c r="D39" s="56" t="str">
        <f>INDEX(宝物鉴赏!$L$8:$AC$8,MATCH(C39,宝物鉴赏!$L$1:$AC$1,0))</f>
        <v>武将韧性</v>
      </c>
      <c r="E39" s="56"/>
      <c r="F39" s="56">
        <f>F38</f>
        <v>0.05</v>
      </c>
      <c r="G39" s="56">
        <f t="shared" ref="G39:I39" si="48">G38</f>
        <v>0.125</v>
      </c>
      <c r="H39" s="56">
        <f t="shared" si="48"/>
        <v>0.2</v>
      </c>
      <c r="I39" s="56">
        <f t="shared" si="48"/>
        <v>0.25</v>
      </c>
      <c r="J39" s="56">
        <v>0.28999999999999998</v>
      </c>
      <c r="AE39" s="17">
        <f>基础状态预期!C50</f>
        <v>95</v>
      </c>
      <c r="AF39" s="64">
        <f>求节点(P$7:P$9,Z$6:Z$8,基础状态预期!Q50)*P$6</f>
        <v>0</v>
      </c>
      <c r="AG39" s="64">
        <f>求节点(Q$7:Q$9,AA$6:AA$8,基础状态预期!R50)*Q$6</f>
        <v>0</v>
      </c>
      <c r="AH39" s="64">
        <f>求节点(R$7:R$9,AB$6:AB$8,基础状态预期!S50)*R$6</f>
        <v>0</v>
      </c>
      <c r="AI39" s="64">
        <f>求节点(S$7:S$9,AC$6:AC$8,基础状态预期!T50)*S$6</f>
        <v>321930.72648303909</v>
      </c>
      <c r="AJ39" s="17">
        <f>SUMPRODUCT(AF39:AI39,基础状态预期!I50:L50)</f>
        <v>1931584.3588982346</v>
      </c>
      <c r="AM39" s="16">
        <v>34</v>
      </c>
      <c r="AN39" s="16">
        <f t="shared" si="10"/>
        <v>0</v>
      </c>
      <c r="AO39" s="16">
        <f t="shared" ref="AO39:AO70" si="49">求节点($AE$32:$AE$52,$AJ$32:$AJ$52,$AM39)</f>
        <v>0</v>
      </c>
      <c r="AP39" s="16">
        <f t="shared" ref="AP39:AP70" si="50">求节点($AE$58:$AE$78,$AJ$58:$AJ$78,$AM39)</f>
        <v>0</v>
      </c>
      <c r="AQ39" s="16">
        <f t="shared" ref="AQ39:AQ70" si="51">求节点($AE$84:$AE$104,$AJ$84:$AJ$104,$AM39)</f>
        <v>0</v>
      </c>
      <c r="AR39" s="16">
        <f t="shared" si="14"/>
        <v>0</v>
      </c>
      <c r="AV39" s="16">
        <v>34</v>
      </c>
      <c r="AW39" s="16">
        <f>盗宝贼掉落!AI38</f>
        <v>4360.2414327445131</v>
      </c>
      <c r="AX39" s="16">
        <f>盗宝贼掉落!AJ38</f>
        <v>5542.2606645708984</v>
      </c>
      <c r="AY39" s="16">
        <f>盗宝贼掉落!AK38</f>
        <v>6237.2323696368476</v>
      </c>
      <c r="AZ39" s="16">
        <f>盗宝贼掉落!AL38</f>
        <v>5263.8901090603695</v>
      </c>
      <c r="BA39" s="16">
        <f>盗宝贼掉落!AM38</f>
        <v>2962.2287453630483</v>
      </c>
      <c r="BC39" s="16">
        <f>盗宝贼掉落!AI38/AW39</f>
        <v>1</v>
      </c>
      <c r="BG39" s="41" t="e">
        <f t="shared" si="15"/>
        <v>#DIV/0!</v>
      </c>
      <c r="BH39" s="41" t="e">
        <f t="shared" si="16"/>
        <v>#DIV/0!</v>
      </c>
      <c r="BI39" s="41" t="e">
        <f t="shared" si="17"/>
        <v>#DIV/0!</v>
      </c>
      <c r="BJ39" s="41" t="e">
        <f t="shared" si="18"/>
        <v>#DIV/0!</v>
      </c>
      <c r="BK39" s="41" t="e">
        <f t="shared" si="19"/>
        <v>#DIV/0!</v>
      </c>
      <c r="BR39" s="16">
        <v>10</v>
      </c>
      <c r="BS39" s="17">
        <f>基础状态预期!C50</f>
        <v>95</v>
      </c>
      <c r="BT39" s="17">
        <f>求节点($E$5:$E$10,F$5:F$10,基础状态预期!M50)</f>
        <v>6</v>
      </c>
      <c r="BU39" s="17">
        <f>求节点($E$5:$E$10,G$5:G$10,基础状态预期!N50)</f>
        <v>32</v>
      </c>
      <c r="BV39" s="17">
        <f>求节点($E$5:$E$10,H$5:H$10,基础状态预期!O50)</f>
        <v>60</v>
      </c>
      <c r="BW39" s="17">
        <f>求节点($E$5:$E$10,I$5:I$10,基础状态预期!P50)</f>
        <v>35.009926389532332</v>
      </c>
      <c r="BX39" s="17">
        <f>MAX(SUMPRODUCT(BT39:BW39,基础状态预期!I50:L50)/6,BX38)</f>
        <v>35.009926389532332</v>
      </c>
      <c r="CA39" s="16">
        <v>34</v>
      </c>
      <c r="CB39" s="16">
        <f t="shared" si="20"/>
        <v>0</v>
      </c>
      <c r="CC39" s="16">
        <f t="shared" si="21"/>
        <v>0</v>
      </c>
      <c r="CD39" s="16">
        <f t="shared" si="22"/>
        <v>0</v>
      </c>
      <c r="CE39" s="16">
        <f t="shared" si="23"/>
        <v>0</v>
      </c>
      <c r="CF39" s="16">
        <f t="shared" si="24"/>
        <v>0</v>
      </c>
      <c r="CH39" s="16">
        <v>38</v>
      </c>
      <c r="CP39" s="16">
        <v>105</v>
      </c>
      <c r="CQ39" s="16">
        <v>0</v>
      </c>
    </row>
    <row r="40" spans="2:100">
      <c r="C40" s="56">
        <v>12</v>
      </c>
      <c r="D40" s="56" t="str">
        <f>INDEX(宝物鉴赏!$L$8:$AC$8,MATCH(C40,宝物鉴赏!$L$1:$AC$1,0))</f>
        <v>武将命中</v>
      </c>
      <c r="E40" s="56"/>
      <c r="F40" s="56">
        <v>0.03</v>
      </c>
      <c r="G40" s="56">
        <v>0.09</v>
      </c>
      <c r="H40" s="56">
        <v>0.15</v>
      </c>
      <c r="I40" s="56">
        <v>0.18</v>
      </c>
      <c r="J40" s="56">
        <v>0.21</v>
      </c>
      <c r="N40" s="170" t="s">
        <v>369</v>
      </c>
      <c r="O40" s="17" t="s">
        <v>391</v>
      </c>
      <c r="P40" s="17">
        <v>5.0000000000000001E-3</v>
      </c>
      <c r="Q40" s="17">
        <v>5.0000000000000001E-3</v>
      </c>
      <c r="R40" s="17">
        <v>5.0000000000000001E-3</v>
      </c>
      <c r="S40" s="17">
        <v>5.0000000000000001E-3</v>
      </c>
      <c r="T40" s="17">
        <v>5.0000000000000001E-3</v>
      </c>
      <c r="AE40" s="17">
        <f>基础状态预期!C51</f>
        <v>100</v>
      </c>
      <c r="AF40" s="64">
        <f>求节点(P$7:P$9,Z$6:Z$8,基础状态预期!Q51)*P$6</f>
        <v>0</v>
      </c>
      <c r="AG40" s="64">
        <f>求节点(Q$7:Q$9,AA$6:AA$8,基础状态预期!R51)*Q$6</f>
        <v>0</v>
      </c>
      <c r="AH40" s="64">
        <f>求节点(R$7:R$9,AB$6:AB$8,基础状态预期!S51)*R$6</f>
        <v>0</v>
      </c>
      <c r="AI40" s="64">
        <f>求节点(S$7:S$9,AC$6:AC$8,基础状态预期!T51)*S$6</f>
        <v>552799.58984952176</v>
      </c>
      <c r="AJ40" s="17">
        <f>SUMPRODUCT(AF40:AI40,基础状态预期!I51:L51)</f>
        <v>3316797.5390971303</v>
      </c>
      <c r="AM40" s="16">
        <v>35</v>
      </c>
      <c r="AN40" s="16">
        <f t="shared" si="10"/>
        <v>0</v>
      </c>
      <c r="AO40" s="16">
        <f t="shared" si="49"/>
        <v>0</v>
      </c>
      <c r="AP40" s="16">
        <f t="shared" si="50"/>
        <v>0</v>
      </c>
      <c r="AQ40" s="16">
        <f t="shared" si="51"/>
        <v>0</v>
      </c>
      <c r="AR40" s="16">
        <f t="shared" si="14"/>
        <v>0</v>
      </c>
      <c r="AV40" s="16">
        <v>35</v>
      </c>
      <c r="AW40" s="16">
        <f>盗宝贼掉落!AI39</f>
        <v>4820.1654646702291</v>
      </c>
      <c r="AX40" s="16">
        <f>盗宝贼掉落!AJ39</f>
        <v>6138.1250324097846</v>
      </c>
      <c r="AY40" s="16">
        <f>盗宝贼掉落!AK39</f>
        <v>6913.2330165451804</v>
      </c>
      <c r="AZ40" s="16">
        <f>盗宝贼掉落!AL39</f>
        <v>5823.6092735965294</v>
      </c>
      <c r="BA40" s="16">
        <f>盗宝贼掉落!AM39</f>
        <v>3274.1243511830153</v>
      </c>
      <c r="BC40" s="16">
        <f>盗宝贼掉落!AI39/AW40</f>
        <v>1</v>
      </c>
      <c r="BG40" s="41" t="e">
        <f t="shared" si="15"/>
        <v>#DIV/0!</v>
      </c>
      <c r="BH40" s="41" t="e">
        <f t="shared" si="16"/>
        <v>#DIV/0!</v>
      </c>
      <c r="BI40" s="41" t="e">
        <f t="shared" si="17"/>
        <v>#DIV/0!</v>
      </c>
      <c r="BJ40" s="41" t="e">
        <f t="shared" si="18"/>
        <v>#DIV/0!</v>
      </c>
      <c r="BK40" s="41" t="e">
        <f t="shared" si="19"/>
        <v>#DIV/0!</v>
      </c>
      <c r="BR40" s="16">
        <v>11</v>
      </c>
      <c r="BS40" s="17">
        <f>基础状态预期!C51</f>
        <v>100</v>
      </c>
      <c r="BT40" s="17">
        <f>求节点($E$5:$E$10,F$5:F$10,基础状态预期!M51)</f>
        <v>6</v>
      </c>
      <c r="BU40" s="17">
        <f>求节点($E$5:$E$10,G$5:G$10,基础状态预期!N51)</f>
        <v>32</v>
      </c>
      <c r="BV40" s="17">
        <f>求节点($E$5:$E$10,H$5:H$10,基础状态预期!O51)</f>
        <v>60</v>
      </c>
      <c r="BW40" s="17">
        <f>求节点($E$5:$E$10,I$5:I$10,基础状态预期!P51)</f>
        <v>47.611487732437737</v>
      </c>
      <c r="BX40" s="17">
        <f>MAX(SUMPRODUCT(BT40:BW40,基础状态预期!I51:L51)/6,BX39)</f>
        <v>47.61148773243773</v>
      </c>
      <c r="CA40" s="16">
        <v>35</v>
      </c>
      <c r="CB40" s="16">
        <f t="shared" si="20"/>
        <v>0</v>
      </c>
      <c r="CC40" s="16">
        <f t="shared" si="21"/>
        <v>0</v>
      </c>
      <c r="CD40" s="16">
        <f t="shared" si="22"/>
        <v>0</v>
      </c>
      <c r="CE40" s="16">
        <f t="shared" si="23"/>
        <v>0</v>
      </c>
      <c r="CF40" s="16">
        <f t="shared" si="24"/>
        <v>0</v>
      </c>
      <c r="CH40" s="16">
        <v>39</v>
      </c>
      <c r="CP40" s="16">
        <v>110</v>
      </c>
      <c r="CQ40" s="16">
        <v>0</v>
      </c>
    </row>
    <row r="41" spans="2:100">
      <c r="B41" s="44" t="s">
        <v>470</v>
      </c>
      <c r="C41" s="56">
        <v>13</v>
      </c>
      <c r="D41" s="56" t="str">
        <f>INDEX(宝物鉴赏!$L$8:$AC$8,MATCH(C41,宝物鉴赏!$L$1:$AC$1,0))</f>
        <v>武将闪避</v>
      </c>
      <c r="E41" s="56"/>
      <c r="F41" s="56">
        <f>F40</f>
        <v>0.03</v>
      </c>
      <c r="G41" s="56">
        <f t="shared" ref="G41" si="52">G40</f>
        <v>0.09</v>
      </c>
      <c r="H41" s="56">
        <f t="shared" ref="H41" si="53">H40</f>
        <v>0.15</v>
      </c>
      <c r="I41" s="56">
        <f t="shared" ref="I41" si="54">I40</f>
        <v>0.18</v>
      </c>
      <c r="J41" s="56">
        <v>0.21</v>
      </c>
      <c r="N41" s="170"/>
      <c r="O41" s="17" t="s">
        <v>392</v>
      </c>
      <c r="P41" s="17">
        <v>1.4999999999999999E-2</v>
      </c>
      <c r="Q41" s="17">
        <v>1.4999999999999999E-2</v>
      </c>
      <c r="R41" s="17">
        <v>1.4999999999999999E-2</v>
      </c>
      <c r="S41" s="17">
        <v>1.4999999999999999E-2</v>
      </c>
      <c r="T41" s="17">
        <v>1.4999999999999999E-2</v>
      </c>
      <c r="AE41" s="17">
        <f>基础状态预期!C52</f>
        <v>105</v>
      </c>
      <c r="AF41" s="64">
        <f>求节点(P$7:P$9,Z$6:Z$8,基础状态预期!Q52)*P$6</f>
        <v>0</v>
      </c>
      <c r="AG41" s="64">
        <f>求节点(Q$7:Q$9,AA$6:AA$8,基础状态预期!R52)*Q$6</f>
        <v>0</v>
      </c>
      <c r="AH41" s="64">
        <f>求节点(R$7:R$9,AB$6:AB$8,基础状态预期!S52)*R$6</f>
        <v>0</v>
      </c>
      <c r="AI41" s="64">
        <f>求节点(S$7:S$9,AC$6:AC$8,基础状态预期!T52)*S$6</f>
        <v>1815930.9168830793</v>
      </c>
      <c r="AJ41" s="17">
        <f>SUMPRODUCT(AF41:AI41,基础状态预期!I52:L52)</f>
        <v>10895585.501298476</v>
      </c>
      <c r="AM41" s="16">
        <v>36</v>
      </c>
      <c r="AN41" s="16">
        <f t="shared" si="10"/>
        <v>0</v>
      </c>
      <c r="AO41" s="16">
        <f t="shared" si="49"/>
        <v>0</v>
      </c>
      <c r="AP41" s="16">
        <f t="shared" si="50"/>
        <v>0</v>
      </c>
      <c r="AQ41" s="16">
        <f t="shared" si="51"/>
        <v>0</v>
      </c>
      <c r="AR41" s="16">
        <f t="shared" si="14"/>
        <v>0</v>
      </c>
      <c r="AV41" s="16">
        <v>36</v>
      </c>
      <c r="AW41" s="16">
        <f>盗宝贼掉落!AI40</f>
        <v>5323.8625960892614</v>
      </c>
      <c r="AX41" s="16">
        <f>盗宝贼掉落!AJ40</f>
        <v>6789.7282390859737</v>
      </c>
      <c r="AY41" s="16">
        <f>盗宝贼掉落!AK40</f>
        <v>7632.0977229596374</v>
      </c>
      <c r="AZ41" s="16">
        <f>盗宝贼掉落!AL40</f>
        <v>6420.2151328012733</v>
      </c>
      <c r="BA41" s="16">
        <f>盗宝贼掉落!AM40</f>
        <v>3591.1026982392796</v>
      </c>
      <c r="BC41" s="16">
        <f>盗宝贼掉落!AI40/AW41</f>
        <v>1</v>
      </c>
      <c r="BG41" s="41" t="e">
        <f t="shared" si="15"/>
        <v>#DIV/0!</v>
      </c>
      <c r="BH41" s="41" t="e">
        <f t="shared" si="16"/>
        <v>#DIV/0!</v>
      </c>
      <c r="BI41" s="41" t="e">
        <f t="shared" si="17"/>
        <v>#DIV/0!</v>
      </c>
      <c r="BJ41" s="41" t="e">
        <f t="shared" si="18"/>
        <v>#DIV/0!</v>
      </c>
      <c r="BK41" s="41" t="e">
        <f t="shared" si="19"/>
        <v>#DIV/0!</v>
      </c>
      <c r="BR41" s="16">
        <v>12</v>
      </c>
      <c r="BS41" s="17">
        <f>基础状态预期!C52</f>
        <v>105</v>
      </c>
      <c r="BT41" s="17">
        <f>求节点($E$5:$E$10,F$5:F$10,基础状态预期!M52)</f>
        <v>6</v>
      </c>
      <c r="BU41" s="17">
        <f>求节点($E$5:$E$10,G$5:G$10,基础状态预期!N52)</f>
        <v>32</v>
      </c>
      <c r="BV41" s="17">
        <f>求节点($E$5:$E$10,H$5:H$10,基础状态预期!O52)</f>
        <v>60</v>
      </c>
      <c r="BW41" s="17">
        <f>求节点($E$5:$E$10,I$5:I$10,基础状态预期!P52)</f>
        <v>64.838054550938196</v>
      </c>
      <c r="BX41" s="17">
        <f>MAX(SUMPRODUCT(BT41:BW41,基础状态预期!I52:L52)/6,BX40)</f>
        <v>64.838054550938196</v>
      </c>
      <c r="CA41" s="16">
        <v>36</v>
      </c>
      <c r="CB41" s="16">
        <f t="shared" si="20"/>
        <v>0</v>
      </c>
      <c r="CC41" s="16">
        <f t="shared" si="21"/>
        <v>0</v>
      </c>
      <c r="CD41" s="16">
        <f t="shared" si="22"/>
        <v>0</v>
      </c>
      <c r="CE41" s="16">
        <f t="shared" si="23"/>
        <v>0</v>
      </c>
      <c r="CF41" s="16">
        <f t="shared" si="24"/>
        <v>0</v>
      </c>
      <c r="CH41" s="16">
        <v>40</v>
      </c>
      <c r="CP41" s="16">
        <v>115</v>
      </c>
      <c r="CQ41" s="16">
        <v>0</v>
      </c>
    </row>
    <row r="42" spans="2:100">
      <c r="C42" s="56">
        <v>14</v>
      </c>
      <c r="D42" s="56" t="str">
        <f>INDEX(宝物鉴赏!$L$8:$AC$8,MATCH(C42,宝物鉴赏!$L$1:$AC$1,0))</f>
        <v>带兵数</v>
      </c>
      <c r="E42" s="56"/>
      <c r="F42" s="56">
        <v>150</v>
      </c>
      <c r="G42" s="56">
        <v>300</v>
      </c>
      <c r="H42" s="56">
        <v>450</v>
      </c>
      <c r="I42" s="56">
        <v>600</v>
      </c>
      <c r="J42" s="56">
        <v>700</v>
      </c>
      <c r="N42" s="170"/>
      <c r="O42" s="17" t="s">
        <v>393</v>
      </c>
      <c r="P42" s="17">
        <v>0.4</v>
      </c>
      <c r="Q42" s="17">
        <f>P42-0.03</f>
        <v>0.37</v>
      </c>
      <c r="R42" s="17">
        <f t="shared" ref="R42:T42" si="55">Q42-0.03</f>
        <v>0.33999999999999997</v>
      </c>
      <c r="S42" s="17">
        <f t="shared" si="55"/>
        <v>0.30999999999999994</v>
      </c>
      <c r="T42" s="17">
        <f t="shared" si="55"/>
        <v>0.27999999999999992</v>
      </c>
      <c r="AE42" s="17">
        <f>基础状态预期!C53</f>
        <v>110</v>
      </c>
      <c r="AF42" s="64">
        <f>求节点(P$7:P$9,Z$6:Z$8,基础状态预期!Q53)*P$6</f>
        <v>0</v>
      </c>
      <c r="AG42" s="64">
        <f>求节点(Q$7:Q$9,AA$6:AA$8,基础状态预期!R53)*Q$6</f>
        <v>0</v>
      </c>
      <c r="AH42" s="64">
        <f>求节点(R$7:R$9,AB$6:AB$8,基础状态预期!S53)*R$6</f>
        <v>0</v>
      </c>
      <c r="AI42" s="64">
        <f>求节点(S$7:S$9,AC$6:AC$8,基础状态预期!T53)*S$6</f>
        <v>2350167.2409825884</v>
      </c>
      <c r="AJ42" s="17">
        <f>SUMPRODUCT(AF42:AI42,基础状态预期!I53:L53)</f>
        <v>14101003.44589553</v>
      </c>
      <c r="AM42" s="16">
        <v>37</v>
      </c>
      <c r="AN42" s="16">
        <f t="shared" si="10"/>
        <v>0</v>
      </c>
      <c r="AO42" s="16">
        <f t="shared" si="49"/>
        <v>0</v>
      </c>
      <c r="AP42" s="16">
        <f t="shared" si="50"/>
        <v>0</v>
      </c>
      <c r="AQ42" s="16">
        <f t="shared" si="51"/>
        <v>0</v>
      </c>
      <c r="AR42" s="16">
        <f t="shared" si="14"/>
        <v>0</v>
      </c>
      <c r="AV42" s="16">
        <v>37</v>
      </c>
      <c r="AW42" s="16">
        <f>盗宝贼掉落!AI41</f>
        <v>5875.2470544137377</v>
      </c>
      <c r="AX42" s="16">
        <f>盗宝贼掉落!AJ41</f>
        <v>7488.4803529653536</v>
      </c>
      <c r="AY42" s="16">
        <f>盗宝贼掉落!AK41</f>
        <v>8417.3990854834628</v>
      </c>
      <c r="AZ42" s="16">
        <f>盗宝贼掉落!AL41</f>
        <v>7053.783124528024</v>
      </c>
      <c r="BA42" s="16">
        <f>盗宝贼掉落!AM41</f>
        <v>3961.6126769816069</v>
      </c>
      <c r="BC42" s="16">
        <f>盗宝贼掉落!AI41/AW42</f>
        <v>1</v>
      </c>
      <c r="BG42" s="41" t="e">
        <f t="shared" si="15"/>
        <v>#DIV/0!</v>
      </c>
      <c r="BH42" s="41" t="e">
        <f t="shared" si="16"/>
        <v>#DIV/0!</v>
      </c>
      <c r="BI42" s="41" t="e">
        <f t="shared" si="17"/>
        <v>#DIV/0!</v>
      </c>
      <c r="BJ42" s="41" t="e">
        <f t="shared" si="18"/>
        <v>#DIV/0!</v>
      </c>
      <c r="BK42" s="41" t="e">
        <f t="shared" si="19"/>
        <v>#DIV/0!</v>
      </c>
      <c r="BR42" s="16">
        <v>13</v>
      </c>
      <c r="BS42" s="17">
        <f>基础状态预期!C53</f>
        <v>110</v>
      </c>
      <c r="BT42" s="17">
        <f>求节点($E$5:$E$10,F$5:F$10,基础状态预期!M53)</f>
        <v>6</v>
      </c>
      <c r="BU42" s="17">
        <f>求节点($E$5:$E$10,G$5:G$10,基础状态预期!N53)</f>
        <v>32</v>
      </c>
      <c r="BV42" s="17">
        <f>求节点($E$5:$E$10,H$5:H$10,基础状态预期!O53)</f>
        <v>60</v>
      </c>
      <c r="BW42" s="17">
        <f>求节点($E$5:$E$10,I$5:I$10,基础状态预期!P53)</f>
        <v>72</v>
      </c>
      <c r="BX42" s="17">
        <f>MAX(SUMPRODUCT(BT42:BW42,基础状态预期!I53:L53)/6,BX41)</f>
        <v>72</v>
      </c>
      <c r="CA42" s="16">
        <v>37</v>
      </c>
      <c r="CB42" s="16">
        <f t="shared" si="20"/>
        <v>0</v>
      </c>
      <c r="CC42" s="16">
        <f t="shared" si="21"/>
        <v>0</v>
      </c>
      <c r="CD42" s="16">
        <f t="shared" si="22"/>
        <v>0</v>
      </c>
      <c r="CE42" s="16">
        <f t="shared" si="23"/>
        <v>0</v>
      </c>
      <c r="CF42" s="16">
        <f t="shared" si="24"/>
        <v>0</v>
      </c>
      <c r="CH42" s="16">
        <v>41</v>
      </c>
      <c r="CP42" s="16">
        <v>120</v>
      </c>
      <c r="CQ42" s="16">
        <v>0</v>
      </c>
    </row>
    <row r="43" spans="2:100">
      <c r="C43" s="56">
        <v>15</v>
      </c>
      <c r="D43" s="56" t="str">
        <f>INDEX(宝物鉴赏!$L$8:$AC$8,MATCH(C43,宝物鉴赏!$L$1:$AC$1,0))</f>
        <v>攻城值</v>
      </c>
      <c r="E43" s="56"/>
      <c r="F43" s="56">
        <v>200</v>
      </c>
      <c r="G43" s="56">
        <v>400</v>
      </c>
      <c r="H43" s="56">
        <v>600</v>
      </c>
      <c r="I43" s="56">
        <v>800</v>
      </c>
      <c r="J43" s="56">
        <v>920</v>
      </c>
      <c r="N43" s="170"/>
      <c r="O43" s="17"/>
      <c r="P43" s="17"/>
      <c r="Q43" s="17"/>
      <c r="R43" s="17"/>
      <c r="S43" s="17"/>
      <c r="T43" s="17"/>
      <c r="AE43" s="17">
        <f>基础状态预期!C54</f>
        <v>115</v>
      </c>
      <c r="AF43" s="64">
        <f>求节点(P$7:P$9,Z$6:Z$8,基础状态预期!Q54)*P$6</f>
        <v>0</v>
      </c>
      <c r="AG43" s="64">
        <f>求节点(Q$7:Q$9,AA$6:AA$8,基础状态预期!R54)*Q$6</f>
        <v>0</v>
      </c>
      <c r="AH43" s="64">
        <f>求节点(R$7:R$9,AB$6:AB$8,基础状态预期!S54)*R$6</f>
        <v>0</v>
      </c>
      <c r="AI43" s="64">
        <f>求节点(S$7:S$9,AC$6:AC$8,基础状态预期!T54)*S$6</f>
        <v>2350167.2409825884</v>
      </c>
      <c r="AJ43" s="17">
        <f>SUMPRODUCT(AF43:AI43,基础状态预期!I54:L54)</f>
        <v>14101003.44589553</v>
      </c>
      <c r="AM43" s="16">
        <v>38</v>
      </c>
      <c r="AN43" s="16">
        <f t="shared" si="10"/>
        <v>0</v>
      </c>
      <c r="AO43" s="16">
        <f t="shared" si="49"/>
        <v>0</v>
      </c>
      <c r="AP43" s="16">
        <f t="shared" si="50"/>
        <v>0</v>
      </c>
      <c r="AQ43" s="16">
        <f t="shared" si="51"/>
        <v>0</v>
      </c>
      <c r="AR43" s="16">
        <f t="shared" si="14"/>
        <v>0</v>
      </c>
      <c r="AV43" s="16">
        <v>38</v>
      </c>
      <c r="AW43" s="16">
        <f>盗宝贼掉落!AI42</f>
        <v>6478.5694483102116</v>
      </c>
      <c r="AX43" s="16">
        <f>盗宝贼掉落!AJ42</f>
        <v>8250.3318463881988</v>
      </c>
      <c r="AY43" s="16">
        <f>盗宝贼掉落!AK42</f>
        <v>9251.6005946168534</v>
      </c>
      <c r="AZ43" s="16">
        <f>盗宝贼掉落!AL42</f>
        <v>7748.3020182388955</v>
      </c>
      <c r="BA43" s="16">
        <f>盗宝贼掉落!AM42</f>
        <v>4353.9158111710531</v>
      </c>
      <c r="BC43" s="16">
        <f>盗宝贼掉落!AI42/AW43</f>
        <v>1</v>
      </c>
      <c r="BG43" s="41" t="e">
        <f t="shared" si="15"/>
        <v>#DIV/0!</v>
      </c>
      <c r="BH43" s="41" t="e">
        <f t="shared" si="16"/>
        <v>#DIV/0!</v>
      </c>
      <c r="BI43" s="41" t="e">
        <f t="shared" si="17"/>
        <v>#DIV/0!</v>
      </c>
      <c r="BJ43" s="41" t="e">
        <f t="shared" si="18"/>
        <v>#DIV/0!</v>
      </c>
      <c r="BK43" s="41" t="e">
        <f t="shared" si="19"/>
        <v>#DIV/0!</v>
      </c>
      <c r="BR43" s="16">
        <v>14</v>
      </c>
      <c r="BS43" s="17">
        <f>基础状态预期!C54</f>
        <v>115</v>
      </c>
      <c r="BT43" s="17">
        <f>求节点($E$5:$E$10,F$5:F$10,基础状态预期!M54)</f>
        <v>6</v>
      </c>
      <c r="BU43" s="17">
        <f>求节点($E$5:$E$10,G$5:G$10,基础状态预期!N54)</f>
        <v>32</v>
      </c>
      <c r="BV43" s="17">
        <f>求节点($E$5:$E$10,H$5:H$10,基础状态预期!O54)</f>
        <v>60</v>
      </c>
      <c r="BW43" s="17">
        <f>求节点($E$5:$E$10,I$5:I$10,基础状态预期!P54)</f>
        <v>72</v>
      </c>
      <c r="BX43" s="17">
        <f>MAX(SUMPRODUCT(BT43:BW43,基础状态预期!I54:L54)/6,BX42)</f>
        <v>72</v>
      </c>
      <c r="CA43" s="16">
        <v>38</v>
      </c>
      <c r="CB43" s="16">
        <f t="shared" si="20"/>
        <v>0</v>
      </c>
      <c r="CC43" s="16">
        <f t="shared" si="21"/>
        <v>0</v>
      </c>
      <c r="CD43" s="16">
        <f t="shared" si="22"/>
        <v>0</v>
      </c>
      <c r="CE43" s="16">
        <f t="shared" si="23"/>
        <v>0</v>
      </c>
      <c r="CF43" s="16">
        <f t="shared" si="24"/>
        <v>0</v>
      </c>
      <c r="CH43" s="16">
        <v>42</v>
      </c>
      <c r="CP43" s="16">
        <v>125</v>
      </c>
      <c r="CQ43" s="16">
        <v>0</v>
      </c>
    </row>
    <row r="44" spans="2:100">
      <c r="C44" s="56">
        <v>16</v>
      </c>
      <c r="D44" s="56" t="str">
        <f>INDEX(宝物鉴赏!$L$8:$AC$8,MATCH(C44,宝物鉴赏!$L$1:$AC$1,0))</f>
        <v>统率</v>
      </c>
      <c r="E44" s="56"/>
      <c r="F44" s="56">
        <f>F$14</f>
        <v>6</v>
      </c>
      <c r="G44" s="56">
        <f t="shared" ref="G44:J44" si="56">G$14</f>
        <v>32</v>
      </c>
      <c r="H44" s="56">
        <f t="shared" si="56"/>
        <v>60</v>
      </c>
      <c r="I44" s="56">
        <f t="shared" si="56"/>
        <v>72</v>
      </c>
      <c r="J44" s="56">
        <f t="shared" si="56"/>
        <v>84</v>
      </c>
      <c r="N44" s="170"/>
      <c r="O44" s="17" t="s">
        <v>394</v>
      </c>
      <c r="P44" s="17">
        <v>0.1</v>
      </c>
      <c r="Q44" s="17">
        <v>0.15</v>
      </c>
      <c r="R44" s="17">
        <v>0.2</v>
      </c>
      <c r="S44" s="17">
        <v>0.25</v>
      </c>
      <c r="T44" s="17">
        <v>0.3</v>
      </c>
      <c r="AE44" s="17">
        <f>基础状态预期!C55</f>
        <v>120</v>
      </c>
      <c r="AF44" s="64">
        <f>求节点(P$7:P$9,Z$6:Z$8,基础状态预期!Q55)*P$6</f>
        <v>0</v>
      </c>
      <c r="AG44" s="64">
        <f>求节点(Q$7:Q$9,AA$6:AA$8,基础状态预期!R55)*Q$6</f>
        <v>0</v>
      </c>
      <c r="AH44" s="64">
        <f>求节点(R$7:R$9,AB$6:AB$8,基础状态预期!S55)*R$6</f>
        <v>0</v>
      </c>
      <c r="AI44" s="64">
        <f>求节点(S$7:S$9,AC$6:AC$8,基础状态预期!T55)*S$6</f>
        <v>2350167.2409825884</v>
      </c>
      <c r="AJ44" s="17">
        <f>SUMPRODUCT(AF44:AI44,基础状态预期!I55:L55)</f>
        <v>14101003.44589553</v>
      </c>
      <c r="AM44" s="16">
        <v>39</v>
      </c>
      <c r="AN44" s="16">
        <f t="shared" si="10"/>
        <v>0</v>
      </c>
      <c r="AO44" s="16">
        <f t="shared" si="49"/>
        <v>0</v>
      </c>
      <c r="AP44" s="16">
        <f t="shared" si="50"/>
        <v>0</v>
      </c>
      <c r="AQ44" s="16">
        <f t="shared" si="51"/>
        <v>0</v>
      </c>
      <c r="AR44" s="16">
        <f t="shared" si="14"/>
        <v>0</v>
      </c>
      <c r="AV44" s="16">
        <v>39</v>
      </c>
      <c r="AW44" s="16">
        <f>盗宝贼掉落!AI43</f>
        <v>7138.4448903261773</v>
      </c>
      <c r="AX44" s="16">
        <f>盗宝贼掉落!AJ43</f>
        <v>9072.3685803828612</v>
      </c>
      <c r="AY44" s="16">
        <f>盗宝贼掉落!AK43</f>
        <v>10161.618330816302</v>
      </c>
      <c r="AZ44" s="16">
        <f>盗宝贼掉落!AL43</f>
        <v>8522.0155955519767</v>
      </c>
      <c r="BA44" s="16">
        <f>盗宝贼掉落!AM43</f>
        <v>4796.293438474896</v>
      </c>
      <c r="BC44" s="16">
        <f>盗宝贼掉落!AI43/AW44</f>
        <v>1</v>
      </c>
      <c r="BG44" s="41" t="e">
        <f t="shared" si="15"/>
        <v>#DIV/0!</v>
      </c>
      <c r="BH44" s="41" t="e">
        <f t="shared" si="16"/>
        <v>#DIV/0!</v>
      </c>
      <c r="BI44" s="41" t="e">
        <f t="shared" si="17"/>
        <v>#DIV/0!</v>
      </c>
      <c r="BJ44" s="41" t="e">
        <f t="shared" si="18"/>
        <v>#DIV/0!</v>
      </c>
      <c r="BK44" s="41" t="e">
        <f t="shared" si="19"/>
        <v>#DIV/0!</v>
      </c>
      <c r="BR44" s="16">
        <v>15</v>
      </c>
      <c r="BS44" s="17">
        <f>基础状态预期!C55</f>
        <v>120</v>
      </c>
      <c r="BT44" s="17">
        <f>求节点($E$5:$E$10,F$5:F$10,基础状态预期!M55)</f>
        <v>6</v>
      </c>
      <c r="BU44" s="17">
        <f>求节点($E$5:$E$10,G$5:G$10,基础状态预期!N55)</f>
        <v>32</v>
      </c>
      <c r="BV44" s="17">
        <f>求节点($E$5:$E$10,H$5:H$10,基础状态预期!O55)</f>
        <v>60</v>
      </c>
      <c r="BW44" s="17">
        <f>求节点($E$5:$E$10,I$5:I$10,基础状态预期!P55)</f>
        <v>72</v>
      </c>
      <c r="BX44" s="17">
        <f>MAX(SUMPRODUCT(BT44:BW44,基础状态预期!I55:L55)/6,BX43)</f>
        <v>72</v>
      </c>
      <c r="CA44" s="16">
        <v>39</v>
      </c>
      <c r="CB44" s="16">
        <f t="shared" si="20"/>
        <v>0</v>
      </c>
      <c r="CC44" s="16">
        <f t="shared" si="21"/>
        <v>0</v>
      </c>
      <c r="CD44" s="16">
        <f t="shared" si="22"/>
        <v>0</v>
      </c>
      <c r="CE44" s="16">
        <f t="shared" si="23"/>
        <v>0</v>
      </c>
      <c r="CF44" s="16">
        <f t="shared" si="24"/>
        <v>0</v>
      </c>
      <c r="CH44" s="16">
        <v>43</v>
      </c>
      <c r="CP44" s="16">
        <v>130</v>
      </c>
      <c r="CQ44" s="16">
        <v>0</v>
      </c>
    </row>
    <row r="45" spans="2:100">
      <c r="B45" s="44" t="s">
        <v>471</v>
      </c>
      <c r="C45" s="56">
        <v>17</v>
      </c>
      <c r="D45" s="56" t="str">
        <f>INDEX(宝物鉴赏!$L$8:$AC$8,MATCH(C45,宝物鉴赏!$L$1:$AC$1,0))</f>
        <v>武力</v>
      </c>
      <c r="E45" s="56"/>
      <c r="F45" s="56">
        <f t="shared" ref="F45:J46" si="57">F$14</f>
        <v>6</v>
      </c>
      <c r="G45" s="56">
        <f t="shared" si="57"/>
        <v>32</v>
      </c>
      <c r="H45" s="56">
        <f t="shared" si="57"/>
        <v>60</v>
      </c>
      <c r="I45" s="56">
        <f t="shared" si="57"/>
        <v>72</v>
      </c>
      <c r="J45" s="56">
        <f t="shared" si="57"/>
        <v>84</v>
      </c>
      <c r="N45" s="170"/>
      <c r="O45" s="17"/>
      <c r="P45" s="17"/>
      <c r="Q45" s="17"/>
      <c r="R45" s="17"/>
      <c r="S45" s="17"/>
      <c r="T45" s="17"/>
      <c r="AE45" s="17">
        <f>基础状态预期!C56</f>
        <v>125</v>
      </c>
      <c r="AF45" s="64">
        <f>求节点(P$7:P$9,Z$6:Z$8,基础状态预期!Q56)*P$6</f>
        <v>0</v>
      </c>
      <c r="AG45" s="64">
        <f>求节点(Q$7:Q$9,AA$6:AA$8,基础状态预期!R56)*Q$6</f>
        <v>0</v>
      </c>
      <c r="AH45" s="64">
        <f>求节点(R$7:R$9,AB$6:AB$8,基础状态预期!S56)*R$6</f>
        <v>0</v>
      </c>
      <c r="AI45" s="64">
        <f>求节点(S$7:S$9,AC$6:AC$8,基础状态预期!T56)*S$6</f>
        <v>2350167.2409825884</v>
      </c>
      <c r="AJ45" s="17">
        <f>SUMPRODUCT(AF45:AI45,基础状态预期!I56:L56)</f>
        <v>14101003.44589553</v>
      </c>
      <c r="AM45" s="16">
        <v>40</v>
      </c>
      <c r="AN45" s="16">
        <f t="shared" si="10"/>
        <v>0</v>
      </c>
      <c r="AO45" s="16">
        <f t="shared" si="49"/>
        <v>0</v>
      </c>
      <c r="AP45" s="16">
        <f t="shared" si="50"/>
        <v>0</v>
      </c>
      <c r="AQ45" s="16">
        <f t="shared" si="51"/>
        <v>0</v>
      </c>
      <c r="AR45" s="16">
        <f t="shared" si="14"/>
        <v>0</v>
      </c>
      <c r="AV45" s="16">
        <v>40</v>
      </c>
      <c r="AW45" s="16">
        <f>盗宝贼掉落!AI44</f>
        <v>7859.8834235886616</v>
      </c>
      <c r="AX45" s="16">
        <f>盗宝贼掉落!AJ44</f>
        <v>9966.6976186380252</v>
      </c>
      <c r="AY45" s="16">
        <f>盗宝贼掉落!AK44</f>
        <v>11181.919293574423</v>
      </c>
      <c r="AZ45" s="16">
        <f>盗宝贼掉落!AL44</f>
        <v>9398.3667267336496</v>
      </c>
      <c r="BA45" s="16">
        <f>盗宝贼掉落!AM44</f>
        <v>5293.5114605864846</v>
      </c>
      <c r="BC45" s="16">
        <f>盗宝贼掉落!AI44/AW45</f>
        <v>1</v>
      </c>
      <c r="BG45" s="41" t="e">
        <f t="shared" si="15"/>
        <v>#DIV/0!</v>
      </c>
      <c r="BH45" s="41" t="e">
        <f t="shared" si="16"/>
        <v>#DIV/0!</v>
      </c>
      <c r="BI45" s="41" t="e">
        <f t="shared" si="17"/>
        <v>#DIV/0!</v>
      </c>
      <c r="BJ45" s="41" t="e">
        <f t="shared" si="18"/>
        <v>#DIV/0!</v>
      </c>
      <c r="BK45" s="41" t="e">
        <f t="shared" si="19"/>
        <v>#DIV/0!</v>
      </c>
      <c r="BR45" s="16">
        <v>16</v>
      </c>
      <c r="BS45" s="17">
        <f>基础状态预期!C56</f>
        <v>125</v>
      </c>
      <c r="BT45" s="17">
        <f>求节点($E$5:$E$10,F$5:F$10,基础状态预期!M56)</f>
        <v>6</v>
      </c>
      <c r="BU45" s="17">
        <f>求节点($E$5:$E$10,G$5:G$10,基础状态预期!N56)</f>
        <v>32</v>
      </c>
      <c r="BV45" s="17">
        <f>求节点($E$5:$E$10,H$5:H$10,基础状态预期!O56)</f>
        <v>60</v>
      </c>
      <c r="BW45" s="17">
        <f>求节点($E$5:$E$10,I$5:I$10,基础状态预期!P56)</f>
        <v>72</v>
      </c>
      <c r="BX45" s="17">
        <f>MAX(SUMPRODUCT(BT45:BW45,基础状态预期!I56:L56)/6,BX44)</f>
        <v>72</v>
      </c>
      <c r="CA45" s="16">
        <v>40</v>
      </c>
      <c r="CB45" s="16">
        <f t="shared" si="20"/>
        <v>0</v>
      </c>
      <c r="CC45" s="16">
        <f t="shared" si="21"/>
        <v>0</v>
      </c>
      <c r="CD45" s="16">
        <f t="shared" si="22"/>
        <v>0</v>
      </c>
      <c r="CE45" s="16">
        <f t="shared" si="23"/>
        <v>0</v>
      </c>
      <c r="CF45" s="16">
        <f t="shared" si="24"/>
        <v>0</v>
      </c>
      <c r="CH45" s="16">
        <v>44</v>
      </c>
      <c r="CP45" s="16">
        <v>135</v>
      </c>
      <c r="CQ45" s="16">
        <v>0</v>
      </c>
    </row>
    <row r="46" spans="2:100">
      <c r="B46" s="44" t="s">
        <v>471</v>
      </c>
      <c r="C46" s="56">
        <v>18</v>
      </c>
      <c r="D46" s="56" t="str">
        <f>INDEX(宝物鉴赏!$L$8:$AC$8,MATCH(C46,宝物鉴赏!$L$1:$AC$1,0))</f>
        <v>智力</v>
      </c>
      <c r="E46" s="56"/>
      <c r="F46" s="56">
        <f t="shared" si="57"/>
        <v>6</v>
      </c>
      <c r="G46" s="56">
        <f t="shared" si="57"/>
        <v>32</v>
      </c>
      <c r="H46" s="56">
        <f t="shared" si="57"/>
        <v>60</v>
      </c>
      <c r="I46" s="56">
        <f t="shared" si="57"/>
        <v>72</v>
      </c>
      <c r="J46" s="56">
        <f t="shared" si="57"/>
        <v>84</v>
      </c>
      <c r="N46" s="170"/>
      <c r="O46" s="17" t="s">
        <v>395</v>
      </c>
      <c r="P46" s="17">
        <v>5.0000000000000001E-3</v>
      </c>
      <c r="Q46" s="17">
        <v>5.0000000000000001E-3</v>
      </c>
      <c r="R46" s="17">
        <v>5.0000000000000001E-3</v>
      </c>
      <c r="S46" s="17">
        <v>5.0000000000000001E-3</v>
      </c>
      <c r="T46" s="17">
        <v>5.0000000000000001E-3</v>
      </c>
      <c r="AE46" s="17">
        <f>基础状态预期!C57</f>
        <v>130</v>
      </c>
      <c r="AF46" s="64">
        <f>求节点(P$7:P$9,Z$6:Z$8,基础状态预期!Q57)*P$6</f>
        <v>0</v>
      </c>
      <c r="AG46" s="64">
        <f>求节点(Q$7:Q$9,AA$6:AA$8,基础状态预期!R57)*Q$6</f>
        <v>0</v>
      </c>
      <c r="AH46" s="64">
        <f>求节点(R$7:R$9,AB$6:AB$8,基础状态预期!S57)*R$6</f>
        <v>0</v>
      </c>
      <c r="AI46" s="64">
        <f>求节点(S$7:S$9,AC$6:AC$8,基础状态预期!T57)*S$6</f>
        <v>2350167.2409825884</v>
      </c>
      <c r="AJ46" s="17">
        <f>SUMPRODUCT(AF46:AI46,基础状态预期!I57:L57)</f>
        <v>14101003.44589553</v>
      </c>
      <c r="AM46" s="16">
        <v>41</v>
      </c>
      <c r="AN46" s="16">
        <f t="shared" si="10"/>
        <v>0</v>
      </c>
      <c r="AO46" s="16">
        <f t="shared" si="49"/>
        <v>0</v>
      </c>
      <c r="AP46" s="16">
        <f t="shared" si="50"/>
        <v>0</v>
      </c>
      <c r="AQ46" s="16">
        <f t="shared" si="51"/>
        <v>0</v>
      </c>
      <c r="AR46" s="16">
        <f t="shared" si="14"/>
        <v>0</v>
      </c>
      <c r="AV46" s="16">
        <v>41</v>
      </c>
      <c r="AW46" s="16">
        <f>盗宝贼掉落!AI45</f>
        <v>8648.3229384456463</v>
      </c>
      <c r="AX46" s="16">
        <f>盗宝贼掉落!AJ45</f>
        <v>10972.936003509813</v>
      </c>
      <c r="AY46" s="16">
        <f>盗宝贼掉落!AK45</f>
        <v>12322.799363900791</v>
      </c>
      <c r="AZ46" s="16">
        <f>盗宝贼掉落!AL45</f>
        <v>10364.866373876752</v>
      </c>
      <c r="BA46" s="16">
        <f>盗宝贼掉落!AM45</f>
        <v>5847.9623332716556</v>
      </c>
      <c r="BC46" s="16">
        <f>盗宝贼掉落!AI45/AW46</f>
        <v>1</v>
      </c>
      <c r="BG46" s="41" t="e">
        <f t="shared" si="15"/>
        <v>#DIV/0!</v>
      </c>
      <c r="BH46" s="41" t="e">
        <f t="shared" si="16"/>
        <v>#DIV/0!</v>
      </c>
      <c r="BI46" s="41" t="e">
        <f t="shared" si="17"/>
        <v>#DIV/0!</v>
      </c>
      <c r="BJ46" s="41" t="e">
        <f t="shared" si="18"/>
        <v>#DIV/0!</v>
      </c>
      <c r="BK46" s="41" t="e">
        <f t="shared" si="19"/>
        <v>#DIV/0!</v>
      </c>
      <c r="BR46" s="16">
        <v>17</v>
      </c>
      <c r="BS46" s="17">
        <f>基础状态预期!C57</f>
        <v>130</v>
      </c>
      <c r="BT46" s="17">
        <f>求节点($E$5:$E$10,F$5:F$10,基础状态预期!M57)</f>
        <v>6</v>
      </c>
      <c r="BU46" s="17">
        <f>求节点($E$5:$E$10,G$5:G$10,基础状态预期!N57)</f>
        <v>32</v>
      </c>
      <c r="BV46" s="17">
        <f>求节点($E$5:$E$10,H$5:H$10,基础状态预期!O57)</f>
        <v>60</v>
      </c>
      <c r="BW46" s="17">
        <f>求节点($E$5:$E$10,I$5:I$10,基础状态预期!P57)</f>
        <v>72</v>
      </c>
      <c r="BX46" s="17">
        <f>MAX(SUMPRODUCT(BT46:BW46,基础状态预期!I57:L57)/6,BX45)</f>
        <v>72</v>
      </c>
      <c r="CA46" s="16">
        <v>41</v>
      </c>
      <c r="CB46" s="16">
        <f t="shared" si="20"/>
        <v>0</v>
      </c>
      <c r="CC46" s="16">
        <f t="shared" si="21"/>
        <v>0</v>
      </c>
      <c r="CD46" s="16">
        <f t="shared" si="22"/>
        <v>0</v>
      </c>
      <c r="CE46" s="16">
        <f t="shared" si="23"/>
        <v>0</v>
      </c>
      <c r="CF46" s="16">
        <f t="shared" si="24"/>
        <v>0</v>
      </c>
      <c r="CH46" s="16">
        <v>45</v>
      </c>
      <c r="CP46" s="16">
        <v>140</v>
      </c>
      <c r="CQ46" s="16">
        <v>0</v>
      </c>
    </row>
    <row r="47" spans="2:100">
      <c r="D47" s="56"/>
      <c r="E47" s="56"/>
      <c r="F47" s="56"/>
      <c r="G47" s="56"/>
      <c r="H47" s="56"/>
      <c r="I47" s="56"/>
      <c r="J47" s="56"/>
      <c r="N47" s="170"/>
      <c r="O47" s="17" t="s">
        <v>396</v>
      </c>
      <c r="P47" s="17">
        <v>0.05</v>
      </c>
      <c r="Q47" s="17">
        <v>0.05</v>
      </c>
      <c r="R47" s="17">
        <v>0.05</v>
      </c>
      <c r="S47" s="17">
        <v>0.05</v>
      </c>
      <c r="T47" s="17">
        <v>0.05</v>
      </c>
      <c r="AE47" s="17">
        <f>基础状态预期!C58</f>
        <v>135</v>
      </c>
      <c r="AF47" s="64">
        <f>求节点(P$7:P$9,Z$6:Z$8,基础状态预期!Q58)*P$6</f>
        <v>0</v>
      </c>
      <c r="AG47" s="64">
        <f>求节点(Q$7:Q$9,AA$6:AA$8,基础状态预期!R58)*Q$6</f>
        <v>0</v>
      </c>
      <c r="AH47" s="64">
        <f>求节点(R$7:R$9,AB$6:AB$8,基础状态预期!S58)*R$6</f>
        <v>0</v>
      </c>
      <c r="AI47" s="64">
        <f>求节点(S$7:S$9,AC$6:AC$8,基础状态预期!T58)*S$6</f>
        <v>2350167.2409825884</v>
      </c>
      <c r="AJ47" s="17">
        <f>SUMPRODUCT(AF47:AI47,基础状态预期!I58:L58)</f>
        <v>14101003.44589553</v>
      </c>
      <c r="AM47" s="16">
        <v>42</v>
      </c>
      <c r="AN47" s="16">
        <f t="shared" si="10"/>
        <v>0</v>
      </c>
      <c r="AO47" s="16">
        <f t="shared" si="49"/>
        <v>0</v>
      </c>
      <c r="AP47" s="16">
        <f t="shared" si="50"/>
        <v>0</v>
      </c>
      <c r="AQ47" s="16">
        <f t="shared" si="51"/>
        <v>0</v>
      </c>
      <c r="AR47" s="16">
        <f t="shared" si="14"/>
        <v>0</v>
      </c>
      <c r="AV47" s="16">
        <v>42</v>
      </c>
      <c r="AW47" s="16">
        <f>盗宝贼掉落!AI46</f>
        <v>9509.6647797329842</v>
      </c>
      <c r="AX47" s="16">
        <f>盗宝贼掉落!AJ46</f>
        <v>12111.718799552704</v>
      </c>
      <c r="AY47" s="16">
        <f>盗宝贼掉落!AK46</f>
        <v>13604.477284882401</v>
      </c>
      <c r="AZ47" s="16">
        <f>盗宝贼掉落!AL46</f>
        <v>11450.006743720192</v>
      </c>
      <c r="BA47" s="16">
        <f>盗宝贼掉落!AM46</f>
        <v>6455.7211157207166</v>
      </c>
      <c r="BC47" s="16">
        <f>盗宝贼掉落!AI46/AW47</f>
        <v>1</v>
      </c>
      <c r="BG47" s="41" t="e">
        <f t="shared" si="15"/>
        <v>#DIV/0!</v>
      </c>
      <c r="BH47" s="41" t="e">
        <f t="shared" si="16"/>
        <v>#DIV/0!</v>
      </c>
      <c r="BI47" s="41" t="e">
        <f t="shared" si="17"/>
        <v>#DIV/0!</v>
      </c>
      <c r="BJ47" s="41" t="e">
        <f t="shared" si="18"/>
        <v>#DIV/0!</v>
      </c>
      <c r="BK47" s="41" t="e">
        <f t="shared" si="19"/>
        <v>#DIV/0!</v>
      </c>
      <c r="BR47" s="16">
        <v>18</v>
      </c>
      <c r="BS47" s="17">
        <f>基础状态预期!C58</f>
        <v>135</v>
      </c>
      <c r="BT47" s="17">
        <f>求节点($E$5:$E$10,F$5:F$10,基础状态预期!M58)</f>
        <v>6</v>
      </c>
      <c r="BU47" s="17">
        <f>求节点($E$5:$E$10,G$5:G$10,基础状态预期!N58)</f>
        <v>32</v>
      </c>
      <c r="BV47" s="17">
        <f>求节点($E$5:$E$10,H$5:H$10,基础状态预期!O58)</f>
        <v>60</v>
      </c>
      <c r="BW47" s="17">
        <f>求节点($E$5:$E$10,I$5:I$10,基础状态预期!P58)</f>
        <v>72</v>
      </c>
      <c r="BX47" s="17">
        <f>MAX(SUMPRODUCT(BT47:BW47,基础状态预期!I58:L58)/6,BX46)</f>
        <v>72</v>
      </c>
      <c r="CA47" s="16">
        <v>42</v>
      </c>
      <c r="CB47" s="16">
        <f t="shared" si="20"/>
        <v>0</v>
      </c>
      <c r="CC47" s="16">
        <f t="shared" si="21"/>
        <v>0</v>
      </c>
      <c r="CD47" s="16">
        <f t="shared" si="22"/>
        <v>0</v>
      </c>
      <c r="CE47" s="16">
        <f t="shared" si="23"/>
        <v>0</v>
      </c>
      <c r="CF47" s="16">
        <f t="shared" si="24"/>
        <v>0</v>
      </c>
      <c r="CH47" s="16">
        <v>1</v>
      </c>
      <c r="CI47" s="17" t="s">
        <v>75</v>
      </c>
      <c r="CJ47" s="70" t="s">
        <v>54</v>
      </c>
      <c r="CK47" s="170" t="s">
        <v>414</v>
      </c>
      <c r="CL47" s="170"/>
      <c r="CP47" s="16">
        <v>145</v>
      </c>
      <c r="CQ47" s="16">
        <v>0</v>
      </c>
      <c r="CT47" s="17" t="s">
        <v>75</v>
      </c>
      <c r="CU47" s="69" t="s">
        <v>417</v>
      </c>
    </row>
    <row r="48" spans="2:100">
      <c r="D48" s="56"/>
      <c r="E48" s="56"/>
      <c r="F48" s="56"/>
      <c r="G48" s="56"/>
      <c r="H48" s="56"/>
      <c r="I48" s="56"/>
      <c r="J48" s="56"/>
      <c r="N48" s="170"/>
      <c r="O48" s="17" t="s">
        <v>397</v>
      </c>
      <c r="P48" s="17">
        <f>1-P42-P44</f>
        <v>0.5</v>
      </c>
      <c r="Q48" s="17">
        <f t="shared" ref="Q48:S48" si="58">1-Q42-Q44</f>
        <v>0.48</v>
      </c>
      <c r="R48" s="17">
        <f t="shared" si="58"/>
        <v>0.46</v>
      </c>
      <c r="S48" s="17">
        <f t="shared" si="58"/>
        <v>0.44000000000000006</v>
      </c>
      <c r="T48" s="17">
        <f t="shared" ref="T48" si="59">1-T42-T44</f>
        <v>0.4200000000000001</v>
      </c>
      <c r="AE48" s="17">
        <f>基础状态预期!C59</f>
        <v>140</v>
      </c>
      <c r="AF48" s="64">
        <f>求节点(P$7:P$9,Z$6:Z$8,基础状态预期!Q59)*P$6</f>
        <v>0</v>
      </c>
      <c r="AG48" s="64">
        <f>求节点(Q$7:Q$9,AA$6:AA$8,基础状态预期!R59)*Q$6</f>
        <v>0</v>
      </c>
      <c r="AH48" s="64">
        <f>求节点(R$7:R$9,AB$6:AB$8,基础状态预期!S59)*R$6</f>
        <v>0</v>
      </c>
      <c r="AI48" s="64">
        <f>求节点(S$7:S$9,AC$6:AC$8,基础状态预期!T59)*S$6</f>
        <v>2350167.2409825884</v>
      </c>
      <c r="AJ48" s="17">
        <f>SUMPRODUCT(AF48:AI48,基础状态预期!I59:L59)</f>
        <v>14101003.44589553</v>
      </c>
      <c r="AM48" s="16">
        <v>43</v>
      </c>
      <c r="AN48" s="16">
        <f t="shared" si="10"/>
        <v>0</v>
      </c>
      <c r="AO48" s="16">
        <f t="shared" si="49"/>
        <v>0</v>
      </c>
      <c r="AP48" s="16">
        <f t="shared" si="50"/>
        <v>0</v>
      </c>
      <c r="AQ48" s="16">
        <f t="shared" si="51"/>
        <v>0</v>
      </c>
      <c r="AR48" s="16">
        <f t="shared" si="14"/>
        <v>0</v>
      </c>
      <c r="AV48" s="16">
        <v>43</v>
      </c>
      <c r="AW48" s="16">
        <f>盗宝贼掉落!AI47</f>
        <v>10450.312261329927</v>
      </c>
      <c r="AX48" s="16">
        <f>盗宝贼掉落!AJ47</f>
        <v>13312.499078011213</v>
      </c>
      <c r="AY48" s="16">
        <f>盗宝贼掉落!AK47</f>
        <v>14961.19659816752</v>
      </c>
      <c r="AZ48" s="16">
        <f>盗宝贼掉落!AL47</f>
        <v>12564.862246876757</v>
      </c>
      <c r="BA48" s="16">
        <f>盗宝贼掉落!AM47</f>
        <v>7079.8612549928766</v>
      </c>
      <c r="BC48" s="16">
        <f>盗宝贼掉落!AI47/AW48</f>
        <v>1</v>
      </c>
      <c r="BG48" s="41" t="e">
        <f t="shared" si="15"/>
        <v>#DIV/0!</v>
      </c>
      <c r="BH48" s="41" t="e">
        <f t="shared" si="16"/>
        <v>#DIV/0!</v>
      </c>
      <c r="BI48" s="41" t="e">
        <f t="shared" si="17"/>
        <v>#DIV/0!</v>
      </c>
      <c r="BJ48" s="41" t="e">
        <f t="shared" si="18"/>
        <v>#DIV/0!</v>
      </c>
      <c r="BK48" s="41" t="e">
        <f t="shared" si="19"/>
        <v>#DIV/0!</v>
      </c>
      <c r="BR48" s="16">
        <v>19</v>
      </c>
      <c r="BS48" s="17">
        <f>基础状态预期!C59</f>
        <v>140</v>
      </c>
      <c r="BT48" s="17">
        <f>求节点($E$5:$E$10,F$5:F$10,基础状态预期!M59)</f>
        <v>6</v>
      </c>
      <c r="BU48" s="17">
        <f>求节点($E$5:$E$10,G$5:G$10,基础状态预期!N59)</f>
        <v>32</v>
      </c>
      <c r="BV48" s="17">
        <f>求节点($E$5:$E$10,H$5:H$10,基础状态预期!O59)</f>
        <v>60</v>
      </c>
      <c r="BW48" s="17">
        <f>求节点($E$5:$E$10,I$5:I$10,基础状态预期!P59)</f>
        <v>72</v>
      </c>
      <c r="BX48" s="17">
        <f>MAX(SUMPRODUCT(BT48:BW48,基础状态预期!I59:L59)/6,BX47)</f>
        <v>72</v>
      </c>
      <c r="CA48" s="16">
        <v>43</v>
      </c>
      <c r="CB48" s="16">
        <f t="shared" si="20"/>
        <v>0</v>
      </c>
      <c r="CC48" s="16">
        <f t="shared" si="21"/>
        <v>0</v>
      </c>
      <c r="CD48" s="16">
        <f t="shared" si="22"/>
        <v>0</v>
      </c>
      <c r="CE48" s="16">
        <f t="shared" si="23"/>
        <v>0</v>
      </c>
      <c r="CF48" s="16">
        <f t="shared" si="24"/>
        <v>0</v>
      </c>
      <c r="CH48" s="16">
        <v>2</v>
      </c>
      <c r="CI48" s="17" t="s">
        <v>161</v>
      </c>
      <c r="CJ48" s="17" t="s">
        <v>461</v>
      </c>
      <c r="CK48" s="17" t="s">
        <v>461</v>
      </c>
      <c r="CL48" s="17" t="s">
        <v>413</v>
      </c>
      <c r="CP48" s="16">
        <v>150</v>
      </c>
      <c r="CQ48" s="16">
        <v>0</v>
      </c>
      <c r="CT48" s="17" t="s">
        <v>161</v>
      </c>
      <c r="CU48" s="17" t="s">
        <v>451</v>
      </c>
      <c r="CV48" s="17" t="s">
        <v>192</v>
      </c>
    </row>
    <row r="49" spans="4:100">
      <c r="D49" s="56"/>
      <c r="E49" s="56"/>
      <c r="F49" s="56">
        <v>100</v>
      </c>
      <c r="G49" s="56"/>
      <c r="H49" s="56"/>
      <c r="I49" s="56"/>
      <c r="J49" s="56"/>
      <c r="N49" s="170"/>
      <c r="O49" s="17"/>
      <c r="P49" s="17"/>
      <c r="Q49" s="17"/>
      <c r="R49" s="17"/>
      <c r="S49" s="17"/>
      <c r="T49" s="17"/>
      <c r="AE49" s="17">
        <f>基础状态预期!C60</f>
        <v>145</v>
      </c>
      <c r="AF49" s="64">
        <f>求节点(P$7:P$9,Z$6:Z$8,基础状态预期!Q60)*P$6</f>
        <v>0</v>
      </c>
      <c r="AG49" s="64">
        <f>求节点(Q$7:Q$9,AA$6:AA$8,基础状态预期!R60)*Q$6</f>
        <v>0</v>
      </c>
      <c r="AH49" s="64">
        <f>求节点(R$7:R$9,AB$6:AB$8,基础状态预期!S60)*R$6</f>
        <v>0</v>
      </c>
      <c r="AI49" s="64">
        <f>求节点(S$7:S$9,AC$6:AC$8,基础状态预期!T60)*S$6</f>
        <v>2350167.2409825884</v>
      </c>
      <c r="AJ49" s="17">
        <f>SUMPRODUCT(AF49:AI49,基础状态预期!I60:L60)</f>
        <v>14101003.44589553</v>
      </c>
      <c r="AM49" s="16">
        <v>44</v>
      </c>
      <c r="AN49" s="16">
        <f t="shared" si="10"/>
        <v>0</v>
      </c>
      <c r="AO49" s="16">
        <f t="shared" si="49"/>
        <v>0</v>
      </c>
      <c r="AP49" s="16">
        <f t="shared" si="50"/>
        <v>0</v>
      </c>
      <c r="AQ49" s="16">
        <f t="shared" si="51"/>
        <v>0</v>
      </c>
      <c r="AR49" s="16">
        <f t="shared" si="14"/>
        <v>0</v>
      </c>
      <c r="AV49" s="16">
        <v>44</v>
      </c>
      <c r="AW49" s="16">
        <f>盗宝贼掉落!AI48</f>
        <v>11477.212321907444</v>
      </c>
      <c r="AX49" s="16">
        <f>盗宝贼掉落!AJ48</f>
        <v>14619.443714673962</v>
      </c>
      <c r="AY49" s="16">
        <f>盗宝贼掉落!AK48</f>
        <v>16414.488855903364</v>
      </c>
      <c r="AZ49" s="16">
        <f>盗宝贼掉落!AL48</f>
        <v>13780.736270474999</v>
      </c>
      <c r="BA49" s="16">
        <f>盗宝贼掉落!AM48</f>
        <v>7753.7235449051377</v>
      </c>
      <c r="BC49" s="16">
        <f>盗宝贼掉落!AI48/AW49</f>
        <v>1</v>
      </c>
      <c r="BG49" s="41" t="e">
        <f t="shared" si="15"/>
        <v>#DIV/0!</v>
      </c>
      <c r="BH49" s="41" t="e">
        <f t="shared" si="16"/>
        <v>#DIV/0!</v>
      </c>
      <c r="BI49" s="41" t="e">
        <f t="shared" si="17"/>
        <v>#DIV/0!</v>
      </c>
      <c r="BJ49" s="41" t="e">
        <f t="shared" si="18"/>
        <v>#DIV/0!</v>
      </c>
      <c r="BK49" s="41" t="e">
        <f t="shared" si="19"/>
        <v>#DIV/0!</v>
      </c>
      <c r="BR49" s="16">
        <v>20</v>
      </c>
      <c r="BS49" s="17">
        <f>基础状态预期!C60</f>
        <v>145</v>
      </c>
      <c r="BT49" s="17">
        <f>求节点($E$5:$E$10,F$5:F$10,基础状态预期!M60)</f>
        <v>6</v>
      </c>
      <c r="BU49" s="17">
        <f>求节点($E$5:$E$10,G$5:G$10,基础状态预期!N60)</f>
        <v>32</v>
      </c>
      <c r="BV49" s="17">
        <f>求节点($E$5:$E$10,H$5:H$10,基础状态预期!O60)</f>
        <v>60</v>
      </c>
      <c r="BW49" s="17">
        <f>求节点($E$5:$E$10,I$5:I$10,基础状态预期!P60)</f>
        <v>72</v>
      </c>
      <c r="BX49" s="17">
        <f>MAX(SUMPRODUCT(BT49:BW49,基础状态预期!I60:L60)/6,BX48)</f>
        <v>72</v>
      </c>
      <c r="CA49" s="16">
        <v>44</v>
      </c>
      <c r="CB49" s="16">
        <f t="shared" si="20"/>
        <v>0</v>
      </c>
      <c r="CC49" s="16">
        <f t="shared" si="21"/>
        <v>0</v>
      </c>
      <c r="CD49" s="16">
        <f t="shared" si="22"/>
        <v>0</v>
      </c>
      <c r="CE49" s="16">
        <f t="shared" si="23"/>
        <v>0</v>
      </c>
      <c r="CF49" s="16">
        <f t="shared" si="24"/>
        <v>0</v>
      </c>
      <c r="CH49" s="16">
        <v>3</v>
      </c>
      <c r="CI49" s="17">
        <v>10</v>
      </c>
      <c r="CJ49" s="17">
        <f>求节点($CA$6:$CA$165,$CC$6:$CC$165,$CI49)</f>
        <v>0</v>
      </c>
      <c r="CK49" s="51">
        <f>CJ49*(INDEX([3]小r将兵属性验证!$V$7:$V$166,$CI49,1)+INDEX([3]小r将兵属性验证!$AP$7:$AP$166,$CI49,1))</f>
        <v>0</v>
      </c>
      <c r="CL49" s="17">
        <f t="shared" ref="CL49:CL64" si="60">SUM(CK49:CK49)</f>
        <v>0</v>
      </c>
      <c r="CP49" s="16">
        <v>155</v>
      </c>
      <c r="CQ49" s="16">
        <v>0</v>
      </c>
      <c r="CT49" s="17">
        <v>10</v>
      </c>
      <c r="CU49" s="17">
        <f>求节点($CP$30:$CP$50,CQ$30:CQ$50,$CT49)</f>
        <v>0</v>
      </c>
      <c r="CV49" s="17">
        <f t="shared" ref="CV49:CV64" si="61">SUM(CU49:CU49)</f>
        <v>0</v>
      </c>
    </row>
    <row r="50" spans="4:100">
      <c r="F50" s="16">
        <f>$F$49*F29*(0.5+0.5*1.5)</f>
        <v>5.625</v>
      </c>
      <c r="G50" s="16">
        <f>$F$49*G29*(0.5+0.5*1.5)</f>
        <v>13.125</v>
      </c>
      <c r="H50" s="16">
        <f>$F$49*H29*(0.5+0.5*1.5)</f>
        <v>23.75</v>
      </c>
      <c r="I50" s="16">
        <f>$F$49*I29*(0.5+0.5*1.5)</f>
        <v>30</v>
      </c>
      <c r="N50" s="170"/>
      <c r="O50" s="51" t="s">
        <v>291</v>
      </c>
      <c r="P50" s="17">
        <f t="shared" ref="P50:R50" si="62">P42^P$5*AVERAGE(P40:P41)*P$5+
IF(P$5&gt;1,MAX(MAX(P42^(P$5-1)*(1-P42)*AVERAGE(P40:P41)*(P$5-1)*MIN(((P41-P46)*(P$5-1))/((P47-P46)*1),1)*MIN((P41-P46)/(P41-P40),1),0)-P42^(P$5-1)*(P48)*(P41*(P$5-1)/1+P46)/2*1,0),0)+
IF(P$5&gt;2,MAX(MAX(P42^(P$5-2)*(1-P42)^2*AVERAGE(P40:P41)*(P$5-2)*MIN(((P41-P46)*(P$5-2))/((P47-P46)*2),1)*MIN((P41-P46)/(P41-P40),1),0)-P42^(P$5-2)*(P48^2+P48*P44*2)*(P41*(P$5-2)/2+P46)/2*2,0),0)</f>
        <v>4.0000000000000001E-3</v>
      </c>
      <c r="Q50" s="17">
        <f t="shared" si="62"/>
        <v>2.738E-3</v>
      </c>
      <c r="R50" s="17">
        <f t="shared" si="62"/>
        <v>1.1791199999999999E-3</v>
      </c>
      <c r="S50" s="17">
        <f>S42^S$5*AVERAGE(S40:S41)*S$5+
IF(S$5&gt;1,MAX(MAX(S42^(S$5-1)*(1-S42)*AVERAGE(S40:S41)*(S$5-1)*MIN(((S41-S46)*(S$5-1))/((S47-S46)*1),1)*MIN((S41-S46)/(S41-S40),1),0)-S42^(S$5-1)*(S48)*(S41*(S$5-1)/1+S46)/2*1,0),0)+
IF(S$5&gt;2,MAX(MAX(S42^(S$5-2)*(1-S42)^2*AVERAGE(S40:S41)*(S$5-2)*MIN(((S41-S46)*(S$5-2))/((S47-S46)*2),1)*MIN((S41-S46)/(S41-S40),1),0)-S42^(S$5-2)*(S48^2+S48*S44*2)*(S41*(S$5-2)/2+S46)/2*2,0),0)</f>
        <v>8.9372999999999959E-4</v>
      </c>
      <c r="T50" s="17">
        <f>T42^T$5*AVERAGE(T40:T41)*T$5+
IF(T$5&gt;1,MAX(MAX(T42^(T$5-1)*(1-T42)*AVERAGE(T40:T41)*(T$5-1)*MIN(((T41-T46)*(T$5-1))/((T47-T46)*1),1)*MIN((T41-T46)/(T41-T40),1),0)-T42^(T$5-1)*(T48)*(T41*(T$5-1)/1+T46)/2*1,0),0)+
IF(T$5&gt;2,MAX(MAX(T42^(T$5-2)*(1-T42)^2*AVERAGE(T40:T41)*(T$5-2)*MIN(((T41-T46)*(T$5-2))/((T47-T46)*2),1)*MIN((T41-T46)/(T41-T40),1),0)-T42^(T$5-2)*(T48^2+T48*T44*2)*(T41*(T$5-2)/2+T46)/2*2,0),0)</f>
        <v>6.5855999999999944E-4</v>
      </c>
      <c r="AE50" s="17">
        <f>基础状态预期!C61</f>
        <v>150</v>
      </c>
      <c r="AF50" s="64">
        <f>求节点(P$7:P$9,Z$6:Z$8,基础状态预期!Q61)*P$6</f>
        <v>0</v>
      </c>
      <c r="AG50" s="64">
        <f>求节点(Q$7:Q$9,AA$6:AA$8,基础状态预期!R61)*Q$6</f>
        <v>0</v>
      </c>
      <c r="AH50" s="64">
        <f>求节点(R$7:R$9,AB$6:AB$8,基础状态预期!S61)*R$6</f>
        <v>0</v>
      </c>
      <c r="AI50" s="64">
        <f>求节点(S$7:S$9,AC$6:AC$8,基础状态预期!T61)*S$6</f>
        <v>2350167.2409825884</v>
      </c>
      <c r="AJ50" s="17">
        <f>SUMPRODUCT(AF50:AI50,基础状态预期!I61:L61)</f>
        <v>14101003.44589553</v>
      </c>
      <c r="AM50" s="16">
        <v>45</v>
      </c>
      <c r="AN50" s="16">
        <f t="shared" si="10"/>
        <v>0</v>
      </c>
      <c r="AO50" s="16">
        <f t="shared" si="49"/>
        <v>0</v>
      </c>
      <c r="AP50" s="16">
        <f t="shared" si="50"/>
        <v>0</v>
      </c>
      <c r="AQ50" s="16">
        <f t="shared" si="51"/>
        <v>0</v>
      </c>
      <c r="AR50" s="16">
        <f t="shared" si="14"/>
        <v>0</v>
      </c>
      <c r="AV50" s="16">
        <v>45</v>
      </c>
      <c r="AW50" s="16">
        <f>盗宝贼掉落!AI49</f>
        <v>12597.900574372723</v>
      </c>
      <c r="AX50" s="16">
        <f>盗宝贼掉落!AJ49</f>
        <v>16048.08315538008</v>
      </c>
      <c r="AY50" s="16">
        <f>盗宝贼掉落!AK49</f>
        <v>17999.35127753724</v>
      </c>
      <c r="AZ50" s="16">
        <f>盗宝贼掉落!AL49</f>
        <v>15113.506756723273</v>
      </c>
      <c r="BA50" s="16">
        <f>盗宝贼掉落!AM49</f>
        <v>8491.1352330945683</v>
      </c>
      <c r="BC50" s="16">
        <f>盗宝贼掉落!AI49/AW50</f>
        <v>1</v>
      </c>
      <c r="BG50" s="41" t="e">
        <f t="shared" si="15"/>
        <v>#DIV/0!</v>
      </c>
      <c r="BH50" s="41" t="e">
        <f t="shared" si="16"/>
        <v>#DIV/0!</v>
      </c>
      <c r="BI50" s="41" t="e">
        <f t="shared" si="17"/>
        <v>#DIV/0!</v>
      </c>
      <c r="BJ50" s="41" t="e">
        <f t="shared" si="18"/>
        <v>#DIV/0!</v>
      </c>
      <c r="BK50" s="41" t="e">
        <f t="shared" si="19"/>
        <v>#DIV/0!</v>
      </c>
      <c r="BR50" s="16">
        <v>21</v>
      </c>
      <c r="BS50" s="17">
        <f>基础状态预期!C61</f>
        <v>150</v>
      </c>
      <c r="BT50" s="17">
        <f>求节点($E$5:$E$10,F$5:F$10,基础状态预期!M61)</f>
        <v>6</v>
      </c>
      <c r="BU50" s="17">
        <f>求节点($E$5:$E$10,G$5:G$10,基础状态预期!N61)</f>
        <v>32</v>
      </c>
      <c r="BV50" s="17">
        <f>求节点($E$5:$E$10,H$5:H$10,基础状态预期!O61)</f>
        <v>60</v>
      </c>
      <c r="BW50" s="17">
        <f>求节点($E$5:$E$10,I$5:I$10,基础状态预期!P61)</f>
        <v>72</v>
      </c>
      <c r="BX50" s="17">
        <f>MAX(SUMPRODUCT(BT50:BW50,基础状态预期!I61:L61)/6,BX49)</f>
        <v>72</v>
      </c>
      <c r="CA50" s="16">
        <v>45</v>
      </c>
      <c r="CB50" s="16">
        <f t="shared" si="20"/>
        <v>0</v>
      </c>
      <c r="CC50" s="16">
        <f t="shared" si="21"/>
        <v>0</v>
      </c>
      <c r="CD50" s="16">
        <f t="shared" si="22"/>
        <v>0</v>
      </c>
      <c r="CE50" s="16">
        <f t="shared" si="23"/>
        <v>0</v>
      </c>
      <c r="CF50" s="16">
        <f t="shared" si="24"/>
        <v>0</v>
      </c>
      <c r="CH50" s="16">
        <v>4</v>
      </c>
      <c r="CI50" s="17">
        <v>20</v>
      </c>
      <c r="CJ50" s="17">
        <f t="shared" ref="CJ50:CJ64" si="63">求节点($CA$6:$CA$165,$CC$6:$CC$165,$CI50)</f>
        <v>0</v>
      </c>
      <c r="CK50" s="17">
        <f>(CJ50-CJ49)*(INDEX([3]小r将兵属性验证!$V$7:$V$166,$CI50,1)+INDEX([3]小r将兵属性验证!$AP$7:$AP$166,$CI50,1))+CK49</f>
        <v>0</v>
      </c>
      <c r="CL50" s="17">
        <f t="shared" si="60"/>
        <v>0</v>
      </c>
      <c r="CP50" s="16">
        <v>160</v>
      </c>
      <c r="CQ50" s="16">
        <v>0</v>
      </c>
      <c r="CT50" s="17">
        <v>20</v>
      </c>
      <c r="CU50" s="17">
        <f t="shared" ref="CU50:CU64" si="64">求节点($CP$30:$CP$50,CQ$30:CQ$50,$CT50)</f>
        <v>0</v>
      </c>
      <c r="CV50" s="17">
        <f t="shared" si="61"/>
        <v>0</v>
      </c>
    </row>
    <row r="51" spans="4:100">
      <c r="F51" s="16">
        <f>$F$49*(MIN(1,F52)*1.5+MAX(0,(1-F52)))-$F$49</f>
        <v>5</v>
      </c>
      <c r="G51" s="16">
        <f>$F$49*(MIN(1,G52)*1.5+MAX(0,(1-G52)))-$F$49</f>
        <v>10.000000000000014</v>
      </c>
      <c r="H51" s="16">
        <f>$F$49*(MIN(1,H52)*1.5+MAX(0,(1-H52)))-$F$49</f>
        <v>14.999999999999986</v>
      </c>
      <c r="I51" s="16">
        <f>$F$49*(MIN(1,I52)*1.5+MAX(0,(1-I52)))-$F$49</f>
        <v>50</v>
      </c>
      <c r="N51" s="170"/>
      <c r="O51" s="51" t="s">
        <v>410</v>
      </c>
      <c r="P51" s="17">
        <f>(P9-P8)*P5/P50</f>
        <v>83.333333333333343</v>
      </c>
      <c r="Q51" s="17">
        <f>(Q9-Q8)*Q5/Q50</f>
        <v>243.48672997321648</v>
      </c>
      <c r="R51" s="17">
        <f>(R9-R8)*R5/R50</f>
        <v>848.09010109234009</v>
      </c>
      <c r="S51" s="17">
        <f>(S9-S8)*S5/S50</f>
        <v>1118.9061573405843</v>
      </c>
      <c r="T51" s="17">
        <f>(T9-T8)*T5/T50</f>
        <v>1518.4645286686116</v>
      </c>
      <c r="AE51" s="17">
        <f>基础状态预期!C62</f>
        <v>155</v>
      </c>
      <c r="AF51" s="64">
        <f>求节点(P$7:P$9,Z$6:Z$8,基础状态预期!Q62)*P$6</f>
        <v>0</v>
      </c>
      <c r="AG51" s="64">
        <f>求节点(Q$7:Q$9,AA$6:AA$8,基础状态预期!R62)*Q$6</f>
        <v>0</v>
      </c>
      <c r="AH51" s="64">
        <f>求节点(R$7:R$9,AB$6:AB$8,基础状态预期!S62)*R$6</f>
        <v>0</v>
      </c>
      <c r="AI51" s="64">
        <f>求节点(S$7:S$9,AC$6:AC$8,基础状态预期!T62)*S$6</f>
        <v>2350167.2409825884</v>
      </c>
      <c r="AJ51" s="17">
        <f>SUMPRODUCT(AF51:AI51,基础状态预期!I62:L62)</f>
        <v>14101003.44589553</v>
      </c>
      <c r="AM51" s="16">
        <v>46</v>
      </c>
      <c r="AN51" s="16">
        <f t="shared" si="10"/>
        <v>0</v>
      </c>
      <c r="AO51" s="16">
        <f t="shared" si="49"/>
        <v>0</v>
      </c>
      <c r="AP51" s="16">
        <f t="shared" si="50"/>
        <v>0</v>
      </c>
      <c r="AQ51" s="16">
        <f t="shared" si="51"/>
        <v>0</v>
      </c>
      <c r="AR51" s="16">
        <f t="shared" si="14"/>
        <v>0</v>
      </c>
      <c r="AV51" s="16">
        <v>46</v>
      </c>
      <c r="AW51" s="16">
        <f>盗宝贼掉落!AI50</f>
        <v>13820.550021577888</v>
      </c>
      <c r="AX51" s="16">
        <f>盗宝贼掉落!AJ50</f>
        <v>17594.139459562204</v>
      </c>
      <c r="AY51" s="16">
        <f>盗宝贼掉落!AK50</f>
        <v>19716.754429785491</v>
      </c>
      <c r="AZ51" s="16">
        <f>盗宝贼掉落!AL50</f>
        <v>16550.998189432976</v>
      </c>
      <c r="BA51" s="16">
        <f>盗宝贼掉落!AM50</f>
        <v>9258.9322769939154</v>
      </c>
      <c r="BC51" s="16">
        <f>盗宝贼掉落!AI50/AW51</f>
        <v>1</v>
      </c>
      <c r="BG51" s="41" t="e">
        <f t="shared" si="15"/>
        <v>#DIV/0!</v>
      </c>
      <c r="BH51" s="41" t="e">
        <f t="shared" si="16"/>
        <v>#DIV/0!</v>
      </c>
      <c r="BI51" s="41" t="e">
        <f t="shared" si="17"/>
        <v>#DIV/0!</v>
      </c>
      <c r="BJ51" s="41" t="e">
        <f t="shared" si="18"/>
        <v>#DIV/0!</v>
      </c>
      <c r="BK51" s="41" t="e">
        <f t="shared" si="19"/>
        <v>#DIV/0!</v>
      </c>
      <c r="BR51" s="16">
        <v>22</v>
      </c>
      <c r="BS51" s="17">
        <f>基础状态预期!C62</f>
        <v>155</v>
      </c>
      <c r="BT51" s="17">
        <f>求节点($E$5:$E$10,F$5:F$10,基础状态预期!M62)</f>
        <v>6</v>
      </c>
      <c r="BU51" s="17">
        <f>求节点($E$5:$E$10,G$5:G$10,基础状态预期!N62)</f>
        <v>32</v>
      </c>
      <c r="BV51" s="17">
        <f>求节点($E$5:$E$10,H$5:H$10,基础状态预期!O62)</f>
        <v>60</v>
      </c>
      <c r="BW51" s="17">
        <f>求节点($E$5:$E$10,I$5:I$10,基础状态预期!P62)</f>
        <v>72</v>
      </c>
      <c r="BX51" s="17">
        <f>MAX(SUMPRODUCT(BT51:BW51,基础状态预期!I62:L62)/6,BX50)</f>
        <v>72</v>
      </c>
      <c r="CA51" s="16">
        <v>46</v>
      </c>
      <c r="CB51" s="16">
        <f t="shared" si="20"/>
        <v>0</v>
      </c>
      <c r="CC51" s="16">
        <f t="shared" si="21"/>
        <v>0</v>
      </c>
      <c r="CD51" s="16">
        <f t="shared" si="22"/>
        <v>0</v>
      </c>
      <c r="CE51" s="16">
        <f t="shared" si="23"/>
        <v>0</v>
      </c>
      <c r="CF51" s="16">
        <f t="shared" si="24"/>
        <v>0</v>
      </c>
      <c r="CH51" s="16">
        <v>5</v>
      </c>
      <c r="CI51" s="17">
        <v>30</v>
      </c>
      <c r="CJ51" s="17">
        <f t="shared" si="63"/>
        <v>0</v>
      </c>
      <c r="CK51" s="17">
        <f>(CJ51-CJ50)*(INDEX([3]小r将兵属性验证!$V$7:$V$166,$CI51,1)+INDEX([3]小r将兵属性验证!$AP$7:$AP$166,$CI51,1))+CK50</f>
        <v>0</v>
      </c>
      <c r="CL51" s="17">
        <f t="shared" si="60"/>
        <v>0</v>
      </c>
      <c r="CT51" s="17">
        <v>30</v>
      </c>
      <c r="CU51" s="17">
        <f t="shared" si="64"/>
        <v>0</v>
      </c>
      <c r="CV51" s="17">
        <f t="shared" si="61"/>
        <v>0</v>
      </c>
    </row>
    <row r="52" spans="4:100">
      <c r="F52" s="16">
        <v>0.1</v>
      </c>
      <c r="G52" s="16">
        <v>0.2</v>
      </c>
      <c r="H52" s="16">
        <v>0.3</v>
      </c>
      <c r="I52" s="16">
        <v>1</v>
      </c>
      <c r="AE52" s="17">
        <f>基础状态预期!C63</f>
        <v>160</v>
      </c>
      <c r="AF52" s="64">
        <f>求节点(P$7:P$9,Z$6:Z$8,基础状态预期!Q63)*P$6</f>
        <v>0</v>
      </c>
      <c r="AG52" s="64">
        <f>求节点(Q$7:Q$9,AA$6:AA$8,基础状态预期!R63)*Q$6</f>
        <v>0</v>
      </c>
      <c r="AH52" s="64">
        <f>求节点(R$7:R$9,AB$6:AB$8,基础状态预期!S63)*R$6</f>
        <v>0</v>
      </c>
      <c r="AI52" s="64">
        <f>求节点(S$7:S$9,AC$6:AC$8,基础状态预期!T63)*S$6</f>
        <v>2350167.2409825884</v>
      </c>
      <c r="AJ52" s="17">
        <f>SUMPRODUCT(AF52:AI52,基础状态预期!I63:L63)</f>
        <v>14101003.44589553</v>
      </c>
      <c r="AM52" s="16">
        <v>47</v>
      </c>
      <c r="AN52" s="16">
        <f t="shared" si="10"/>
        <v>0</v>
      </c>
      <c r="AO52" s="16">
        <f t="shared" si="49"/>
        <v>0</v>
      </c>
      <c r="AP52" s="16">
        <f t="shared" si="50"/>
        <v>0</v>
      </c>
      <c r="AQ52" s="16">
        <f t="shared" si="51"/>
        <v>0</v>
      </c>
      <c r="AR52" s="16">
        <f t="shared" si="14"/>
        <v>0</v>
      </c>
      <c r="AV52" s="16">
        <v>47</v>
      </c>
      <c r="AW52" s="16">
        <f>盗宝贼掉落!AI51</f>
        <v>15154.023732504871</v>
      </c>
      <c r="AX52" s="16">
        <f>盗宝贼掉落!AJ51</f>
        <v>19282.314274942277</v>
      </c>
      <c r="AY52" s="16">
        <f>盗宝贼掉落!AK51</f>
        <v>21595.205553235177</v>
      </c>
      <c r="AZ52" s="16">
        <f>盗宝贼掉落!AL51</f>
        <v>18112.324380930957</v>
      </c>
      <c r="BA52" s="16">
        <f>盗宝贼掉落!AM51</f>
        <v>10096.25911830933</v>
      </c>
      <c r="BC52" s="16">
        <f>盗宝贼掉落!AI51/AW52</f>
        <v>1</v>
      </c>
      <c r="BG52" s="41" t="e">
        <f t="shared" si="15"/>
        <v>#DIV/0!</v>
      </c>
      <c r="BH52" s="41" t="e">
        <f t="shared" si="16"/>
        <v>#DIV/0!</v>
      </c>
      <c r="BI52" s="41" t="e">
        <f t="shared" si="17"/>
        <v>#DIV/0!</v>
      </c>
      <c r="BJ52" s="41" t="e">
        <f t="shared" si="18"/>
        <v>#DIV/0!</v>
      </c>
      <c r="BK52" s="41" t="e">
        <f t="shared" si="19"/>
        <v>#DIV/0!</v>
      </c>
      <c r="BR52" s="16">
        <v>23</v>
      </c>
      <c r="BS52" s="17">
        <f>基础状态预期!C63</f>
        <v>160</v>
      </c>
      <c r="BT52" s="17">
        <f>求节点($E$5:$E$10,F$5:F$10,基础状态预期!M63)</f>
        <v>6</v>
      </c>
      <c r="BU52" s="17">
        <f>求节点($E$5:$E$10,G$5:G$10,基础状态预期!N63)</f>
        <v>32</v>
      </c>
      <c r="BV52" s="17">
        <f>求节点($E$5:$E$10,H$5:H$10,基础状态预期!O63)</f>
        <v>60</v>
      </c>
      <c r="BW52" s="17">
        <f>求节点($E$5:$E$10,I$5:I$10,基础状态预期!P63)</f>
        <v>72</v>
      </c>
      <c r="BX52" s="17">
        <f>MAX(SUMPRODUCT(BT52:BW52,基础状态预期!I63:L63)/6,BX51)</f>
        <v>72</v>
      </c>
      <c r="CA52" s="16">
        <v>47</v>
      </c>
      <c r="CB52" s="16">
        <f t="shared" si="20"/>
        <v>0</v>
      </c>
      <c r="CC52" s="16">
        <f t="shared" si="21"/>
        <v>0</v>
      </c>
      <c r="CD52" s="16">
        <f t="shared" si="22"/>
        <v>0</v>
      </c>
      <c r="CE52" s="16">
        <f t="shared" si="23"/>
        <v>0</v>
      </c>
      <c r="CF52" s="16">
        <f t="shared" si="24"/>
        <v>0</v>
      </c>
      <c r="CH52" s="16">
        <v>6</v>
      </c>
      <c r="CI52" s="17">
        <v>40</v>
      </c>
      <c r="CJ52" s="17">
        <f t="shared" si="63"/>
        <v>0</v>
      </c>
      <c r="CK52" s="17">
        <f>(CJ52-CJ51)*(INDEX([3]小r将兵属性验证!$V$7:$V$166,$CI52,1)+INDEX([3]小r将兵属性验证!$AP$7:$AP$166,$CI52,1))+CK51</f>
        <v>0</v>
      </c>
      <c r="CL52" s="17">
        <f t="shared" si="60"/>
        <v>0</v>
      </c>
      <c r="CT52" s="17">
        <v>40</v>
      </c>
      <c r="CU52" s="17">
        <f t="shared" si="64"/>
        <v>0</v>
      </c>
      <c r="CV52" s="17">
        <f t="shared" si="61"/>
        <v>0</v>
      </c>
    </row>
    <row r="53" spans="4:100">
      <c r="AM53" s="16">
        <v>48</v>
      </c>
      <c r="AN53" s="16">
        <f t="shared" si="10"/>
        <v>0</v>
      </c>
      <c r="AO53" s="16">
        <f t="shared" si="49"/>
        <v>0</v>
      </c>
      <c r="AP53" s="16">
        <f t="shared" si="50"/>
        <v>0</v>
      </c>
      <c r="AQ53" s="16">
        <f t="shared" si="51"/>
        <v>0</v>
      </c>
      <c r="AR53" s="16">
        <f t="shared" si="14"/>
        <v>0</v>
      </c>
      <c r="AV53" s="16">
        <v>48</v>
      </c>
      <c r="AW53" s="16">
        <f>盗宝贼掉落!AI52</f>
        <v>16607.931796484903</v>
      </c>
      <c r="AX53" s="16">
        <f>盗宝贼掉落!AJ52</f>
        <v>21100.957992214739</v>
      </c>
      <c r="AY53" s="16">
        <f>盗宝贼掉落!AK52</f>
        <v>23649.800807672276</v>
      </c>
      <c r="AZ53" s="16">
        <f>盗宝贼掉落!AL52</f>
        <v>19741.656707259874</v>
      </c>
      <c r="BA53" s="16">
        <f>盗宝贼掉落!AM52</f>
        <v>11000.128396815442</v>
      </c>
      <c r="BC53" s="16">
        <f>盗宝贼掉落!AI52/AW53</f>
        <v>1</v>
      </c>
      <c r="BG53" s="41" t="e">
        <f t="shared" si="15"/>
        <v>#DIV/0!</v>
      </c>
      <c r="BH53" s="41" t="e">
        <f t="shared" si="16"/>
        <v>#DIV/0!</v>
      </c>
      <c r="BI53" s="41" t="e">
        <f t="shared" si="17"/>
        <v>#DIV/0!</v>
      </c>
      <c r="BJ53" s="41" t="e">
        <f t="shared" si="18"/>
        <v>#DIV/0!</v>
      </c>
      <c r="BK53" s="41" t="e">
        <f t="shared" si="19"/>
        <v>#DIV/0!</v>
      </c>
      <c r="BR53" s="16">
        <v>24</v>
      </c>
      <c r="CA53" s="16">
        <v>48</v>
      </c>
      <c r="CB53" s="16">
        <f t="shared" si="20"/>
        <v>0</v>
      </c>
      <c r="CC53" s="16">
        <f t="shared" si="21"/>
        <v>0</v>
      </c>
      <c r="CD53" s="16">
        <f t="shared" si="22"/>
        <v>0</v>
      </c>
      <c r="CE53" s="16">
        <f t="shared" si="23"/>
        <v>0</v>
      </c>
      <c r="CF53" s="16">
        <f t="shared" si="24"/>
        <v>0</v>
      </c>
      <c r="CH53" s="16">
        <v>7</v>
      </c>
      <c r="CI53" s="17">
        <v>50</v>
      </c>
      <c r="CJ53" s="17">
        <f t="shared" si="63"/>
        <v>0</v>
      </c>
      <c r="CK53" s="17">
        <f>(CJ53-CJ52)*(INDEX([3]小r将兵属性验证!$V$7:$V$166,$CI53,1)+INDEX([3]小r将兵属性验证!$AP$7:$AP$166,$CI53,1))+CK52</f>
        <v>0</v>
      </c>
      <c r="CL53" s="17">
        <f t="shared" si="60"/>
        <v>0</v>
      </c>
      <c r="CT53" s="17">
        <v>50</v>
      </c>
      <c r="CU53" s="17">
        <f t="shared" si="64"/>
        <v>0</v>
      </c>
      <c r="CV53" s="17">
        <f t="shared" si="61"/>
        <v>0</v>
      </c>
    </row>
    <row r="54" spans="4:100" ht="11.25" customHeight="1">
      <c r="AM54" s="16">
        <v>49</v>
      </c>
      <c r="AN54" s="16">
        <f t="shared" si="10"/>
        <v>0</v>
      </c>
      <c r="AO54" s="16">
        <f t="shared" si="49"/>
        <v>0</v>
      </c>
      <c r="AP54" s="16">
        <f t="shared" si="50"/>
        <v>0</v>
      </c>
      <c r="AQ54" s="16">
        <f t="shared" si="51"/>
        <v>0</v>
      </c>
      <c r="AR54" s="16">
        <f t="shared" si="14"/>
        <v>0</v>
      </c>
      <c r="AV54" s="16">
        <v>49</v>
      </c>
      <c r="AW54" s="16">
        <f>盗宝贼掉落!AI53</f>
        <v>18192.692898193931</v>
      </c>
      <c r="AX54" s="16">
        <f>盗宝贼掉落!AJ53</f>
        <v>23110.872658817523</v>
      </c>
      <c r="AY54" s="16">
        <f>盗宝贼掉落!AK53</f>
        <v>25829.191112808745</v>
      </c>
      <c r="AZ54" s="16">
        <f>盗宝贼掉落!AL53</f>
        <v>21514.297304877844</v>
      </c>
      <c r="BA54" s="16">
        <f>盗宝贼掉落!AM53</f>
        <v>12041.657120779593</v>
      </c>
      <c r="BC54" s="16">
        <f>盗宝贼掉落!AI53/AW54</f>
        <v>1</v>
      </c>
      <c r="BG54" s="41" t="e">
        <f t="shared" si="15"/>
        <v>#DIV/0!</v>
      </c>
      <c r="BH54" s="41" t="e">
        <f t="shared" si="16"/>
        <v>#DIV/0!</v>
      </c>
      <c r="BI54" s="41" t="e">
        <f t="shared" si="17"/>
        <v>#DIV/0!</v>
      </c>
      <c r="BJ54" s="41" t="e">
        <f t="shared" si="18"/>
        <v>#DIV/0!</v>
      </c>
      <c r="BK54" s="41" t="e">
        <f t="shared" si="19"/>
        <v>#DIV/0!</v>
      </c>
      <c r="BR54" s="16">
        <v>25</v>
      </c>
      <c r="CA54" s="16">
        <v>49</v>
      </c>
      <c r="CB54" s="16">
        <f t="shared" si="20"/>
        <v>0</v>
      </c>
      <c r="CC54" s="16">
        <f t="shared" si="21"/>
        <v>0</v>
      </c>
      <c r="CD54" s="16">
        <f t="shared" si="22"/>
        <v>0</v>
      </c>
      <c r="CE54" s="16">
        <f t="shared" si="23"/>
        <v>0</v>
      </c>
      <c r="CF54" s="16">
        <f t="shared" si="24"/>
        <v>0</v>
      </c>
      <c r="CH54" s="16">
        <v>8</v>
      </c>
      <c r="CI54" s="17">
        <v>60</v>
      </c>
      <c r="CJ54" s="17">
        <f t="shared" si="63"/>
        <v>10.692675774417751</v>
      </c>
      <c r="CK54" s="17">
        <f>(CJ54-CJ53)*(INDEX([3]小r将兵属性验证!$V$7:$V$166,$CI54,1)+INDEX([3]小r将兵属性验证!$AP$7:$AP$166,$CI54,1))+CK53</f>
        <v>416255389.94202435</v>
      </c>
      <c r="CL54" s="17">
        <f t="shared" si="60"/>
        <v>416255389.94202435</v>
      </c>
      <c r="CP54" s="16" t="s">
        <v>256</v>
      </c>
      <c r="CQ54" s="174" t="s">
        <v>450</v>
      </c>
      <c r="CT54" s="17">
        <v>60</v>
      </c>
      <c r="CU54" s="17">
        <f t="shared" si="64"/>
        <v>0</v>
      </c>
      <c r="CV54" s="17">
        <f t="shared" si="61"/>
        <v>0</v>
      </c>
    </row>
    <row r="55" spans="4:100">
      <c r="AM55" s="16">
        <v>50</v>
      </c>
      <c r="AN55" s="16">
        <f t="shared" si="10"/>
        <v>0</v>
      </c>
      <c r="AO55" s="16">
        <f t="shared" si="49"/>
        <v>0</v>
      </c>
      <c r="AP55" s="16">
        <f t="shared" si="50"/>
        <v>0</v>
      </c>
      <c r="AQ55" s="16">
        <f t="shared" si="51"/>
        <v>0</v>
      </c>
      <c r="AR55" s="16">
        <f t="shared" si="14"/>
        <v>0</v>
      </c>
      <c r="AV55" s="16">
        <v>50</v>
      </c>
      <c r="AW55" s="16">
        <f>盗宝贼掉落!AI54</f>
        <v>19919.600883326173</v>
      </c>
      <c r="AX55" s="16">
        <f>盗宝贼掉落!AJ54</f>
        <v>25304.447493749405</v>
      </c>
      <c r="AY55" s="16">
        <f>盗宝贼掉落!AK54</f>
        <v>28198.062036943476</v>
      </c>
      <c r="AZ55" s="16">
        <f>盗宝贼掉落!AL54</f>
        <v>23532.237975235501</v>
      </c>
      <c r="BA55" s="16">
        <f>盗宝贼掉落!AM54</f>
        <v>13198.182460690099</v>
      </c>
      <c r="BC55" s="16">
        <f>盗宝贼掉落!AI54/AW55</f>
        <v>1</v>
      </c>
      <c r="BG55" s="41" t="e">
        <f t="shared" si="15"/>
        <v>#DIV/0!</v>
      </c>
      <c r="BH55" s="41" t="e">
        <f t="shared" si="16"/>
        <v>#DIV/0!</v>
      </c>
      <c r="BI55" s="41" t="e">
        <f t="shared" si="17"/>
        <v>#DIV/0!</v>
      </c>
      <c r="BJ55" s="41" t="e">
        <f t="shared" si="18"/>
        <v>#DIV/0!</v>
      </c>
      <c r="BK55" s="41" t="e">
        <f t="shared" si="19"/>
        <v>#DIV/0!</v>
      </c>
      <c r="BR55" s="16">
        <v>26</v>
      </c>
      <c r="CA55" s="16">
        <v>50</v>
      </c>
      <c r="CB55" s="16">
        <f t="shared" si="20"/>
        <v>0</v>
      </c>
      <c r="CC55" s="16">
        <f t="shared" si="21"/>
        <v>0</v>
      </c>
      <c r="CD55" s="16">
        <f t="shared" si="22"/>
        <v>0</v>
      </c>
      <c r="CE55" s="16">
        <f t="shared" si="23"/>
        <v>0</v>
      </c>
      <c r="CF55" s="16">
        <f t="shared" si="24"/>
        <v>0</v>
      </c>
      <c r="CH55" s="16">
        <v>9</v>
      </c>
      <c r="CI55" s="17">
        <v>70</v>
      </c>
      <c r="CJ55" s="17">
        <f t="shared" si="63"/>
        <v>14.620272388307223</v>
      </c>
      <c r="CK55" s="17">
        <f>(CJ55-CJ54)*(INDEX([3]小r将兵属性验证!$V$7:$V$166,$CI55,1)+INDEX([3]小r将兵属性验证!$AP$7:$AP$166,$CI55,1))+CK54</f>
        <v>1095058981.9385605</v>
      </c>
      <c r="CL55" s="17">
        <f t="shared" si="60"/>
        <v>1095058981.9385605</v>
      </c>
      <c r="CP55" s="16" t="s">
        <v>161</v>
      </c>
      <c r="CQ55" s="174"/>
      <c r="CT55" s="17">
        <v>70</v>
      </c>
      <c r="CU55" s="17">
        <f t="shared" si="64"/>
        <v>0</v>
      </c>
      <c r="CV55" s="17">
        <f t="shared" si="61"/>
        <v>0</v>
      </c>
    </row>
    <row r="56" spans="4:100">
      <c r="AE56" s="16" t="s">
        <v>76</v>
      </c>
      <c r="AF56" s="179" t="s">
        <v>402</v>
      </c>
      <c r="AG56" s="179"/>
      <c r="AH56" s="179"/>
      <c r="AI56" s="179"/>
      <c r="AJ56" s="178" t="s">
        <v>453</v>
      </c>
      <c r="AM56" s="16">
        <v>51</v>
      </c>
      <c r="AN56" s="16">
        <f t="shared" si="10"/>
        <v>22244.481193100615</v>
      </c>
      <c r="AO56" s="16">
        <f t="shared" si="49"/>
        <v>22485.097029977325</v>
      </c>
      <c r="AP56" s="16">
        <f t="shared" si="50"/>
        <v>28633.390727999104</v>
      </c>
      <c r="AQ56" s="16">
        <f t="shared" si="51"/>
        <v>72725.523963816158</v>
      </c>
      <c r="AR56" s="16">
        <f t="shared" si="14"/>
        <v>147412.66861800401</v>
      </c>
      <c r="AV56" s="16">
        <v>51</v>
      </c>
      <c r="AW56" s="16">
        <f>盗宝贼掉落!AI55</f>
        <v>21800.896714143226</v>
      </c>
      <c r="AX56" s="16">
        <f>盗宝贼掉落!AJ55</f>
        <v>27563.03886687327</v>
      </c>
      <c r="AY56" s="16">
        <f>盗宝贼掉落!AK55</f>
        <v>30756.002157567509</v>
      </c>
      <c r="AZ56" s="16">
        <f>盗宝贼掉落!AL55</f>
        <v>25734.520094453961</v>
      </c>
      <c r="BA56" s="16">
        <f>盗宝贼掉落!AM55</f>
        <v>14404.008945921458</v>
      </c>
      <c r="BC56" s="16">
        <f>盗宝贼掉落!AI55/AW56</f>
        <v>1</v>
      </c>
      <c r="BG56" s="41">
        <f t="shared" si="15"/>
        <v>0.98005867275093062</v>
      </c>
      <c r="BH56" s="41">
        <f t="shared" si="16"/>
        <v>1.2258358872156963</v>
      </c>
      <c r="BI56" s="41">
        <f t="shared" si="17"/>
        <v>1.0741306347450081</v>
      </c>
      <c r="BJ56" s="41">
        <f t="shared" si="18"/>
        <v>0.3538581599942533</v>
      </c>
      <c r="BK56" s="41">
        <f t="shared" si="19"/>
        <v>9.7712151071948278E-2</v>
      </c>
      <c r="BR56" s="16">
        <v>1</v>
      </c>
      <c r="BS56" s="69" t="s">
        <v>76</v>
      </c>
      <c r="BT56" s="170" t="s">
        <v>459</v>
      </c>
      <c r="BU56" s="170"/>
      <c r="BV56" s="170"/>
      <c r="BW56" s="170"/>
      <c r="BX56" s="170"/>
      <c r="CA56" s="16">
        <v>51</v>
      </c>
      <c r="CB56" s="16">
        <f t="shared" si="20"/>
        <v>1.1727650508839602</v>
      </c>
      <c r="CC56" s="16">
        <f t="shared" si="21"/>
        <v>1.069267577441775</v>
      </c>
      <c r="CD56" s="16">
        <f t="shared" si="22"/>
        <v>1.326381659539785</v>
      </c>
      <c r="CE56" s="16">
        <f t="shared" si="23"/>
        <v>2.4346762954521526</v>
      </c>
      <c r="CF56" s="16">
        <f t="shared" si="24"/>
        <v>3.373126574488476</v>
      </c>
      <c r="CH56" s="16">
        <v>10</v>
      </c>
      <c r="CI56" s="17">
        <v>80</v>
      </c>
      <c r="CJ56" s="17">
        <f t="shared" si="63"/>
        <v>14.620272388307223</v>
      </c>
      <c r="CK56" s="17">
        <f>(CJ56-CJ55)*(INDEX([3]小r将兵属性验证!$V$7:$V$166,$CI56,1)+INDEX([3]小r将兵属性验证!$AP$7:$AP$166,$CI56,1))+CK55</f>
        <v>1095058981.9385605</v>
      </c>
      <c r="CL56" s="17">
        <f t="shared" si="60"/>
        <v>1095058981.9385605</v>
      </c>
      <c r="CP56" s="16">
        <v>50</v>
      </c>
      <c r="CQ56" s="16">
        <v>0</v>
      </c>
      <c r="CT56" s="17">
        <v>80</v>
      </c>
      <c r="CU56" s="17">
        <f t="shared" si="64"/>
        <v>0</v>
      </c>
      <c r="CV56" s="17">
        <f t="shared" si="61"/>
        <v>0</v>
      </c>
    </row>
    <row r="57" spans="4:100">
      <c r="AE57" s="17" t="s">
        <v>161</v>
      </c>
      <c r="AF57" s="64" t="s">
        <v>1</v>
      </c>
      <c r="AG57" s="64" t="s">
        <v>2</v>
      </c>
      <c r="AH57" s="64" t="s">
        <v>0</v>
      </c>
      <c r="AI57" s="64" t="s">
        <v>205</v>
      </c>
      <c r="AJ57" s="178"/>
      <c r="AM57" s="16">
        <v>52</v>
      </c>
      <c r="AN57" s="16">
        <f t="shared" si="10"/>
        <v>44488.96238620123</v>
      </c>
      <c r="AO57" s="16">
        <f t="shared" si="49"/>
        <v>44970.194059954651</v>
      </c>
      <c r="AP57" s="16">
        <f t="shared" si="50"/>
        <v>57266.781455998207</v>
      </c>
      <c r="AQ57" s="16">
        <f t="shared" si="51"/>
        <v>145451.04792763232</v>
      </c>
      <c r="AR57" s="16">
        <f t="shared" si="14"/>
        <v>294825.33723600802</v>
      </c>
      <c r="AV57" s="16">
        <v>52</v>
      </c>
      <c r="AW57" s="16">
        <f>盗宝贼掉落!AI56</f>
        <v>23849.846245690384</v>
      </c>
      <c r="AX57" s="16">
        <f>盗宝贼掉落!AJ56</f>
        <v>30173.173841255313</v>
      </c>
      <c r="AY57" s="16">
        <f>盗宝贼掉落!AK56</f>
        <v>33757.300686126204</v>
      </c>
      <c r="AZ57" s="16">
        <f>盗宝贼掉落!AL56</f>
        <v>28237.805193534718</v>
      </c>
      <c r="BA57" s="16">
        <f>盗宝贼掉落!AM56</f>
        <v>15753.976146018766</v>
      </c>
      <c r="BC57" s="16">
        <f>盗宝贼掉落!AI56/AW57</f>
        <v>1</v>
      </c>
      <c r="BG57" s="41">
        <f t="shared" si="15"/>
        <v>0.53608456944115401</v>
      </c>
      <c r="BH57" s="41">
        <f t="shared" si="16"/>
        <v>0.6709593870337357</v>
      </c>
      <c r="BI57" s="41">
        <f t="shared" si="17"/>
        <v>0.58947438336593327</v>
      </c>
      <c r="BJ57" s="41">
        <f t="shared" si="18"/>
        <v>0.1941395788883154</v>
      </c>
      <c r="BK57" s="41">
        <f t="shared" si="19"/>
        <v>5.3434946581296335E-2</v>
      </c>
      <c r="BR57" s="16">
        <v>2</v>
      </c>
      <c r="BS57" s="17" t="s">
        <v>161</v>
      </c>
      <c r="BT57" s="17" t="s">
        <v>1</v>
      </c>
      <c r="BU57" s="17" t="s">
        <v>2</v>
      </c>
      <c r="BV57" s="17" t="s">
        <v>0</v>
      </c>
      <c r="BW57" s="17" t="s">
        <v>205</v>
      </c>
      <c r="BX57" s="71" t="s">
        <v>172</v>
      </c>
      <c r="CA57" s="16">
        <v>52</v>
      </c>
      <c r="CB57" s="16">
        <f t="shared" si="20"/>
        <v>2.3455301017679204</v>
      </c>
      <c r="CC57" s="16">
        <f t="shared" si="21"/>
        <v>2.1385351548835501</v>
      </c>
      <c r="CD57" s="16">
        <f t="shared" si="22"/>
        <v>2.6527633190795701</v>
      </c>
      <c r="CE57" s="16">
        <f t="shared" si="23"/>
        <v>4.8693525909043052</v>
      </c>
      <c r="CF57" s="16">
        <f t="shared" si="24"/>
        <v>6.7462531489769519</v>
      </c>
      <c r="CH57" s="16">
        <v>11</v>
      </c>
      <c r="CI57" s="17">
        <v>90</v>
      </c>
      <c r="CJ57" s="17">
        <f t="shared" si="63"/>
        <v>25.896421561800878</v>
      </c>
      <c r="CK57" s="17">
        <f>(CJ57-CJ56)*(INDEX([3]小r将兵属性验证!$V$7:$V$166,$CI57,1)+INDEX([3]小r将兵属性验证!$AP$7:$AP$166,$CI57,1))+CK56</f>
        <v>15039401614.698051</v>
      </c>
      <c r="CL57" s="17">
        <f t="shared" si="60"/>
        <v>15039401614.698051</v>
      </c>
      <c r="CP57" s="16">
        <v>60</v>
      </c>
      <c r="CQ57" s="16">
        <v>0</v>
      </c>
      <c r="CT57" s="17">
        <v>90</v>
      </c>
      <c r="CU57" s="17">
        <f t="shared" si="64"/>
        <v>0</v>
      </c>
      <c r="CV57" s="17">
        <f t="shared" si="61"/>
        <v>0</v>
      </c>
    </row>
    <row r="58" spans="4:100">
      <c r="O58" s="67"/>
      <c r="AE58" s="17">
        <f>基础状态预期!C69</f>
        <v>50</v>
      </c>
      <c r="AF58" s="64">
        <f>求节点(P$7:P$9,Z$6:Z$8,基础状态预期!Q69)*P$6</f>
        <v>0</v>
      </c>
      <c r="AG58" s="64">
        <f>求节点(Q$7:Q$9,AA$6:AA$8,基础状态预期!R69)*Q$6</f>
        <v>0</v>
      </c>
      <c r="AH58" s="64">
        <f>求节点(R$7:R$9,AB$6:AB$8,基础状态预期!S69)*R$6</f>
        <v>0</v>
      </c>
      <c r="AI58" s="64">
        <f>求节点(S$7:S$9,AC$6:AC$8,基础状态预期!T69)*S$6</f>
        <v>0</v>
      </c>
      <c r="AJ58" s="17">
        <f>SUMPRODUCT(AF58:AI58,基础状态预期!I69:L69)</f>
        <v>0</v>
      </c>
      <c r="AM58" s="16">
        <v>53</v>
      </c>
      <c r="AN58" s="16">
        <f t="shared" si="10"/>
        <v>66733.443579301849</v>
      </c>
      <c r="AO58" s="16">
        <f t="shared" si="49"/>
        <v>67455.291089931969</v>
      </c>
      <c r="AP58" s="16">
        <f t="shared" si="50"/>
        <v>85900.172183997318</v>
      </c>
      <c r="AQ58" s="16">
        <f t="shared" si="51"/>
        <v>218176.57189144846</v>
      </c>
      <c r="AR58" s="16">
        <f t="shared" si="14"/>
        <v>442238.00585401204</v>
      </c>
      <c r="AV58" s="16">
        <v>53</v>
      </c>
      <c r="AW58" s="16">
        <f>盗宝贼掉落!AI57</f>
        <v>26080.824287544827</v>
      </c>
      <c r="AX58" s="16">
        <f>盗宝贼掉落!AJ57</f>
        <v>33063.819894440414</v>
      </c>
      <c r="AY58" s="16">
        <f>盗宝贼掉落!AK57</f>
        <v>37059.087506986703</v>
      </c>
      <c r="AZ58" s="16">
        <f>盗宝贼掉落!AL57</f>
        <v>30867.856415412465</v>
      </c>
      <c r="BA58" s="16">
        <f>盗宝贼掉落!AM57</f>
        <v>17208.820738660674</v>
      </c>
      <c r="BC58" s="16">
        <f>盗宝贼掉落!AI57/AW58</f>
        <v>1</v>
      </c>
      <c r="BG58" s="41">
        <f t="shared" si="15"/>
        <v>0.39082089711962797</v>
      </c>
      <c r="BH58" s="41">
        <f t="shared" si="16"/>
        <v>0.49015902770858177</v>
      </c>
      <c r="BI58" s="41">
        <f t="shared" si="17"/>
        <v>0.43142041005001136</v>
      </c>
      <c r="BJ58" s="41">
        <f t="shared" si="18"/>
        <v>0.14148107722019967</v>
      </c>
      <c r="BK58" s="41">
        <f t="shared" si="19"/>
        <v>3.8913029886313087E-2</v>
      </c>
      <c r="BR58" s="16">
        <v>3</v>
      </c>
      <c r="BS58" s="17">
        <f>基础状态预期!C69</f>
        <v>50</v>
      </c>
      <c r="BT58" s="17">
        <f>求节点($E$5:$E$10,F$5:F$10,基础状态预期!M69)</f>
        <v>6</v>
      </c>
      <c r="BU58" s="17">
        <f>求节点($E$5:$E$10,G$5:G$10,基础状态预期!N69)</f>
        <v>8</v>
      </c>
      <c r="BV58" s="17">
        <f>求节点($E$5:$E$10,H$5:H$10,基础状态预期!O69)</f>
        <v>10</v>
      </c>
      <c r="BW58" s="17">
        <f>求节点($E$5:$E$10,I$5:I$10,基础状态预期!P69)</f>
        <v>12</v>
      </c>
      <c r="BX58" s="51">
        <f>SUMPRODUCT(BT58:BW58,基础状态预期!I69:L69)/6</f>
        <v>0</v>
      </c>
      <c r="CA58" s="16">
        <v>53</v>
      </c>
      <c r="CB58" s="16">
        <f t="shared" si="20"/>
        <v>3.5182951526518806</v>
      </c>
      <c r="CC58" s="16">
        <f t="shared" si="21"/>
        <v>3.2078027323253249</v>
      </c>
      <c r="CD58" s="16">
        <f t="shared" si="22"/>
        <v>3.9791449786193551</v>
      </c>
      <c r="CE58" s="16">
        <f t="shared" si="23"/>
        <v>7.3040288863564573</v>
      </c>
      <c r="CF58" s="16">
        <f t="shared" si="24"/>
        <v>10.119379723465428</v>
      </c>
      <c r="CH58" s="16">
        <v>12</v>
      </c>
      <c r="CI58" s="17">
        <v>100</v>
      </c>
      <c r="CJ58" s="17">
        <f t="shared" si="63"/>
        <v>47.61148773243773</v>
      </c>
      <c r="CK58" s="17">
        <f>(CJ58-CJ57)*(INDEX([3]小r将兵属性验证!$V$7:$V$166,$CI58,1)+INDEX([3]小r将兵属性验证!$AP$7:$AP$166,$CI58,1))+CK57</f>
        <v>77853431278.901367</v>
      </c>
      <c r="CL58" s="17">
        <f t="shared" si="60"/>
        <v>77853431278.901367</v>
      </c>
      <c r="CP58" s="16">
        <v>70</v>
      </c>
      <c r="CQ58" s="16">
        <v>0</v>
      </c>
      <c r="CT58" s="17">
        <v>100</v>
      </c>
      <c r="CU58" s="17">
        <f t="shared" si="64"/>
        <v>0</v>
      </c>
      <c r="CV58" s="17">
        <f t="shared" si="61"/>
        <v>0</v>
      </c>
    </row>
    <row r="59" spans="4:100">
      <c r="AE59" s="17">
        <f>基础状态预期!C70</f>
        <v>60</v>
      </c>
      <c r="AF59" s="64">
        <f>求节点(P$7:P$9,Z$6:Z$8,基础状态预期!Q70)*P$6</f>
        <v>0</v>
      </c>
      <c r="AG59" s="64">
        <f>求节点(Q$7:Q$9,AA$6:AA$8,基础状态预期!R70)*Q$6</f>
        <v>0</v>
      </c>
      <c r="AH59" s="64">
        <f>求节点(R$7:R$9,AB$6:AB$8,基础状态预期!S70)*R$6</f>
        <v>29406.49242076309</v>
      </c>
      <c r="AI59" s="64">
        <f>求节点(S$7:S$9,AC$6:AC$8,基础状态预期!T70)*S$6</f>
        <v>80314.491509205967</v>
      </c>
      <c r="AJ59" s="17">
        <f>SUMPRODUCT(AF59:AI59,基础状态预期!I70:L70)</f>
        <v>286333.90727999102</v>
      </c>
      <c r="AM59" s="16">
        <v>54</v>
      </c>
      <c r="AN59" s="16">
        <f t="shared" si="10"/>
        <v>88977.924772402461</v>
      </c>
      <c r="AO59" s="16">
        <f t="shared" si="49"/>
        <v>89940.388119909301</v>
      </c>
      <c r="AP59" s="16">
        <f t="shared" si="50"/>
        <v>114533.56291199641</v>
      </c>
      <c r="AQ59" s="16">
        <f t="shared" si="51"/>
        <v>290902.09585526463</v>
      </c>
      <c r="AR59" s="16">
        <f t="shared" si="14"/>
        <v>589650.67447201605</v>
      </c>
      <c r="AV59" s="16">
        <v>54</v>
      </c>
      <c r="AW59" s="16">
        <f>盗宝贼掉落!AI58</f>
        <v>28509.405452706265</v>
      </c>
      <c r="AX59" s="16">
        <f>盗宝贼掉落!AJ58</f>
        <v>36215.575357592083</v>
      </c>
      <c r="AY59" s="16">
        <f>盗宝贼掉落!AK58</f>
        <v>40412.003877749099</v>
      </c>
      <c r="AZ59" s="16">
        <f>盗宝贼掉落!AL58</f>
        <v>33642.534792127917</v>
      </c>
      <c r="BA59" s="16">
        <f>盗宝贼掉落!AM58</f>
        <v>18695.716028560324</v>
      </c>
      <c r="BC59" s="16">
        <f>盗宝贼掉落!AI58/AW59</f>
        <v>1</v>
      </c>
      <c r="BG59" s="41">
        <f t="shared" si="15"/>
        <v>0.32040987161288337</v>
      </c>
      <c r="BH59" s="41">
        <f t="shared" si="16"/>
        <v>0.40266198661839403</v>
      </c>
      <c r="BI59" s="41">
        <f t="shared" si="17"/>
        <v>0.35283983882349201</v>
      </c>
      <c r="BJ59" s="41">
        <f t="shared" si="18"/>
        <v>0.1156489941855435</v>
      </c>
      <c r="BK59" s="41">
        <f t="shared" si="19"/>
        <v>3.1706426937102732E-2</v>
      </c>
      <c r="BR59" s="16">
        <v>4</v>
      </c>
      <c r="BS59" s="17">
        <f>基础状态预期!C70</f>
        <v>60</v>
      </c>
      <c r="BT59" s="17">
        <f>求节点($E$5:$E$10,F$5:F$10,基础状态预期!M70)</f>
        <v>6</v>
      </c>
      <c r="BU59" s="17">
        <f>求节点($E$5:$E$10,G$5:G$10,基础状态预期!N70)</f>
        <v>32</v>
      </c>
      <c r="BV59" s="17">
        <f>求节点($E$5:$E$10,H$5:H$10,基础状态预期!O70)</f>
        <v>11.707459795016302</v>
      </c>
      <c r="BW59" s="17">
        <f>求节点($E$5:$E$10,I$5:I$10,基础状态预期!P70)</f>
        <v>16.033282333097166</v>
      </c>
      <c r="BX59" s="17">
        <f>MAX(SUMPRODUCT(BT59:BW59,基础状态预期!I70:L70)/6,BX58)</f>
        <v>13.26381659539785</v>
      </c>
      <c r="CA59" s="16">
        <v>54</v>
      </c>
      <c r="CB59" s="16">
        <f t="shared" si="20"/>
        <v>4.6910602035358409</v>
      </c>
      <c r="CC59" s="16">
        <f t="shared" si="21"/>
        <v>4.2770703097671001</v>
      </c>
      <c r="CD59" s="16">
        <f t="shared" si="22"/>
        <v>5.3055266381591402</v>
      </c>
      <c r="CE59" s="16">
        <f t="shared" si="23"/>
        <v>9.7387051818086103</v>
      </c>
      <c r="CF59" s="16">
        <f t="shared" si="24"/>
        <v>13.492506297953904</v>
      </c>
      <c r="CH59" s="16">
        <v>13</v>
      </c>
      <c r="CI59" s="17">
        <v>110</v>
      </c>
      <c r="CJ59" s="17">
        <f t="shared" si="63"/>
        <v>72</v>
      </c>
      <c r="CK59" s="17">
        <f>(CJ59-CJ58)*(INDEX([3]小r将兵属性验证!$V$7:$V$166,$CI59,1)+INDEX([3]小r将兵属性验证!$AP$7:$AP$166,$CI59,1))+CK58</f>
        <v>205052630463.06903</v>
      </c>
      <c r="CL59" s="17">
        <f t="shared" si="60"/>
        <v>205052630463.06903</v>
      </c>
      <c r="CP59" s="16">
        <v>75</v>
      </c>
      <c r="CQ59" s="16">
        <v>0</v>
      </c>
      <c r="CT59" s="17">
        <v>110</v>
      </c>
      <c r="CU59" s="17">
        <f t="shared" si="64"/>
        <v>0</v>
      </c>
      <c r="CV59" s="17">
        <f t="shared" si="61"/>
        <v>0</v>
      </c>
    </row>
    <row r="60" spans="4:100">
      <c r="AE60" s="17">
        <f>基础状态预期!C71</f>
        <v>70</v>
      </c>
      <c r="AF60" s="64">
        <f>求节点(P$7:P$9,Z$6:Z$8,基础状态预期!Q71)*P$6</f>
        <v>0</v>
      </c>
      <c r="AG60" s="64">
        <f>求节点(Q$7:Q$9,AA$6:AA$8,基础状态预期!R71)*Q$6</f>
        <v>0</v>
      </c>
      <c r="AH60" s="64">
        <f>求节点(R$7:R$9,AB$6:AB$8,基础状态预期!S71)*R$6</f>
        <v>81198.459785815838</v>
      </c>
      <c r="AI60" s="64">
        <f>求节点(S$7:S$9,AC$6:AC$8,基础状态预期!T71)*S$6</f>
        <v>80314.491509205967</v>
      </c>
      <c r="AJ60" s="17">
        <f>SUMPRODUCT(AF60:AI60,基础状态预期!I71:L71)</f>
        <v>483384.56226243614</v>
      </c>
      <c r="AM60" s="16">
        <v>55</v>
      </c>
      <c r="AN60" s="16">
        <f t="shared" si="10"/>
        <v>111222.40596550307</v>
      </c>
      <c r="AO60" s="16">
        <f t="shared" si="49"/>
        <v>112425.48514988663</v>
      </c>
      <c r="AP60" s="16">
        <f t="shared" si="50"/>
        <v>143166.95363999551</v>
      </c>
      <c r="AQ60" s="16">
        <f t="shared" si="51"/>
        <v>363627.61981908081</v>
      </c>
      <c r="AR60" s="16">
        <f t="shared" si="14"/>
        <v>737063.34309002012</v>
      </c>
      <c r="AV60" s="16">
        <v>55</v>
      </c>
      <c r="AW60" s="16">
        <f>盗宝贼掉落!AI59</f>
        <v>31152.462334864533</v>
      </c>
      <c r="AX60" s="16">
        <f>盗宝贼掉落!AJ59</f>
        <v>39499.406901313523</v>
      </c>
      <c r="AY60" s="16">
        <f>盗宝贼掉落!AK59</f>
        <v>44015.357067295263</v>
      </c>
      <c r="AZ60" s="16">
        <f>盗宝贼掉落!AL59</f>
        <v>36611.167383250533</v>
      </c>
      <c r="BA60" s="16">
        <f>盗宝贼掉落!AM59</f>
        <v>20322.120558976272</v>
      </c>
      <c r="BC60" s="16">
        <f>盗宝贼掉落!AI59/AW60</f>
        <v>1</v>
      </c>
      <c r="BG60" s="41">
        <f t="shared" si="15"/>
        <v>0.28009160622300178</v>
      </c>
      <c r="BH60" s="41">
        <f t="shared" si="16"/>
        <v>0.35133854969496081</v>
      </c>
      <c r="BI60" s="41">
        <f t="shared" si="17"/>
        <v>0.30744076023280703</v>
      </c>
      <c r="BJ60" s="41">
        <f t="shared" si="18"/>
        <v>0.10068313127992325</v>
      </c>
      <c r="BK60" s="41">
        <f t="shared" si="19"/>
        <v>2.7571742306134822E-2</v>
      </c>
      <c r="BR60" s="16">
        <v>5</v>
      </c>
      <c r="BS60" s="17">
        <f>基础状态预期!C71</f>
        <v>70</v>
      </c>
      <c r="BT60" s="17">
        <f>求节点($E$5:$E$10,F$5:F$10,基础状态预期!M71)</f>
        <v>6</v>
      </c>
      <c r="BU60" s="17">
        <f>求节点($E$5:$E$10,G$5:G$10,基础状态预期!N71)</f>
        <v>32</v>
      </c>
      <c r="BV60" s="17">
        <f>求节点($E$5:$E$10,H$5:H$10,基础状态预期!O71)</f>
        <v>23.488769363288998</v>
      </c>
      <c r="BW60" s="17">
        <f>求节点($E$5:$E$10,I$5:I$10,基础状态预期!P71)</f>
        <v>16.033282333097166</v>
      </c>
      <c r="BX60" s="17">
        <f>MAX(SUMPRODUCT(BT60:BW60,基础状态预期!I71:L71)/6,BX59)</f>
        <v>18.138455135102262</v>
      </c>
      <c r="CA60" s="16">
        <v>55</v>
      </c>
      <c r="CB60" s="16">
        <f t="shared" si="20"/>
        <v>5.8638252544198011</v>
      </c>
      <c r="CC60" s="16">
        <f t="shared" si="21"/>
        <v>5.3463378872088754</v>
      </c>
      <c r="CD60" s="16">
        <f t="shared" si="22"/>
        <v>6.6319082976989252</v>
      </c>
      <c r="CE60" s="16">
        <f t="shared" si="23"/>
        <v>12.173381477260763</v>
      </c>
      <c r="CF60" s="16">
        <f t="shared" si="24"/>
        <v>16.865632872442379</v>
      </c>
      <c r="CH60" s="16">
        <v>14</v>
      </c>
      <c r="CI60" s="17">
        <v>120</v>
      </c>
      <c r="CJ60" s="17">
        <f t="shared" si="63"/>
        <v>72</v>
      </c>
      <c r="CK60" s="17">
        <f>(CJ60-CJ59)*(INDEX([3]小r将兵属性验证!$V$7:$V$166,$CI60,1)+INDEX([3]小r将兵属性验证!$AP$7:$AP$166,$CI60,1))+CK59</f>
        <v>205052630463.06903</v>
      </c>
      <c r="CL60" s="17">
        <f t="shared" si="60"/>
        <v>205052630463.06903</v>
      </c>
      <c r="CP60" s="16">
        <v>80</v>
      </c>
      <c r="CQ60" s="16">
        <v>0</v>
      </c>
      <c r="CT60" s="17">
        <v>120</v>
      </c>
      <c r="CU60" s="17">
        <f t="shared" si="64"/>
        <v>0</v>
      </c>
      <c r="CV60" s="17">
        <f t="shared" si="61"/>
        <v>0</v>
      </c>
    </row>
    <row r="61" spans="4:100">
      <c r="AE61" s="17">
        <f>基础状态预期!C72</f>
        <v>75</v>
      </c>
      <c r="AF61" s="64">
        <f>求节点(P$7:P$9,Z$6:Z$8,基础状态预期!Q72)*P$6</f>
        <v>0</v>
      </c>
      <c r="AG61" s="64">
        <f>求节点(Q$7:Q$9,AA$6:AA$8,基础状态预期!R72)*Q$6</f>
        <v>0</v>
      </c>
      <c r="AH61" s="64">
        <f>求节点(R$7:R$9,AB$6:AB$8,基础状态预期!S72)*R$6</f>
        <v>156215.56581025632</v>
      </c>
      <c r="AI61" s="64">
        <f>求节点(S$7:S$9,AC$6:AC$8,基础状态预期!T72)*S$6</f>
        <v>82846.303397377604</v>
      </c>
      <c r="AJ61" s="17">
        <f>SUMPRODUCT(AF61:AI61,基础状态预期!I72:L72)</f>
        <v>531718.25669595937</v>
      </c>
      <c r="AM61" s="16">
        <v>56</v>
      </c>
      <c r="AN61" s="16">
        <f t="shared" si="10"/>
        <v>133466.8871586037</v>
      </c>
      <c r="AO61" s="16">
        <f t="shared" si="49"/>
        <v>134910.58217986394</v>
      </c>
      <c r="AP61" s="16">
        <f t="shared" si="50"/>
        <v>171800.34436799464</v>
      </c>
      <c r="AQ61" s="16">
        <f t="shared" si="51"/>
        <v>436353.14378289692</v>
      </c>
      <c r="AR61" s="16">
        <f t="shared" si="14"/>
        <v>884476.01170802407</v>
      </c>
      <c r="AV61" s="16">
        <v>56</v>
      </c>
      <c r="AW61" s="16">
        <f>盗宝贼掉落!AI60</f>
        <v>34028.271598009072</v>
      </c>
      <c r="AX61" s="16">
        <f>盗宝贼掉落!AJ60</f>
        <v>43036.223590997659</v>
      </c>
      <c r="AY61" s="16">
        <f>盗宝贼掉落!AK60</f>
        <v>47949.940606399665</v>
      </c>
      <c r="AZ61" s="16">
        <f>盗宝贼掉落!AL60</f>
        <v>39838.793658357543</v>
      </c>
      <c r="BA61" s="16">
        <f>盗宝贼掉落!AM60</f>
        <v>22092.610537891855</v>
      </c>
      <c r="BC61" s="16">
        <f>盗宝贼掉落!AI60/AW61</f>
        <v>1</v>
      </c>
      <c r="BG61" s="41">
        <f t="shared" si="15"/>
        <v>0.2549566587072043</v>
      </c>
      <c r="BH61" s="41">
        <f t="shared" si="16"/>
        <v>0.31899813117418319</v>
      </c>
      <c r="BI61" s="41">
        <f t="shared" si="17"/>
        <v>0.2791027036807992</v>
      </c>
      <c r="BJ61" s="41">
        <f t="shared" si="18"/>
        <v>9.1299430807307139E-2</v>
      </c>
      <c r="BK61" s="41">
        <f t="shared" si="19"/>
        <v>2.497819075412628E-2</v>
      </c>
      <c r="BR61" s="16">
        <v>6</v>
      </c>
      <c r="BS61" s="17">
        <f>基础状态预期!C72</f>
        <v>75</v>
      </c>
      <c r="BT61" s="17">
        <f>求节点($E$5:$E$10,F$5:F$10,基础状态预期!M72)</f>
        <v>6</v>
      </c>
      <c r="BU61" s="17">
        <f>求节点($E$5:$E$10,G$5:G$10,基础状态预期!N72)</f>
        <v>32</v>
      </c>
      <c r="BV61" s="17">
        <f>求节点($E$5:$E$10,H$5:H$10,基础状态预期!O72)</f>
        <v>31.94135929314584</v>
      </c>
      <c r="BW61" s="17">
        <f>求节点($E$5:$E$10,I$5:I$10,基础状态预期!P72)</f>
        <v>16.538711105097725</v>
      </c>
      <c r="BX61" s="17">
        <f>MAX(SUMPRODUCT(BT61:BW61,基础状态预期!I72:L72)/6,BX60)</f>
        <v>18.138455135102262</v>
      </c>
      <c r="CA61" s="16">
        <v>56</v>
      </c>
      <c r="CB61" s="16">
        <f t="shared" si="20"/>
        <v>7.0365903053037613</v>
      </c>
      <c r="CC61" s="16">
        <f t="shared" si="21"/>
        <v>6.4156054646506497</v>
      </c>
      <c r="CD61" s="16">
        <f t="shared" si="22"/>
        <v>7.9582899572387102</v>
      </c>
      <c r="CE61" s="16">
        <f t="shared" si="23"/>
        <v>14.608057772712915</v>
      </c>
      <c r="CF61" s="16">
        <f t="shared" si="24"/>
        <v>20.238759446930857</v>
      </c>
      <c r="CH61" s="16">
        <v>15</v>
      </c>
      <c r="CI61" s="17">
        <v>130</v>
      </c>
      <c r="CJ61" s="17">
        <f t="shared" si="63"/>
        <v>72</v>
      </c>
      <c r="CK61" s="17">
        <f>(CJ61-CJ60)*(INDEX([3]小r将兵属性验证!$V$7:$V$166,$CI61,1)+INDEX([3]小r将兵属性验证!$AP$7:$AP$166,$CI61,1))+CK60</f>
        <v>205052630463.06903</v>
      </c>
      <c r="CL61" s="17">
        <f t="shared" si="60"/>
        <v>205052630463.06903</v>
      </c>
      <c r="CP61" s="16">
        <v>85</v>
      </c>
      <c r="CQ61" s="16">
        <v>0</v>
      </c>
      <c r="CT61" s="17">
        <v>130</v>
      </c>
      <c r="CU61" s="17">
        <f t="shared" si="64"/>
        <v>0</v>
      </c>
      <c r="CV61" s="17">
        <f t="shared" si="61"/>
        <v>0</v>
      </c>
    </row>
    <row r="62" spans="4:100">
      <c r="AE62" s="17">
        <f>基础状态预期!C73</f>
        <v>80</v>
      </c>
      <c r="AF62" s="64">
        <f>求节点(P$7:P$9,Z$6:Z$8,基础状态预期!Q73)*P$6</f>
        <v>0</v>
      </c>
      <c r="AG62" s="64">
        <f>求节点(Q$7:Q$9,AA$6:AA$8,基础状态预期!R73)*Q$6</f>
        <v>0</v>
      </c>
      <c r="AH62" s="64">
        <f>求节点(R$7:R$9,AB$6:AB$8,基础状态预期!S73)*R$6</f>
        <v>0</v>
      </c>
      <c r="AI62" s="64">
        <f>求节点(S$7:S$9,AC$6:AC$8,基础状态预期!T73)*S$6</f>
        <v>104155.26935787893</v>
      </c>
      <c r="AJ62" s="17">
        <f>SUMPRODUCT(AF62:AI62,基础状态预期!I73:L73)</f>
        <v>624931.61614727357</v>
      </c>
      <c r="AM62" s="16">
        <v>57</v>
      </c>
      <c r="AN62" s="16">
        <f t="shared" si="10"/>
        <v>155711.3683517043</v>
      </c>
      <c r="AO62" s="16">
        <f t="shared" si="49"/>
        <v>157395.67920984127</v>
      </c>
      <c r="AP62" s="16">
        <f t="shared" si="50"/>
        <v>200433.73509599373</v>
      </c>
      <c r="AQ62" s="16">
        <f t="shared" si="51"/>
        <v>509078.66774671309</v>
      </c>
      <c r="AR62" s="16">
        <f t="shared" si="14"/>
        <v>1031888.680326028</v>
      </c>
      <c r="AV62" s="16">
        <v>57</v>
      </c>
      <c r="AW62" s="16">
        <f>盗宝贼掉落!AI61</f>
        <v>37156.628608419087</v>
      </c>
      <c r="AX62" s="16">
        <f>盗宝贼掉落!AJ61</f>
        <v>47008.730289406631</v>
      </c>
      <c r="AY62" s="16">
        <f>盗宝贼掉落!AK61</f>
        <v>52265.263483433082</v>
      </c>
      <c r="AZ62" s="16">
        <f>盗宝贼掉落!AL61</f>
        <v>43368.486440801382</v>
      </c>
      <c r="BA62" s="16">
        <f>盗宝贼掉落!AM61</f>
        <v>24061.296591446426</v>
      </c>
      <c r="BC62" s="16">
        <f>盗宝贼掉落!AI61/AW62</f>
        <v>1</v>
      </c>
      <c r="BG62" s="41">
        <f t="shared" si="15"/>
        <v>0.23862502142100275</v>
      </c>
      <c r="BH62" s="41">
        <f t="shared" si="16"/>
        <v>0.29866595147592451</v>
      </c>
      <c r="BI62" s="41">
        <f t="shared" si="17"/>
        <v>0.26076081183839478</v>
      </c>
      <c r="BJ62" s="41">
        <f t="shared" si="18"/>
        <v>8.519014680532426E-2</v>
      </c>
      <c r="BK62" s="41">
        <f t="shared" si="19"/>
        <v>2.3317725109499404E-2</v>
      </c>
      <c r="BR62" s="16">
        <v>7</v>
      </c>
      <c r="BS62" s="17">
        <f>基础状态预期!C73</f>
        <v>80</v>
      </c>
      <c r="BT62" s="17">
        <f>求节点($E$5:$E$10,F$5:F$10,基础状态预期!M73)</f>
        <v>6</v>
      </c>
      <c r="BU62" s="17">
        <f>求节点($E$5:$E$10,G$5:G$10,基础状态预期!N73)</f>
        <v>32</v>
      </c>
      <c r="BV62" s="17">
        <f>求节点($E$5:$E$10,H$5:H$10,基础状态预期!O73)</f>
        <v>43.946292405000108</v>
      </c>
      <c r="BW62" s="17">
        <f>求节点($E$5:$E$10,I$5:I$10,基础状态预期!P73)</f>
        <v>20.792646616000056</v>
      </c>
      <c r="BX62" s="17">
        <f>MAX(SUMPRODUCT(BT62:BW62,基础状态预期!I73:L73)/6,BX61)</f>
        <v>20.792646616000056</v>
      </c>
      <c r="CA62" s="16">
        <v>57</v>
      </c>
      <c r="CB62" s="16">
        <f t="shared" si="20"/>
        <v>8.2093553561877215</v>
      </c>
      <c r="CC62" s="16">
        <f t="shared" si="21"/>
        <v>7.484873042092425</v>
      </c>
      <c r="CD62" s="16">
        <f t="shared" si="22"/>
        <v>9.2846716167784962</v>
      </c>
      <c r="CE62" s="16">
        <f t="shared" si="23"/>
        <v>17.042734068165068</v>
      </c>
      <c r="CF62" s="16">
        <f t="shared" si="24"/>
        <v>23.61188602141933</v>
      </c>
      <c r="CH62" s="16">
        <v>16</v>
      </c>
      <c r="CI62" s="17">
        <v>140</v>
      </c>
      <c r="CJ62" s="17">
        <f t="shared" si="63"/>
        <v>72</v>
      </c>
      <c r="CK62" s="17">
        <f>(CJ62-CJ61)*(INDEX([3]小r将兵属性验证!$V$7:$V$166,$CI62,1)+INDEX([3]小r将兵属性验证!$AP$7:$AP$166,$CI62,1))+CK61</f>
        <v>205052630463.06903</v>
      </c>
      <c r="CL62" s="17">
        <f t="shared" si="60"/>
        <v>205052630463.06903</v>
      </c>
      <c r="CP62" s="16">
        <v>90</v>
      </c>
      <c r="CQ62" s="16">
        <v>0</v>
      </c>
      <c r="CT62" s="17">
        <v>140</v>
      </c>
      <c r="CU62" s="17">
        <f t="shared" si="64"/>
        <v>0</v>
      </c>
      <c r="CV62" s="17">
        <f t="shared" si="61"/>
        <v>0</v>
      </c>
    </row>
    <row r="63" spans="4:100">
      <c r="AE63" s="17">
        <f>基础状态预期!C74</f>
        <v>85</v>
      </c>
      <c r="AF63" s="64">
        <f>求节点(P$7:P$9,Z$6:Z$8,基础状态预期!Q74)*P$6</f>
        <v>0</v>
      </c>
      <c r="AG63" s="64">
        <f>求节点(Q$7:Q$9,AA$6:AA$8,基础状态预期!R74)*Q$6</f>
        <v>0</v>
      </c>
      <c r="AH63" s="64">
        <f>求节点(R$7:R$9,AB$6:AB$8,基础状态预期!S74)*R$6</f>
        <v>0</v>
      </c>
      <c r="AI63" s="64">
        <f>求节点(S$7:S$9,AC$6:AC$8,基础状态预期!T74)*S$6</f>
        <v>196322.44075932013</v>
      </c>
      <c r="AJ63" s="17">
        <f>SUMPRODUCT(AF63:AI63,基础状态预期!I74:L74)</f>
        <v>1177934.6445559207</v>
      </c>
      <c r="AM63" s="16">
        <v>58</v>
      </c>
      <c r="AN63" s="16">
        <f t="shared" si="10"/>
        <v>177955.84954480492</v>
      </c>
      <c r="AO63" s="16">
        <f t="shared" si="49"/>
        <v>179880.7762398186</v>
      </c>
      <c r="AP63" s="16">
        <f t="shared" si="50"/>
        <v>229067.12582399283</v>
      </c>
      <c r="AQ63" s="16">
        <f t="shared" si="51"/>
        <v>581804.19171052927</v>
      </c>
      <c r="AR63" s="16">
        <f t="shared" si="14"/>
        <v>1179301.3489440321</v>
      </c>
      <c r="AV63" s="16">
        <v>58</v>
      </c>
      <c r="AW63" s="16">
        <f>盗宝贼掉落!AI62</f>
        <v>40558.971288753281</v>
      </c>
      <c r="AX63" s="16">
        <f>盗宝贼掉落!AJ62</f>
        <v>51192.087375525989</v>
      </c>
      <c r="AY63" s="16">
        <f>盗宝贼掉落!AK62</f>
        <v>56950.98186292738</v>
      </c>
      <c r="AZ63" s="16">
        <f>盗宝贼掉落!AL62</f>
        <v>47263.475627267675</v>
      </c>
      <c r="BA63" s="16">
        <f>盗宝贼掉落!AM62</f>
        <v>26185.795403832381</v>
      </c>
      <c r="BC63" s="16">
        <f>盗宝贼掉落!AI62/AW63</f>
        <v>1</v>
      </c>
      <c r="BG63" s="41">
        <f t="shared" si="15"/>
        <v>0.22791592067638961</v>
      </c>
      <c r="BH63" s="41">
        <f t="shared" si="16"/>
        <v>0.28458898413511546</v>
      </c>
      <c r="BI63" s="41">
        <f t="shared" si="17"/>
        <v>0.24862136658878989</v>
      </c>
      <c r="BJ63" s="41">
        <f t="shared" si="18"/>
        <v>8.1236052095656153E-2</v>
      </c>
      <c r="BK63" s="41">
        <f t="shared" si="19"/>
        <v>2.2204498813877909E-2</v>
      </c>
      <c r="BR63" s="16">
        <v>8</v>
      </c>
      <c r="BS63" s="17">
        <f>基础状态预期!C74</f>
        <v>85</v>
      </c>
      <c r="BT63" s="17">
        <f>求节点($E$5:$E$10,F$5:F$10,基础状态预期!M74)</f>
        <v>6</v>
      </c>
      <c r="BU63" s="17">
        <f>求节点($E$5:$E$10,G$5:G$10,基础状态预期!N74)</f>
        <v>32</v>
      </c>
      <c r="BV63" s="17">
        <f>求节点($E$5:$E$10,H$5:H$10,基础状态预期!O74)</f>
        <v>59.95597533025024</v>
      </c>
      <c r="BW63" s="17">
        <f>求节点($E$5:$E$10,I$5:I$10,基础状态预期!P74)</f>
        <v>28.153824208217433</v>
      </c>
      <c r="BX63" s="17">
        <f>MAX(SUMPRODUCT(BT63:BW63,基础状态预期!I74:L74)/6,BX62)</f>
        <v>28.153824208217433</v>
      </c>
      <c r="CA63" s="16">
        <v>58</v>
      </c>
      <c r="CB63" s="16">
        <f t="shared" si="20"/>
        <v>9.3821204070716817</v>
      </c>
      <c r="CC63" s="16">
        <f t="shared" si="21"/>
        <v>8.5541406195342002</v>
      </c>
      <c r="CD63" s="16">
        <f t="shared" si="22"/>
        <v>10.61105327631828</v>
      </c>
      <c r="CE63" s="16">
        <f t="shared" si="23"/>
        <v>19.477410363617221</v>
      </c>
      <c r="CF63" s="16">
        <f t="shared" si="24"/>
        <v>26.985012595907808</v>
      </c>
      <c r="CH63" s="16">
        <v>17</v>
      </c>
      <c r="CI63" s="17">
        <v>150</v>
      </c>
      <c r="CJ63" s="17">
        <f t="shared" si="63"/>
        <v>72</v>
      </c>
      <c r="CK63" s="17">
        <f>(CJ63-CJ62)*(INDEX([3]小r将兵属性验证!$V$7:$V$166,$CI63,1)+INDEX([3]小r将兵属性验证!$AP$7:$AP$166,$CI63,1))+CK62</f>
        <v>205052630463.06903</v>
      </c>
      <c r="CL63" s="17">
        <f t="shared" si="60"/>
        <v>205052630463.06903</v>
      </c>
      <c r="CP63" s="16">
        <v>95</v>
      </c>
      <c r="CQ63" s="16">
        <v>0</v>
      </c>
      <c r="CT63" s="17">
        <v>150</v>
      </c>
      <c r="CU63" s="17">
        <f t="shared" si="64"/>
        <v>0</v>
      </c>
      <c r="CV63" s="17">
        <f t="shared" si="61"/>
        <v>0</v>
      </c>
    </row>
    <row r="64" spans="4:100">
      <c r="AE64" s="17">
        <f>基础状态预期!C75</f>
        <v>90</v>
      </c>
      <c r="AF64" s="64">
        <f>求节点(P$7:P$9,Z$6:Z$8,基础状态预期!Q75)*P$6</f>
        <v>0</v>
      </c>
      <c r="AG64" s="64">
        <f>求节点(Q$7:Q$9,AA$6:AA$8,基础状态预期!R75)*Q$6</f>
        <v>0</v>
      </c>
      <c r="AH64" s="64">
        <f>求节点(R$7:R$9,AB$6:AB$8,基础状态预期!S75)*R$6</f>
        <v>0</v>
      </c>
      <c r="AI64" s="64">
        <f>求节点(S$7:S$9,AC$6:AC$8,基础状态预期!T75)*S$6</f>
        <v>379976.70183160948</v>
      </c>
      <c r="AJ64" s="17">
        <f>SUMPRODUCT(AF64:AI64,基础状态预期!I75:L75)</f>
        <v>2279860.2109896569</v>
      </c>
      <c r="AM64" s="16">
        <v>59</v>
      </c>
      <c r="AN64" s="16">
        <f t="shared" si="10"/>
        <v>200200.33073790555</v>
      </c>
      <c r="AO64" s="16">
        <f t="shared" si="49"/>
        <v>202365.87326979593</v>
      </c>
      <c r="AP64" s="16">
        <f t="shared" si="50"/>
        <v>257700.51655199192</v>
      </c>
      <c r="AQ64" s="16">
        <f t="shared" si="51"/>
        <v>654529.71567434538</v>
      </c>
      <c r="AR64" s="16">
        <f t="shared" si="14"/>
        <v>1326714.0175620362</v>
      </c>
      <c r="AV64" s="16">
        <v>59</v>
      </c>
      <c r="AW64" s="16">
        <f>盗宝贼掉落!AI63</f>
        <v>44258.513927525571</v>
      </c>
      <c r="AX64" s="16">
        <f>盗宝贼掉落!AJ63</f>
        <v>55881.864683775682</v>
      </c>
      <c r="AY64" s="16">
        <f>盗宝贼掉落!AK63</f>
        <v>62102.284479825168</v>
      </c>
      <c r="AZ64" s="16">
        <f>盗宝贼掉落!AL63</f>
        <v>51479.789506948073</v>
      </c>
      <c r="BA64" s="16">
        <f>盗宝贼掉落!AM63</f>
        <v>28562.103107014376</v>
      </c>
      <c r="BC64" s="16">
        <f>盗宝贼掉落!AI63/AW64</f>
        <v>1</v>
      </c>
      <c r="BG64" s="41">
        <f t="shared" si="15"/>
        <v>0.22107113292168878</v>
      </c>
      <c r="BH64" s="41">
        <f t="shared" si="16"/>
        <v>0.27614272990225724</v>
      </c>
      <c r="BI64" s="41">
        <f t="shared" si="17"/>
        <v>0.24098626308843982</v>
      </c>
      <c r="BJ64" s="41">
        <f t="shared" si="18"/>
        <v>7.8651569629515986E-2</v>
      </c>
      <c r="BK64" s="41">
        <f t="shared" si="19"/>
        <v>2.1528455061852719E-2</v>
      </c>
      <c r="BR64" s="16">
        <v>9</v>
      </c>
      <c r="BS64" s="17">
        <f>基础状态预期!C75</f>
        <v>90</v>
      </c>
      <c r="BT64" s="17">
        <f>求节点($E$5:$E$10,F$5:F$10,基础状态预期!M75)</f>
        <v>6</v>
      </c>
      <c r="BU64" s="17">
        <f>求节点($E$5:$E$10,G$5:G$10,基础状态预期!N75)</f>
        <v>32</v>
      </c>
      <c r="BV64" s="17">
        <f>求节点($E$5:$E$10,H$5:H$10,基础状态预期!O75)</f>
        <v>60</v>
      </c>
      <c r="BW64" s="17">
        <f>求节点($E$5:$E$10,I$5:I$10,基础状态预期!P75)</f>
        <v>38.178261471178416</v>
      </c>
      <c r="BX64" s="17">
        <f>MAX(SUMPRODUCT(BT64:BW64,基础状态预期!I75:L75)/6,BX63)</f>
        <v>38.178261471178416</v>
      </c>
      <c r="CA64" s="16">
        <v>59</v>
      </c>
      <c r="CB64" s="16">
        <f t="shared" si="20"/>
        <v>10.554885457955642</v>
      </c>
      <c r="CC64" s="16">
        <f t="shared" si="21"/>
        <v>9.6234081969759746</v>
      </c>
      <c r="CD64" s="16">
        <f t="shared" si="22"/>
        <v>11.937434935858064</v>
      </c>
      <c r="CE64" s="16">
        <f t="shared" si="23"/>
        <v>21.912086659069374</v>
      </c>
      <c r="CF64" s="16">
        <f t="shared" si="24"/>
        <v>30.358139170396285</v>
      </c>
      <c r="CH64" s="16">
        <v>18</v>
      </c>
      <c r="CI64" s="17">
        <v>160</v>
      </c>
      <c r="CJ64" s="17">
        <f t="shared" si="63"/>
        <v>72</v>
      </c>
      <c r="CK64" s="17">
        <f>(CJ64-CJ63)*(INDEX([3]小r将兵属性验证!$V$7:$V$166,$CI64,1)+INDEX([3]小r将兵属性验证!$AP$7:$AP$166,$CI64,1))+CK63</f>
        <v>205052630463.06903</v>
      </c>
      <c r="CL64" s="17">
        <f t="shared" si="60"/>
        <v>205052630463.06903</v>
      </c>
      <c r="CP64" s="16">
        <v>100</v>
      </c>
      <c r="CQ64" s="16">
        <v>0</v>
      </c>
      <c r="CT64" s="17">
        <v>160</v>
      </c>
      <c r="CU64" s="17">
        <f t="shared" si="64"/>
        <v>0</v>
      </c>
      <c r="CV64" s="17">
        <f t="shared" si="61"/>
        <v>0</v>
      </c>
    </row>
    <row r="65" spans="31:95">
      <c r="AE65" s="17">
        <f>基础状态预期!C76</f>
        <v>95</v>
      </c>
      <c r="AF65" s="64">
        <f>求节点(P$7:P$9,Z$6:Z$8,基础状态预期!Q76)*P$6</f>
        <v>0</v>
      </c>
      <c r="AG65" s="64">
        <f>求节点(Q$7:Q$9,AA$6:AA$8,基础状态预期!R76)*Q$6</f>
        <v>0</v>
      </c>
      <c r="AH65" s="64">
        <f>求节点(R$7:R$9,AB$6:AB$8,基础状态预期!S76)*R$6</f>
        <v>0</v>
      </c>
      <c r="AI65" s="64">
        <f>求节点(S$7:S$9,AC$6:AC$8,基础状态预期!T76)*S$6</f>
        <v>846335.07304598135</v>
      </c>
      <c r="AJ65" s="17">
        <f>SUMPRODUCT(AF65:AI65,基础状态预期!I76:L76)</f>
        <v>5078010.4382758886</v>
      </c>
      <c r="AM65" s="16">
        <v>60</v>
      </c>
      <c r="AN65" s="16">
        <f t="shared" si="10"/>
        <v>222444.81193100614</v>
      </c>
      <c r="AO65" s="16">
        <f t="shared" si="49"/>
        <v>224850.97029977327</v>
      </c>
      <c r="AP65" s="16">
        <f t="shared" si="50"/>
        <v>286333.90727999102</v>
      </c>
      <c r="AQ65" s="16">
        <f t="shared" si="51"/>
        <v>727255.23963816161</v>
      </c>
      <c r="AR65" s="16">
        <f t="shared" si="14"/>
        <v>1474126.6861800402</v>
      </c>
      <c r="AV65" s="16">
        <v>60</v>
      </c>
      <c r="AW65" s="16">
        <f>盗宝贼掉落!AI64</f>
        <v>48280.391735004581</v>
      </c>
      <c r="AX65" s="16">
        <f>盗宝贼掉落!AJ64</f>
        <v>60869.504996960655</v>
      </c>
      <c r="AY65" s="16">
        <f>盗宝贼掉落!AK64</f>
        <v>67651.585703250283</v>
      </c>
      <c r="AZ65" s="16">
        <f>盗宝贼掉落!AL64</f>
        <v>56108.173550578445</v>
      </c>
      <c r="BA65" s="16">
        <f>盗宝贼掉落!AM64</f>
        <v>31236.286314486762</v>
      </c>
      <c r="BC65" s="16">
        <f>盗宝贼掉落!AI64/AW65</f>
        <v>1</v>
      </c>
      <c r="BG65" s="41">
        <f t="shared" si="15"/>
        <v>0.21704435952401221</v>
      </c>
      <c r="BH65" s="41">
        <f t="shared" si="16"/>
        <v>0.27071043952271545</v>
      </c>
      <c r="BI65" s="41">
        <f t="shared" si="17"/>
        <v>0.23626816099393119</v>
      </c>
      <c r="BJ65" s="41">
        <f t="shared" si="18"/>
        <v>7.7150593756456803E-2</v>
      </c>
      <c r="BK65" s="41">
        <f t="shared" si="19"/>
        <v>2.1189689195187506E-2</v>
      </c>
      <c r="BR65" s="16">
        <v>10</v>
      </c>
      <c r="BS65" s="17">
        <f>基础状态预期!C76</f>
        <v>95</v>
      </c>
      <c r="BT65" s="17">
        <f>求节点($E$5:$E$10,F$5:F$10,基础状态预期!M76)</f>
        <v>6</v>
      </c>
      <c r="BU65" s="17">
        <f>求节点($E$5:$E$10,G$5:G$10,基础状态预期!N76)</f>
        <v>32</v>
      </c>
      <c r="BV65" s="17">
        <f>求节点($E$5:$E$10,H$5:H$10,基础状态预期!O76)</f>
        <v>60</v>
      </c>
      <c r="BW65" s="17">
        <f>求节点($E$5:$E$10,I$5:I$10,基础状态预期!P76)</f>
        <v>51.839701148250256</v>
      </c>
      <c r="BX65" s="17">
        <f>MAX(SUMPRODUCT(BT65:BW65,基础状态预期!I76:L76)/6,BX64)</f>
        <v>51.839701148250263</v>
      </c>
      <c r="CA65" s="16">
        <v>60</v>
      </c>
      <c r="CB65" s="16">
        <f t="shared" si="20"/>
        <v>11.727650508839602</v>
      </c>
      <c r="CC65" s="16">
        <f t="shared" si="21"/>
        <v>10.692675774417751</v>
      </c>
      <c r="CD65" s="16">
        <f t="shared" si="22"/>
        <v>13.26381659539785</v>
      </c>
      <c r="CE65" s="16">
        <f t="shared" si="23"/>
        <v>24.346762954521527</v>
      </c>
      <c r="CF65" s="16">
        <f t="shared" si="24"/>
        <v>33.731265744884759</v>
      </c>
      <c r="CH65" s="16">
        <v>19</v>
      </c>
      <c r="CP65" s="16">
        <v>105</v>
      </c>
      <c r="CQ65" s="16">
        <v>0</v>
      </c>
    </row>
    <row r="66" spans="31:95">
      <c r="AE66" s="17">
        <f>基础状态预期!C77</f>
        <v>100</v>
      </c>
      <c r="AF66" s="64">
        <f>求节点(P$7:P$9,Z$6:Z$8,基础状态预期!Q77)*P$6</f>
        <v>0</v>
      </c>
      <c r="AG66" s="64">
        <f>求节点(Q$7:Q$9,AA$6:AA$8,基础状态预期!R77)*Q$6</f>
        <v>0</v>
      </c>
      <c r="AH66" s="64">
        <f>求节点(R$7:R$9,AB$6:AB$8,基础状态预期!S77)*R$6</f>
        <v>0</v>
      </c>
      <c r="AI66" s="64">
        <f>求节点(S$7:S$9,AC$6:AC$8,基础状态预期!T77)*S$6</f>
        <v>2350167.2409825884</v>
      </c>
      <c r="AJ66" s="17">
        <f>SUMPRODUCT(AF66:AI66,基础状态预期!I77:L77)</f>
        <v>14101003.44589553</v>
      </c>
      <c r="AM66" s="16">
        <v>61</v>
      </c>
      <c r="AN66" s="16">
        <f t="shared" si="10"/>
        <v>232262.33739962269</v>
      </c>
      <c r="AO66" s="16">
        <f t="shared" si="49"/>
        <v>235858.91766103852</v>
      </c>
      <c r="AP66" s="16">
        <f t="shared" si="50"/>
        <v>306038.97277823556</v>
      </c>
      <c r="AQ66" s="16">
        <f t="shared" si="51"/>
        <v>799115.20175220247</v>
      </c>
      <c r="AR66" s="16">
        <f t="shared" si="14"/>
        <v>1630371.8870564343</v>
      </c>
      <c r="AV66" s="16">
        <v>61</v>
      </c>
      <c r="AW66" s="16">
        <f>盗宝贼掉落!AI65</f>
        <v>52725.63807311235</v>
      </c>
      <c r="AX66" s="16">
        <f>盗宝贼掉落!AJ65</f>
        <v>66517.853655088402</v>
      </c>
      <c r="AY66" s="16">
        <f>盗宝贼掉落!AK65</f>
        <v>73893.465321115262</v>
      </c>
      <c r="AZ66" s="16">
        <f>盗宝贼掉落!AL65</f>
        <v>61350.535579414136</v>
      </c>
      <c r="BA66" s="16">
        <f>盗宝贼掉落!AM65</f>
        <v>34109.146126808038</v>
      </c>
      <c r="BC66" s="16">
        <f>盗宝贼掉落!AI65/AW66</f>
        <v>1</v>
      </c>
      <c r="BG66" s="41">
        <f t="shared" si="15"/>
        <v>0.22700898761039509</v>
      </c>
      <c r="BH66" s="41">
        <f t="shared" si="16"/>
        <v>0.28202390782901687</v>
      </c>
      <c r="BI66" s="41">
        <f t="shared" si="17"/>
        <v>0.24145116110640111</v>
      </c>
      <c r="BJ66" s="41">
        <f t="shared" si="18"/>
        <v>7.6773080332963456E-2</v>
      </c>
      <c r="BK66" s="41">
        <f t="shared" si="19"/>
        <v>2.0921083341537874E-2</v>
      </c>
      <c r="BR66" s="16">
        <v>11</v>
      </c>
      <c r="BS66" s="17">
        <f>基础状态预期!C77</f>
        <v>100</v>
      </c>
      <c r="BT66" s="17">
        <f>求节点($E$5:$E$10,F$5:F$10,基础状态预期!M77)</f>
        <v>6</v>
      </c>
      <c r="BU66" s="17">
        <f>求节点($E$5:$E$10,G$5:G$10,基础状态预期!N77)</f>
        <v>32</v>
      </c>
      <c r="BV66" s="17">
        <f>求节点($E$5:$E$10,H$5:H$10,基础状态预期!O77)</f>
        <v>60</v>
      </c>
      <c r="BW66" s="17">
        <f>求节点($E$5:$E$10,I$5:I$10,基础状态预期!P77)</f>
        <v>72</v>
      </c>
      <c r="BX66" s="17">
        <f>MAX(SUMPRODUCT(BT66:BW66,基础状态预期!I77:L77)/6,BX65)</f>
        <v>72</v>
      </c>
      <c r="CA66" s="16">
        <v>61</v>
      </c>
      <c r="CB66" s="16">
        <f t="shared" si="20"/>
        <v>12.190576424479966</v>
      </c>
      <c r="CC66" s="16">
        <f t="shared" si="21"/>
        <v>11.085435435806698</v>
      </c>
      <c r="CD66" s="16">
        <f t="shared" si="22"/>
        <v>13.751280449368291</v>
      </c>
      <c r="CE66" s="16">
        <f t="shared" si="23"/>
        <v>25.194883720926516</v>
      </c>
      <c r="CF66" s="16">
        <f t="shared" si="24"/>
        <v>34.80974020884269</v>
      </c>
      <c r="CH66" s="16">
        <v>20</v>
      </c>
      <c r="CP66" s="16">
        <v>110</v>
      </c>
      <c r="CQ66" s="16">
        <v>0</v>
      </c>
    </row>
    <row r="67" spans="31:95">
      <c r="AE67" s="17">
        <f>基础状态预期!C78</f>
        <v>105</v>
      </c>
      <c r="AF67" s="64">
        <f>求节点(P$7:P$9,Z$6:Z$8,基础状态预期!Q78)*P$6</f>
        <v>0</v>
      </c>
      <c r="AG67" s="64">
        <f>求节点(Q$7:Q$9,AA$6:AA$8,基础状态预期!R78)*Q$6</f>
        <v>0</v>
      </c>
      <c r="AH67" s="64">
        <f>求节点(R$7:R$9,AB$6:AB$8,基础状态预期!S78)*R$6</f>
        <v>0</v>
      </c>
      <c r="AI67" s="64">
        <f>求节点(S$7:S$9,AC$6:AC$8,基础状态预期!T78)*S$6</f>
        <v>2350167.2409825884</v>
      </c>
      <c r="AJ67" s="17">
        <f>SUMPRODUCT(AF67:AI67,基础状态预期!I78:L78)</f>
        <v>14101003.44589553</v>
      </c>
      <c r="AM67" s="16">
        <v>62</v>
      </c>
      <c r="AN67" s="16">
        <f t="shared" si="10"/>
        <v>242079.86286823923</v>
      </c>
      <c r="AO67" s="16">
        <f t="shared" si="49"/>
        <v>246866.8650223038</v>
      </c>
      <c r="AP67" s="16">
        <f t="shared" si="50"/>
        <v>325744.03827648005</v>
      </c>
      <c r="AQ67" s="16">
        <f t="shared" si="51"/>
        <v>870975.16386624344</v>
      </c>
      <c r="AR67" s="16">
        <f t="shared" si="14"/>
        <v>1786617.0879328281</v>
      </c>
      <c r="AV67" s="16">
        <v>62</v>
      </c>
      <c r="AW67" s="16">
        <f>盗宝贼掉落!AI66</f>
        <v>57634.307770903244</v>
      </c>
      <c r="AX67" s="16">
        <f>盗宝贼掉落!AJ66</f>
        <v>72684.234965991564</v>
      </c>
      <c r="AY67" s="16">
        <f>盗宝贼掉落!AK66</f>
        <v>80857.586787249456</v>
      </c>
      <c r="AZ67" s="16">
        <f>盗宝贼掉落!AL66</f>
        <v>67192.450586788967</v>
      </c>
      <c r="BA67" s="16">
        <f>盗宝贼掉落!AM66</f>
        <v>37507.044058090622</v>
      </c>
      <c r="BC67" s="16">
        <f>盗宝贼掉落!AI66/AW67</f>
        <v>1</v>
      </c>
      <c r="BG67" s="41">
        <f t="shared" si="15"/>
        <v>0.23807972744214917</v>
      </c>
      <c r="BH67" s="41">
        <f t="shared" si="16"/>
        <v>0.294426856189974</v>
      </c>
      <c r="BI67" s="41">
        <f t="shared" si="17"/>
        <v>0.24822430278407856</v>
      </c>
      <c r="BJ67" s="41">
        <f t="shared" si="18"/>
        <v>7.7146230311003192E-2</v>
      </c>
      <c r="BK67" s="41">
        <f t="shared" si="19"/>
        <v>2.0993331090036448E-2</v>
      </c>
      <c r="BR67" s="16">
        <v>12</v>
      </c>
      <c r="BS67" s="17">
        <f>基础状态预期!C78</f>
        <v>105</v>
      </c>
      <c r="BT67" s="17">
        <f>求节点($E$5:$E$10,F$5:F$10,基础状态预期!M78)</f>
        <v>6</v>
      </c>
      <c r="BU67" s="17">
        <f>求节点($E$5:$E$10,G$5:G$10,基础状态预期!N78)</f>
        <v>32</v>
      </c>
      <c r="BV67" s="17">
        <f>求节点($E$5:$E$10,H$5:H$10,基础状态预期!O78)</f>
        <v>60</v>
      </c>
      <c r="BW67" s="17">
        <f>求节点($E$5:$E$10,I$5:I$10,基础状态预期!P78)</f>
        <v>72</v>
      </c>
      <c r="BX67" s="17">
        <f>MAX(SUMPRODUCT(BT67:BW67,基础状态预期!I78:L78)/6,BX66)</f>
        <v>72</v>
      </c>
      <c r="CA67" s="16">
        <v>62</v>
      </c>
      <c r="CB67" s="16">
        <f t="shared" si="20"/>
        <v>12.653502340120331</v>
      </c>
      <c r="CC67" s="16">
        <f t="shared" si="21"/>
        <v>11.478195097195645</v>
      </c>
      <c r="CD67" s="16">
        <f t="shared" si="22"/>
        <v>14.238744303338732</v>
      </c>
      <c r="CE67" s="16">
        <f t="shared" si="23"/>
        <v>26.043004487331508</v>
      </c>
      <c r="CF67" s="16">
        <f t="shared" si="24"/>
        <v>35.888214672800622</v>
      </c>
      <c r="CH67" s="16">
        <v>21</v>
      </c>
      <c r="CP67" s="16">
        <v>115</v>
      </c>
      <c r="CQ67" s="16">
        <v>0</v>
      </c>
    </row>
    <row r="68" spans="31:95">
      <c r="AE68" s="17">
        <f>基础状态预期!C79</f>
        <v>110</v>
      </c>
      <c r="AF68" s="64">
        <f>求节点(P$7:P$9,Z$6:Z$8,基础状态预期!Q79)*P$6</f>
        <v>0</v>
      </c>
      <c r="AG68" s="64">
        <f>求节点(Q$7:Q$9,AA$6:AA$8,基础状态预期!R79)*Q$6</f>
        <v>0</v>
      </c>
      <c r="AH68" s="64">
        <f>求节点(R$7:R$9,AB$6:AB$8,基础状态预期!S79)*R$6</f>
        <v>0</v>
      </c>
      <c r="AI68" s="64">
        <f>求节点(S$7:S$9,AC$6:AC$8,基础状态预期!T79)*S$6</f>
        <v>2350167.2409825884</v>
      </c>
      <c r="AJ68" s="17">
        <f>SUMPRODUCT(AF68:AI68,基础状态预期!I79:L79)</f>
        <v>14101003.44589553</v>
      </c>
      <c r="AM68" s="16">
        <v>63</v>
      </c>
      <c r="AN68" s="16">
        <f t="shared" si="10"/>
        <v>251897.38833685574</v>
      </c>
      <c r="AO68" s="16">
        <f t="shared" si="49"/>
        <v>257874.81238356905</v>
      </c>
      <c r="AP68" s="16">
        <f t="shared" si="50"/>
        <v>345449.10377472453</v>
      </c>
      <c r="AQ68" s="16">
        <f t="shared" si="51"/>
        <v>942835.1259802843</v>
      </c>
      <c r="AR68" s="16">
        <f t="shared" si="14"/>
        <v>1942862.2888092222</v>
      </c>
      <c r="AV68" s="16">
        <v>63</v>
      </c>
      <c r="AW68" s="16">
        <f>盗宝贼掉落!AI67</f>
        <v>63050.024451658865</v>
      </c>
      <c r="AX68" s="16">
        <f>盗宝贼掉落!AJ67</f>
        <v>79601.477518186453</v>
      </c>
      <c r="AY68" s="16">
        <f>盗宝贼掉落!AK67</f>
        <v>88514.914469419353</v>
      </c>
      <c r="AZ68" s="16">
        <f>盗宝贼掉落!AL67</f>
        <v>73700.052330609557</v>
      </c>
      <c r="BA68" s="16">
        <f>盗宝贼掉落!AM67</f>
        <v>41128.884084998215</v>
      </c>
      <c r="BC68" s="16">
        <f>盗宝贼掉落!AI67/AW68</f>
        <v>1</v>
      </c>
      <c r="BG68" s="41">
        <f>AW68/AN68</f>
        <v>0.25030042934523689</v>
      </c>
      <c r="BH68" s="41">
        <f t="shared" si="16"/>
        <v>0.3086826386122013</v>
      </c>
      <c r="BI68" s="41">
        <f t="shared" si="17"/>
        <v>0.25623142020696055</v>
      </c>
      <c r="BJ68" s="41">
        <f t="shared" si="18"/>
        <v>7.816854750079677E-2</v>
      </c>
      <c r="BK68" s="41">
        <f t="shared" si="19"/>
        <v>2.1169222503261441E-2</v>
      </c>
      <c r="BR68" s="16">
        <v>13</v>
      </c>
      <c r="BS68" s="17">
        <f>基础状态预期!C79</f>
        <v>110</v>
      </c>
      <c r="BT68" s="17">
        <f>求节点($E$5:$E$10,F$5:F$10,基础状态预期!M79)</f>
        <v>6</v>
      </c>
      <c r="BU68" s="17">
        <f>求节点($E$5:$E$10,G$5:G$10,基础状态预期!N79)</f>
        <v>32</v>
      </c>
      <c r="BV68" s="17">
        <f>求节点($E$5:$E$10,H$5:H$10,基础状态预期!O79)</f>
        <v>60</v>
      </c>
      <c r="BW68" s="17">
        <f>求节点($E$5:$E$10,I$5:I$10,基础状态预期!P79)</f>
        <v>72</v>
      </c>
      <c r="BX68" s="17">
        <f>MAX(SUMPRODUCT(BT68:BW68,基础状态预期!I79:L79)/6,BX67)</f>
        <v>72</v>
      </c>
      <c r="CA68" s="16">
        <v>63</v>
      </c>
      <c r="CB68" s="16">
        <f t="shared" si="20"/>
        <v>13.116428255760695</v>
      </c>
      <c r="CC68" s="16">
        <f t="shared" si="21"/>
        <v>11.870954758584592</v>
      </c>
      <c r="CD68" s="16">
        <f t="shared" si="22"/>
        <v>14.726208157309173</v>
      </c>
      <c r="CE68" s="16">
        <f t="shared" si="23"/>
        <v>26.891125253736497</v>
      </c>
      <c r="CF68" s="16">
        <f t="shared" si="24"/>
        <v>36.966689136758554</v>
      </c>
      <c r="CH68" s="16">
        <v>22</v>
      </c>
      <c r="CP68" s="16">
        <v>120</v>
      </c>
      <c r="CQ68" s="16">
        <v>0</v>
      </c>
    </row>
    <row r="69" spans="31:95">
      <c r="AE69" s="17">
        <f>基础状态预期!C80</f>
        <v>115</v>
      </c>
      <c r="AF69" s="64">
        <f>求节点(P$7:P$9,Z$6:Z$8,基础状态预期!Q80)*P$6</f>
        <v>0</v>
      </c>
      <c r="AG69" s="64">
        <f>求节点(Q$7:Q$9,AA$6:AA$8,基础状态预期!R80)*Q$6</f>
        <v>0</v>
      </c>
      <c r="AH69" s="64">
        <f>求节点(R$7:R$9,AB$6:AB$8,基础状态预期!S80)*R$6</f>
        <v>0</v>
      </c>
      <c r="AI69" s="64">
        <f>求节点(S$7:S$9,AC$6:AC$8,基础状态预期!T80)*S$6</f>
        <v>2350167.2409825884</v>
      </c>
      <c r="AJ69" s="17">
        <f>SUMPRODUCT(AF69:AI69,基础状态预期!I80:L80)</f>
        <v>14101003.44589553</v>
      </c>
      <c r="AM69" s="16">
        <v>64</v>
      </c>
      <c r="AN69" s="16">
        <f t="shared" si="10"/>
        <v>261714.91380547229</v>
      </c>
      <c r="AO69" s="16">
        <f t="shared" si="49"/>
        <v>268882.75974483433</v>
      </c>
      <c r="AP69" s="16">
        <f t="shared" si="50"/>
        <v>365154.16927296907</v>
      </c>
      <c r="AQ69" s="16">
        <f t="shared" si="51"/>
        <v>1014695.0880943253</v>
      </c>
      <c r="AR69" s="16">
        <f t="shared" si="14"/>
        <v>2099107.489685616</v>
      </c>
      <c r="AV69" s="16">
        <v>64</v>
      </c>
      <c r="AW69" s="16">
        <f>盗宝贼掉落!AI68</f>
        <v>69020.286482680705</v>
      </c>
      <c r="AX69" s="16">
        <f>盗宝贼掉落!AJ68</f>
        <v>87181.853492261595</v>
      </c>
      <c r="AY69" s="16">
        <f>盗宝贼掉落!AK68</f>
        <v>97047.04572472701</v>
      </c>
      <c r="AZ69" s="16">
        <f>盗宝贼掉落!AL68</f>
        <v>80887.541465901813</v>
      </c>
      <c r="BA69" s="16">
        <f>盗宝贼掉落!AM68</f>
        <v>45009.997532603629</v>
      </c>
      <c r="BC69" s="16">
        <f>盗宝贼掉落!AI68/AW69</f>
        <v>1</v>
      </c>
      <c r="BG69" s="41">
        <f t="shared" si="15"/>
        <v>0.26372316915031513</v>
      </c>
      <c r="BH69" s="41">
        <f t="shared" si="16"/>
        <v>0.32423742442615455</v>
      </c>
      <c r="BI69" s="41">
        <f t="shared" si="17"/>
        <v>0.26577006067861708</v>
      </c>
      <c r="BJ69" s="41">
        <f t="shared" si="18"/>
        <v>7.9716106261847372E-2</v>
      </c>
      <c r="BK69" s="41">
        <f t="shared" si="19"/>
        <v>2.1442445302953396E-2</v>
      </c>
      <c r="BR69" s="16">
        <v>14</v>
      </c>
      <c r="BS69" s="17">
        <f>基础状态预期!C80</f>
        <v>115</v>
      </c>
      <c r="BT69" s="17">
        <f>求节点($E$5:$E$10,F$5:F$10,基础状态预期!M80)</f>
        <v>6</v>
      </c>
      <c r="BU69" s="17">
        <f>求节点($E$5:$E$10,G$5:G$10,基础状态预期!N80)</f>
        <v>32</v>
      </c>
      <c r="BV69" s="17">
        <f>求节点($E$5:$E$10,H$5:H$10,基础状态预期!O80)</f>
        <v>60</v>
      </c>
      <c r="BW69" s="17">
        <f>求节点($E$5:$E$10,I$5:I$10,基础状态预期!P80)</f>
        <v>72</v>
      </c>
      <c r="BX69" s="17">
        <f>MAX(SUMPRODUCT(BT69:BW69,基础状态预期!I80:L80)/6,BX68)</f>
        <v>72</v>
      </c>
      <c r="CA69" s="16">
        <v>64</v>
      </c>
      <c r="CB69" s="16">
        <f t="shared" si="20"/>
        <v>13.579354171401061</v>
      </c>
      <c r="CC69" s="16">
        <f t="shared" si="21"/>
        <v>12.263714419973539</v>
      </c>
      <c r="CD69" s="16">
        <f t="shared" si="22"/>
        <v>15.213672011279614</v>
      </c>
      <c r="CE69" s="16">
        <f t="shared" si="23"/>
        <v>27.739246020141486</v>
      </c>
      <c r="CF69" s="16">
        <f t="shared" si="24"/>
        <v>38.045163600716485</v>
      </c>
      <c r="CH69" s="16">
        <v>23</v>
      </c>
      <c r="CP69" s="16">
        <v>125</v>
      </c>
      <c r="CQ69" s="16">
        <v>0</v>
      </c>
    </row>
    <row r="70" spans="31:95">
      <c r="AE70" s="17">
        <f>基础状态预期!C81</f>
        <v>120</v>
      </c>
      <c r="AF70" s="64">
        <f>求节点(P$7:P$9,Z$6:Z$8,基础状态预期!Q81)*P$6</f>
        <v>0</v>
      </c>
      <c r="AG70" s="64">
        <f>求节点(Q$7:Q$9,AA$6:AA$8,基础状态预期!R81)*Q$6</f>
        <v>0</v>
      </c>
      <c r="AH70" s="64">
        <f>求节点(R$7:R$9,AB$6:AB$8,基础状态预期!S81)*R$6</f>
        <v>0</v>
      </c>
      <c r="AI70" s="64">
        <f>求节点(S$7:S$9,AC$6:AC$8,基础状态预期!T81)*S$6</f>
        <v>2350167.2409825884</v>
      </c>
      <c r="AJ70" s="17">
        <f>SUMPRODUCT(AF70:AI70,基础状态预期!I81:L81)</f>
        <v>14101003.44589553</v>
      </c>
      <c r="AM70" s="16">
        <v>65</v>
      </c>
      <c r="AN70" s="16">
        <f t="shared" si="10"/>
        <v>271532.43927408883</v>
      </c>
      <c r="AO70" s="16">
        <f t="shared" si="49"/>
        <v>279890.70710609958</v>
      </c>
      <c r="AP70" s="16">
        <f t="shared" si="50"/>
        <v>384859.23477121361</v>
      </c>
      <c r="AQ70" s="16">
        <f t="shared" si="51"/>
        <v>1086555.050208366</v>
      </c>
      <c r="AR70" s="16">
        <f t="shared" si="14"/>
        <v>2255352.6905620098</v>
      </c>
      <c r="AV70" s="16">
        <v>65</v>
      </c>
      <c r="AW70" s="16">
        <f>盗宝贼掉落!AI69</f>
        <v>75596.798458841222</v>
      </c>
      <c r="AX70" s="16">
        <f>盗宝贼掉落!AJ69</f>
        <v>95478.302936615801</v>
      </c>
      <c r="AY70" s="16">
        <f>盗宝贼掉落!AK69</f>
        <v>106571.38058104516</v>
      </c>
      <c r="AZ70" s="16">
        <f>盗宝贼掉落!AL69</f>
        <v>88689.304937152076</v>
      </c>
      <c r="BA70" s="16">
        <f>盗宝贼掉落!AM69</f>
        <v>49022.770608928942</v>
      </c>
      <c r="BC70" s="16">
        <f>盗宝贼掉落!AI69/AW70</f>
        <v>1</v>
      </c>
      <c r="BG70" s="41">
        <f t="shared" si="15"/>
        <v>0.27840798197423733</v>
      </c>
      <c r="BH70" s="41">
        <f t="shared" si="16"/>
        <v>0.34112709179880829</v>
      </c>
      <c r="BI70" s="41">
        <f t="shared" si="17"/>
        <v>0.27691002567314882</v>
      </c>
      <c r="BJ70" s="41">
        <f t="shared" si="18"/>
        <v>8.1624308791482164E-2</v>
      </c>
      <c r="BK70" s="41">
        <f t="shared" si="19"/>
        <v>2.1736188230814132E-2</v>
      </c>
      <c r="BR70" s="16">
        <v>15</v>
      </c>
      <c r="BS70" s="17">
        <f>基础状态预期!C81</f>
        <v>120</v>
      </c>
      <c r="BT70" s="17">
        <f>求节点($E$5:$E$10,F$5:F$10,基础状态预期!M81)</f>
        <v>6</v>
      </c>
      <c r="BU70" s="17">
        <f>求节点($E$5:$E$10,G$5:G$10,基础状态预期!N81)</f>
        <v>32</v>
      </c>
      <c r="BV70" s="17">
        <f>求节点($E$5:$E$10,H$5:H$10,基础状态预期!O81)</f>
        <v>60</v>
      </c>
      <c r="BW70" s="17">
        <f>求节点($E$5:$E$10,I$5:I$10,基础状态预期!P81)</f>
        <v>72</v>
      </c>
      <c r="BX70" s="17">
        <f>MAX(SUMPRODUCT(BT70:BW70,基础状态预期!I81:L81)/6,BX69)</f>
        <v>72</v>
      </c>
      <c r="CA70" s="16">
        <v>65</v>
      </c>
      <c r="CB70" s="16">
        <f t="shared" si="20"/>
        <v>14.042280087041425</v>
      </c>
      <c r="CC70" s="16">
        <f t="shared" si="21"/>
        <v>12.656474081362486</v>
      </c>
      <c r="CD70" s="16">
        <f t="shared" si="22"/>
        <v>15.701135865250055</v>
      </c>
      <c r="CE70" s="16">
        <f t="shared" si="23"/>
        <v>28.587366786546475</v>
      </c>
      <c r="CF70" s="16">
        <f t="shared" si="24"/>
        <v>39.12363806467441</v>
      </c>
      <c r="CH70" s="16">
        <v>24</v>
      </c>
      <c r="CP70" s="16">
        <v>130</v>
      </c>
      <c r="CQ70" s="16">
        <v>0</v>
      </c>
    </row>
    <row r="71" spans="31:95">
      <c r="AE71" s="17">
        <f>基础状态预期!C82</f>
        <v>125</v>
      </c>
      <c r="AF71" s="64">
        <f>求节点(P$7:P$9,Z$6:Z$8,基础状态预期!Q82)*P$6</f>
        <v>0</v>
      </c>
      <c r="AG71" s="64">
        <f>求节点(Q$7:Q$9,AA$6:AA$8,基础状态预期!R82)*Q$6</f>
        <v>0</v>
      </c>
      <c r="AH71" s="64">
        <f>求节点(R$7:R$9,AB$6:AB$8,基础状态预期!S82)*R$6</f>
        <v>0</v>
      </c>
      <c r="AI71" s="64">
        <f>求节点(S$7:S$9,AC$6:AC$8,基础状态预期!T82)*S$6</f>
        <v>2350167.2409825884</v>
      </c>
      <c r="AJ71" s="17">
        <f>SUMPRODUCT(AF71:AI71,基础状态预期!I82:L82)</f>
        <v>14101003.44589553</v>
      </c>
      <c r="AM71" s="16">
        <v>66</v>
      </c>
      <c r="AN71" s="16">
        <f t="shared" ref="AN71:AN134" si="65">求节点($AE$6:$AE$26,$AJ$6:$AJ$26,$AM71)</f>
        <v>281349.96474270534</v>
      </c>
      <c r="AO71" s="16">
        <f t="shared" ref="AO71:AO102" si="66">求节点($AE$32:$AE$52,$AJ$32:$AJ$52,$AM71)</f>
        <v>290898.65446736483</v>
      </c>
      <c r="AP71" s="16">
        <f t="shared" ref="AP71:AP102" si="67">求节点($AE$58:$AE$78,$AJ$58:$AJ$78,$AM71)</f>
        <v>404564.30026945809</v>
      </c>
      <c r="AQ71" s="16">
        <f t="shared" ref="AQ71:AQ102" si="68">求节点($AE$84:$AE$104,$AJ$84:$AJ$104,$AM71)</f>
        <v>1158415.012322407</v>
      </c>
      <c r="AR71" s="16">
        <f t="shared" ref="AR71:AR134" si="69">求节点($AE$110:$AE$130,$AJ$110:$AJ$130,$AM71)</f>
        <v>2411597.8914384041</v>
      </c>
      <c r="AV71" s="16">
        <v>66</v>
      </c>
      <c r="AW71" s="16">
        <f>盗宝贼掉落!AI70</f>
        <v>82835.830309107041</v>
      </c>
      <c r="AX71" s="16">
        <f>盗宝贼掉落!AJ70</f>
        <v>104734.13303295834</v>
      </c>
      <c r="AY71" s="16">
        <f>盗宝贼掉落!AK70</f>
        <v>116906.1563784301</v>
      </c>
      <c r="AZ71" s="16">
        <f>盗宝贼掉落!AL70</f>
        <v>96756.562661822099</v>
      </c>
      <c r="BA71" s="16">
        <f>盗宝贼掉落!AM70</f>
        <v>53658.03843177724</v>
      </c>
      <c r="BC71" s="16">
        <f>盗宝贼掉落!AI70/AW71</f>
        <v>1</v>
      </c>
      <c r="BG71" s="41">
        <f t="shared" ref="BG71:BG134" si="70">AW71/AN71</f>
        <v>0.29442274991880818</v>
      </c>
      <c r="BH71" s="41">
        <f t="shared" ref="BH71:BH134" si="71">AX71/AO71</f>
        <v>0.36003649870683124</v>
      </c>
      <c r="BI71" s="41">
        <f t="shared" ref="BI71:BI134" si="72">AY71/AP71</f>
        <v>0.28896804859095404</v>
      </c>
      <c r="BJ71" s="41">
        <f t="shared" ref="BJ71:BJ134" si="73">AZ71/AQ71</f>
        <v>8.3524955765070033E-2</v>
      </c>
      <c r="BK71" s="41">
        <f t="shared" ref="BK71:BK134" si="74">BA71/AR71</f>
        <v>2.224999392405869E-2</v>
      </c>
      <c r="BR71" s="16">
        <v>16</v>
      </c>
      <c r="BS71" s="17">
        <f>基础状态预期!C82</f>
        <v>125</v>
      </c>
      <c r="BT71" s="17">
        <f>求节点($E$5:$E$10,F$5:F$10,基础状态预期!M82)</f>
        <v>6</v>
      </c>
      <c r="BU71" s="17">
        <f>求节点($E$5:$E$10,G$5:G$10,基础状态预期!N82)</f>
        <v>32</v>
      </c>
      <c r="BV71" s="17">
        <f>求节点($E$5:$E$10,H$5:H$10,基础状态预期!O82)</f>
        <v>60</v>
      </c>
      <c r="BW71" s="17">
        <f>求节点($E$5:$E$10,I$5:I$10,基础状态预期!P82)</f>
        <v>72</v>
      </c>
      <c r="BX71" s="17">
        <f>MAX(SUMPRODUCT(BT71:BW71,基础状态预期!I82:L82)/6,BX70)</f>
        <v>72</v>
      </c>
      <c r="CA71" s="16">
        <v>66</v>
      </c>
      <c r="CB71" s="16">
        <f t="shared" ref="CB71:CB134" si="75">求节点($BS$6:$BS$26,$BX$6:$BX$26,$CA71)</f>
        <v>14.505206002681788</v>
      </c>
      <c r="CC71" s="16">
        <f t="shared" ref="CC71:CC134" si="76">求节点($BS$32:$BS$52,$BX$32:$BX$52,$CA71)</f>
        <v>13.049233742751433</v>
      </c>
      <c r="CD71" s="16">
        <f t="shared" ref="CD71:CD134" si="77">求节点($BS$58:$BS$78,$BX$58:$BX$78,$CA71)</f>
        <v>16.188599719220498</v>
      </c>
      <c r="CE71" s="16">
        <f t="shared" ref="CE71:CE134" si="78">求节点($BS$84:$BS$104,$BX$84:$BX$104,$CA71)</f>
        <v>29.435487552951468</v>
      </c>
      <c r="CF71" s="16">
        <f t="shared" ref="CF71:CF134" si="79">求节点($BS$110:$BS$130,$BX$110:$BX$130,$CA71)</f>
        <v>40.202112528632341</v>
      </c>
      <c r="CH71" s="16">
        <v>25</v>
      </c>
      <c r="CP71" s="16">
        <v>135</v>
      </c>
      <c r="CQ71" s="16">
        <v>0</v>
      </c>
    </row>
    <row r="72" spans="31:95">
      <c r="AE72" s="17">
        <f>基础状态预期!C83</f>
        <v>130</v>
      </c>
      <c r="AF72" s="64">
        <f>求节点(P$7:P$9,Z$6:Z$8,基础状态预期!Q83)*P$6</f>
        <v>0</v>
      </c>
      <c r="AG72" s="64">
        <f>求节点(Q$7:Q$9,AA$6:AA$8,基础状态预期!R83)*Q$6</f>
        <v>0</v>
      </c>
      <c r="AH72" s="64">
        <f>求节点(R$7:R$9,AB$6:AB$8,基础状态预期!S83)*R$6</f>
        <v>0</v>
      </c>
      <c r="AI72" s="64">
        <f>求节点(S$7:S$9,AC$6:AC$8,基础状态预期!T83)*S$6</f>
        <v>2350167.2409825884</v>
      </c>
      <c r="AJ72" s="17">
        <f>SUMPRODUCT(AF72:AI72,基础状态预期!I83:L83)</f>
        <v>14101003.44589553</v>
      </c>
      <c r="AM72" s="16">
        <v>67</v>
      </c>
      <c r="AN72" s="16">
        <f t="shared" si="65"/>
        <v>291167.49021132191</v>
      </c>
      <c r="AO72" s="16">
        <f t="shared" si="66"/>
        <v>301906.60182863008</v>
      </c>
      <c r="AP72" s="16">
        <f t="shared" si="67"/>
        <v>424269.36576770258</v>
      </c>
      <c r="AQ72" s="16">
        <f t="shared" si="68"/>
        <v>1230274.974436448</v>
      </c>
      <c r="AR72" s="16">
        <f t="shared" si="69"/>
        <v>2567843.0923147979</v>
      </c>
      <c r="AV72" s="16">
        <v>67</v>
      </c>
      <c r="AW72" s="16">
        <f>盗宝贼掉落!AI71</f>
        <v>90798.606283613</v>
      </c>
      <c r="AX72" s="16">
        <f>盗宝贼掉落!AJ71</f>
        <v>114923.54502467951</v>
      </c>
      <c r="AY72" s="16">
        <f>盗宝贼掉落!AK71</f>
        <v>127771.20965871066</v>
      </c>
      <c r="AZ72" s="16">
        <f>盗宝贼掉落!AL71</f>
        <v>105624.31312039895</v>
      </c>
      <c r="BA72" s="16">
        <f>盗宝贼掉落!AM71</f>
        <v>58645.853099006694</v>
      </c>
      <c r="BC72" s="16">
        <f>盗宝贼掉落!AI71/AW72</f>
        <v>1</v>
      </c>
      <c r="BG72" s="41">
        <f t="shared" si="70"/>
        <v>0.31184321511207758</v>
      </c>
      <c r="BH72" s="41">
        <f t="shared" si="71"/>
        <v>0.38065926458247196</v>
      </c>
      <c r="BI72" s="41">
        <f t="shared" si="72"/>
        <v>0.30115586928486465</v>
      </c>
      <c r="BJ72" s="41">
        <f t="shared" si="73"/>
        <v>8.585423203360068E-2</v>
      </c>
      <c r="BK72" s="41">
        <f t="shared" si="74"/>
        <v>2.2838565671915736E-2</v>
      </c>
      <c r="BR72" s="16">
        <v>17</v>
      </c>
      <c r="BS72" s="17">
        <f>基础状态预期!C83</f>
        <v>130</v>
      </c>
      <c r="BT72" s="17">
        <f>求节点($E$5:$E$10,F$5:F$10,基础状态预期!M83)</f>
        <v>6</v>
      </c>
      <c r="BU72" s="17">
        <f>求节点($E$5:$E$10,G$5:G$10,基础状态预期!N83)</f>
        <v>32</v>
      </c>
      <c r="BV72" s="17">
        <f>求节点($E$5:$E$10,H$5:H$10,基础状态预期!O83)</f>
        <v>60</v>
      </c>
      <c r="BW72" s="17">
        <f>求节点($E$5:$E$10,I$5:I$10,基础状态预期!P83)</f>
        <v>72</v>
      </c>
      <c r="BX72" s="17">
        <f>MAX(SUMPRODUCT(BT72:BW72,基础状态预期!I83:L83)/6,BX71)</f>
        <v>72</v>
      </c>
      <c r="CA72" s="16">
        <v>67</v>
      </c>
      <c r="CB72" s="16">
        <f t="shared" si="75"/>
        <v>14.968131918322154</v>
      </c>
      <c r="CC72" s="16">
        <f t="shared" si="76"/>
        <v>13.441993404140382</v>
      </c>
      <c r="CD72" s="16">
        <f t="shared" si="77"/>
        <v>16.676063573190937</v>
      </c>
      <c r="CE72" s="16">
        <f t="shared" si="78"/>
        <v>30.283608319356457</v>
      </c>
      <c r="CF72" s="16">
        <f t="shared" si="79"/>
        <v>41.280586992590273</v>
      </c>
      <c r="CH72" s="16">
        <v>26</v>
      </c>
      <c r="CP72" s="16">
        <v>140</v>
      </c>
      <c r="CQ72" s="16">
        <v>0</v>
      </c>
    </row>
    <row r="73" spans="31:95">
      <c r="AE73" s="17">
        <f>基础状态预期!C84</f>
        <v>135</v>
      </c>
      <c r="AF73" s="64">
        <f>求节点(P$7:P$9,Z$6:Z$8,基础状态预期!Q84)*P$6</f>
        <v>0</v>
      </c>
      <c r="AG73" s="64">
        <f>求节点(Q$7:Q$9,AA$6:AA$8,基础状态预期!R84)*Q$6</f>
        <v>0</v>
      </c>
      <c r="AH73" s="64">
        <f>求节点(R$7:R$9,AB$6:AB$8,基础状态预期!S84)*R$6</f>
        <v>0</v>
      </c>
      <c r="AI73" s="64">
        <f>求节点(S$7:S$9,AC$6:AC$8,基础状态预期!T84)*S$6</f>
        <v>2350167.2409825884</v>
      </c>
      <c r="AJ73" s="17">
        <f>SUMPRODUCT(AF73:AI73,基础状态预期!I84:L84)</f>
        <v>14101003.44589553</v>
      </c>
      <c r="AM73" s="16">
        <v>68</v>
      </c>
      <c r="AN73" s="16">
        <f t="shared" si="65"/>
        <v>300985.01567993843</v>
      </c>
      <c r="AO73" s="16">
        <f t="shared" si="66"/>
        <v>312914.54918989539</v>
      </c>
      <c r="AP73" s="16">
        <f t="shared" si="67"/>
        <v>443974.43126594712</v>
      </c>
      <c r="AQ73" s="16">
        <f t="shared" si="68"/>
        <v>1302134.9365504887</v>
      </c>
      <c r="AR73" s="16">
        <f t="shared" si="69"/>
        <v>2724088.2931911917</v>
      </c>
      <c r="AV73" s="16">
        <v>68</v>
      </c>
      <c r="AW73" s="16">
        <f>盗宝贼掉落!AI72</f>
        <v>99551.726260635667</v>
      </c>
      <c r="AX73" s="16">
        <f>盗宝贼掉落!AJ72</f>
        <v>125793.7087890727</v>
      </c>
      <c r="AY73" s="16">
        <f>盗宝贼掉落!AK72</f>
        <v>139276.69372697663</v>
      </c>
      <c r="AZ73" s="16">
        <f>盗宝贼掉落!AL72</f>
        <v>115570.62776751736</v>
      </c>
      <c r="BA73" s="16">
        <f>盗宝贼掉落!AM72</f>
        <v>64056.871829682656</v>
      </c>
      <c r="BC73" s="16">
        <f>盗宝贼掉落!AI72/AW73</f>
        <v>1</v>
      </c>
      <c r="BG73" s="41">
        <f t="shared" si="70"/>
        <v>0.33075309757777782</v>
      </c>
      <c r="BH73" s="41">
        <f t="shared" si="71"/>
        <v>0.40200658331400724</v>
      </c>
      <c r="BI73" s="41">
        <f t="shared" si="72"/>
        <v>0.31370431249800479</v>
      </c>
      <c r="BJ73" s="41">
        <f t="shared" si="73"/>
        <v>8.8754724662927623E-2</v>
      </c>
      <c r="BK73" s="41">
        <f t="shared" si="74"/>
        <v>2.3514976364676438E-2</v>
      </c>
      <c r="BR73" s="16">
        <v>18</v>
      </c>
      <c r="BS73" s="17">
        <f>基础状态预期!C84</f>
        <v>135</v>
      </c>
      <c r="BT73" s="17">
        <f>求节点($E$5:$E$10,F$5:F$10,基础状态预期!M84)</f>
        <v>6</v>
      </c>
      <c r="BU73" s="17">
        <f>求节点($E$5:$E$10,G$5:G$10,基础状态预期!N84)</f>
        <v>32</v>
      </c>
      <c r="BV73" s="17">
        <f>求节点($E$5:$E$10,H$5:H$10,基础状态预期!O84)</f>
        <v>60</v>
      </c>
      <c r="BW73" s="17">
        <f>求节点($E$5:$E$10,I$5:I$10,基础状态预期!P84)</f>
        <v>72</v>
      </c>
      <c r="BX73" s="17">
        <f>MAX(SUMPRODUCT(BT73:BW73,基础状态预期!I84:L84)/6,BX72)</f>
        <v>72</v>
      </c>
      <c r="CA73" s="16">
        <v>68</v>
      </c>
      <c r="CB73" s="16">
        <f t="shared" si="75"/>
        <v>15.431057833962518</v>
      </c>
      <c r="CC73" s="16">
        <f t="shared" si="76"/>
        <v>13.834753065529329</v>
      </c>
      <c r="CD73" s="16">
        <f t="shared" si="77"/>
        <v>17.16352742716138</v>
      </c>
      <c r="CE73" s="16">
        <f t="shared" si="78"/>
        <v>31.131729085761449</v>
      </c>
      <c r="CF73" s="16">
        <f t="shared" si="79"/>
        <v>42.359061456548204</v>
      </c>
      <c r="CH73" s="16">
        <v>27</v>
      </c>
      <c r="CP73" s="16">
        <v>145</v>
      </c>
      <c r="CQ73" s="16">
        <v>0</v>
      </c>
    </row>
    <row r="74" spans="31:95">
      <c r="AE74" s="17">
        <f>基础状态预期!C85</f>
        <v>140</v>
      </c>
      <c r="AF74" s="64">
        <f>求节点(P$7:P$9,Z$6:Z$8,基础状态预期!Q85)*P$6</f>
        <v>0</v>
      </c>
      <c r="AG74" s="64">
        <f>求节点(Q$7:Q$9,AA$6:AA$8,基础状态预期!R85)*Q$6</f>
        <v>0</v>
      </c>
      <c r="AH74" s="64">
        <f>求节点(R$7:R$9,AB$6:AB$8,基础状态预期!S85)*R$6</f>
        <v>0</v>
      </c>
      <c r="AI74" s="64">
        <f>求节点(S$7:S$9,AC$6:AC$8,基础状态预期!T85)*S$6</f>
        <v>2350167.2409825884</v>
      </c>
      <c r="AJ74" s="17">
        <f>SUMPRODUCT(AF74:AI74,基础状态预期!I85:L85)</f>
        <v>14101003.44589553</v>
      </c>
      <c r="AM74" s="16">
        <v>69</v>
      </c>
      <c r="AN74" s="16">
        <f t="shared" si="65"/>
        <v>310802.541148555</v>
      </c>
      <c r="AO74" s="16">
        <f t="shared" si="66"/>
        <v>323922.49655116064</v>
      </c>
      <c r="AP74" s="16">
        <f t="shared" si="67"/>
        <v>463679.49676419166</v>
      </c>
      <c r="AQ74" s="16">
        <f t="shared" si="68"/>
        <v>1373994.8986645297</v>
      </c>
      <c r="AR74" s="16">
        <f t="shared" si="69"/>
        <v>2880333.494067586</v>
      </c>
      <c r="AV74" s="16">
        <v>69</v>
      </c>
      <c r="AW74" s="16">
        <f>盗宝贼掉落!AI73</f>
        <v>109167.62200904905</v>
      </c>
      <c r="AX74" s="16">
        <f>盗宝贼掉落!AJ73</f>
        <v>137491.64379185656</v>
      </c>
      <c r="AY74" s="16">
        <f>盗宝贼掉落!AK73</f>
        <v>152699.87797714808</v>
      </c>
      <c r="AZ74" s="16">
        <f>盗宝贼掉落!AL73</f>
        <v>126669.07354737508</v>
      </c>
      <c r="BA74" s="16">
        <f>盗宝贼掉落!AM73</f>
        <v>69981.690743941523</v>
      </c>
      <c r="BC74" s="16">
        <f>盗宝贼掉落!AI73/AW74</f>
        <v>1</v>
      </c>
      <c r="BG74" s="41">
        <f t="shared" si="70"/>
        <v>0.35124430323389783</v>
      </c>
      <c r="BH74" s="41">
        <f t="shared" si="71"/>
        <v>0.42445845921708308</v>
      </c>
      <c r="BI74" s="41">
        <f t="shared" si="72"/>
        <v>0.32932204042398056</v>
      </c>
      <c r="BJ74" s="41">
        <f t="shared" si="73"/>
        <v>9.2190352140675752E-2</v>
      </c>
      <c r="BK74" s="41">
        <f t="shared" si="74"/>
        <v>2.4296384737419376E-2</v>
      </c>
      <c r="BR74" s="16">
        <v>19</v>
      </c>
      <c r="BS74" s="17">
        <f>基础状态预期!C85</f>
        <v>140</v>
      </c>
      <c r="BT74" s="17">
        <f>求节点($E$5:$E$10,F$5:F$10,基础状态预期!M85)</f>
        <v>6</v>
      </c>
      <c r="BU74" s="17">
        <f>求节点($E$5:$E$10,G$5:G$10,基础状态预期!N85)</f>
        <v>32</v>
      </c>
      <c r="BV74" s="17">
        <f>求节点($E$5:$E$10,H$5:H$10,基础状态预期!O85)</f>
        <v>60</v>
      </c>
      <c r="BW74" s="17">
        <f>求节点($E$5:$E$10,I$5:I$10,基础状态预期!P85)</f>
        <v>72</v>
      </c>
      <c r="BX74" s="17">
        <f>MAX(SUMPRODUCT(BT74:BW74,基础状态预期!I85:L85)/6,BX73)</f>
        <v>72</v>
      </c>
      <c r="CA74" s="16">
        <v>69</v>
      </c>
      <c r="CB74" s="16">
        <f t="shared" si="75"/>
        <v>15.893983749602882</v>
      </c>
      <c r="CC74" s="16">
        <f t="shared" si="76"/>
        <v>14.227512726918276</v>
      </c>
      <c r="CD74" s="16">
        <f t="shared" si="77"/>
        <v>17.650991281131823</v>
      </c>
      <c r="CE74" s="16">
        <f t="shared" si="78"/>
        <v>31.979849852166438</v>
      </c>
      <c r="CF74" s="16">
        <f t="shared" si="79"/>
        <v>43.437535920506136</v>
      </c>
      <c r="CH74" s="16">
        <v>28</v>
      </c>
      <c r="CP74" s="16">
        <v>150</v>
      </c>
      <c r="CQ74" s="16">
        <v>0</v>
      </c>
    </row>
    <row r="75" spans="31:95">
      <c r="AE75" s="17">
        <f>基础状态预期!C86</f>
        <v>145</v>
      </c>
      <c r="AF75" s="64">
        <f>求节点(P$7:P$9,Z$6:Z$8,基础状态预期!Q86)*P$6</f>
        <v>0</v>
      </c>
      <c r="AG75" s="64">
        <f>求节点(Q$7:Q$9,AA$6:AA$8,基础状态预期!R86)*Q$6</f>
        <v>0</v>
      </c>
      <c r="AH75" s="64">
        <f>求节点(R$7:R$9,AB$6:AB$8,基础状态预期!S86)*R$6</f>
        <v>0</v>
      </c>
      <c r="AI75" s="64">
        <f>求节点(S$7:S$9,AC$6:AC$8,基础状态预期!T86)*S$6</f>
        <v>2350167.2409825884</v>
      </c>
      <c r="AJ75" s="17">
        <f>SUMPRODUCT(AF75:AI75,基础状态预期!I86:L86)</f>
        <v>14101003.44589553</v>
      </c>
      <c r="AM75" s="16">
        <v>70</v>
      </c>
      <c r="AN75" s="16">
        <f t="shared" si="65"/>
        <v>320620.06661717151</v>
      </c>
      <c r="AO75" s="16">
        <f t="shared" si="66"/>
        <v>334930.44391242589</v>
      </c>
      <c r="AP75" s="16">
        <f t="shared" si="67"/>
        <v>483384.56226243614</v>
      </c>
      <c r="AQ75" s="16">
        <f t="shared" si="68"/>
        <v>1445854.8607785706</v>
      </c>
      <c r="AR75" s="16">
        <f t="shared" si="69"/>
        <v>3036578.6949439798</v>
      </c>
      <c r="AV75" s="16">
        <v>70</v>
      </c>
      <c r="AW75" s="16">
        <f>盗宝贼掉落!AI74</f>
        <v>119725.05125368154</v>
      </c>
      <c r="AX75" s="16">
        <f>盗宝贼掉落!AJ74</f>
        <v>150870.43191105899</v>
      </c>
      <c r="AY75" s="16">
        <f>盗宝贼掉落!AK74</f>
        <v>167835.44186307603</v>
      </c>
      <c r="AZ75" s="16">
        <f>盗宝贼掉落!AL74</f>
        <v>138777.01566547595</v>
      </c>
      <c r="BA75" s="16">
        <f>盗宝贼掉落!AM74</f>
        <v>76710.351011287174</v>
      </c>
      <c r="BC75" s="16">
        <f>盗宝贼掉落!AI74/AW75</f>
        <v>1</v>
      </c>
      <c r="BG75" s="41">
        <f t="shared" si="70"/>
        <v>0.37341721158281799</v>
      </c>
      <c r="BH75" s="41">
        <f t="shared" si="71"/>
        <v>0.45045302585424873</v>
      </c>
      <c r="BI75" s="41">
        <f t="shared" si="72"/>
        <v>0.34720894080178727</v>
      </c>
      <c r="BJ75" s="41">
        <f t="shared" si="73"/>
        <v>9.5982673939171634E-2</v>
      </c>
      <c r="BK75" s="41">
        <f t="shared" si="74"/>
        <v>2.5262098801856463E-2</v>
      </c>
      <c r="BR75" s="16">
        <v>20</v>
      </c>
      <c r="BS75" s="17">
        <f>基础状态预期!C86</f>
        <v>145</v>
      </c>
      <c r="BT75" s="17">
        <f>求节点($E$5:$E$10,F$5:F$10,基础状态预期!M86)</f>
        <v>6</v>
      </c>
      <c r="BU75" s="17">
        <f>求节点($E$5:$E$10,G$5:G$10,基础状态预期!N86)</f>
        <v>32</v>
      </c>
      <c r="BV75" s="17">
        <f>求节点($E$5:$E$10,H$5:H$10,基础状态预期!O86)</f>
        <v>60</v>
      </c>
      <c r="BW75" s="17">
        <f>求节点($E$5:$E$10,I$5:I$10,基础状态预期!P86)</f>
        <v>72</v>
      </c>
      <c r="BX75" s="17">
        <f>MAX(SUMPRODUCT(BT75:BW75,基础状态预期!I86:L86)/6,BX74)</f>
        <v>72</v>
      </c>
      <c r="CA75" s="16">
        <v>70</v>
      </c>
      <c r="CB75" s="16">
        <f t="shared" si="75"/>
        <v>16.356909665243247</v>
      </c>
      <c r="CC75" s="16">
        <f t="shared" si="76"/>
        <v>14.620272388307223</v>
      </c>
      <c r="CD75" s="16">
        <f t="shared" si="77"/>
        <v>18.138455135102262</v>
      </c>
      <c r="CE75" s="16">
        <f t="shared" si="78"/>
        <v>32.827970618571428</v>
      </c>
      <c r="CF75" s="16">
        <f t="shared" si="79"/>
        <v>44.516010384464067</v>
      </c>
      <c r="CH75" s="16">
        <v>29</v>
      </c>
      <c r="CP75" s="16">
        <v>155</v>
      </c>
      <c r="CQ75" s="16">
        <v>0</v>
      </c>
    </row>
    <row r="76" spans="31:95">
      <c r="AE76" s="17">
        <f>基础状态预期!C87</f>
        <v>150</v>
      </c>
      <c r="AF76" s="64">
        <f>求节点(P$7:P$9,Z$6:Z$8,基础状态预期!Q87)*P$6</f>
        <v>0</v>
      </c>
      <c r="AG76" s="64">
        <f>求节点(Q$7:Q$9,AA$6:AA$8,基础状态预期!R87)*Q$6</f>
        <v>0</v>
      </c>
      <c r="AH76" s="64">
        <f>求节点(R$7:R$9,AB$6:AB$8,基础状态预期!S87)*R$6</f>
        <v>0</v>
      </c>
      <c r="AI76" s="64">
        <f>求节点(S$7:S$9,AC$6:AC$8,基础状态预期!T87)*S$6</f>
        <v>2350167.2409825884</v>
      </c>
      <c r="AJ76" s="17">
        <f>SUMPRODUCT(AF76:AI76,基础状态预期!I87:L87)</f>
        <v>14101003.44589553</v>
      </c>
      <c r="AM76" s="16">
        <v>71</v>
      </c>
      <c r="AN76" s="16">
        <f t="shared" si="65"/>
        <v>327819.86508506723</v>
      </c>
      <c r="AO76" s="16">
        <f t="shared" si="66"/>
        <v>342602.22006992821</v>
      </c>
      <c r="AP76" s="16">
        <f t="shared" si="67"/>
        <v>493051.30114914081</v>
      </c>
      <c r="AQ76" s="16">
        <f t="shared" si="68"/>
        <v>1531474.3134818624</v>
      </c>
      <c r="AR76" s="16">
        <f t="shared" si="69"/>
        <v>3019096.2954917592</v>
      </c>
      <c r="AV76" s="16">
        <v>71</v>
      </c>
      <c r="AW76" s="16">
        <f>盗宝贼掉落!AI75</f>
        <v>131309.63261965939</v>
      </c>
      <c r="AX76" s="16">
        <f>盗宝贼掉落!AJ75</f>
        <v>165681.03203938139</v>
      </c>
      <c r="AY76" s="16">
        <f>盗宝贼掉落!AK75</f>
        <v>183993.36616981274</v>
      </c>
      <c r="AZ76" s="16">
        <f>盗宝贼掉落!AL75</f>
        <v>152011.43896451351</v>
      </c>
      <c r="BA76" s="16">
        <f>盗宝贼掉落!AM75</f>
        <v>84126.879096643243</v>
      </c>
      <c r="BC76" s="16">
        <f>盗宝贼掉落!AI75/AW76</f>
        <v>1</v>
      </c>
      <c r="BG76" s="41">
        <f t="shared" si="70"/>
        <v>0.40055422689404546</v>
      </c>
      <c r="BH76" s="41">
        <f t="shared" si="71"/>
        <v>0.48359590899780042</v>
      </c>
      <c r="BI76" s="41">
        <f t="shared" si="72"/>
        <v>0.37317286404271638</v>
      </c>
      <c r="BJ76" s="41">
        <f t="shared" si="73"/>
        <v>9.9258236084227874E-2</v>
      </c>
      <c r="BK76" s="41">
        <f t="shared" si="74"/>
        <v>2.7864920778533964E-2</v>
      </c>
      <c r="BR76" s="16">
        <v>21</v>
      </c>
      <c r="BS76" s="17">
        <f>基础状态预期!C87</f>
        <v>150</v>
      </c>
      <c r="BT76" s="17">
        <f>求节点($E$5:$E$10,F$5:F$10,基础状态预期!M87)</f>
        <v>6</v>
      </c>
      <c r="BU76" s="17">
        <f>求节点($E$5:$E$10,G$5:G$10,基础状态预期!N87)</f>
        <v>32</v>
      </c>
      <c r="BV76" s="17">
        <f>求节点($E$5:$E$10,H$5:H$10,基础状态预期!O87)</f>
        <v>60</v>
      </c>
      <c r="BW76" s="17">
        <f>求节点($E$5:$E$10,I$5:I$10,基础状态预期!P87)</f>
        <v>72</v>
      </c>
      <c r="BX76" s="17">
        <f>MAX(SUMPRODUCT(BT76:BW76,基础状态预期!I87:L87)/6,BX75)</f>
        <v>72</v>
      </c>
      <c r="CA76" s="16">
        <v>71</v>
      </c>
      <c r="CB76" s="16">
        <f t="shared" si="75"/>
        <v>16.444161387558083</v>
      </c>
      <c r="CC76" s="16">
        <f t="shared" si="76"/>
        <v>14.620272388307223</v>
      </c>
      <c r="CD76" s="16">
        <f t="shared" si="77"/>
        <v>18.138455135102262</v>
      </c>
      <c r="CE76" s="16">
        <f t="shared" si="78"/>
        <v>33.07876736956031</v>
      </c>
      <c r="CF76" s="16">
        <f t="shared" si="79"/>
        <v>44.516010384464067</v>
      </c>
      <c r="CH76" s="16">
        <v>30</v>
      </c>
      <c r="CP76" s="16">
        <v>160</v>
      </c>
      <c r="CQ76" s="16">
        <v>0</v>
      </c>
    </row>
    <row r="77" spans="31:95">
      <c r="AE77" s="17">
        <f>基础状态预期!C88</f>
        <v>155</v>
      </c>
      <c r="AF77" s="64">
        <f>求节点(P$7:P$9,Z$6:Z$8,基础状态预期!Q88)*P$6</f>
        <v>0</v>
      </c>
      <c r="AG77" s="64">
        <f>求节点(Q$7:Q$9,AA$6:AA$8,基础状态预期!R88)*Q$6</f>
        <v>0</v>
      </c>
      <c r="AH77" s="64">
        <f>求节点(R$7:R$9,AB$6:AB$8,基础状态预期!S88)*R$6</f>
        <v>0</v>
      </c>
      <c r="AI77" s="64">
        <f>求节点(S$7:S$9,AC$6:AC$8,基础状态预期!T88)*S$6</f>
        <v>2350167.2409825884</v>
      </c>
      <c r="AJ77" s="17">
        <f>SUMPRODUCT(AF77:AI77,基础状态预期!I88:L88)</f>
        <v>14101003.44589553</v>
      </c>
      <c r="AM77" s="16">
        <v>72</v>
      </c>
      <c r="AN77" s="16">
        <f t="shared" si="65"/>
        <v>335019.66355296288</v>
      </c>
      <c r="AO77" s="16">
        <f t="shared" si="66"/>
        <v>350273.99622743053</v>
      </c>
      <c r="AP77" s="16">
        <f t="shared" si="67"/>
        <v>502718.04003584542</v>
      </c>
      <c r="AQ77" s="16">
        <f t="shared" si="68"/>
        <v>1617093.7661851542</v>
      </c>
      <c r="AR77" s="16">
        <f t="shared" si="69"/>
        <v>3001613.8960395386</v>
      </c>
      <c r="AV77" s="16">
        <v>72</v>
      </c>
      <c r="AW77" s="16">
        <f>盗宝贼掉落!AI76</f>
        <v>144014.42477864755</v>
      </c>
      <c r="AX77" s="16">
        <f>盗宝贼掉落!AJ76</f>
        <v>181746.59215923154</v>
      </c>
      <c r="AY77" s="16">
        <f>盗宝贼掉落!AK76</f>
        <v>201184.28081800204</v>
      </c>
      <c r="AZ77" s="16">
        <f>盗宝贼掉落!AL76</f>
        <v>166381.84343514231</v>
      </c>
      <c r="BA77" s="16">
        <f>盗宝贼掉落!AM76</f>
        <v>92131.134564793916</v>
      </c>
      <c r="BC77" s="16">
        <f>盗宝贼掉落!AI76/AW77</f>
        <v>1</v>
      </c>
      <c r="BG77" s="41">
        <f t="shared" si="70"/>
        <v>0.42986857323937483</v>
      </c>
      <c r="BH77" s="41">
        <f t="shared" si="71"/>
        <v>0.51886978227531544</v>
      </c>
      <c r="BI77" s="41">
        <f t="shared" si="72"/>
        <v>0.40019308000893888</v>
      </c>
      <c r="BJ77" s="41">
        <f t="shared" si="73"/>
        <v>0.10288942231695666</v>
      </c>
      <c r="BK77" s="41">
        <f t="shared" si="74"/>
        <v>3.0693865952031933E-2</v>
      </c>
      <c r="BR77" s="16">
        <v>22</v>
      </c>
      <c r="BS77" s="17">
        <f>基础状态预期!C88</f>
        <v>155</v>
      </c>
      <c r="BT77" s="17">
        <f>求节点($E$5:$E$10,F$5:F$10,基础状态预期!M88)</f>
        <v>6</v>
      </c>
      <c r="BU77" s="17">
        <f>求节点($E$5:$E$10,G$5:G$10,基础状态预期!N88)</f>
        <v>32</v>
      </c>
      <c r="BV77" s="17">
        <f>求节点($E$5:$E$10,H$5:H$10,基础状态预期!O88)</f>
        <v>60</v>
      </c>
      <c r="BW77" s="17">
        <f>求节点($E$5:$E$10,I$5:I$10,基础状态预期!P88)</f>
        <v>72</v>
      </c>
      <c r="BX77" s="17">
        <f>MAX(SUMPRODUCT(BT77:BW77,基础状态预期!I88:L88)/6,BX76)</f>
        <v>72</v>
      </c>
      <c r="CA77" s="16">
        <v>72</v>
      </c>
      <c r="CB77" s="16">
        <f t="shared" si="75"/>
        <v>16.531413109872918</v>
      </c>
      <c r="CC77" s="16">
        <f t="shared" si="76"/>
        <v>14.620272388307223</v>
      </c>
      <c r="CD77" s="16">
        <f t="shared" si="77"/>
        <v>18.138455135102262</v>
      </c>
      <c r="CE77" s="16">
        <f t="shared" si="78"/>
        <v>33.329564120549193</v>
      </c>
      <c r="CF77" s="16">
        <f t="shared" si="79"/>
        <v>44.516010384464067</v>
      </c>
      <c r="CH77" s="16">
        <v>31</v>
      </c>
    </row>
    <row r="78" spans="31:95">
      <c r="AE78" s="17">
        <f>基础状态预期!C89</f>
        <v>160</v>
      </c>
      <c r="AF78" s="64">
        <f>求节点(P$7:P$9,Z$6:Z$8,基础状态预期!Q89)*P$6</f>
        <v>0</v>
      </c>
      <c r="AG78" s="64">
        <f>求节点(Q$7:Q$9,AA$6:AA$8,基础状态预期!R89)*Q$6</f>
        <v>0</v>
      </c>
      <c r="AH78" s="64">
        <f>求节点(R$7:R$9,AB$6:AB$8,基础状态预期!S89)*R$6</f>
        <v>0</v>
      </c>
      <c r="AI78" s="64">
        <f>求节点(S$7:S$9,AC$6:AC$8,基础状态预期!T89)*S$6</f>
        <v>2350167.2409825884</v>
      </c>
      <c r="AJ78" s="17">
        <f>SUMPRODUCT(AF78:AI78,基础状态预期!I89:L89)</f>
        <v>14101003.44589553</v>
      </c>
      <c r="AM78" s="16">
        <v>73</v>
      </c>
      <c r="AN78" s="16">
        <f t="shared" si="65"/>
        <v>342219.4620208586</v>
      </c>
      <c r="AO78" s="16">
        <f t="shared" si="66"/>
        <v>357945.77238493285</v>
      </c>
      <c r="AP78" s="16">
        <f t="shared" si="67"/>
        <v>512384.77892255009</v>
      </c>
      <c r="AQ78" s="16">
        <f t="shared" si="68"/>
        <v>1702713.2188884462</v>
      </c>
      <c r="AR78" s="16">
        <f t="shared" si="69"/>
        <v>2984131.4965873179</v>
      </c>
      <c r="AV78" s="16">
        <v>73</v>
      </c>
      <c r="AW78" s="16">
        <f>盗宝贼掉落!AI77</f>
        <v>157940.55338630491</v>
      </c>
      <c r="AX78" s="16">
        <f>盗宝贼掉落!AJ77</f>
        <v>198726.57315025717</v>
      </c>
      <c r="AY78" s="16">
        <f>盗宝贼掉落!AK77</f>
        <v>220144.15043785248</v>
      </c>
      <c r="AZ78" s="16">
        <f>盗宝贼掉落!AL77</f>
        <v>182244.25297934309</v>
      </c>
      <c r="BA78" s="16">
        <f>盗宝贼掉落!AM77</f>
        <v>100938.56529404961</v>
      </c>
      <c r="BC78" s="16">
        <f>盗宝贼掉落!AI77/AW78</f>
        <v>1</v>
      </c>
      <c r="BG78" s="41">
        <f t="shared" si="70"/>
        <v>0.46151832643778246</v>
      </c>
      <c r="BH78" s="41">
        <f t="shared" si="71"/>
        <v>0.55518625580119363</v>
      </c>
      <c r="BI78" s="41">
        <f t="shared" si="72"/>
        <v>0.42964615557233121</v>
      </c>
      <c r="BJ78" s="41">
        <f t="shared" si="73"/>
        <v>0.10703167800524539</v>
      </c>
      <c r="BK78" s="41">
        <f t="shared" si="74"/>
        <v>3.382510636997195E-2</v>
      </c>
      <c r="BR78" s="16">
        <v>23</v>
      </c>
      <c r="BS78" s="17">
        <f>基础状态预期!C89</f>
        <v>160</v>
      </c>
      <c r="BT78" s="17">
        <f>求节点($E$5:$E$10,F$5:F$10,基础状态预期!M89)</f>
        <v>6</v>
      </c>
      <c r="BU78" s="17">
        <f>求节点($E$5:$E$10,G$5:G$10,基础状态预期!N89)</f>
        <v>32</v>
      </c>
      <c r="BV78" s="17">
        <f>求节点($E$5:$E$10,H$5:H$10,基础状态预期!O89)</f>
        <v>60</v>
      </c>
      <c r="BW78" s="17">
        <f>求节点($E$5:$E$10,I$5:I$10,基础状态预期!P89)</f>
        <v>72</v>
      </c>
      <c r="BX78" s="17">
        <f>MAX(SUMPRODUCT(BT78:BW78,基础状态预期!I89:L89)/6,BX77)</f>
        <v>72</v>
      </c>
      <c r="CA78" s="16">
        <v>73</v>
      </c>
      <c r="CB78" s="16">
        <f t="shared" si="75"/>
        <v>16.618664832187758</v>
      </c>
      <c r="CC78" s="16">
        <f t="shared" si="76"/>
        <v>14.620272388307223</v>
      </c>
      <c r="CD78" s="16">
        <f t="shared" si="77"/>
        <v>18.138455135102262</v>
      </c>
      <c r="CE78" s="16">
        <f t="shared" si="78"/>
        <v>33.580360871538069</v>
      </c>
      <c r="CF78" s="16">
        <f t="shared" si="79"/>
        <v>44.516010384464067</v>
      </c>
      <c r="CH78" s="16">
        <v>32</v>
      </c>
    </row>
    <row r="79" spans="31:95">
      <c r="AM79" s="16">
        <v>74</v>
      </c>
      <c r="AN79" s="16">
        <f t="shared" si="65"/>
        <v>349419.26048875425</v>
      </c>
      <c r="AO79" s="16">
        <f t="shared" si="66"/>
        <v>365617.54854243516</v>
      </c>
      <c r="AP79" s="16">
        <f t="shared" si="67"/>
        <v>522051.5178092547</v>
      </c>
      <c r="AQ79" s="16">
        <f t="shared" si="68"/>
        <v>1788332.671591738</v>
      </c>
      <c r="AR79" s="16">
        <f t="shared" si="69"/>
        <v>2966649.0971350973</v>
      </c>
      <c r="AV79" s="16">
        <v>74</v>
      </c>
      <c r="AW79" s="16">
        <f>盗宝贼掉落!AI78</f>
        <v>173197.88968780515</v>
      </c>
      <c r="AX79" s="16">
        <f>盗宝贼掉落!AJ78</f>
        <v>217878.73798504897</v>
      </c>
      <c r="AY79" s="16">
        <f>盗宝贼掉落!AK78</f>
        <v>241817.81556601523</v>
      </c>
      <c r="AZ79" s="16">
        <f>盗宝贼掉落!AL78</f>
        <v>200109.46132730099</v>
      </c>
      <c r="BA79" s="16">
        <f>盗宝贼掉落!AM78</f>
        <v>110881.86730740142</v>
      </c>
      <c r="BC79" s="16">
        <f>盗宝贼掉落!AI78/AW79</f>
        <v>1</v>
      </c>
      <c r="BG79" s="41">
        <f t="shared" si="70"/>
        <v>0.49567356260082107</v>
      </c>
      <c r="BH79" s="41">
        <f t="shared" si="71"/>
        <v>0.5959198043246029</v>
      </c>
      <c r="BI79" s="41">
        <f t="shared" si="72"/>
        <v>0.46320680491608063</v>
      </c>
      <c r="BJ79" s="41">
        <f t="shared" si="73"/>
        <v>0.11189722388127592</v>
      </c>
      <c r="BK79" s="41">
        <f t="shared" si="74"/>
        <v>3.7376131681525933E-2</v>
      </c>
      <c r="BR79" s="16">
        <v>24</v>
      </c>
      <c r="CA79" s="16">
        <v>74</v>
      </c>
      <c r="CB79" s="16">
        <f t="shared" si="75"/>
        <v>16.705916554502593</v>
      </c>
      <c r="CC79" s="16">
        <f t="shared" si="76"/>
        <v>14.620272388307223</v>
      </c>
      <c r="CD79" s="16">
        <f t="shared" si="77"/>
        <v>18.138455135102262</v>
      </c>
      <c r="CE79" s="16">
        <f t="shared" si="78"/>
        <v>33.831157622526952</v>
      </c>
      <c r="CF79" s="16">
        <f t="shared" si="79"/>
        <v>44.516010384464067</v>
      </c>
      <c r="CH79" s="16">
        <v>33</v>
      </c>
    </row>
    <row r="80" spans="31:95" ht="11.25" customHeight="1">
      <c r="AM80" s="16">
        <v>75</v>
      </c>
      <c r="AN80" s="16">
        <f t="shared" si="65"/>
        <v>356619.05895664997</v>
      </c>
      <c r="AO80" s="16">
        <f t="shared" si="66"/>
        <v>373289.32469993748</v>
      </c>
      <c r="AP80" s="16">
        <f t="shared" si="67"/>
        <v>531718.25669595937</v>
      </c>
      <c r="AQ80" s="16">
        <f t="shared" si="68"/>
        <v>1873952.1242950298</v>
      </c>
      <c r="AR80" s="16">
        <f t="shared" si="69"/>
        <v>2949166.6976828766</v>
      </c>
      <c r="AV80" s="16">
        <v>75</v>
      </c>
      <c r="AW80" s="16">
        <f>盗宝贼掉落!AI79</f>
        <v>189905.78497859128</v>
      </c>
      <c r="AX80" s="16">
        <f>盗宝贼掉落!AJ79</f>
        <v>239135.96775082935</v>
      </c>
      <c r="AY80" s="16">
        <f>盗宝贼掉落!AK79</f>
        <v>265480.48950362072</v>
      </c>
      <c r="AZ80" s="16">
        <f>盗宝贼掉落!AL79</f>
        <v>219688.21964921668</v>
      </c>
      <c r="BA80" s="16">
        <f>盗宝贼掉落!AM79</f>
        <v>121948.46686083968</v>
      </c>
      <c r="BC80" s="16">
        <f>盗宝贼掉落!AI79/AW80</f>
        <v>1</v>
      </c>
      <c r="BG80" s="41">
        <f t="shared" si="70"/>
        <v>0.5325172062710084</v>
      </c>
      <c r="BH80" s="41">
        <f t="shared" si="71"/>
        <v>0.64061828701652501</v>
      </c>
      <c r="BI80" s="41">
        <f t="shared" si="72"/>
        <v>0.49928789572373949</v>
      </c>
      <c r="BJ80" s="41">
        <f t="shared" si="73"/>
        <v>0.11723256789810581</v>
      </c>
      <c r="BK80" s="41">
        <f t="shared" si="74"/>
        <v>4.1350143739468187E-2</v>
      </c>
      <c r="BR80" s="16">
        <v>25</v>
      </c>
      <c r="CA80" s="16">
        <v>75</v>
      </c>
      <c r="CB80" s="16">
        <f t="shared" si="75"/>
        <v>16.793168276817429</v>
      </c>
      <c r="CC80" s="16">
        <f t="shared" si="76"/>
        <v>14.620272388307223</v>
      </c>
      <c r="CD80" s="16">
        <f t="shared" si="77"/>
        <v>18.138455135102262</v>
      </c>
      <c r="CE80" s="16">
        <f t="shared" si="78"/>
        <v>34.081954373515835</v>
      </c>
      <c r="CF80" s="16">
        <f t="shared" si="79"/>
        <v>44.516010384464067</v>
      </c>
      <c r="CH80" s="16">
        <v>34</v>
      </c>
      <c r="CP80" s="16" t="s">
        <v>257</v>
      </c>
      <c r="CQ80" s="174" t="s">
        <v>450</v>
      </c>
    </row>
    <row r="81" spans="31:100">
      <c r="AM81" s="16">
        <v>76</v>
      </c>
      <c r="AN81" s="16">
        <f t="shared" si="65"/>
        <v>357247.93125924951</v>
      </c>
      <c r="AO81" s="16">
        <f t="shared" si="66"/>
        <v>385303.33004806587</v>
      </c>
      <c r="AP81" s="16">
        <f t="shared" si="67"/>
        <v>550360.92858622223</v>
      </c>
      <c r="AQ81" s="16">
        <f t="shared" si="68"/>
        <v>2027418.3737237495</v>
      </c>
      <c r="AR81" s="16">
        <f t="shared" si="69"/>
        <v>3713435.6200201903</v>
      </c>
      <c r="AV81" s="16">
        <v>76</v>
      </c>
      <c r="AW81" s="16">
        <f>盗宝贼掉落!AI80</f>
        <v>208193.86544242073</v>
      </c>
      <c r="AX81" s="16">
        <f>盗宝贼掉落!AJ80</f>
        <v>262142.71743483431</v>
      </c>
      <c r="AY81" s="16">
        <f>盗宝贼掉落!AK80</f>
        <v>290919.22445938014</v>
      </c>
      <c r="AZ81" s="16">
        <f>盗宝贼掉落!AL80</f>
        <v>241195.98487630408</v>
      </c>
      <c r="BA81" s="16">
        <f>盗宝贼掉落!AM80</f>
        <v>134268.91956607244</v>
      </c>
      <c r="BC81" s="16">
        <f>盗宝贼掉落!AI80/AW81</f>
        <v>1</v>
      </c>
      <c r="BG81" s="41">
        <f t="shared" si="70"/>
        <v>0.58277136751657643</v>
      </c>
      <c r="BH81" s="41">
        <f t="shared" si="71"/>
        <v>0.68035414436239749</v>
      </c>
      <c r="BI81" s="41">
        <f t="shared" si="72"/>
        <v>0.52859716115149935</v>
      </c>
      <c r="BJ81" s="41">
        <f t="shared" si="73"/>
        <v>0.11896705090686367</v>
      </c>
      <c r="BK81" s="41">
        <f t="shared" si="74"/>
        <v>3.6157599943887654E-2</v>
      </c>
      <c r="BR81" s="16">
        <v>26</v>
      </c>
      <c r="CA81" s="16">
        <v>76</v>
      </c>
      <c r="CB81" s="16">
        <f t="shared" si="75"/>
        <v>16.793168276817429</v>
      </c>
      <c r="CC81" s="16">
        <f t="shared" si="76"/>
        <v>14.620272388307223</v>
      </c>
      <c r="CD81" s="16">
        <f t="shared" si="77"/>
        <v>18.669293431281822</v>
      </c>
      <c r="CE81" s="16">
        <f t="shared" si="78"/>
        <v>35.558803548095625</v>
      </c>
      <c r="CF81" s="16">
        <f t="shared" si="79"/>
        <v>46.737067938982527</v>
      </c>
      <c r="CH81" s="16">
        <v>35</v>
      </c>
      <c r="CP81" s="16" t="s">
        <v>161</v>
      </c>
      <c r="CQ81" s="174"/>
    </row>
    <row r="82" spans="31:100">
      <c r="AE82" s="16" t="s">
        <v>77</v>
      </c>
      <c r="AF82" s="179" t="s">
        <v>402</v>
      </c>
      <c r="AG82" s="179"/>
      <c r="AH82" s="179"/>
      <c r="AI82" s="179"/>
      <c r="AJ82" s="178" t="s">
        <v>453</v>
      </c>
      <c r="AM82" s="16">
        <v>77</v>
      </c>
      <c r="AN82" s="16">
        <f t="shared" si="65"/>
        <v>357876.80356184905</v>
      </c>
      <c r="AO82" s="16">
        <f t="shared" si="66"/>
        <v>397317.33539619419</v>
      </c>
      <c r="AP82" s="16">
        <f t="shared" si="67"/>
        <v>569003.60047648509</v>
      </c>
      <c r="AQ82" s="16">
        <f t="shared" si="68"/>
        <v>2180884.6231524693</v>
      </c>
      <c r="AR82" s="16">
        <f t="shared" si="69"/>
        <v>4477704.5423575034</v>
      </c>
      <c r="AV82" s="16">
        <v>77</v>
      </c>
      <c r="AW82" s="16">
        <f>盗宝贼掉落!AI81</f>
        <v>228202.8922501537</v>
      </c>
      <c r="AX82" s="16">
        <f>盗宝贼掉落!AJ81</f>
        <v>287571.38078912866</v>
      </c>
      <c r="AY82" s="16">
        <f>盗宝贼掉落!AK81</f>
        <v>319386.92572880769</v>
      </c>
      <c r="AZ82" s="16">
        <f>盗宝贼掉落!AL81</f>
        <v>264949.93558144727</v>
      </c>
      <c r="BA82" s="16">
        <f>盗宝贼掉落!AM81</f>
        <v>146723.98555676118</v>
      </c>
      <c r="BC82" s="16">
        <f>盗宝贼掉落!AI81/AW82</f>
        <v>1</v>
      </c>
      <c r="BG82" s="41">
        <f t="shared" si="70"/>
        <v>0.63765767990245048</v>
      </c>
      <c r="BH82" s="41">
        <f t="shared" si="71"/>
        <v>0.72378261699145396</v>
      </c>
      <c r="BI82" s="41">
        <f t="shared" si="72"/>
        <v>0.56130914718527658</v>
      </c>
      <c r="BJ82" s="41">
        <f t="shared" si="73"/>
        <v>0.12148736928524997</v>
      </c>
      <c r="BK82" s="41">
        <f t="shared" si="74"/>
        <v>3.2767679101826416E-2</v>
      </c>
      <c r="BR82" s="16">
        <v>1</v>
      </c>
      <c r="BS82" s="69" t="s">
        <v>77</v>
      </c>
      <c r="BT82" s="170" t="s">
        <v>459</v>
      </c>
      <c r="BU82" s="170"/>
      <c r="BV82" s="170"/>
      <c r="BW82" s="170"/>
      <c r="BX82" s="170"/>
      <c r="CA82" s="16">
        <v>77</v>
      </c>
      <c r="CB82" s="16">
        <f t="shared" si="75"/>
        <v>16.793168276817429</v>
      </c>
      <c r="CC82" s="16">
        <f t="shared" si="76"/>
        <v>14.620272388307223</v>
      </c>
      <c r="CD82" s="16">
        <f t="shared" si="77"/>
        <v>19.200131727461379</v>
      </c>
      <c r="CE82" s="16">
        <f t="shared" si="78"/>
        <v>37.035652722675422</v>
      </c>
      <c r="CF82" s="16">
        <f t="shared" si="79"/>
        <v>48.958125493500987</v>
      </c>
      <c r="CH82" s="16">
        <v>36</v>
      </c>
      <c r="CP82" s="16">
        <v>50</v>
      </c>
      <c r="CQ82" s="16">
        <v>0</v>
      </c>
    </row>
    <row r="83" spans="31:100">
      <c r="AE83" s="17" t="s">
        <v>161</v>
      </c>
      <c r="AF83" s="64" t="s">
        <v>1</v>
      </c>
      <c r="AG83" s="64" t="s">
        <v>2</v>
      </c>
      <c r="AH83" s="64" t="s">
        <v>0</v>
      </c>
      <c r="AI83" s="64" t="s">
        <v>205</v>
      </c>
      <c r="AJ83" s="178"/>
      <c r="AM83" s="16">
        <v>78</v>
      </c>
      <c r="AN83" s="16">
        <f t="shared" si="65"/>
        <v>358505.67586444865</v>
      </c>
      <c r="AO83" s="16">
        <f t="shared" si="66"/>
        <v>409331.34074432257</v>
      </c>
      <c r="AP83" s="16">
        <f t="shared" si="67"/>
        <v>587646.27236674784</v>
      </c>
      <c r="AQ83" s="16">
        <f t="shared" si="68"/>
        <v>2334350.8725811886</v>
      </c>
      <c r="AR83" s="16">
        <f t="shared" si="69"/>
        <v>5241973.4646948166</v>
      </c>
      <c r="AV83" s="16">
        <v>78</v>
      </c>
      <c r="AW83" s="16">
        <f>盗宝贼掉落!AI82</f>
        <v>250085.6921927103</v>
      </c>
      <c r="AX83" s="16">
        <f>盗宝贼掉落!AJ82</f>
        <v>315160.45381583646</v>
      </c>
      <c r="AY83" s="16">
        <f>盗宝贼掉落!AK82</f>
        <v>350426.61584302236</v>
      </c>
      <c r="AZ83" s="16">
        <f>盗宝贼掉落!AL82</f>
        <v>290385.02752424416</v>
      </c>
      <c r="BA83" s="16">
        <f>盗宝贼掉落!AM82</f>
        <v>160238.11993850057</v>
      </c>
      <c r="BC83" s="16">
        <f>盗宝贼掉落!AI82/AW83</f>
        <v>1</v>
      </c>
      <c r="BG83" s="41">
        <f t="shared" si="70"/>
        <v>0.69757805532559525</v>
      </c>
      <c r="BH83" s="41">
        <f t="shared" si="71"/>
        <v>0.76993971007143736</v>
      </c>
      <c r="BI83" s="41">
        <f t="shared" si="72"/>
        <v>0.5963223665687144</v>
      </c>
      <c r="BJ83" s="41">
        <f t="shared" si="73"/>
        <v>0.12439647823943167</v>
      </c>
      <c r="BK83" s="41">
        <f t="shared" si="74"/>
        <v>3.0568281395874922E-2</v>
      </c>
      <c r="BR83" s="16">
        <v>2</v>
      </c>
      <c r="BS83" s="17" t="s">
        <v>161</v>
      </c>
      <c r="BT83" s="17" t="s">
        <v>1</v>
      </c>
      <c r="BU83" s="17" t="s">
        <v>2</v>
      </c>
      <c r="BV83" s="17" t="s">
        <v>0</v>
      </c>
      <c r="BW83" s="17" t="s">
        <v>205</v>
      </c>
      <c r="BX83" s="71" t="s">
        <v>172</v>
      </c>
      <c r="CA83" s="16">
        <v>78</v>
      </c>
      <c r="CB83" s="16">
        <f t="shared" si="75"/>
        <v>16.793168276817429</v>
      </c>
      <c r="CC83" s="16">
        <f t="shared" si="76"/>
        <v>14.620272388307223</v>
      </c>
      <c r="CD83" s="16">
        <f t="shared" si="77"/>
        <v>19.730970023640939</v>
      </c>
      <c r="CE83" s="16">
        <f t="shared" si="78"/>
        <v>38.512501897255213</v>
      </c>
      <c r="CF83" s="16">
        <f t="shared" si="79"/>
        <v>51.179183048019446</v>
      </c>
      <c r="CH83" s="16">
        <v>37</v>
      </c>
      <c r="CP83" s="16">
        <v>60</v>
      </c>
      <c r="CQ83" s="16">
        <v>0</v>
      </c>
    </row>
    <row r="84" spans="31:100">
      <c r="AE84" s="17">
        <f>基础状态预期!C95</f>
        <v>50</v>
      </c>
      <c r="AF84" s="64">
        <f>求节点(P$7:P$9,Z$6:Z$8,基础状态预期!Q95)*P$6</f>
        <v>0</v>
      </c>
      <c r="AG84" s="64">
        <f>求节点(Q$7:Q$9,AA$6:AA$8,基础状态预期!R95)*Q$6</f>
        <v>0</v>
      </c>
      <c r="AH84" s="64">
        <f>求节点(R$7:R$9,AB$6:AB$8,基础状态预期!S95)*R$6</f>
        <v>0</v>
      </c>
      <c r="AI84" s="64">
        <f>求节点(S$7:S$9,AC$6:AC$8,基础状态预期!T95)*S$6</f>
        <v>0</v>
      </c>
      <c r="AJ84" s="17">
        <f>SUMPRODUCT(AF84:AI84,基础状态预期!I95:L95)</f>
        <v>0</v>
      </c>
      <c r="AM84" s="16">
        <v>79</v>
      </c>
      <c r="AN84" s="16">
        <f t="shared" si="65"/>
        <v>359134.5481670482</v>
      </c>
      <c r="AO84" s="16">
        <f t="shared" si="66"/>
        <v>421345.3460924509</v>
      </c>
      <c r="AP84" s="16">
        <f t="shared" si="67"/>
        <v>606288.94425701071</v>
      </c>
      <c r="AQ84" s="16">
        <f t="shared" si="68"/>
        <v>2487817.1220099083</v>
      </c>
      <c r="AR84" s="16">
        <f t="shared" si="69"/>
        <v>6006242.3870321307</v>
      </c>
      <c r="AV84" s="16">
        <v>79</v>
      </c>
      <c r="AW84" s="16">
        <f>盗宝贼掉落!AI83</f>
        <v>274008.16454242164</v>
      </c>
      <c r="AX84" s="16">
        <f>盗宝贼掉落!AJ83</f>
        <v>345735.58016081812</v>
      </c>
      <c r="AY84" s="16">
        <f>盗宝贼掉落!AK83</f>
        <v>384458.37776137528</v>
      </c>
      <c r="AZ84" s="16">
        <f>盗宝贼掉落!AL83</f>
        <v>316996.10117803159</v>
      </c>
      <c r="BA84" s="16">
        <f>盗宝贼掉落!AM83</f>
        <v>175207.80684577842</v>
      </c>
      <c r="BC84" s="16">
        <f>盗宝贼掉落!AI83/AW84</f>
        <v>1</v>
      </c>
      <c r="BG84" s="41">
        <f t="shared" si="70"/>
        <v>0.76296799052306497</v>
      </c>
      <c r="BH84" s="41">
        <f t="shared" si="71"/>
        <v>0.82055155792549661</v>
      </c>
      <c r="BI84" s="41">
        <f t="shared" si="72"/>
        <v>0.63411741448216197</v>
      </c>
      <c r="BJ84" s="41">
        <f t="shared" si="73"/>
        <v>0.12741937434771344</v>
      </c>
      <c r="BK84" s="41">
        <f t="shared" si="74"/>
        <v>2.9170951745814241E-2</v>
      </c>
      <c r="BR84" s="16">
        <v>3</v>
      </c>
      <c r="BS84" s="17">
        <f>基础状态预期!C95</f>
        <v>50</v>
      </c>
      <c r="BT84" s="17">
        <f>求节点($E$5:$E$10,F$5:F$10,基础状态预期!M95)</f>
        <v>6</v>
      </c>
      <c r="BU84" s="17">
        <f>求节点($E$5:$E$10,G$5:G$10,基础状态预期!N95)</f>
        <v>8</v>
      </c>
      <c r="BV84" s="17">
        <f>求节点($E$5:$E$10,H$5:H$10,基础状态预期!O95)</f>
        <v>10</v>
      </c>
      <c r="BW84" s="17">
        <f>求节点($E$5:$E$10,I$5:I$10,基础状态预期!P95)</f>
        <v>12</v>
      </c>
      <c r="BX84" s="51">
        <f>SUMPRODUCT(BT84:BW84,基础状态预期!I95:L95)/6</f>
        <v>0</v>
      </c>
      <c r="CA84" s="16">
        <v>79</v>
      </c>
      <c r="CB84" s="16">
        <f t="shared" si="75"/>
        <v>16.793168276817429</v>
      </c>
      <c r="CC84" s="16">
        <f t="shared" si="76"/>
        <v>14.620272388307223</v>
      </c>
      <c r="CD84" s="16">
        <f t="shared" si="77"/>
        <v>20.261808319820496</v>
      </c>
      <c r="CE84" s="16">
        <f t="shared" si="78"/>
        <v>39.98935107183501</v>
      </c>
      <c r="CF84" s="16">
        <f t="shared" si="79"/>
        <v>53.400240602537906</v>
      </c>
      <c r="CH84" s="16">
        <v>38</v>
      </c>
      <c r="CP84" s="16">
        <v>70</v>
      </c>
      <c r="CQ84" s="16">
        <v>0</v>
      </c>
    </row>
    <row r="85" spans="31:100">
      <c r="AE85" s="17">
        <f>基础状态预期!C96</f>
        <v>60</v>
      </c>
      <c r="AF85" s="64">
        <f>求节点(P$7:P$9,Z$6:Z$8,基础状态预期!Q96)*P$6</f>
        <v>0</v>
      </c>
      <c r="AG85" s="64">
        <f>求节点(Q$7:Q$9,AA$6:AA$8,基础状态预期!R96)*Q$6</f>
        <v>0</v>
      </c>
      <c r="AH85" s="64">
        <f>求节点(R$7:R$9,AB$6:AB$8,基础状态预期!S96)*R$6</f>
        <v>61351.613524286964</v>
      </c>
      <c r="AI85" s="64">
        <f>求节点(S$7:S$9,AC$6:AC$8,基础状态预期!T96)*S$6</f>
        <v>222554.24905766366</v>
      </c>
      <c r="AJ85" s="17">
        <f>SUMPRODUCT(AF85:AI85,基础状态预期!I96:L96)</f>
        <v>727255.23963816161</v>
      </c>
      <c r="AM85" s="16">
        <v>80</v>
      </c>
      <c r="AN85" s="16">
        <f t="shared" si="65"/>
        <v>359763.42046964774</v>
      </c>
      <c r="AO85" s="16">
        <f t="shared" si="66"/>
        <v>433359.35144057928</v>
      </c>
      <c r="AP85" s="16">
        <f t="shared" si="67"/>
        <v>624931.61614727357</v>
      </c>
      <c r="AQ85" s="16">
        <f t="shared" si="68"/>
        <v>2641283.3714386281</v>
      </c>
      <c r="AR85" s="16">
        <f t="shared" si="69"/>
        <v>6770511.3093694439</v>
      </c>
      <c r="AV85" s="16">
        <v>80</v>
      </c>
      <c r="AW85" s="16">
        <f>盗宝贼掉落!AI84</f>
        <v>300150.37029103545</v>
      </c>
      <c r="AX85" s="16">
        <f>盗宝贼掉落!AJ84</f>
        <v>379065.04587734281</v>
      </c>
      <c r="AY85" s="16">
        <f>盗宝贼掉落!AK84</f>
        <v>419453.4403501593</v>
      </c>
      <c r="AZ85" s="16">
        <f>盗宝贼掉落!AL84</f>
        <v>345901.14007009036</v>
      </c>
      <c r="BA85" s="16">
        <f>盗宝贼掉落!AM84</f>
        <v>191101.77765707215</v>
      </c>
      <c r="BC85" s="16">
        <f>盗宝贼掉落!AI84/AW85</f>
        <v>1</v>
      </c>
      <c r="BG85" s="41">
        <f t="shared" si="70"/>
        <v>0.83429930118856632</v>
      </c>
      <c r="BH85" s="41">
        <f t="shared" si="71"/>
        <v>0.87471297115719193</v>
      </c>
      <c r="BI85" s="41">
        <f t="shared" si="72"/>
        <v>0.67119894323174945</v>
      </c>
      <c r="BJ85" s="41">
        <f t="shared" si="73"/>
        <v>0.13095949636092563</v>
      </c>
      <c r="BK85" s="41">
        <f t="shared" si="74"/>
        <v>2.8225604969097966E-2</v>
      </c>
      <c r="BR85" s="16">
        <v>4</v>
      </c>
      <c r="BS85" s="17">
        <f>基础状态预期!C96</f>
        <v>60</v>
      </c>
      <c r="BT85" s="17">
        <f>求节点($E$5:$E$10,F$5:F$10,基础状态预期!M96)</f>
        <v>6</v>
      </c>
      <c r="BU85" s="17">
        <f>求节点($E$5:$E$10,G$5:G$10,基础状态预期!N96)</f>
        <v>32</v>
      </c>
      <c r="BV85" s="17">
        <f>求节点($E$5:$E$10,H$5:H$10,基础状态预期!O96)</f>
        <v>21.252516037348101</v>
      </c>
      <c r="BW85" s="17">
        <f>求节点($E$5:$E$10,I$5:I$10,基础状态预期!P96)</f>
        <v>29.585640246927582</v>
      </c>
      <c r="BX85" s="17">
        <f>MAX(SUMPRODUCT(BT85:BW85,基础状态预期!I96:L96)/6,BX84)</f>
        <v>24.346762954521527</v>
      </c>
      <c r="CA85" s="16">
        <v>80</v>
      </c>
      <c r="CB85" s="16">
        <f t="shared" si="75"/>
        <v>16.793168276817429</v>
      </c>
      <c r="CC85" s="16">
        <f t="shared" si="76"/>
        <v>14.620272388307223</v>
      </c>
      <c r="CD85" s="16">
        <f t="shared" si="77"/>
        <v>20.792646616000056</v>
      </c>
      <c r="CE85" s="16">
        <f t="shared" si="78"/>
        <v>41.4662002464148</v>
      </c>
      <c r="CF85" s="16">
        <f t="shared" si="79"/>
        <v>55.621298157056366</v>
      </c>
      <c r="CH85" s="16">
        <v>39</v>
      </c>
      <c r="CP85" s="16">
        <v>75</v>
      </c>
      <c r="CQ85" s="16">
        <v>0</v>
      </c>
    </row>
    <row r="86" spans="31:100">
      <c r="AE86" s="17">
        <f>基础状态预期!C97</f>
        <v>70</v>
      </c>
      <c r="AF86" s="64">
        <f>求节点(P$7:P$9,Z$6:Z$8,基础状态预期!Q97)*P$6</f>
        <v>0</v>
      </c>
      <c r="AG86" s="64">
        <f>求节点(Q$7:Q$9,AA$6:AA$8,基础状态预期!R97)*Q$6</f>
        <v>0</v>
      </c>
      <c r="AH86" s="64">
        <f>求节点(R$7:R$9,AB$6:AB$8,基础状态预期!S97)*R$6</f>
        <v>292585.27543096029</v>
      </c>
      <c r="AI86" s="64">
        <f>求节点(S$7:S$9,AC$6:AC$8,基础状态预期!T97)*S$6</f>
        <v>222554.24905766366</v>
      </c>
      <c r="AJ86" s="17">
        <f>SUMPRODUCT(AF86:AI86,基础状态预期!I97:L97)</f>
        <v>1445854.8607785706</v>
      </c>
      <c r="AM86" s="16">
        <v>81</v>
      </c>
      <c r="AN86" s="16">
        <f t="shared" si="65"/>
        <v>377740.97497171129</v>
      </c>
      <c r="AO86" s="16">
        <f t="shared" si="66"/>
        <v>462862.33493134595</v>
      </c>
      <c r="AP86" s="16">
        <f t="shared" si="67"/>
        <v>735532.22182900296</v>
      </c>
      <c r="AQ86" s="16">
        <f t="shared" si="68"/>
        <v>3634916.0599312503</v>
      </c>
      <c r="AR86" s="16">
        <f t="shared" si="69"/>
        <v>8236609.7366746608</v>
      </c>
      <c r="AV86" s="16">
        <v>81</v>
      </c>
      <c r="AW86" s="16">
        <f>盗宝贼掉落!AI85</f>
        <v>328707.71040251572</v>
      </c>
      <c r="AX86" s="16">
        <f>盗宝贼掉落!AJ85</f>
        <v>413642.12995442661</v>
      </c>
      <c r="AY86" s="16">
        <f>盗宝贼掉落!AK85</f>
        <v>457388.6254058546</v>
      </c>
      <c r="AZ86" s="16">
        <f>盗宝贼掉落!AL85</f>
        <v>377849.53298362996</v>
      </c>
      <c r="BA86" s="16">
        <f>盗宝贼掉落!AM85</f>
        <v>208780.46039601145</v>
      </c>
      <c r="BC86" s="16">
        <f>盗宝贼掉落!AI85/AW86</f>
        <v>1</v>
      </c>
      <c r="BG86" s="41">
        <f t="shared" si="70"/>
        <v>0.8701934187233259</v>
      </c>
      <c r="BH86" s="41">
        <f t="shared" si="71"/>
        <v>0.89366124382486223</v>
      </c>
      <c r="BI86" s="41">
        <f t="shared" si="72"/>
        <v>0.62184716295432207</v>
      </c>
      <c r="BJ86" s="41">
        <f t="shared" si="73"/>
        <v>0.10395000235322532</v>
      </c>
      <c r="BK86" s="41">
        <f t="shared" si="74"/>
        <v>2.5347863632094542E-2</v>
      </c>
      <c r="BR86" s="16">
        <v>5</v>
      </c>
      <c r="BS86" s="17">
        <f>基础状态预期!C97</f>
        <v>70</v>
      </c>
      <c r="BT86" s="17">
        <f>求节点($E$5:$E$10,F$5:F$10,基础状态预期!M97)</f>
        <v>6</v>
      </c>
      <c r="BU86" s="17">
        <f>求节点($E$5:$E$10,G$5:G$10,基础状态预期!N97)</f>
        <v>32</v>
      </c>
      <c r="BV86" s="17">
        <f>求节点($E$5:$E$10,H$5:H$10,基础状态预期!O97)</f>
        <v>41.911616470052834</v>
      </c>
      <c r="BW86" s="17">
        <f>求节点($E$5:$E$10,I$5:I$10,基础状态预期!P97)</f>
        <v>29.585640246927582</v>
      </c>
      <c r="BX86" s="17">
        <f>MAX(SUMPRODUCT(BT86:BW86,基础状态预期!I97:L97)/6,BX85)</f>
        <v>32.827970618571428</v>
      </c>
      <c r="CA86" s="16">
        <v>81</v>
      </c>
      <c r="CB86" s="16">
        <f t="shared" si="75"/>
        <v>16.793168276817429</v>
      </c>
      <c r="CC86" s="16">
        <f t="shared" si="76"/>
        <v>15.561573123720034</v>
      </c>
      <c r="CD86" s="16">
        <f t="shared" si="77"/>
        <v>22.264882134443532</v>
      </c>
      <c r="CE86" s="16">
        <f t="shared" si="78"/>
        <v>44.672110742775935</v>
      </c>
      <c r="CF86" s="16">
        <f t="shared" si="79"/>
        <v>58.897038525645094</v>
      </c>
      <c r="CH86" s="16">
        <v>40</v>
      </c>
      <c r="CP86" s="16">
        <v>80</v>
      </c>
      <c r="CQ86" s="16">
        <v>0</v>
      </c>
    </row>
    <row r="87" spans="31:100">
      <c r="AE87" s="17">
        <f>基础状态预期!C98</f>
        <v>75</v>
      </c>
      <c r="AF87" s="64">
        <f>求节点(P$7:P$9,Z$6:Z$8,基础状态预期!Q98)*P$6</f>
        <v>0</v>
      </c>
      <c r="AG87" s="64">
        <f>求节点(Q$7:Q$9,AA$6:AA$8,基础状态预期!R98)*Q$6</f>
        <v>0</v>
      </c>
      <c r="AH87" s="64">
        <f>求节点(R$7:R$9,AB$6:AB$8,基础状态预期!S98)*R$6</f>
        <v>866154.58943372627</v>
      </c>
      <c r="AI87" s="64">
        <f>求节点(S$7:S$9,AC$6:AC$8,基础状态预期!T98)*S$6</f>
        <v>271620.29850464407</v>
      </c>
      <c r="AJ87" s="17">
        <f>SUMPRODUCT(AF87:AI87,基础状态预期!I98:L98)</f>
        <v>1873952.1242950298</v>
      </c>
      <c r="AM87" s="16">
        <v>82</v>
      </c>
      <c r="AN87" s="16">
        <f t="shared" si="65"/>
        <v>395718.52947377483</v>
      </c>
      <c r="AO87" s="16">
        <f t="shared" si="66"/>
        <v>492365.31842211261</v>
      </c>
      <c r="AP87" s="16">
        <f t="shared" si="67"/>
        <v>846132.82751073246</v>
      </c>
      <c r="AQ87" s="16">
        <f t="shared" si="68"/>
        <v>4628548.7484238725</v>
      </c>
      <c r="AR87" s="16">
        <f t="shared" si="69"/>
        <v>9702708.1639798786</v>
      </c>
      <c r="AV87" s="16">
        <v>82</v>
      </c>
      <c r="AW87" s="16">
        <f>盗宝贼掉落!AI86</f>
        <v>359892.20024730457</v>
      </c>
      <c r="AX87" s="16">
        <f>盗宝贼掉落!AJ86</f>
        <v>452372.26822639356</v>
      </c>
      <c r="AY87" s="16">
        <f>盗宝贼掉落!AK86</f>
        <v>500317.63188983611</v>
      </c>
      <c r="AZ87" s="16">
        <f>盗宝贼掉落!AL86</f>
        <v>413491.26796912268</v>
      </c>
      <c r="BA87" s="16">
        <f>盗宝贼掉落!AM86</f>
        <v>227835.62606846727</v>
      </c>
      <c r="BC87" s="16">
        <f>盗宝贼掉落!AI86/AW87</f>
        <v>1</v>
      </c>
      <c r="BG87" s="41">
        <f t="shared" si="70"/>
        <v>0.90946512089259002</v>
      </c>
      <c r="BH87" s="41">
        <f t="shared" si="71"/>
        <v>0.9187736245845155</v>
      </c>
      <c r="BI87" s="41">
        <f t="shared" si="72"/>
        <v>0.59129916204969601</v>
      </c>
      <c r="BJ87" s="41">
        <f t="shared" si="73"/>
        <v>8.9334970947411108E-2</v>
      </c>
      <c r="BK87" s="41">
        <f t="shared" si="74"/>
        <v>2.3481652979554644E-2</v>
      </c>
      <c r="BR87" s="16">
        <v>6</v>
      </c>
      <c r="BS87" s="17">
        <f>基础状态预期!C98</f>
        <v>75</v>
      </c>
      <c r="BT87" s="17">
        <f>求节点($E$5:$E$10,F$5:F$10,基础状态预期!M98)</f>
        <v>6</v>
      </c>
      <c r="BU87" s="17">
        <f>求节点($E$5:$E$10,G$5:G$10,基础状态预期!N98)</f>
        <v>32</v>
      </c>
      <c r="BV87" s="17">
        <f>求节点($E$5:$E$10,H$5:H$10,基础状态预期!O98)</f>
        <v>58.819292708226378</v>
      </c>
      <c r="BW87" s="17">
        <f>求节点($E$5:$E$10,I$5:I$10,基础状态预期!P98)</f>
        <v>32.263822237101998</v>
      </c>
      <c r="BX87" s="17">
        <f>MAX(SUMPRODUCT(BT87:BW87,基础状态预期!I98:L98)/6,BX86)</f>
        <v>34.081954373515835</v>
      </c>
      <c r="CA87" s="16">
        <v>82</v>
      </c>
      <c r="CB87" s="16">
        <f t="shared" si="75"/>
        <v>16.793168276817429</v>
      </c>
      <c r="CC87" s="16">
        <f t="shared" si="76"/>
        <v>16.502873859132844</v>
      </c>
      <c r="CD87" s="16">
        <f t="shared" si="77"/>
        <v>23.737117652887008</v>
      </c>
      <c r="CE87" s="16">
        <f t="shared" si="78"/>
        <v>47.87802123913707</v>
      </c>
      <c r="CF87" s="16">
        <f t="shared" si="79"/>
        <v>62.172778894233822</v>
      </c>
      <c r="CH87" s="16">
        <v>41</v>
      </c>
      <c r="CP87" s="16">
        <v>85</v>
      </c>
      <c r="CQ87" s="16">
        <v>0</v>
      </c>
    </row>
    <row r="88" spans="31:100">
      <c r="AE88" s="17">
        <f>基础状态预期!C99</f>
        <v>80</v>
      </c>
      <c r="AF88" s="64">
        <f>求节点(P$7:P$9,Z$6:Z$8,基础状态预期!Q99)*P$6</f>
        <v>0</v>
      </c>
      <c r="AG88" s="64">
        <f>求节点(Q$7:Q$9,AA$6:AA$8,基础状态预期!R99)*Q$6</f>
        <v>0</v>
      </c>
      <c r="AH88" s="64">
        <f>求节点(R$7:R$9,AB$6:AB$8,基础状态预期!S99)*R$6</f>
        <v>0</v>
      </c>
      <c r="AI88" s="64">
        <f>求节点(S$7:S$9,AC$6:AC$8,基础状态预期!T99)*S$6</f>
        <v>440213.89523977134</v>
      </c>
      <c r="AJ88" s="17">
        <f>SUMPRODUCT(AF88:AI88,基础状态预期!I99:L99)</f>
        <v>2641283.3714386281</v>
      </c>
      <c r="AM88" s="16">
        <v>83</v>
      </c>
      <c r="AN88" s="16">
        <f t="shared" si="65"/>
        <v>413696.08397583838</v>
      </c>
      <c r="AO88" s="16">
        <f t="shared" si="66"/>
        <v>521868.30191287934</v>
      </c>
      <c r="AP88" s="16">
        <f t="shared" si="67"/>
        <v>956733.43319246185</v>
      </c>
      <c r="AQ88" s="16">
        <f t="shared" si="68"/>
        <v>5622181.4369164938</v>
      </c>
      <c r="AR88" s="16">
        <f t="shared" si="69"/>
        <v>11168806.591285095</v>
      </c>
      <c r="AV88" s="16">
        <v>83</v>
      </c>
      <c r="AW88" s="16">
        <f>盗宝贼掉落!AI87</f>
        <v>393933.84795491223</v>
      </c>
      <c r="AX88" s="16">
        <f>盗宝贼掉落!AJ87</f>
        <v>495570.57088573941</v>
      </c>
      <c r="AY88" s="16">
        <f>盗宝贼掉落!AK87</f>
        <v>548743.18306460709</v>
      </c>
      <c r="AZ88" s="16">
        <f>盗宝贼掉落!AL87</f>
        <v>452375.59373755532</v>
      </c>
      <c r="BA88" s="16">
        <f>盗宝贼掉落!AM87</f>
        <v>249369.69226275879</v>
      </c>
      <c r="BC88" s="16">
        <f>盗宝贼掉落!AI87/AW88</f>
        <v>1</v>
      </c>
      <c r="BG88" s="41">
        <f t="shared" si="70"/>
        <v>0.95223006263196741</v>
      </c>
      <c r="BH88" s="41">
        <f t="shared" si="71"/>
        <v>0.94960849139381132</v>
      </c>
      <c r="BI88" s="41">
        <f t="shared" si="72"/>
        <v>0.57355911691466821</v>
      </c>
      <c r="BJ88" s="41">
        <f t="shared" si="73"/>
        <v>8.0462645827677592E-2</v>
      </c>
      <c r="BK88" s="41">
        <f t="shared" si="74"/>
        <v>2.2327335532637785E-2</v>
      </c>
      <c r="BR88" s="16">
        <v>7</v>
      </c>
      <c r="BS88" s="17">
        <f>基础状态预期!C99</f>
        <v>80</v>
      </c>
      <c r="BT88" s="17">
        <f>求节点($E$5:$E$10,F$5:F$10,基础状态预期!M99)</f>
        <v>6</v>
      </c>
      <c r="BU88" s="17">
        <f>求节点($E$5:$E$10,G$5:G$10,基础状态预期!N99)</f>
        <v>32</v>
      </c>
      <c r="BV88" s="17">
        <f>求节点($E$5:$E$10,H$5:H$10,基础状态预期!O99)</f>
        <v>60</v>
      </c>
      <c r="BW88" s="17">
        <f>求节点($E$5:$E$10,I$5:I$10,基础状态预期!P99)</f>
        <v>41.4662002464148</v>
      </c>
      <c r="BX88" s="17">
        <f>MAX(SUMPRODUCT(BT88:BW88,基础状态预期!I99:L99)/6,BX87)</f>
        <v>41.4662002464148</v>
      </c>
      <c r="CA88" s="16">
        <v>83</v>
      </c>
      <c r="CB88" s="16">
        <f t="shared" si="75"/>
        <v>16.793168276817429</v>
      </c>
      <c r="CC88" s="16">
        <f t="shared" si="76"/>
        <v>17.444174594545657</v>
      </c>
      <c r="CD88" s="16">
        <f t="shared" si="77"/>
        <v>25.209353171330484</v>
      </c>
      <c r="CE88" s="16">
        <f t="shared" si="78"/>
        <v>51.083931735498211</v>
      </c>
      <c r="CF88" s="16">
        <f t="shared" si="79"/>
        <v>65.448519262822543</v>
      </c>
      <c r="CH88" s="16">
        <v>42</v>
      </c>
      <c r="CP88" s="16">
        <v>90</v>
      </c>
      <c r="CQ88" s="16">
        <v>0</v>
      </c>
    </row>
    <row r="89" spans="31:100">
      <c r="AE89" s="17">
        <f>基础状态预期!C100</f>
        <v>85</v>
      </c>
      <c r="AF89" s="64">
        <f>求节点(P$7:P$9,Z$6:Z$8,基础状态预期!Q100)*P$6</f>
        <v>0</v>
      </c>
      <c r="AG89" s="64">
        <f>求节点(Q$7:Q$9,AA$6:AA$8,基础状态预期!R100)*Q$6</f>
        <v>0</v>
      </c>
      <c r="AH89" s="64">
        <f>求节点(R$7:R$9,AB$6:AB$8,基础状态预期!S100)*R$6</f>
        <v>0</v>
      </c>
      <c r="AI89" s="64">
        <f>求节点(S$7:S$9,AC$6:AC$8,基础状态预期!T100)*S$6</f>
        <v>1268241.1356502897</v>
      </c>
      <c r="AJ89" s="17">
        <f>SUMPRODUCT(AF89:AI89,基础状态预期!I100:L100)</f>
        <v>7609446.8139017383</v>
      </c>
      <c r="AM89" s="16">
        <v>84</v>
      </c>
      <c r="AN89" s="16">
        <f t="shared" si="65"/>
        <v>431673.63847790187</v>
      </c>
      <c r="AO89" s="16">
        <f t="shared" si="66"/>
        <v>551371.28540364595</v>
      </c>
      <c r="AP89" s="16">
        <f t="shared" si="67"/>
        <v>1067334.0388741912</v>
      </c>
      <c r="AQ89" s="16">
        <f t="shared" si="68"/>
        <v>6615814.125409116</v>
      </c>
      <c r="AR89" s="16">
        <f t="shared" si="69"/>
        <v>12634905.018590312</v>
      </c>
      <c r="AV89" s="16">
        <v>84</v>
      </c>
      <c r="AW89" s="16">
        <f>盗宝贼掉落!AI88</f>
        <v>431082.14503682544</v>
      </c>
      <c r="AX89" s="16">
        <f>盗宝贼掉落!AJ88</f>
        <v>542738.30105336918</v>
      </c>
      <c r="AY89" s="16">
        <f>盗宝贼掉落!AK88</f>
        <v>599801.741798567</v>
      </c>
      <c r="AZ89" s="16">
        <f>盗宝贼掉落!AL88</f>
        <v>494288.10963997786</v>
      </c>
      <c r="BA89" s="16">
        <f>盗宝贼掉落!AM88</f>
        <v>273108.30346288392</v>
      </c>
      <c r="BC89" s="16">
        <f>盗宝贼掉落!AI88/AW89</f>
        <v>1</v>
      </c>
      <c r="BG89" s="41">
        <f t="shared" si="70"/>
        <v>0.99862976705466178</v>
      </c>
      <c r="BH89" s="41">
        <f t="shared" si="71"/>
        <v>0.98434270231545196</v>
      </c>
      <c r="BI89" s="41">
        <f t="shared" si="72"/>
        <v>0.56196253464494528</v>
      </c>
      <c r="BJ89" s="41">
        <f t="shared" si="73"/>
        <v>7.4713119242813E-2</v>
      </c>
      <c r="BK89" s="41">
        <f t="shared" si="74"/>
        <v>2.1615382391956824E-2</v>
      </c>
      <c r="BR89" s="16">
        <v>8</v>
      </c>
      <c r="BS89" s="17">
        <f>基础状态预期!C100</f>
        <v>85</v>
      </c>
      <c r="BT89" s="17">
        <f>求节点($E$5:$E$10,F$5:F$10,基础状态预期!M100)</f>
        <v>6</v>
      </c>
      <c r="BU89" s="17">
        <f>求节点($E$5:$E$10,G$5:G$10,基础状态预期!N100)</f>
        <v>32</v>
      </c>
      <c r="BV89" s="17">
        <f>求节点($E$5:$E$10,H$5:H$10,基础状态预期!O100)</f>
        <v>60</v>
      </c>
      <c r="BW89" s="17">
        <f>求节点($E$5:$E$10,I$5:I$10,基础状态预期!P100)</f>
        <v>57.495752728220481</v>
      </c>
      <c r="BX89" s="17">
        <f>MAX(SUMPRODUCT(BT89:BW89,基础状态预期!I100:L100)/6,BX88)</f>
        <v>57.495752728220481</v>
      </c>
      <c r="CA89" s="16">
        <v>84</v>
      </c>
      <c r="CB89" s="16">
        <f t="shared" si="75"/>
        <v>16.793168276817429</v>
      </c>
      <c r="CC89" s="16">
        <f t="shared" si="76"/>
        <v>18.385475329958467</v>
      </c>
      <c r="CD89" s="16">
        <f t="shared" si="77"/>
        <v>26.681588689773957</v>
      </c>
      <c r="CE89" s="16">
        <f t="shared" si="78"/>
        <v>54.289842231859346</v>
      </c>
      <c r="CF89" s="16">
        <f t="shared" si="79"/>
        <v>68.724259631411272</v>
      </c>
      <c r="CH89" s="16">
        <v>43</v>
      </c>
      <c r="CP89" s="16">
        <v>95</v>
      </c>
      <c r="CQ89" s="16">
        <v>0</v>
      </c>
    </row>
    <row r="90" spans="31:100">
      <c r="AE90" s="17">
        <f>基础状态预期!C101</f>
        <v>90</v>
      </c>
      <c r="AF90" s="64">
        <f>求节点(P$7:P$9,Z$6:Z$8,基础状态预期!Q101)*P$6</f>
        <v>0</v>
      </c>
      <c r="AG90" s="64">
        <f>求节点(Q$7:Q$9,AA$6:AA$8,基础状态预期!R101)*Q$6</f>
        <v>0</v>
      </c>
      <c r="AH90" s="64">
        <f>求节点(R$7:R$9,AB$6:AB$8,基础状态预期!S101)*R$6</f>
        <v>0</v>
      </c>
      <c r="AI90" s="64">
        <f>求节点(S$7:S$9,AC$6:AC$8,基础状态预期!T101)*S$6</f>
        <v>2350167.2409825884</v>
      </c>
      <c r="AJ90" s="17">
        <f>SUMPRODUCT(AF90:AI90,基础状态预期!I101:L101)</f>
        <v>14101003.44589553</v>
      </c>
      <c r="AM90" s="16">
        <v>85</v>
      </c>
      <c r="AN90" s="16">
        <f t="shared" si="65"/>
        <v>449651.19297996542</v>
      </c>
      <c r="AO90" s="16">
        <f t="shared" si="66"/>
        <v>580874.26889441267</v>
      </c>
      <c r="AP90" s="16">
        <f t="shared" si="67"/>
        <v>1177934.6445559207</v>
      </c>
      <c r="AQ90" s="16">
        <f t="shared" si="68"/>
        <v>7609446.8139017383</v>
      </c>
      <c r="AR90" s="16">
        <f t="shared" si="69"/>
        <v>14101003.44589553</v>
      </c>
      <c r="AV90" s="16">
        <v>85</v>
      </c>
      <c r="AW90" s="16">
        <f>盗宝贼掉落!AI89</f>
        <v>471607.67829532811</v>
      </c>
      <c r="AX90" s="16">
        <f>盗宝贼掉落!AJ89</f>
        <v>592553.6777765213</v>
      </c>
      <c r="AY90" s="16">
        <f>盗宝贼掉落!AK89</f>
        <v>654848.93950055062</v>
      </c>
      <c r="AZ90" s="16">
        <f>盗宝贼掉落!AL89</f>
        <v>541433.69048013468</v>
      </c>
      <c r="BA90" s="16">
        <f>盗宝贼掉落!AM89</f>
        <v>298879.01865587779</v>
      </c>
      <c r="BC90" s="16">
        <f>盗宝贼掉落!AI89/AW90</f>
        <v>1</v>
      </c>
      <c r="BG90" s="41">
        <f t="shared" si="70"/>
        <v>1.0488300390572765</v>
      </c>
      <c r="BH90" s="41">
        <f t="shared" si="71"/>
        <v>1.0201066039718685</v>
      </c>
      <c r="BI90" s="41">
        <f t="shared" si="72"/>
        <v>0.55592977295224011</v>
      </c>
      <c r="BJ90" s="41">
        <f t="shared" si="73"/>
        <v>7.115283196289468E-2</v>
      </c>
      <c r="BK90" s="41">
        <f t="shared" si="74"/>
        <v>2.1195585108723197E-2</v>
      </c>
      <c r="BR90" s="16">
        <v>9</v>
      </c>
      <c r="BS90" s="17">
        <f>基础状态预期!C101</f>
        <v>90</v>
      </c>
      <c r="BT90" s="17">
        <f>求节点($E$5:$E$10,F$5:F$10,基础状态预期!M101)</f>
        <v>6</v>
      </c>
      <c r="BU90" s="17">
        <f>求节点($E$5:$E$10,G$5:G$10,基础状态预期!N101)</f>
        <v>32</v>
      </c>
      <c r="BV90" s="17">
        <f>求节点($E$5:$E$10,H$5:H$10,基础状态预期!O101)</f>
        <v>60</v>
      </c>
      <c r="BW90" s="17">
        <f>求节点($E$5:$E$10,I$5:I$10,基础状态预期!P101)</f>
        <v>72</v>
      </c>
      <c r="BX90" s="17">
        <f>MAX(SUMPRODUCT(BT90:BW90,基础状态预期!I101:L101)/6,BX89)</f>
        <v>72</v>
      </c>
      <c r="CA90" s="16">
        <v>85</v>
      </c>
      <c r="CB90" s="16">
        <f t="shared" si="75"/>
        <v>16.793168276817429</v>
      </c>
      <c r="CC90" s="16">
        <f t="shared" si="76"/>
        <v>19.326776065371277</v>
      </c>
      <c r="CD90" s="16">
        <f t="shared" si="77"/>
        <v>28.153824208217433</v>
      </c>
      <c r="CE90" s="16">
        <f t="shared" si="78"/>
        <v>57.495752728220481</v>
      </c>
      <c r="CF90" s="16">
        <f t="shared" si="79"/>
        <v>72</v>
      </c>
      <c r="CH90" s="16">
        <v>44</v>
      </c>
      <c r="CP90" s="16">
        <v>100</v>
      </c>
      <c r="CQ90" s="16">
        <v>0</v>
      </c>
    </row>
    <row r="91" spans="31:100">
      <c r="AE91" s="17">
        <f>基础状态预期!C102</f>
        <v>95</v>
      </c>
      <c r="AF91" s="64">
        <f>求节点(P$7:P$9,Z$6:Z$8,基础状态预期!Q102)*P$6</f>
        <v>0</v>
      </c>
      <c r="AG91" s="64">
        <f>求节点(Q$7:Q$9,AA$6:AA$8,基础状态预期!R102)*Q$6</f>
        <v>0</v>
      </c>
      <c r="AH91" s="64">
        <f>求节点(R$7:R$9,AB$6:AB$8,基础状态预期!S102)*R$6</f>
        <v>0</v>
      </c>
      <c r="AI91" s="64">
        <f>求节点(S$7:S$9,AC$6:AC$8,基础状态预期!T102)*S$6</f>
        <v>2350167.2409825884</v>
      </c>
      <c r="AJ91" s="17">
        <f>SUMPRODUCT(AF91:AI91,基础状态预期!I102:L102)</f>
        <v>14101003.44589553</v>
      </c>
      <c r="AM91" s="16">
        <v>86</v>
      </c>
      <c r="AN91" s="16">
        <f t="shared" si="65"/>
        <v>478619.9919334696</v>
      </c>
      <c r="AO91" s="16">
        <f t="shared" si="66"/>
        <v>650657.82873812981</v>
      </c>
      <c r="AP91" s="16">
        <f t="shared" si="67"/>
        <v>1398319.7578426679</v>
      </c>
      <c r="AQ91" s="16">
        <f t="shared" si="68"/>
        <v>8907758.1403004974</v>
      </c>
      <c r="AR91" s="16">
        <f t="shared" si="69"/>
        <v>14101003.44589553</v>
      </c>
      <c r="AV91" s="16">
        <v>86</v>
      </c>
      <c r="AW91" s="16">
        <f>盗宝贼掉落!AI90</f>
        <v>515803.87274958263</v>
      </c>
      <c r="AX91" s="16">
        <f>盗宝贼掉落!AJ90</f>
        <v>647749.56936747069</v>
      </c>
      <c r="AY91" s="16">
        <f>盗宝贼掉落!AK90</f>
        <v>716469.80798293382</v>
      </c>
      <c r="AZ91" s="16">
        <f>盗宝贼掉落!AL90</f>
        <v>594068.40684770816</v>
      </c>
      <c r="BA91" s="16">
        <f>盗宝贼掉落!AM90</f>
        <v>323299.08081045991</v>
      </c>
      <c r="BC91" s="16">
        <f>盗宝贼掉落!AI90/AW91</f>
        <v>1</v>
      </c>
      <c r="BG91" s="41">
        <f t="shared" si="70"/>
        <v>1.0776897777836278</v>
      </c>
      <c r="BH91" s="41">
        <f t="shared" si="71"/>
        <v>0.99553027837027741</v>
      </c>
      <c r="BI91" s="41">
        <f t="shared" si="72"/>
        <v>0.51237909209572041</v>
      </c>
      <c r="BJ91" s="41">
        <f t="shared" si="73"/>
        <v>6.6691124465989113E-2</v>
      </c>
      <c r="BK91" s="41">
        <f t="shared" si="74"/>
        <v>2.2927381164818073E-2</v>
      </c>
      <c r="BR91" s="16">
        <v>10</v>
      </c>
      <c r="BS91" s="17">
        <f>基础状态预期!C102</f>
        <v>95</v>
      </c>
      <c r="BT91" s="17">
        <f>求节点($E$5:$E$10,F$5:F$10,基础状态预期!M102)</f>
        <v>6</v>
      </c>
      <c r="BU91" s="17">
        <f>求节点($E$5:$E$10,G$5:G$10,基础状态预期!N102)</f>
        <v>32</v>
      </c>
      <c r="BV91" s="17">
        <f>求节点($E$5:$E$10,H$5:H$10,基础状态预期!O102)</f>
        <v>60</v>
      </c>
      <c r="BW91" s="17">
        <f>求节点($E$5:$E$10,I$5:I$10,基础状态预期!P102)</f>
        <v>72</v>
      </c>
      <c r="BX91" s="17">
        <f>MAX(SUMPRODUCT(BT91:BW91,基础状态预期!I102:L102)/6,BX90)</f>
        <v>72</v>
      </c>
      <c r="CA91" s="16">
        <v>86</v>
      </c>
      <c r="CB91" s="16">
        <f t="shared" si="75"/>
        <v>17.390528536421119</v>
      </c>
      <c r="CC91" s="16">
        <f t="shared" si="76"/>
        <v>20.640705164657199</v>
      </c>
      <c r="CD91" s="16">
        <f t="shared" si="77"/>
        <v>30.15871166080963</v>
      </c>
      <c r="CE91" s="16">
        <f t="shared" si="78"/>
        <v>60.396602182576387</v>
      </c>
      <c r="CF91" s="16">
        <f t="shared" si="79"/>
        <v>72</v>
      </c>
      <c r="CH91" s="16">
        <v>45</v>
      </c>
      <c r="CP91" s="16">
        <v>105</v>
      </c>
      <c r="CQ91" s="16">
        <v>0</v>
      </c>
    </row>
    <row r="92" spans="31:100">
      <c r="AE92" s="17">
        <f>基础状态预期!C103</f>
        <v>100</v>
      </c>
      <c r="AF92" s="64">
        <f>求节点(P$7:P$9,Z$6:Z$8,基础状态预期!Q103)*P$6</f>
        <v>0</v>
      </c>
      <c r="AG92" s="64">
        <f>求节点(Q$7:Q$9,AA$6:AA$8,基础状态预期!R103)*Q$6</f>
        <v>0</v>
      </c>
      <c r="AH92" s="64">
        <f>求节点(R$7:R$9,AB$6:AB$8,基础状态预期!S103)*R$6</f>
        <v>0</v>
      </c>
      <c r="AI92" s="64">
        <f>求节点(S$7:S$9,AC$6:AC$8,基础状态预期!T103)*S$6</f>
        <v>2350167.2409825884</v>
      </c>
      <c r="AJ92" s="17">
        <f>SUMPRODUCT(AF92:AI92,基础状态预期!I103:L103)</f>
        <v>14101003.44589553</v>
      </c>
      <c r="AM92" s="16">
        <v>87</v>
      </c>
      <c r="AN92" s="16">
        <f t="shared" si="65"/>
        <v>507588.79088697379</v>
      </c>
      <c r="AO92" s="16">
        <f t="shared" si="66"/>
        <v>720441.38858184684</v>
      </c>
      <c r="AP92" s="16">
        <f t="shared" si="67"/>
        <v>1618704.8711294152</v>
      </c>
      <c r="AQ92" s="16">
        <f t="shared" si="68"/>
        <v>10206069.466699256</v>
      </c>
      <c r="AR92" s="16">
        <f t="shared" si="69"/>
        <v>14101003.44589553</v>
      </c>
      <c r="AV92" s="16">
        <v>87</v>
      </c>
      <c r="AW92" s="16">
        <f>盗宝贼掉落!AI91</f>
        <v>563988.87608248997</v>
      </c>
      <c r="AX92" s="16">
        <f>盗宝贼掉落!AJ91</f>
        <v>708944.368710635</v>
      </c>
      <c r="AY92" s="16">
        <f>盗宝贼掉落!AK91</f>
        <v>785507.66213290731</v>
      </c>
      <c r="AZ92" s="16">
        <f>盗宝贼掉落!AL91</f>
        <v>645154.31218140665</v>
      </c>
      <c r="BA92" s="16">
        <f>盗宝贼掉落!AM91</f>
        <v>349652.68370486423</v>
      </c>
      <c r="BC92" s="16">
        <f>盗宝贼掉落!AI91/AW92</f>
        <v>1</v>
      </c>
      <c r="BG92" s="41">
        <f t="shared" si="70"/>
        <v>1.1111137326278644</v>
      </c>
      <c r="BH92" s="41">
        <f t="shared" si="71"/>
        <v>0.98404169991698676</v>
      </c>
      <c r="BI92" s="41">
        <f t="shared" si="72"/>
        <v>0.48526922735757066</v>
      </c>
      <c r="BJ92" s="41">
        <f t="shared" si="73"/>
        <v>6.3212808249683214E-2</v>
      </c>
      <c r="BK92" s="41">
        <f t="shared" si="74"/>
        <v>2.4796298011446831E-2</v>
      </c>
      <c r="BR92" s="16">
        <v>11</v>
      </c>
      <c r="BS92" s="17">
        <f>基础状态预期!C103</f>
        <v>100</v>
      </c>
      <c r="BT92" s="17">
        <f>求节点($E$5:$E$10,F$5:F$10,基础状态预期!M103)</f>
        <v>6</v>
      </c>
      <c r="BU92" s="17">
        <f>求节点($E$5:$E$10,G$5:G$10,基础状态预期!N103)</f>
        <v>32</v>
      </c>
      <c r="BV92" s="17">
        <f>求节点($E$5:$E$10,H$5:H$10,基础状态预期!O103)</f>
        <v>60</v>
      </c>
      <c r="BW92" s="17">
        <f>求节点($E$5:$E$10,I$5:I$10,基础状态预期!P103)</f>
        <v>72</v>
      </c>
      <c r="BX92" s="17">
        <f>MAX(SUMPRODUCT(BT92:BW92,基础状态预期!I103:L103)/6,BX91)</f>
        <v>72</v>
      </c>
      <c r="CA92" s="16">
        <v>87</v>
      </c>
      <c r="CB92" s="16">
        <f t="shared" si="75"/>
        <v>17.987888796024809</v>
      </c>
      <c r="CC92" s="16">
        <f t="shared" si="76"/>
        <v>21.954634263943117</v>
      </c>
      <c r="CD92" s="16">
        <f t="shared" si="77"/>
        <v>32.16359911340183</v>
      </c>
      <c r="CE92" s="16">
        <f t="shared" si="78"/>
        <v>63.297451636932287</v>
      </c>
      <c r="CF92" s="16">
        <f t="shared" si="79"/>
        <v>72</v>
      </c>
      <c r="CH92" s="16">
        <v>1</v>
      </c>
      <c r="CI92" s="17" t="s">
        <v>76</v>
      </c>
      <c r="CJ92" s="70" t="s">
        <v>54</v>
      </c>
      <c r="CK92" s="170" t="s">
        <v>414</v>
      </c>
      <c r="CL92" s="170"/>
      <c r="CP92" s="16">
        <v>110</v>
      </c>
      <c r="CQ92" s="16">
        <v>0</v>
      </c>
      <c r="CT92" s="17" t="s">
        <v>76</v>
      </c>
      <c r="CU92" s="17" t="s">
        <v>418</v>
      </c>
    </row>
    <row r="93" spans="31:100">
      <c r="AE93" s="17">
        <f>基础状态预期!C104</f>
        <v>105</v>
      </c>
      <c r="AF93" s="64">
        <f>求节点(P$7:P$9,Z$6:Z$8,基础状态预期!Q104)*P$6</f>
        <v>0</v>
      </c>
      <c r="AG93" s="64">
        <f>求节点(Q$7:Q$9,AA$6:AA$8,基础状态预期!R104)*Q$6</f>
        <v>0</v>
      </c>
      <c r="AH93" s="64">
        <f>求节点(R$7:R$9,AB$6:AB$8,基础状态预期!S104)*R$6</f>
        <v>0</v>
      </c>
      <c r="AI93" s="64">
        <f>求节点(S$7:S$9,AC$6:AC$8,基础状态预期!T104)*S$6</f>
        <v>2350167.2409825884</v>
      </c>
      <c r="AJ93" s="17">
        <f>SUMPRODUCT(AF93:AI93,基础状态预期!I104:L104)</f>
        <v>14101003.44589553</v>
      </c>
      <c r="AM93" s="16">
        <v>88</v>
      </c>
      <c r="AN93" s="16">
        <f t="shared" si="65"/>
        <v>536557.58984047791</v>
      </c>
      <c r="AO93" s="16">
        <f t="shared" si="66"/>
        <v>790224.94842556398</v>
      </c>
      <c r="AP93" s="16">
        <f t="shared" si="67"/>
        <v>1839089.9844161624</v>
      </c>
      <c r="AQ93" s="16">
        <f t="shared" si="68"/>
        <v>11504380.793098014</v>
      </c>
      <c r="AR93" s="16">
        <f t="shared" si="69"/>
        <v>14101003.44589553</v>
      </c>
      <c r="AV93" s="16">
        <v>88</v>
      </c>
      <c r="AW93" s="16">
        <f>盗宝贼掉落!AI92</f>
        <v>616507.59594462637</v>
      </c>
      <c r="AX93" s="16">
        <f>盗宝贼掉落!AJ92</f>
        <v>776828.69229157991</v>
      </c>
      <c r="AY93" s="16">
        <f>盗宝贼掉落!AK92</f>
        <v>856875.81266969314</v>
      </c>
      <c r="AZ93" s="16">
        <f>盗宝贼掉落!AL92</f>
        <v>698051.84702367138</v>
      </c>
      <c r="BA93" s="16">
        <f>盗宝贼掉落!AM92</f>
        <v>378957.85525207408</v>
      </c>
      <c r="BC93" s="16">
        <f>盗宝贼掉落!AI92/AW93</f>
        <v>1</v>
      </c>
      <c r="BG93" s="41">
        <f t="shared" si="70"/>
        <v>1.1490054518246926</v>
      </c>
      <c r="BH93" s="41">
        <f t="shared" si="71"/>
        <v>0.98304754087975244</v>
      </c>
      <c r="BI93" s="41">
        <f t="shared" si="72"/>
        <v>0.46592381010748474</v>
      </c>
      <c r="BJ93" s="41">
        <f t="shared" si="73"/>
        <v>6.067704638588315E-2</v>
      </c>
      <c r="BK93" s="41">
        <f t="shared" si="74"/>
        <v>2.687453107192735E-2</v>
      </c>
      <c r="BR93" s="16">
        <v>12</v>
      </c>
      <c r="BS93" s="17">
        <f>基础状态预期!C104</f>
        <v>105</v>
      </c>
      <c r="BT93" s="17">
        <f>求节点($E$5:$E$10,F$5:F$10,基础状态预期!M104)</f>
        <v>6</v>
      </c>
      <c r="BU93" s="17">
        <f>求节点($E$5:$E$10,G$5:G$10,基础状态预期!N104)</f>
        <v>32</v>
      </c>
      <c r="BV93" s="17">
        <f>求节点($E$5:$E$10,H$5:H$10,基础状态预期!O104)</f>
        <v>60</v>
      </c>
      <c r="BW93" s="17">
        <f>求节点($E$5:$E$10,I$5:I$10,基础状态预期!P104)</f>
        <v>72</v>
      </c>
      <c r="BX93" s="17">
        <f>MAX(SUMPRODUCT(BT93:BW93,基础状态预期!I104:L104)/6,BX92)</f>
        <v>72</v>
      </c>
      <c r="CA93" s="16">
        <v>88</v>
      </c>
      <c r="CB93" s="16">
        <f t="shared" si="75"/>
        <v>18.585249055628502</v>
      </c>
      <c r="CC93" s="16">
        <f t="shared" si="76"/>
        <v>23.268563363229038</v>
      </c>
      <c r="CD93" s="16">
        <f t="shared" si="77"/>
        <v>34.168486565994023</v>
      </c>
      <c r="CE93" s="16">
        <f t="shared" si="78"/>
        <v>66.198301091288187</v>
      </c>
      <c r="CF93" s="16">
        <f t="shared" si="79"/>
        <v>72</v>
      </c>
      <c r="CH93" s="16">
        <v>2</v>
      </c>
      <c r="CI93" s="17" t="s">
        <v>161</v>
      </c>
      <c r="CJ93" s="17" t="s">
        <v>461</v>
      </c>
      <c r="CK93" s="17" t="s">
        <v>461</v>
      </c>
      <c r="CL93" s="17" t="s">
        <v>413</v>
      </c>
      <c r="CP93" s="16">
        <v>115</v>
      </c>
      <c r="CQ93" s="16">
        <v>0</v>
      </c>
      <c r="CT93" s="17" t="s">
        <v>161</v>
      </c>
      <c r="CU93" s="17" t="s">
        <v>451</v>
      </c>
      <c r="CV93" s="17" t="s">
        <v>192</v>
      </c>
    </row>
    <row r="94" spans="31:100">
      <c r="AE94" s="17">
        <f>基础状态预期!C105</f>
        <v>110</v>
      </c>
      <c r="AF94" s="64">
        <f>求节点(P$7:P$9,Z$6:Z$8,基础状态预期!Q105)*P$6</f>
        <v>0</v>
      </c>
      <c r="AG94" s="64">
        <f>求节点(Q$7:Q$9,AA$6:AA$8,基础状态预期!R105)*Q$6</f>
        <v>0</v>
      </c>
      <c r="AH94" s="64">
        <f>求节点(R$7:R$9,AB$6:AB$8,基础状态预期!S105)*R$6</f>
        <v>0</v>
      </c>
      <c r="AI94" s="64">
        <f>求节点(S$7:S$9,AC$6:AC$8,基础状态预期!T105)*S$6</f>
        <v>2350167.2409825884</v>
      </c>
      <c r="AJ94" s="17">
        <f>SUMPRODUCT(AF94:AI94,基础状态预期!I105:L105)</f>
        <v>14101003.44589553</v>
      </c>
      <c r="AM94" s="16">
        <v>89</v>
      </c>
      <c r="AN94" s="16">
        <f t="shared" si="65"/>
        <v>565526.3887939821</v>
      </c>
      <c r="AO94" s="16">
        <f t="shared" si="66"/>
        <v>860008.50826928113</v>
      </c>
      <c r="AP94" s="16">
        <f t="shared" si="67"/>
        <v>2059475.0977029097</v>
      </c>
      <c r="AQ94" s="16">
        <f t="shared" si="68"/>
        <v>12802692.119496772</v>
      </c>
      <c r="AR94" s="16">
        <f t="shared" si="69"/>
        <v>14101003.44589553</v>
      </c>
      <c r="AV94" s="16">
        <v>89</v>
      </c>
      <c r="AW94" s="16">
        <f>盗宝贼掉落!AI93</f>
        <v>673733.90234981827</v>
      </c>
      <c r="AX94" s="16">
        <f>盗宝贼掉落!AJ93</f>
        <v>847205.40779578511</v>
      </c>
      <c r="AY94" s="16">
        <f>盗宝贼掉落!AK93</f>
        <v>926576.212509754</v>
      </c>
      <c r="AZ94" s="16">
        <f>盗宝贼掉落!AL93</f>
        <v>755342.48366401275</v>
      </c>
      <c r="BA94" s="16">
        <f>盗宝贼掉落!AM93</f>
        <v>408723.55444924411</v>
      </c>
      <c r="BC94" s="16">
        <f>盗宝贼掉落!AI93/AW94</f>
        <v>1</v>
      </c>
      <c r="BG94" s="41">
        <f t="shared" si="70"/>
        <v>1.1913394594841011</v>
      </c>
      <c r="BH94" s="41">
        <f t="shared" si="71"/>
        <v>0.98511282115189591</v>
      </c>
      <c r="BI94" s="41">
        <f t="shared" si="72"/>
        <v>0.4499089178321386</v>
      </c>
      <c r="BJ94" s="41">
        <f t="shared" si="73"/>
        <v>5.8998722816565125E-2</v>
      </c>
      <c r="BK94" s="41">
        <f t="shared" si="74"/>
        <v>2.8985423343628351E-2</v>
      </c>
      <c r="BR94" s="16">
        <v>13</v>
      </c>
      <c r="BS94" s="17">
        <f>基础状态预期!C105</f>
        <v>110</v>
      </c>
      <c r="BT94" s="17">
        <f>求节点($E$5:$E$10,F$5:F$10,基础状态预期!M105)</f>
        <v>6</v>
      </c>
      <c r="BU94" s="17">
        <f>求节点($E$5:$E$10,G$5:G$10,基础状态预期!N105)</f>
        <v>32</v>
      </c>
      <c r="BV94" s="17">
        <f>求节点($E$5:$E$10,H$5:H$10,基础状态预期!O105)</f>
        <v>60</v>
      </c>
      <c r="BW94" s="17">
        <f>求节点($E$5:$E$10,I$5:I$10,基础状态预期!P105)</f>
        <v>72</v>
      </c>
      <c r="BX94" s="17">
        <f>MAX(SUMPRODUCT(BT94:BW94,基础状态预期!I105:L105)/6,BX93)</f>
        <v>72</v>
      </c>
      <c r="CA94" s="16">
        <v>89</v>
      </c>
      <c r="CB94" s="16">
        <f t="shared" si="75"/>
        <v>19.182609315232192</v>
      </c>
      <c r="CC94" s="16">
        <f t="shared" si="76"/>
        <v>24.582492462514956</v>
      </c>
      <c r="CD94" s="16">
        <f t="shared" si="77"/>
        <v>36.173374018586216</v>
      </c>
      <c r="CE94" s="16">
        <f t="shared" si="78"/>
        <v>69.099150545644093</v>
      </c>
      <c r="CF94" s="16">
        <f t="shared" si="79"/>
        <v>72</v>
      </c>
      <c r="CH94" s="16">
        <v>3</v>
      </c>
      <c r="CI94" s="17">
        <v>10</v>
      </c>
      <c r="CJ94" s="17">
        <f>求节点($CA$6:$CA$165,$CD$6:$CD$165,$CI94)</f>
        <v>0</v>
      </c>
      <c r="CK94" s="51">
        <f>CJ94*(INDEX([3]中r将兵属性验证!$V$7:$V$166,$CI94,1)+INDEX([3]中r将兵属性验证!$AP$7:$AP$166,$CI94,1))</f>
        <v>0</v>
      </c>
      <c r="CL94" s="17">
        <f t="shared" ref="CL94:CL109" si="80">SUM(CK94:CK94)</f>
        <v>0</v>
      </c>
      <c r="CP94" s="16">
        <v>120</v>
      </c>
      <c r="CQ94" s="16">
        <v>0</v>
      </c>
      <c r="CT94" s="17">
        <v>10</v>
      </c>
      <c r="CU94" s="17">
        <f>求节点($CP$56:$CP$76,CQ$56:CQ$76,$CT94)</f>
        <v>0</v>
      </c>
      <c r="CV94" s="17">
        <f t="shared" ref="CV94:CV109" si="81">SUM(CU94:CU94)</f>
        <v>0</v>
      </c>
    </row>
    <row r="95" spans="31:100">
      <c r="AE95" s="17">
        <f>基础状态预期!C106</f>
        <v>115</v>
      </c>
      <c r="AF95" s="64">
        <f>求节点(P$7:P$9,Z$6:Z$8,基础状态预期!Q106)*P$6</f>
        <v>0</v>
      </c>
      <c r="AG95" s="64">
        <f>求节点(Q$7:Q$9,AA$6:AA$8,基础状态预期!R106)*Q$6</f>
        <v>0</v>
      </c>
      <c r="AH95" s="64">
        <f>求节点(R$7:R$9,AB$6:AB$8,基础状态预期!S106)*R$6</f>
        <v>0</v>
      </c>
      <c r="AI95" s="64">
        <f>求节点(S$7:S$9,AC$6:AC$8,基础状态预期!T106)*S$6</f>
        <v>2350167.2409825884</v>
      </c>
      <c r="AJ95" s="17">
        <f>SUMPRODUCT(AF95:AI95,基础状态预期!I106:L106)</f>
        <v>14101003.44589553</v>
      </c>
      <c r="AM95" s="16">
        <v>90</v>
      </c>
      <c r="AN95" s="16">
        <f t="shared" si="65"/>
        <v>594495.18774748628</v>
      </c>
      <c r="AO95" s="16">
        <f t="shared" si="66"/>
        <v>929792.06811299827</v>
      </c>
      <c r="AP95" s="16">
        <f t="shared" si="67"/>
        <v>2279860.2109896569</v>
      </c>
      <c r="AQ95" s="16">
        <f t="shared" si="68"/>
        <v>14101003.44589553</v>
      </c>
      <c r="AR95" s="16">
        <f t="shared" si="69"/>
        <v>14101003.44589553</v>
      </c>
      <c r="AV95" s="16">
        <v>90</v>
      </c>
      <c r="AW95" s="16">
        <f>盗宝贼掉落!AI94</f>
        <v>736073.00836574344</v>
      </c>
      <c r="AX95" s="16">
        <f>盗宝贼掉落!AJ94</f>
        <v>916976.35595033423</v>
      </c>
      <c r="AY95" s="16">
        <f>盗宝贼掉落!AK94</f>
        <v>1003980.3049123692</v>
      </c>
      <c r="AZ95" s="16">
        <f>盗宝贼掉落!AL94</f>
        <v>814681.7861173969</v>
      </c>
      <c r="BA95" s="16">
        <f>盗宝贼掉落!AM94</f>
        <v>440728.99321297114</v>
      </c>
      <c r="BC95" s="16">
        <f>盗宝贼掉落!AI94/AW95</f>
        <v>1</v>
      </c>
      <c r="BG95" s="41">
        <f t="shared" si="70"/>
        <v>1.2381479674456048</v>
      </c>
      <c r="BH95" s="41">
        <f t="shared" si="71"/>
        <v>0.98621658260790135</v>
      </c>
      <c r="BI95" s="41">
        <f t="shared" si="72"/>
        <v>0.44036923846157866</v>
      </c>
      <c r="BJ95" s="41">
        <f t="shared" si="73"/>
        <v>5.7774738460512294E-2</v>
      </c>
      <c r="BK95" s="41">
        <f t="shared" si="74"/>
        <v>3.1255151089354352E-2</v>
      </c>
      <c r="BR95" s="16">
        <v>14</v>
      </c>
      <c r="BS95" s="17">
        <f>基础状态预期!C106</f>
        <v>115</v>
      </c>
      <c r="BT95" s="17">
        <f>求节点($E$5:$E$10,F$5:F$10,基础状态预期!M106)</f>
        <v>6</v>
      </c>
      <c r="BU95" s="17">
        <f>求节点($E$5:$E$10,G$5:G$10,基础状态预期!N106)</f>
        <v>32</v>
      </c>
      <c r="BV95" s="17">
        <f>求节点($E$5:$E$10,H$5:H$10,基础状态预期!O106)</f>
        <v>60</v>
      </c>
      <c r="BW95" s="17">
        <f>求节点($E$5:$E$10,I$5:I$10,基础状态预期!P106)</f>
        <v>72</v>
      </c>
      <c r="BX95" s="17">
        <f>MAX(SUMPRODUCT(BT95:BW95,基础状态预期!I106:L106)/6,BX94)</f>
        <v>72</v>
      </c>
      <c r="CA95" s="16">
        <v>90</v>
      </c>
      <c r="CB95" s="16">
        <f t="shared" si="75"/>
        <v>19.779969574835881</v>
      </c>
      <c r="CC95" s="16">
        <f t="shared" si="76"/>
        <v>25.896421561800878</v>
      </c>
      <c r="CD95" s="16">
        <f t="shared" si="77"/>
        <v>38.178261471178416</v>
      </c>
      <c r="CE95" s="16">
        <f t="shared" si="78"/>
        <v>72</v>
      </c>
      <c r="CF95" s="16">
        <f t="shared" si="79"/>
        <v>72</v>
      </c>
      <c r="CH95" s="16">
        <v>4</v>
      </c>
      <c r="CI95" s="17">
        <v>20</v>
      </c>
      <c r="CJ95" s="17">
        <f t="shared" ref="CJ95:CJ109" si="82">求节点($CA$6:$CA$165,$CD$6:$CD$165,$CI95)</f>
        <v>0</v>
      </c>
      <c r="CK95" s="17">
        <f>(CJ95-CJ94)*(INDEX([3]中r将兵属性验证!$V$7:$V$166,$CI95,1)+INDEX([3]中r将兵属性验证!$AP$7:$AP$166,$CI95,1))+CK94</f>
        <v>0</v>
      </c>
      <c r="CL95" s="17">
        <f t="shared" si="80"/>
        <v>0</v>
      </c>
      <c r="CP95" s="16">
        <v>125</v>
      </c>
      <c r="CQ95" s="16">
        <v>0</v>
      </c>
      <c r="CT95" s="17">
        <v>20</v>
      </c>
      <c r="CU95" s="17">
        <f t="shared" ref="CU95:CU109" si="83">求节点($CP$56:$CP$76,CQ$56:CQ$76,$CT95)</f>
        <v>0</v>
      </c>
      <c r="CV95" s="17">
        <f t="shared" si="81"/>
        <v>0</v>
      </c>
    </row>
    <row r="96" spans="31:100">
      <c r="AE96" s="17">
        <f>基础状态预期!C107</f>
        <v>120</v>
      </c>
      <c r="AF96" s="64">
        <f>求节点(P$7:P$9,Z$6:Z$8,基础状态预期!Q107)*P$6</f>
        <v>0</v>
      </c>
      <c r="AG96" s="64">
        <f>求节点(Q$7:Q$9,AA$6:AA$8,基础状态预期!R107)*Q$6</f>
        <v>0</v>
      </c>
      <c r="AH96" s="64">
        <f>求节点(R$7:R$9,AB$6:AB$8,基础状态预期!S107)*R$6</f>
        <v>0</v>
      </c>
      <c r="AI96" s="64">
        <f>求节点(S$7:S$9,AC$6:AC$8,基础状态预期!T107)*S$6</f>
        <v>2350167.2409825884</v>
      </c>
      <c r="AJ96" s="17">
        <f>SUMPRODUCT(AF96:AI96,基础状态预期!I107:L107)</f>
        <v>14101003.44589553</v>
      </c>
      <c r="AM96" s="16">
        <v>91</v>
      </c>
      <c r="AN96" s="16">
        <f t="shared" si="65"/>
        <v>676755.11923607718</v>
      </c>
      <c r="AO96" s="16">
        <f t="shared" si="66"/>
        <v>1130150.5262700454</v>
      </c>
      <c r="AP96" s="16">
        <f t="shared" si="67"/>
        <v>2839490.2564469031</v>
      </c>
      <c r="AQ96" s="16">
        <f t="shared" si="68"/>
        <v>14101003.44589553</v>
      </c>
      <c r="AR96" s="16">
        <f t="shared" si="69"/>
        <v>14101003.44589553</v>
      </c>
      <c r="AV96" s="16">
        <v>91</v>
      </c>
      <c r="AW96" s="16">
        <f>盗宝贼掉落!AI95</f>
        <v>803964.04334775347</v>
      </c>
      <c r="AX96" s="16">
        <f>盗宝贼掉落!AJ95</f>
        <v>1001760.1563279331</v>
      </c>
      <c r="AY96" s="16">
        <f>盗宝贼掉落!AK95</f>
        <v>1092850.4907566721</v>
      </c>
      <c r="AZ96" s="16">
        <f>盗宝贼掉落!AL95</f>
        <v>888015.32847704401</v>
      </c>
      <c r="BA96" s="16">
        <f>盗宝贼掉落!AM95</f>
        <v>479659.67867329071</v>
      </c>
      <c r="BC96" s="16">
        <f>盗宝贼掉落!AI95/AW96</f>
        <v>1</v>
      </c>
      <c r="BG96" s="41">
        <f t="shared" si="70"/>
        <v>1.1879689129729378</v>
      </c>
      <c r="BH96" s="41">
        <f t="shared" si="71"/>
        <v>0.88639533676469395</v>
      </c>
      <c r="BI96" s="41">
        <f t="shared" si="72"/>
        <v>0.38487559105914043</v>
      </c>
      <c r="BJ96" s="41">
        <f t="shared" si="73"/>
        <v>6.29753288043855E-2</v>
      </c>
      <c r="BK96" s="41">
        <f t="shared" si="74"/>
        <v>3.4015996132027632E-2</v>
      </c>
      <c r="BR96" s="16">
        <v>15</v>
      </c>
      <c r="BS96" s="17">
        <f>基础状态预期!C107</f>
        <v>120</v>
      </c>
      <c r="BT96" s="17">
        <f>求节点($E$5:$E$10,F$5:F$10,基础状态预期!M107)</f>
        <v>6</v>
      </c>
      <c r="BU96" s="17">
        <f>求节点($E$5:$E$10,G$5:G$10,基础状态预期!N107)</f>
        <v>32</v>
      </c>
      <c r="BV96" s="17">
        <f>求节点($E$5:$E$10,H$5:H$10,基础状态预期!O107)</f>
        <v>60</v>
      </c>
      <c r="BW96" s="17">
        <f>求节点($E$5:$E$10,I$5:I$10,基础状态预期!P107)</f>
        <v>72</v>
      </c>
      <c r="BX96" s="17">
        <f>MAX(SUMPRODUCT(BT96:BW96,基础状态预期!I107:L107)/6,BX95)</f>
        <v>72</v>
      </c>
      <c r="CA96" s="16">
        <v>91</v>
      </c>
      <c r="CB96" s="16">
        <f t="shared" si="75"/>
        <v>21.141542464954661</v>
      </c>
      <c r="CC96" s="16">
        <f t="shared" si="76"/>
        <v>27.719122527347167</v>
      </c>
      <c r="CD96" s="16">
        <f t="shared" si="77"/>
        <v>40.910549406592786</v>
      </c>
      <c r="CE96" s="16">
        <f t="shared" si="78"/>
        <v>72</v>
      </c>
      <c r="CF96" s="16">
        <f t="shared" si="79"/>
        <v>72</v>
      </c>
      <c r="CH96" s="16">
        <v>5</v>
      </c>
      <c r="CI96" s="17">
        <v>30</v>
      </c>
      <c r="CJ96" s="17">
        <f t="shared" si="82"/>
        <v>0</v>
      </c>
      <c r="CK96" s="17">
        <f>(CJ96-CJ95)*(INDEX([3]中r将兵属性验证!$V$7:$V$166,$CI96,1)+INDEX([3]中r将兵属性验证!$AP$7:$AP$166,$CI96,1))+CK95</f>
        <v>0</v>
      </c>
      <c r="CL96" s="17">
        <f t="shared" si="80"/>
        <v>0</v>
      </c>
      <c r="CP96" s="16">
        <v>130</v>
      </c>
      <c r="CQ96" s="16">
        <v>0</v>
      </c>
      <c r="CT96" s="17">
        <v>30</v>
      </c>
      <c r="CU96" s="17">
        <f t="shared" si="83"/>
        <v>0</v>
      </c>
      <c r="CV96" s="17">
        <f t="shared" si="81"/>
        <v>0</v>
      </c>
    </row>
    <row r="97" spans="31:100">
      <c r="AE97" s="17">
        <f>基础状态预期!C108</f>
        <v>125</v>
      </c>
      <c r="AF97" s="64">
        <f>求节点(P$7:P$9,Z$6:Z$8,基础状态预期!Q108)*P$6</f>
        <v>0</v>
      </c>
      <c r="AG97" s="64">
        <f>求节点(Q$7:Q$9,AA$6:AA$8,基础状态预期!R108)*Q$6</f>
        <v>0</v>
      </c>
      <c r="AH97" s="64">
        <f>求节点(R$7:R$9,AB$6:AB$8,基础状态预期!S108)*R$6</f>
        <v>0</v>
      </c>
      <c r="AI97" s="64">
        <f>求节点(S$7:S$9,AC$6:AC$8,基础状态预期!T108)*S$6</f>
        <v>2350167.2409825884</v>
      </c>
      <c r="AJ97" s="17">
        <f>SUMPRODUCT(AF97:AI97,基础状态预期!I108:L108)</f>
        <v>14101003.44589553</v>
      </c>
      <c r="AM97" s="16">
        <v>92</v>
      </c>
      <c r="AN97" s="16">
        <f t="shared" si="65"/>
        <v>759015.05072466808</v>
      </c>
      <c r="AO97" s="16">
        <f t="shared" si="66"/>
        <v>1330508.9844270928</v>
      </c>
      <c r="AP97" s="16">
        <f t="shared" si="67"/>
        <v>3399120.3019041494</v>
      </c>
      <c r="AQ97" s="16">
        <f t="shared" si="68"/>
        <v>14101003.44589553</v>
      </c>
      <c r="AR97" s="16">
        <f t="shared" si="69"/>
        <v>14101003.44589553</v>
      </c>
      <c r="AV97" s="16">
        <v>92</v>
      </c>
      <c r="AW97" s="16">
        <f>盗宝贼掉落!AI96</f>
        <v>877882.83409095649</v>
      </c>
      <c r="AX97" s="16">
        <f>盗宝贼掉落!AJ96</f>
        <v>1091022.0713806502</v>
      </c>
      <c r="AY97" s="16">
        <f>盗宝贼掉落!AK96</f>
        <v>1191919.3291813505</v>
      </c>
      <c r="AZ97" s="16">
        <f>盗宝贼掉落!AL96</f>
        <v>967677.44666299643</v>
      </c>
      <c r="BA97" s="16">
        <f>盗宝贼掉落!AM96</f>
        <v>520647.35337357112</v>
      </c>
      <c r="BC97" s="16">
        <f>盗宝贼掉落!AI96/AW97</f>
        <v>1</v>
      </c>
      <c r="BG97" s="41">
        <f t="shared" si="70"/>
        <v>1.1566079397935518</v>
      </c>
      <c r="BH97" s="41">
        <f t="shared" si="71"/>
        <v>0.82000353560215611</v>
      </c>
      <c r="BI97" s="41">
        <f t="shared" si="72"/>
        <v>0.35065523527179976</v>
      </c>
      <c r="BJ97" s="41">
        <f t="shared" si="73"/>
        <v>6.8624722373546013E-2</v>
      </c>
      <c r="BK97" s="41">
        <f t="shared" si="74"/>
        <v>3.6922716554978169E-2</v>
      </c>
      <c r="BR97" s="16">
        <v>16</v>
      </c>
      <c r="BS97" s="17">
        <f>基础状态预期!C108</f>
        <v>125</v>
      </c>
      <c r="BT97" s="17">
        <f>求节点($E$5:$E$10,F$5:F$10,基础状态预期!M108)</f>
        <v>6</v>
      </c>
      <c r="BU97" s="17">
        <f>求节点($E$5:$E$10,G$5:G$10,基础状态预期!N108)</f>
        <v>32</v>
      </c>
      <c r="BV97" s="17">
        <f>求节点($E$5:$E$10,H$5:H$10,基础状态预期!O108)</f>
        <v>60</v>
      </c>
      <c r="BW97" s="17">
        <f>求节点($E$5:$E$10,I$5:I$10,基础状态预期!P108)</f>
        <v>72</v>
      </c>
      <c r="BX97" s="17">
        <f>MAX(SUMPRODUCT(BT97:BW97,基础状态预期!I108:L108)/6,BX96)</f>
        <v>72</v>
      </c>
      <c r="CA97" s="16">
        <v>92</v>
      </c>
      <c r="CB97" s="16">
        <f t="shared" si="75"/>
        <v>22.503115355073444</v>
      </c>
      <c r="CC97" s="16">
        <f t="shared" si="76"/>
        <v>29.54182349289346</v>
      </c>
      <c r="CD97" s="16">
        <f t="shared" si="77"/>
        <v>43.642837342007155</v>
      </c>
      <c r="CE97" s="16">
        <f t="shared" si="78"/>
        <v>72</v>
      </c>
      <c r="CF97" s="16">
        <f t="shared" si="79"/>
        <v>72</v>
      </c>
      <c r="CH97" s="16">
        <v>6</v>
      </c>
      <c r="CI97" s="17">
        <v>40</v>
      </c>
      <c r="CJ97" s="17">
        <f t="shared" si="82"/>
        <v>0</v>
      </c>
      <c r="CK97" s="17">
        <f>(CJ97-CJ96)*(INDEX([3]中r将兵属性验证!$V$7:$V$166,$CI97,1)+INDEX([3]中r将兵属性验证!$AP$7:$AP$166,$CI97,1))+CK96</f>
        <v>0</v>
      </c>
      <c r="CL97" s="17">
        <f t="shared" si="80"/>
        <v>0</v>
      </c>
      <c r="CP97" s="16">
        <v>135</v>
      </c>
      <c r="CQ97" s="16">
        <v>0</v>
      </c>
      <c r="CT97" s="17">
        <v>40</v>
      </c>
      <c r="CU97" s="17">
        <f t="shared" si="83"/>
        <v>0</v>
      </c>
      <c r="CV97" s="17">
        <f t="shared" si="81"/>
        <v>0</v>
      </c>
    </row>
    <row r="98" spans="31:100">
      <c r="AE98" s="17">
        <f>基础状态预期!C109</f>
        <v>130</v>
      </c>
      <c r="AF98" s="64">
        <f>求节点(P$7:P$9,Z$6:Z$8,基础状态预期!Q109)*P$6</f>
        <v>0</v>
      </c>
      <c r="AG98" s="64">
        <f>求节点(Q$7:Q$9,AA$6:AA$8,基础状态预期!R109)*Q$6</f>
        <v>0</v>
      </c>
      <c r="AH98" s="64">
        <f>求节点(R$7:R$9,AB$6:AB$8,基础状态预期!S109)*R$6</f>
        <v>0</v>
      </c>
      <c r="AI98" s="64">
        <f>求节点(S$7:S$9,AC$6:AC$8,基础状态预期!T109)*S$6</f>
        <v>2350167.2409825884</v>
      </c>
      <c r="AJ98" s="17">
        <f>SUMPRODUCT(AF98:AI98,基础状态预期!I109:L109)</f>
        <v>14101003.44589553</v>
      </c>
      <c r="AM98" s="16">
        <v>93</v>
      </c>
      <c r="AN98" s="16">
        <f t="shared" si="65"/>
        <v>841274.98221325898</v>
      </c>
      <c r="AO98" s="16">
        <f t="shared" si="66"/>
        <v>1530867.44258414</v>
      </c>
      <c r="AP98" s="16">
        <f t="shared" si="67"/>
        <v>3958750.3473613961</v>
      </c>
      <c r="AQ98" s="16">
        <f t="shared" si="68"/>
        <v>14101003.44589553</v>
      </c>
      <c r="AR98" s="16">
        <f t="shared" si="69"/>
        <v>14101003.44589553</v>
      </c>
      <c r="AV98" s="16">
        <v>93</v>
      </c>
      <c r="AW98" s="16">
        <f>盗宝贼掉落!AI97</f>
        <v>958757.53652357473</v>
      </c>
      <c r="AX98" s="16">
        <f>盗宝贼掉落!AJ97</f>
        <v>1191620.7238447713</v>
      </c>
      <c r="AY98" s="16">
        <f>盗宝贼掉落!AK97</f>
        <v>1300166.514040086</v>
      </c>
      <c r="AZ98" s="16">
        <f>盗宝贼掉落!AL97</f>
        <v>1053286.4676655538</v>
      </c>
      <c r="BA98" s="16">
        <f>盗宝贼掉落!AM97</f>
        <v>566569.88930604584</v>
      </c>
      <c r="BC98" s="16">
        <f>盗宝贼掉落!AI97/AW98</f>
        <v>1</v>
      </c>
      <c r="BG98" s="41">
        <f t="shared" si="70"/>
        <v>1.1396482206106238</v>
      </c>
      <c r="BH98" s="41">
        <f t="shared" si="71"/>
        <v>0.77839575831156727</v>
      </c>
      <c r="BI98" s="41">
        <f t="shared" si="72"/>
        <v>0.32842851909231374</v>
      </c>
      <c r="BJ98" s="41">
        <f t="shared" si="73"/>
        <v>7.4695852086479747E-2</v>
      </c>
      <c r="BK98" s="41">
        <f t="shared" si="74"/>
        <v>4.0179402230481762E-2</v>
      </c>
      <c r="BR98" s="16">
        <v>17</v>
      </c>
      <c r="BS98" s="17">
        <f>基础状态预期!C109</f>
        <v>130</v>
      </c>
      <c r="BT98" s="17">
        <f>求节点($E$5:$E$10,F$5:F$10,基础状态预期!M109)</f>
        <v>6</v>
      </c>
      <c r="BU98" s="17">
        <f>求节点($E$5:$E$10,G$5:G$10,基础状态预期!N109)</f>
        <v>32</v>
      </c>
      <c r="BV98" s="17">
        <f>求节点($E$5:$E$10,H$5:H$10,基础状态预期!O109)</f>
        <v>60</v>
      </c>
      <c r="BW98" s="17">
        <f>求节点($E$5:$E$10,I$5:I$10,基础状态预期!P109)</f>
        <v>72</v>
      </c>
      <c r="BX98" s="17">
        <f>MAX(SUMPRODUCT(BT98:BW98,基础状态预期!I109:L109)/6,BX97)</f>
        <v>72</v>
      </c>
      <c r="CA98" s="16">
        <v>93</v>
      </c>
      <c r="CB98" s="16">
        <f t="shared" si="75"/>
        <v>23.864688245192223</v>
      </c>
      <c r="CC98" s="16">
        <f t="shared" si="76"/>
        <v>31.36452445843975</v>
      </c>
      <c r="CD98" s="16">
        <f t="shared" si="77"/>
        <v>46.375125277421525</v>
      </c>
      <c r="CE98" s="16">
        <f t="shared" si="78"/>
        <v>72</v>
      </c>
      <c r="CF98" s="16">
        <f t="shared" si="79"/>
        <v>72</v>
      </c>
      <c r="CH98" s="16">
        <v>7</v>
      </c>
      <c r="CI98" s="17">
        <v>50</v>
      </c>
      <c r="CJ98" s="17">
        <f t="shared" si="82"/>
        <v>0</v>
      </c>
      <c r="CK98" s="17">
        <f>(CJ98-CJ97)*(INDEX([3]中r将兵属性验证!$V$7:$V$166,$CI98,1)+INDEX([3]中r将兵属性验证!$AP$7:$AP$166,$CI98,1))+CK97</f>
        <v>0</v>
      </c>
      <c r="CL98" s="17">
        <f t="shared" si="80"/>
        <v>0</v>
      </c>
      <c r="CP98" s="16">
        <v>140</v>
      </c>
      <c r="CQ98" s="16">
        <v>0</v>
      </c>
      <c r="CT98" s="17">
        <v>50</v>
      </c>
      <c r="CU98" s="17">
        <f t="shared" si="83"/>
        <v>0</v>
      </c>
      <c r="CV98" s="17">
        <f t="shared" si="81"/>
        <v>0</v>
      </c>
    </row>
    <row r="99" spans="31:100">
      <c r="AE99" s="17">
        <f>基础状态预期!C110</f>
        <v>135</v>
      </c>
      <c r="AF99" s="64">
        <f>求节点(P$7:P$9,Z$6:Z$8,基础状态预期!Q110)*P$6</f>
        <v>0</v>
      </c>
      <c r="AG99" s="64">
        <f>求节点(Q$7:Q$9,AA$6:AA$8,基础状态预期!R110)*Q$6</f>
        <v>0</v>
      </c>
      <c r="AH99" s="64">
        <f>求节点(R$7:R$9,AB$6:AB$8,基础状态预期!S110)*R$6</f>
        <v>0</v>
      </c>
      <c r="AI99" s="64">
        <f>求节点(S$7:S$9,AC$6:AC$8,基础状态预期!T110)*S$6</f>
        <v>2350167.2409825884</v>
      </c>
      <c r="AJ99" s="17">
        <f>SUMPRODUCT(AF99:AI99,基础状态预期!I110:L110)</f>
        <v>14101003.44589553</v>
      </c>
      <c r="AM99" s="16">
        <v>94</v>
      </c>
      <c r="AN99" s="16">
        <f t="shared" si="65"/>
        <v>923534.91370184987</v>
      </c>
      <c r="AO99" s="16">
        <f t="shared" si="66"/>
        <v>1731225.9007411874</v>
      </c>
      <c r="AP99" s="16">
        <f t="shared" si="67"/>
        <v>4518380.3928186428</v>
      </c>
      <c r="AQ99" s="16">
        <f t="shared" si="68"/>
        <v>14101003.44589553</v>
      </c>
      <c r="AR99" s="16">
        <f t="shared" si="69"/>
        <v>14101003.44589553</v>
      </c>
      <c r="AV99" s="16">
        <v>94</v>
      </c>
      <c r="AW99" s="16">
        <f>盗宝贼掉落!AI98</f>
        <v>1047205.8629090836</v>
      </c>
      <c r="AX99" s="16">
        <f>盗宝贼掉落!AJ98</f>
        <v>1299706.2843837568</v>
      </c>
      <c r="AY99" s="16">
        <f>盗宝贼掉落!AK98</f>
        <v>1417610.23993803</v>
      </c>
      <c r="AZ99" s="16">
        <f>盗宝贼掉落!AL98</f>
        <v>1146004.4841832034</v>
      </c>
      <c r="BA99" s="16">
        <f>盗宝贼掉落!AM98</f>
        <v>616003.94159810105</v>
      </c>
      <c r="BC99" s="16">
        <f>盗宝贼掉落!AI98/AW99</f>
        <v>1</v>
      </c>
      <c r="BG99" s="41">
        <f t="shared" si="70"/>
        <v>1.1339104211139321</v>
      </c>
      <c r="BH99" s="41">
        <f t="shared" si="71"/>
        <v>0.7507433223054919</v>
      </c>
      <c r="BI99" s="41">
        <f t="shared" si="72"/>
        <v>0.31374300450469611</v>
      </c>
      <c r="BJ99" s="41">
        <f t="shared" si="73"/>
        <v>8.1271130000097849E-2</v>
      </c>
      <c r="BK99" s="41">
        <f t="shared" si="74"/>
        <v>4.3685113897153557E-2</v>
      </c>
      <c r="BR99" s="16">
        <v>18</v>
      </c>
      <c r="BS99" s="17">
        <f>基础状态预期!C110</f>
        <v>135</v>
      </c>
      <c r="BT99" s="17">
        <f>求节点($E$5:$E$10,F$5:F$10,基础状态预期!M110)</f>
        <v>6</v>
      </c>
      <c r="BU99" s="17">
        <f>求节点($E$5:$E$10,G$5:G$10,基础状态预期!N110)</f>
        <v>32</v>
      </c>
      <c r="BV99" s="17">
        <f>求节点($E$5:$E$10,H$5:H$10,基础状态预期!O110)</f>
        <v>60</v>
      </c>
      <c r="BW99" s="17">
        <f>求节点($E$5:$E$10,I$5:I$10,基础状态预期!P110)</f>
        <v>72</v>
      </c>
      <c r="BX99" s="17">
        <f>MAX(SUMPRODUCT(BT99:BW99,基础状态预期!I110:L110)/6,BX98)</f>
        <v>72</v>
      </c>
      <c r="CA99" s="16">
        <v>94</v>
      </c>
      <c r="CB99" s="16">
        <f t="shared" si="75"/>
        <v>25.226261135311006</v>
      </c>
      <c r="CC99" s="16">
        <f t="shared" si="76"/>
        <v>33.187225423986042</v>
      </c>
      <c r="CD99" s="16">
        <f t="shared" si="77"/>
        <v>49.107413212835894</v>
      </c>
      <c r="CE99" s="16">
        <f t="shared" si="78"/>
        <v>72</v>
      </c>
      <c r="CF99" s="16">
        <f t="shared" si="79"/>
        <v>72</v>
      </c>
      <c r="CH99" s="16">
        <v>8</v>
      </c>
      <c r="CI99" s="17">
        <v>60</v>
      </c>
      <c r="CJ99" s="17">
        <f t="shared" si="82"/>
        <v>13.26381659539785</v>
      </c>
      <c r="CK99" s="17">
        <f>(CJ99-CJ98)*(INDEX([3]中r将兵属性验证!$V$7:$V$166,$CI99,1)+INDEX([3]中r将兵属性验证!$AP$7:$AP$166,$CI99,1))+CK98</f>
        <v>730730487.82124054</v>
      </c>
      <c r="CL99" s="17">
        <f t="shared" si="80"/>
        <v>730730487.82124054</v>
      </c>
      <c r="CP99" s="16">
        <v>145</v>
      </c>
      <c r="CQ99" s="16">
        <v>0</v>
      </c>
      <c r="CT99" s="17">
        <v>60</v>
      </c>
      <c r="CU99" s="17">
        <f t="shared" si="83"/>
        <v>0</v>
      </c>
      <c r="CV99" s="17">
        <f t="shared" si="81"/>
        <v>0</v>
      </c>
    </row>
    <row r="100" spans="31:100">
      <c r="AE100" s="17">
        <f>基础状态预期!C111</f>
        <v>140</v>
      </c>
      <c r="AF100" s="64">
        <f>求节点(P$7:P$9,Z$6:Z$8,基础状态预期!Q111)*P$6</f>
        <v>0</v>
      </c>
      <c r="AG100" s="64">
        <f>求节点(Q$7:Q$9,AA$6:AA$8,基础状态预期!R111)*Q$6</f>
        <v>0</v>
      </c>
      <c r="AH100" s="64">
        <f>求节点(R$7:R$9,AB$6:AB$8,基础状态预期!S111)*R$6</f>
        <v>0</v>
      </c>
      <c r="AI100" s="64">
        <f>求节点(S$7:S$9,AC$6:AC$8,基础状态预期!T111)*S$6</f>
        <v>2350167.2409825884</v>
      </c>
      <c r="AJ100" s="17">
        <f>SUMPRODUCT(AF100:AI100,基础状态预期!I111:L111)</f>
        <v>14101003.44589553</v>
      </c>
      <c r="AM100" s="16">
        <v>95</v>
      </c>
      <c r="AN100" s="16">
        <f t="shared" si="65"/>
        <v>1005794.8451904408</v>
      </c>
      <c r="AO100" s="16">
        <f t="shared" si="66"/>
        <v>1931584.3588982346</v>
      </c>
      <c r="AP100" s="16">
        <f t="shared" si="67"/>
        <v>5078010.4382758886</v>
      </c>
      <c r="AQ100" s="16">
        <f t="shared" si="68"/>
        <v>14101003.44589553</v>
      </c>
      <c r="AR100" s="16">
        <f t="shared" si="69"/>
        <v>14101003.44589553</v>
      </c>
      <c r="AV100" s="16">
        <v>95</v>
      </c>
      <c r="AW100" s="16">
        <f>盗宝贼掉落!AI99</f>
        <v>1143898.3633153355</v>
      </c>
      <c r="AX100" s="16">
        <f>盗宝贼掉落!AJ99</f>
        <v>1421281.4784374745</v>
      </c>
      <c r="AY100" s="16">
        <f>盗宝贼掉落!AK99</f>
        <v>1543488.9453932578</v>
      </c>
      <c r="AZ100" s="16">
        <f>盗宝贼掉落!AL99</f>
        <v>1247297.2159606952</v>
      </c>
      <c r="BA100" s="16">
        <f>盗宝贼掉落!AM99</f>
        <v>674951.21837837331</v>
      </c>
      <c r="BC100" s="16">
        <f>盗宝贼掉落!AI99/AW100</f>
        <v>1</v>
      </c>
      <c r="BG100" s="41">
        <f t="shared" si="70"/>
        <v>1.1373078404460759</v>
      </c>
      <c r="BH100" s="41">
        <f t="shared" si="71"/>
        <v>0.73581123800783199</v>
      </c>
      <c r="BI100" s="41">
        <f t="shared" si="72"/>
        <v>0.30395544951209491</v>
      </c>
      <c r="BJ100" s="41">
        <f t="shared" si="73"/>
        <v>8.8454500472003927E-2</v>
      </c>
      <c r="BK100" s="41">
        <f t="shared" si="74"/>
        <v>4.786547432373231E-2</v>
      </c>
      <c r="BR100" s="16">
        <v>19</v>
      </c>
      <c r="BS100" s="17">
        <f>基础状态预期!C111</f>
        <v>140</v>
      </c>
      <c r="BT100" s="17">
        <f>求节点($E$5:$E$10,F$5:F$10,基础状态预期!M111)</f>
        <v>6</v>
      </c>
      <c r="BU100" s="17">
        <f>求节点($E$5:$E$10,G$5:G$10,基础状态预期!N111)</f>
        <v>32</v>
      </c>
      <c r="BV100" s="17">
        <f>求节点($E$5:$E$10,H$5:H$10,基础状态预期!O111)</f>
        <v>60</v>
      </c>
      <c r="BW100" s="17">
        <f>求节点($E$5:$E$10,I$5:I$10,基础状态预期!P111)</f>
        <v>72</v>
      </c>
      <c r="BX100" s="17">
        <f>MAX(SUMPRODUCT(BT100:BW100,基础状态预期!I111:L111)/6,BX99)</f>
        <v>72</v>
      </c>
      <c r="CA100" s="16">
        <v>95</v>
      </c>
      <c r="CB100" s="16">
        <f t="shared" si="75"/>
        <v>26.587834025429785</v>
      </c>
      <c r="CC100" s="16">
        <f t="shared" si="76"/>
        <v>35.009926389532332</v>
      </c>
      <c r="CD100" s="16">
        <f t="shared" si="77"/>
        <v>51.839701148250263</v>
      </c>
      <c r="CE100" s="16">
        <f t="shared" si="78"/>
        <v>72</v>
      </c>
      <c r="CF100" s="16">
        <f t="shared" si="79"/>
        <v>72</v>
      </c>
      <c r="CH100" s="16">
        <v>9</v>
      </c>
      <c r="CI100" s="17">
        <v>70</v>
      </c>
      <c r="CJ100" s="17">
        <f t="shared" si="82"/>
        <v>18.138455135102262</v>
      </c>
      <c r="CK100" s="17">
        <f>(CJ100-CJ99)*(INDEX([3]中r将兵属性验证!$V$7:$V$166,$CI100,1)+INDEX([3]中r将兵属性验证!$AP$7:$AP$166,$CI100,1))+CK99</f>
        <v>1808205725.5383458</v>
      </c>
      <c r="CL100" s="17">
        <f t="shared" si="80"/>
        <v>1808205725.5383458</v>
      </c>
      <c r="CP100" s="16">
        <v>150</v>
      </c>
      <c r="CQ100" s="16">
        <v>0</v>
      </c>
      <c r="CT100" s="17">
        <v>70</v>
      </c>
      <c r="CU100" s="17">
        <f t="shared" si="83"/>
        <v>0</v>
      </c>
      <c r="CV100" s="17">
        <f t="shared" si="81"/>
        <v>0</v>
      </c>
    </row>
    <row r="101" spans="31:100">
      <c r="AE101" s="17">
        <f>基础状态预期!C112</f>
        <v>145</v>
      </c>
      <c r="AF101" s="64">
        <f>求节点(P$7:P$9,Z$6:Z$8,基础状态预期!Q112)*P$6</f>
        <v>0</v>
      </c>
      <c r="AG101" s="64">
        <f>求节点(Q$7:Q$9,AA$6:AA$8,基础状态预期!R112)*Q$6</f>
        <v>0</v>
      </c>
      <c r="AH101" s="64">
        <f>求节点(R$7:R$9,AB$6:AB$8,基础状态预期!S112)*R$6</f>
        <v>0</v>
      </c>
      <c r="AI101" s="64">
        <f>求节点(S$7:S$9,AC$6:AC$8,基础状态预期!T112)*S$6</f>
        <v>2350167.2409825884</v>
      </c>
      <c r="AJ101" s="17">
        <f>SUMPRODUCT(AF101:AI101,基础状态预期!I112:L112)</f>
        <v>14101003.44589553</v>
      </c>
      <c r="AM101" s="16">
        <v>96</v>
      </c>
      <c r="AN101" s="16">
        <f t="shared" si="65"/>
        <v>1201500.5135736694</v>
      </c>
      <c r="AO101" s="16">
        <f t="shared" si="66"/>
        <v>2208626.9949380136</v>
      </c>
      <c r="AP101" s="16">
        <f t="shared" si="67"/>
        <v>6882609.0397998169</v>
      </c>
      <c r="AQ101" s="16">
        <f t="shared" si="68"/>
        <v>14101003.44589553</v>
      </c>
      <c r="AR101" s="16">
        <f t="shared" si="69"/>
        <v>14101003.44589553</v>
      </c>
      <c r="AV101" s="16">
        <v>96</v>
      </c>
      <c r="AW101" s="16">
        <f>盗宝贼掉落!AI100</f>
        <v>1249562.8282174612</v>
      </c>
      <c r="AX101" s="16">
        <f>盗宝贼掉落!AJ100</f>
        <v>1548262.3551123498</v>
      </c>
      <c r="AY101" s="16">
        <f>盗宝贼掉落!AK100</f>
        <v>1680317.382797271</v>
      </c>
      <c r="AZ101" s="16">
        <f>盗宝贼掉落!AL100</f>
        <v>1362525.8616352913</v>
      </c>
      <c r="BA101" s="16">
        <f>盗宝贼掉落!AM100</f>
        <v>738757.20574602671</v>
      </c>
      <c r="BC101" s="16">
        <f>盗宝贼掉落!AI100/AW101</f>
        <v>1</v>
      </c>
      <c r="BG101" s="41">
        <f t="shared" si="70"/>
        <v>1.0400019093631832</v>
      </c>
      <c r="BH101" s="41">
        <f t="shared" si="71"/>
        <v>0.70100671533076264</v>
      </c>
      <c r="BI101" s="41">
        <f t="shared" si="72"/>
        <v>0.24413959489498238</v>
      </c>
      <c r="BJ101" s="41">
        <f t="shared" si="73"/>
        <v>9.6626163298463019E-2</v>
      </c>
      <c r="BK101" s="41">
        <f t="shared" si="74"/>
        <v>5.2390399632237628E-2</v>
      </c>
      <c r="BR101" s="16">
        <v>20</v>
      </c>
      <c r="BS101" s="17">
        <f>基础状态预期!C112</f>
        <v>145</v>
      </c>
      <c r="BT101" s="17">
        <f>求节点($E$5:$E$10,F$5:F$10,基础状态预期!M112)</f>
        <v>6</v>
      </c>
      <c r="BU101" s="17">
        <f>求节点($E$5:$E$10,G$5:G$10,基础状态预期!N112)</f>
        <v>32</v>
      </c>
      <c r="BV101" s="17">
        <f>求节点($E$5:$E$10,H$5:H$10,基础状态预期!O112)</f>
        <v>60</v>
      </c>
      <c r="BW101" s="17">
        <f>求节点($E$5:$E$10,I$5:I$10,基础状态预期!P112)</f>
        <v>72</v>
      </c>
      <c r="BX101" s="17">
        <f>MAX(SUMPRODUCT(BT101:BW101,基础状态预期!I112:L112)/6,BX100)</f>
        <v>72</v>
      </c>
      <c r="CA101" s="16">
        <v>96</v>
      </c>
      <c r="CB101" s="16">
        <f t="shared" si="75"/>
        <v>28.368207631845692</v>
      </c>
      <c r="CC101" s="16">
        <f t="shared" si="76"/>
        <v>37.530238658113412</v>
      </c>
      <c r="CD101" s="16">
        <f t="shared" si="77"/>
        <v>55.871760918600209</v>
      </c>
      <c r="CE101" s="16">
        <f t="shared" si="78"/>
        <v>72</v>
      </c>
      <c r="CF101" s="16">
        <f t="shared" si="79"/>
        <v>72</v>
      </c>
      <c r="CH101" s="16">
        <v>10</v>
      </c>
      <c r="CI101" s="17">
        <v>80</v>
      </c>
      <c r="CJ101" s="17">
        <f t="shared" si="82"/>
        <v>20.792646616000056</v>
      </c>
      <c r="CK101" s="17">
        <f>(CJ101-CJ100)*(INDEX([3]中r将兵属性验证!$V$7:$V$166,$CI101,1)+INDEX([3]中r将兵属性验证!$AP$7:$AP$166,$CI101,1))+CK100</f>
        <v>3405852167.9086719</v>
      </c>
      <c r="CL101" s="17">
        <f t="shared" si="80"/>
        <v>3405852167.9086719</v>
      </c>
      <c r="CP101" s="16">
        <v>155</v>
      </c>
      <c r="CQ101" s="16">
        <v>0</v>
      </c>
      <c r="CT101" s="17">
        <v>80</v>
      </c>
      <c r="CU101" s="17">
        <f t="shared" si="83"/>
        <v>0</v>
      </c>
      <c r="CV101" s="17">
        <f t="shared" si="81"/>
        <v>0</v>
      </c>
    </row>
    <row r="102" spans="31:100">
      <c r="AE102" s="17">
        <f>基础状态预期!C113</f>
        <v>150</v>
      </c>
      <c r="AF102" s="64">
        <f>求节点(P$7:P$9,Z$6:Z$8,基础状态预期!Q113)*P$6</f>
        <v>0</v>
      </c>
      <c r="AG102" s="64">
        <f>求节点(Q$7:Q$9,AA$6:AA$8,基础状态预期!R113)*Q$6</f>
        <v>0</v>
      </c>
      <c r="AH102" s="64">
        <f>求节点(R$7:R$9,AB$6:AB$8,基础状态预期!S113)*R$6</f>
        <v>0</v>
      </c>
      <c r="AI102" s="64">
        <f>求节点(S$7:S$9,AC$6:AC$8,基础状态预期!T113)*S$6</f>
        <v>2350167.2409825884</v>
      </c>
      <c r="AJ102" s="17">
        <f>SUMPRODUCT(AF102:AI102,基础状态预期!I113:L113)</f>
        <v>14101003.44589553</v>
      </c>
      <c r="AM102" s="16">
        <v>97</v>
      </c>
      <c r="AN102" s="16">
        <f t="shared" si="65"/>
        <v>1397206.1819568977</v>
      </c>
      <c r="AO102" s="16">
        <f t="shared" si="66"/>
        <v>2485669.6309777927</v>
      </c>
      <c r="AP102" s="16">
        <f t="shared" si="67"/>
        <v>8687207.6413237453</v>
      </c>
      <c r="AQ102" s="16">
        <f t="shared" si="68"/>
        <v>14101003.44589553</v>
      </c>
      <c r="AR102" s="16">
        <f t="shared" si="69"/>
        <v>14101003.44589553</v>
      </c>
      <c r="AV102" s="16">
        <v>97</v>
      </c>
      <c r="AW102" s="16">
        <f>盗宝贼掉落!AI101</f>
        <v>1364989.0508906406</v>
      </c>
      <c r="AX102" s="16">
        <f>盗宝贼掉落!AJ101</f>
        <v>1689145.10408164</v>
      </c>
      <c r="AY102" s="16">
        <f>盗宝贼掉落!AK101</f>
        <v>1841566.9789698538</v>
      </c>
      <c r="AZ102" s="16">
        <f>盗宝贼掉落!AL101</f>
        <v>1497573.702406873</v>
      </c>
      <c r="BA102" s="16">
        <f>盗宝贼掉落!AM101</f>
        <v>815062.77410784632</v>
      </c>
      <c r="BC102" s="16">
        <f>盗宝贼掉落!AI101/AW102</f>
        <v>1</v>
      </c>
      <c r="BG102" s="41">
        <f t="shared" si="70"/>
        <v>0.97694174883972063</v>
      </c>
      <c r="BH102" s="41">
        <f t="shared" si="71"/>
        <v>0.67955334169536352</v>
      </c>
      <c r="BI102" s="41">
        <f t="shared" si="72"/>
        <v>0.21198606675519019</v>
      </c>
      <c r="BJ102" s="41">
        <f t="shared" si="73"/>
        <v>0.10620334277294155</v>
      </c>
      <c r="BK102" s="41">
        <f t="shared" si="74"/>
        <v>5.7801756962558001E-2</v>
      </c>
      <c r="BR102" s="16">
        <v>21</v>
      </c>
      <c r="BS102" s="17">
        <f>基础状态预期!C113</f>
        <v>150</v>
      </c>
      <c r="BT102" s="17">
        <f>求节点($E$5:$E$10,F$5:F$10,基础状态预期!M113)</f>
        <v>6</v>
      </c>
      <c r="BU102" s="17">
        <f>求节点($E$5:$E$10,G$5:G$10,基础状态预期!N113)</f>
        <v>32</v>
      </c>
      <c r="BV102" s="17">
        <f>求节点($E$5:$E$10,H$5:H$10,基础状态预期!O113)</f>
        <v>60</v>
      </c>
      <c r="BW102" s="17">
        <f>求节点($E$5:$E$10,I$5:I$10,基础状态预期!P113)</f>
        <v>72</v>
      </c>
      <c r="BX102" s="17">
        <f>MAX(SUMPRODUCT(BT102:BW102,基础状态预期!I113:L113)/6,BX101)</f>
        <v>72</v>
      </c>
      <c r="CA102" s="16">
        <v>97</v>
      </c>
      <c r="CB102" s="16">
        <f t="shared" si="75"/>
        <v>30.148581238261599</v>
      </c>
      <c r="CC102" s="16">
        <f t="shared" si="76"/>
        <v>40.050550926694491</v>
      </c>
      <c r="CD102" s="16">
        <f t="shared" si="77"/>
        <v>59.903820688950162</v>
      </c>
      <c r="CE102" s="16">
        <f t="shared" si="78"/>
        <v>72</v>
      </c>
      <c r="CF102" s="16">
        <f t="shared" si="79"/>
        <v>72</v>
      </c>
      <c r="CH102" s="16">
        <v>11</v>
      </c>
      <c r="CI102" s="17">
        <v>90</v>
      </c>
      <c r="CJ102" s="17">
        <f t="shared" si="82"/>
        <v>38.178261471178416</v>
      </c>
      <c r="CK102" s="17">
        <f>(CJ102-CJ101)*(INDEX([3]中r将兵属性验证!$V$7:$V$166,$CI102,1)+INDEX([3]中r将兵属性验证!$AP$7:$AP$166,$CI102,1))+CK101</f>
        <v>31689197237.495728</v>
      </c>
      <c r="CL102" s="17">
        <f t="shared" si="80"/>
        <v>31689197237.495728</v>
      </c>
      <c r="CP102" s="16">
        <v>160</v>
      </c>
      <c r="CQ102" s="16">
        <v>0</v>
      </c>
      <c r="CT102" s="17">
        <v>90</v>
      </c>
      <c r="CU102" s="17">
        <f t="shared" si="83"/>
        <v>0</v>
      </c>
      <c r="CV102" s="17">
        <f t="shared" si="81"/>
        <v>0</v>
      </c>
    </row>
    <row r="103" spans="31:100">
      <c r="AE103" s="17">
        <f>基础状态预期!C114</f>
        <v>155</v>
      </c>
      <c r="AF103" s="64">
        <f>求节点(P$7:P$9,Z$6:Z$8,基础状态预期!Q114)*P$6</f>
        <v>0</v>
      </c>
      <c r="AG103" s="64">
        <f>求节点(Q$7:Q$9,AA$6:AA$8,基础状态预期!R114)*Q$6</f>
        <v>0</v>
      </c>
      <c r="AH103" s="64">
        <f>求节点(R$7:R$9,AB$6:AB$8,基础状态预期!S114)*R$6</f>
        <v>0</v>
      </c>
      <c r="AI103" s="64">
        <f>求节点(S$7:S$9,AC$6:AC$8,基础状态预期!T114)*S$6</f>
        <v>2350167.2409825884</v>
      </c>
      <c r="AJ103" s="17">
        <f>SUMPRODUCT(AF103:AI103,基础状态预期!I114:L114)</f>
        <v>14101003.44589553</v>
      </c>
      <c r="AM103" s="16">
        <v>98</v>
      </c>
      <c r="AN103" s="16">
        <f t="shared" si="65"/>
        <v>1592911.8503401263</v>
      </c>
      <c r="AO103" s="16">
        <f t="shared" ref="AO103:AO134" si="84">求节点($AE$32:$AE$52,$AJ$32:$AJ$52,$AM103)</f>
        <v>2762712.2670175722</v>
      </c>
      <c r="AP103" s="16">
        <f t="shared" ref="AP103:AP134" si="85">求节点($AE$58:$AE$78,$AJ$58:$AJ$78,$AM103)</f>
        <v>10491806.242847674</v>
      </c>
      <c r="AQ103" s="16">
        <f t="shared" ref="AQ103:AQ134" si="86">求节点($AE$84:$AE$104,$AJ$84:$AJ$104,$AM103)</f>
        <v>14101003.44589553</v>
      </c>
      <c r="AR103" s="16">
        <f t="shared" si="69"/>
        <v>14101003.44589553</v>
      </c>
      <c r="AV103" s="16">
        <v>98</v>
      </c>
      <c r="AW103" s="16">
        <f>盗宝贼掉落!AI102</f>
        <v>1491033.9785597678</v>
      </c>
      <c r="AX103" s="16">
        <f>盗宝贼掉落!AJ102</f>
        <v>1851019.783880735</v>
      </c>
      <c r="AY103" s="16">
        <f>盗宝贼掉落!AK102</f>
        <v>2023976.1747168787</v>
      </c>
      <c r="AZ103" s="16">
        <f>盗宝贼掉落!AL102</f>
        <v>1649427.5244590295</v>
      </c>
      <c r="BA103" s="16">
        <f>盗宝贼掉落!AM102</f>
        <v>897662.07763460989</v>
      </c>
      <c r="BC103" s="16">
        <f>盗宝贼掉落!AI102/AW103</f>
        <v>1</v>
      </c>
      <c r="BG103" s="41">
        <f t="shared" si="70"/>
        <v>0.93604299462107399</v>
      </c>
      <c r="BH103" s="41">
        <f t="shared" si="71"/>
        <v>0.67000092842783243</v>
      </c>
      <c r="BI103" s="41">
        <f t="shared" si="72"/>
        <v>0.19291017465144625</v>
      </c>
      <c r="BJ103" s="41">
        <f t="shared" si="73"/>
        <v>0.11697235099528601</v>
      </c>
      <c r="BK103" s="41">
        <f t="shared" si="74"/>
        <v>6.3659446725112187E-2</v>
      </c>
      <c r="BR103" s="16">
        <v>22</v>
      </c>
      <c r="BS103" s="17">
        <f>基础状态预期!C114</f>
        <v>155</v>
      </c>
      <c r="BT103" s="17">
        <f>求节点($E$5:$E$10,F$5:F$10,基础状态预期!M114)</f>
        <v>6</v>
      </c>
      <c r="BU103" s="17">
        <f>求节点($E$5:$E$10,G$5:G$10,基础状态预期!N114)</f>
        <v>32</v>
      </c>
      <c r="BV103" s="17">
        <f>求节点($E$5:$E$10,H$5:H$10,基础状态预期!O114)</f>
        <v>60</v>
      </c>
      <c r="BW103" s="17">
        <f>求节点($E$5:$E$10,I$5:I$10,基础状态预期!P114)</f>
        <v>72</v>
      </c>
      <c r="BX103" s="17">
        <f>MAX(SUMPRODUCT(BT103:BW103,基础状态预期!I114:L114)/6,BX102)</f>
        <v>72</v>
      </c>
      <c r="CA103" s="16">
        <v>98</v>
      </c>
      <c r="CB103" s="16">
        <f t="shared" si="75"/>
        <v>31.928954844677506</v>
      </c>
      <c r="CC103" s="16">
        <f t="shared" si="76"/>
        <v>42.570863195275571</v>
      </c>
      <c r="CD103" s="16">
        <f t="shared" si="77"/>
        <v>63.935880459300108</v>
      </c>
      <c r="CE103" s="16">
        <f t="shared" si="78"/>
        <v>72</v>
      </c>
      <c r="CF103" s="16">
        <f t="shared" si="79"/>
        <v>72</v>
      </c>
      <c r="CH103" s="16">
        <v>12</v>
      </c>
      <c r="CI103" s="17">
        <v>100</v>
      </c>
      <c r="CJ103" s="17">
        <f t="shared" si="82"/>
        <v>72</v>
      </c>
      <c r="CK103" s="17">
        <f>(CJ103-CJ102)*(INDEX([3]中r将兵属性验证!$V$7:$V$166,$CI103,1)+INDEX([3]中r将兵属性验证!$AP$7:$AP$166,$CI103,1))+CK102</f>
        <v>160048686434.99048</v>
      </c>
      <c r="CL103" s="17">
        <f t="shared" si="80"/>
        <v>160048686434.99048</v>
      </c>
      <c r="CT103" s="17">
        <v>100</v>
      </c>
      <c r="CU103" s="17">
        <f t="shared" si="83"/>
        <v>0</v>
      </c>
      <c r="CV103" s="17">
        <f t="shared" si="81"/>
        <v>0</v>
      </c>
    </row>
    <row r="104" spans="31:100">
      <c r="AE104" s="17">
        <f>基础状态预期!C115</f>
        <v>160</v>
      </c>
      <c r="AF104" s="64">
        <f>求节点(P$7:P$9,Z$6:Z$8,基础状态预期!Q115)*P$6</f>
        <v>0</v>
      </c>
      <c r="AG104" s="64">
        <f>求节点(Q$7:Q$9,AA$6:AA$8,基础状态预期!R115)*Q$6</f>
        <v>0</v>
      </c>
      <c r="AH104" s="64">
        <f>求节点(R$7:R$9,AB$6:AB$8,基础状态预期!S115)*R$6</f>
        <v>0</v>
      </c>
      <c r="AI104" s="64">
        <f>求节点(S$7:S$9,AC$6:AC$8,基础状态预期!T115)*S$6</f>
        <v>2350167.2409825884</v>
      </c>
      <c r="AJ104" s="17">
        <f>SUMPRODUCT(AF104:AI104,基础状态预期!I115:L115)</f>
        <v>14101003.44589553</v>
      </c>
      <c r="AM104" s="16">
        <v>99</v>
      </c>
      <c r="AN104" s="16">
        <f t="shared" si="65"/>
        <v>1788617.5187233547</v>
      </c>
      <c r="AO104" s="16">
        <f t="shared" si="84"/>
        <v>3039754.9030573512</v>
      </c>
      <c r="AP104" s="16">
        <f t="shared" si="85"/>
        <v>12296404.844371602</v>
      </c>
      <c r="AQ104" s="16">
        <f t="shared" si="86"/>
        <v>14101003.44589553</v>
      </c>
      <c r="AR104" s="16">
        <f t="shared" si="69"/>
        <v>14101003.44589553</v>
      </c>
      <c r="AV104" s="16">
        <v>99</v>
      </c>
      <c r="AW104" s="16">
        <f>盗宝贼掉落!AI103</f>
        <v>1628627.2835777155</v>
      </c>
      <c r="AX104" s="16">
        <f>盗宝贼掉落!AJ103</f>
        <v>2026931.0678619968</v>
      </c>
      <c r="AY104" s="16">
        <f>盗宝贼掉落!AK103</f>
        <v>2218258.1453552782</v>
      </c>
      <c r="AZ104" s="16">
        <f>盗宝贼掉落!AL103</f>
        <v>1810604.710038306</v>
      </c>
      <c r="BA104" s="16">
        <f>盗宝贼掉落!AM103</f>
        <v>978671.54036052967</v>
      </c>
      <c r="BC104" s="16">
        <f>盗宝贼掉落!AI103/AW104</f>
        <v>1</v>
      </c>
      <c r="BG104" s="41">
        <f t="shared" si="70"/>
        <v>0.91055089561023983</v>
      </c>
      <c r="BH104" s="41">
        <f t="shared" si="71"/>
        <v>0.66680740142020412</v>
      </c>
      <c r="BI104" s="41">
        <f t="shared" si="72"/>
        <v>0.1803989193126343</v>
      </c>
      <c r="BJ104" s="41">
        <f t="shared" si="73"/>
        <v>0.12840254361935713</v>
      </c>
      <c r="BK104" s="41">
        <f t="shared" si="74"/>
        <v>6.9404389844709799E-2</v>
      </c>
      <c r="BR104" s="16">
        <v>23</v>
      </c>
      <c r="BS104" s="17">
        <f>基础状态预期!C115</f>
        <v>160</v>
      </c>
      <c r="BT104" s="17">
        <f>求节点($E$5:$E$10,F$5:F$10,基础状态预期!M115)</f>
        <v>6</v>
      </c>
      <c r="BU104" s="17">
        <f>求节点($E$5:$E$10,G$5:G$10,基础状态预期!N115)</f>
        <v>32</v>
      </c>
      <c r="BV104" s="17">
        <f>求节点($E$5:$E$10,H$5:H$10,基础状态预期!O115)</f>
        <v>60</v>
      </c>
      <c r="BW104" s="17">
        <f>求节点($E$5:$E$10,I$5:I$10,基础状态预期!P115)</f>
        <v>72</v>
      </c>
      <c r="BX104" s="17">
        <f>MAX(SUMPRODUCT(BT104:BW104,基础状态预期!I115:L115)/6,BX103)</f>
        <v>72</v>
      </c>
      <c r="CA104" s="16">
        <v>99</v>
      </c>
      <c r="CB104" s="16">
        <f t="shared" si="75"/>
        <v>33.709328451093413</v>
      </c>
      <c r="CC104" s="16">
        <f t="shared" si="76"/>
        <v>45.091175463856651</v>
      </c>
      <c r="CD104" s="16">
        <f t="shared" si="77"/>
        <v>67.967940229650054</v>
      </c>
      <c r="CE104" s="16">
        <f t="shared" si="78"/>
        <v>72</v>
      </c>
      <c r="CF104" s="16">
        <f t="shared" si="79"/>
        <v>72</v>
      </c>
      <c r="CH104" s="16">
        <v>13</v>
      </c>
      <c r="CI104" s="17">
        <v>110</v>
      </c>
      <c r="CJ104" s="17">
        <f t="shared" si="82"/>
        <v>72</v>
      </c>
      <c r="CK104" s="17">
        <f>(CJ104-CJ103)*(INDEX([3]中r将兵属性验证!$V$7:$V$166,$CI104,1)+INDEX([3]中r将兵属性验证!$AP$7:$AP$166,$CI104,1))+CK103</f>
        <v>160048686434.99048</v>
      </c>
      <c r="CL104" s="17">
        <f t="shared" si="80"/>
        <v>160048686434.99048</v>
      </c>
      <c r="CT104" s="17">
        <v>110</v>
      </c>
      <c r="CU104" s="17">
        <f t="shared" si="83"/>
        <v>0</v>
      </c>
      <c r="CV104" s="17">
        <f t="shared" si="81"/>
        <v>0</v>
      </c>
    </row>
    <row r="105" spans="31:100">
      <c r="AM105" s="16">
        <v>100</v>
      </c>
      <c r="AN105" s="16">
        <f t="shared" si="65"/>
        <v>1984323.1871065833</v>
      </c>
      <c r="AO105" s="16">
        <f t="shared" si="84"/>
        <v>3316797.5390971303</v>
      </c>
      <c r="AP105" s="16">
        <f t="shared" si="85"/>
        <v>14101003.44589553</v>
      </c>
      <c r="AQ105" s="16">
        <f t="shared" si="86"/>
        <v>14101003.44589553</v>
      </c>
      <c r="AR105" s="16">
        <f t="shared" si="69"/>
        <v>14101003.44589553</v>
      </c>
      <c r="AV105" s="16">
        <v>100</v>
      </c>
      <c r="AW105" s="16">
        <f>盗宝贼掉落!AI104</f>
        <v>1778777.3883902661</v>
      </c>
      <c r="AX105" s="16">
        <f>盗宝贼掉落!AJ104</f>
        <v>2214678.7691102182</v>
      </c>
      <c r="AY105" s="16">
        <f>盗宝贼掉落!AK104</f>
        <v>2426344.6007921007</v>
      </c>
      <c r="AZ105" s="16">
        <f>盗宝贼掉落!AL104</f>
        <v>1971548.5202821002</v>
      </c>
      <c r="BA105" s="16">
        <f>盗宝贼掉落!AM104</f>
        <v>1062893.2168309097</v>
      </c>
      <c r="BC105" s="16">
        <f>盗宝贼掉落!AI104/AW105</f>
        <v>1</v>
      </c>
      <c r="BG105" s="41">
        <f t="shared" si="70"/>
        <v>0.89641516056866155</v>
      </c>
      <c r="BH105" s="41">
        <f t="shared" si="71"/>
        <v>0.6677159950236452</v>
      </c>
      <c r="BI105" s="41">
        <f t="shared" si="72"/>
        <v>0.17206893183891481</v>
      </c>
      <c r="BJ105" s="41">
        <f t="shared" si="73"/>
        <v>0.13981618597901779</v>
      </c>
      <c r="BK105" s="41">
        <f t="shared" si="74"/>
        <v>7.5377133330202323E-2</v>
      </c>
      <c r="BR105" s="16">
        <v>24</v>
      </c>
      <c r="CA105" s="16">
        <v>100</v>
      </c>
      <c r="CB105" s="16">
        <f t="shared" si="75"/>
        <v>35.489702057509319</v>
      </c>
      <c r="CC105" s="16">
        <f t="shared" si="76"/>
        <v>47.61148773243773</v>
      </c>
      <c r="CD105" s="16">
        <f t="shared" si="77"/>
        <v>72</v>
      </c>
      <c r="CE105" s="16">
        <f t="shared" si="78"/>
        <v>72</v>
      </c>
      <c r="CF105" s="16">
        <f t="shared" si="79"/>
        <v>72</v>
      </c>
      <c r="CH105" s="16">
        <v>14</v>
      </c>
      <c r="CI105" s="17">
        <v>120</v>
      </c>
      <c r="CJ105" s="17">
        <f t="shared" si="82"/>
        <v>72</v>
      </c>
      <c r="CK105" s="17">
        <f>(CJ105-CJ104)*(INDEX([3]中r将兵属性验证!$V$7:$V$166,$CI105,1)+INDEX([3]中r将兵属性验证!$AP$7:$AP$166,$CI105,1))+CK104</f>
        <v>160048686434.99048</v>
      </c>
      <c r="CL105" s="17">
        <f t="shared" si="80"/>
        <v>160048686434.99048</v>
      </c>
      <c r="CT105" s="17">
        <v>120</v>
      </c>
      <c r="CU105" s="17">
        <f t="shared" si="83"/>
        <v>0</v>
      </c>
      <c r="CV105" s="17">
        <f t="shared" si="81"/>
        <v>0</v>
      </c>
    </row>
    <row r="106" spans="31:100" ht="11.25" customHeight="1">
      <c r="AM106" s="16">
        <v>101</v>
      </c>
      <c r="AN106" s="16">
        <f t="shared" si="65"/>
        <v>2265312.812595123</v>
      </c>
      <c r="AO106" s="16">
        <f t="shared" si="84"/>
        <v>4832555.1315373993</v>
      </c>
      <c r="AP106" s="16">
        <f t="shared" si="85"/>
        <v>14101003.44589553</v>
      </c>
      <c r="AQ106" s="16">
        <f t="shared" si="86"/>
        <v>14101003.44589553</v>
      </c>
      <c r="AR106" s="16">
        <f t="shared" si="69"/>
        <v>14101003.44589553</v>
      </c>
      <c r="AV106" s="16">
        <v>101</v>
      </c>
      <c r="AW106" s="16">
        <f>盗宝贼掉落!AI105</f>
        <v>1939704.2861253987</v>
      </c>
      <c r="AX106" s="16">
        <f>盗宝贼掉落!AJ105</f>
        <v>2418046.8645202061</v>
      </c>
      <c r="AY106" s="16">
        <f>盗宝贼掉落!AK105</f>
        <v>2641039.9601051616</v>
      </c>
      <c r="AZ106" s="16">
        <f>盗宝贼掉落!AL105</f>
        <v>2137123.8495364273</v>
      </c>
      <c r="BA106" s="16">
        <f>盗宝贼掉落!AM105</f>
        <v>1154303.6501894728</v>
      </c>
      <c r="BC106" s="16">
        <f>盗宝贼掉落!AI105/AW106</f>
        <v>1</v>
      </c>
      <c r="BG106" s="41">
        <f t="shared" si="70"/>
        <v>0.85626332722821186</v>
      </c>
      <c r="BH106" s="41">
        <f t="shared" si="71"/>
        <v>0.50036612075875964</v>
      </c>
      <c r="BI106" s="41">
        <f t="shared" si="72"/>
        <v>0.18729446952045856</v>
      </c>
      <c r="BJ106" s="41">
        <f t="shared" si="73"/>
        <v>0.15155828148942788</v>
      </c>
      <c r="BK106" s="41">
        <f t="shared" si="74"/>
        <v>8.1859681448802388E-2</v>
      </c>
      <c r="BR106" s="16">
        <v>25</v>
      </c>
      <c r="CA106" s="16">
        <v>101</v>
      </c>
      <c r="CB106" s="16">
        <f t="shared" si="75"/>
        <v>38.005063467133418</v>
      </c>
      <c r="CC106" s="16">
        <f t="shared" si="76"/>
        <v>51.056801096137825</v>
      </c>
      <c r="CD106" s="16">
        <f t="shared" si="77"/>
        <v>72</v>
      </c>
      <c r="CE106" s="16">
        <f t="shared" si="78"/>
        <v>72</v>
      </c>
      <c r="CF106" s="16">
        <f t="shared" si="79"/>
        <v>72</v>
      </c>
      <c r="CH106" s="16">
        <v>15</v>
      </c>
      <c r="CI106" s="17">
        <v>130</v>
      </c>
      <c r="CJ106" s="17">
        <f t="shared" si="82"/>
        <v>72</v>
      </c>
      <c r="CK106" s="17">
        <f>(CJ106-CJ105)*(INDEX([3]中r将兵属性验证!$V$7:$V$166,$CI106,1)+INDEX([3]中r将兵属性验证!$AP$7:$AP$166,$CI106,1))+CK105</f>
        <v>160048686434.99048</v>
      </c>
      <c r="CL106" s="17">
        <f t="shared" si="80"/>
        <v>160048686434.99048</v>
      </c>
      <c r="CP106" s="16" t="s">
        <v>258</v>
      </c>
      <c r="CQ106" s="174" t="s">
        <v>450</v>
      </c>
      <c r="CT106" s="17">
        <v>130</v>
      </c>
      <c r="CU106" s="17">
        <f t="shared" si="83"/>
        <v>0</v>
      </c>
      <c r="CV106" s="17">
        <f t="shared" si="81"/>
        <v>0</v>
      </c>
    </row>
    <row r="107" spans="31:100">
      <c r="AM107" s="16">
        <v>102</v>
      </c>
      <c r="AN107" s="16">
        <f t="shared" si="65"/>
        <v>2546302.4380836631</v>
      </c>
      <c r="AO107" s="16">
        <f t="shared" si="84"/>
        <v>6348312.7239776682</v>
      </c>
      <c r="AP107" s="16">
        <f t="shared" si="85"/>
        <v>14101003.44589553</v>
      </c>
      <c r="AQ107" s="16">
        <f t="shared" si="86"/>
        <v>14101003.44589553</v>
      </c>
      <c r="AR107" s="16">
        <f t="shared" si="69"/>
        <v>14101003.44589553</v>
      </c>
      <c r="AV107" s="16">
        <v>102</v>
      </c>
      <c r="AW107" s="16">
        <f>盗宝贼掉落!AI106</f>
        <v>2112181.4645262077</v>
      </c>
      <c r="AX107" s="16">
        <f>盗宝贼掉落!AJ106</f>
        <v>2625717.6955575412</v>
      </c>
      <c r="AY107" s="16">
        <f>盗宝贼掉落!AK106</f>
        <v>2857533.0351273688</v>
      </c>
      <c r="AZ107" s="16">
        <f>盗宝贼掉落!AL106</f>
        <v>2313616.7165059391</v>
      </c>
      <c r="BA107" s="16">
        <f>盗宝贼掉落!AM106</f>
        <v>1253040.7959945209</v>
      </c>
      <c r="BC107" s="16">
        <f>盗宝贼掉落!AI106/AW107</f>
        <v>1</v>
      </c>
      <c r="BG107" s="41">
        <f t="shared" si="70"/>
        <v>0.82950926525280588</v>
      </c>
      <c r="BH107" s="41">
        <f t="shared" si="71"/>
        <v>0.4136087508166017</v>
      </c>
      <c r="BI107" s="41">
        <f t="shared" si="72"/>
        <v>0.20264749569713275</v>
      </c>
      <c r="BJ107" s="41">
        <f t="shared" si="73"/>
        <v>0.16407461535507803</v>
      </c>
      <c r="BK107" s="41">
        <f t="shared" si="74"/>
        <v>8.8861817586410957E-2</v>
      </c>
      <c r="BR107" s="16">
        <v>26</v>
      </c>
      <c r="CA107" s="16">
        <v>102</v>
      </c>
      <c r="CB107" s="16">
        <f t="shared" si="75"/>
        <v>40.520424876757517</v>
      </c>
      <c r="CC107" s="16">
        <f t="shared" si="76"/>
        <v>54.502114459837919</v>
      </c>
      <c r="CD107" s="16">
        <f t="shared" si="77"/>
        <v>72</v>
      </c>
      <c r="CE107" s="16">
        <f t="shared" si="78"/>
        <v>72</v>
      </c>
      <c r="CF107" s="16">
        <f t="shared" si="79"/>
        <v>72</v>
      </c>
      <c r="CH107" s="16">
        <v>16</v>
      </c>
      <c r="CI107" s="17">
        <v>140</v>
      </c>
      <c r="CJ107" s="17">
        <f t="shared" si="82"/>
        <v>72</v>
      </c>
      <c r="CK107" s="17">
        <f>(CJ107-CJ106)*(INDEX([3]中r将兵属性验证!$V$7:$V$166,$CI107,1)+INDEX([3]中r将兵属性验证!$AP$7:$AP$166,$CI107,1))+CK106</f>
        <v>160048686434.99048</v>
      </c>
      <c r="CL107" s="17">
        <f t="shared" si="80"/>
        <v>160048686434.99048</v>
      </c>
      <c r="CP107" s="16" t="s">
        <v>161</v>
      </c>
      <c r="CQ107" s="174"/>
      <c r="CT107" s="17">
        <v>140</v>
      </c>
      <c r="CU107" s="17">
        <f t="shared" si="83"/>
        <v>0</v>
      </c>
      <c r="CV107" s="17">
        <f t="shared" si="81"/>
        <v>0</v>
      </c>
    </row>
    <row r="108" spans="31:100">
      <c r="AE108" s="16" t="s">
        <v>78</v>
      </c>
      <c r="AF108" s="179" t="s">
        <v>402</v>
      </c>
      <c r="AG108" s="179"/>
      <c r="AH108" s="179"/>
      <c r="AI108" s="179"/>
      <c r="AJ108" s="178" t="s">
        <v>453</v>
      </c>
      <c r="AM108" s="16">
        <v>103</v>
      </c>
      <c r="AN108" s="16">
        <f t="shared" si="65"/>
        <v>2827292.0635722028</v>
      </c>
      <c r="AO108" s="16">
        <f t="shared" si="84"/>
        <v>7864070.3164179381</v>
      </c>
      <c r="AP108" s="16">
        <f t="shared" si="85"/>
        <v>14101003.44589553</v>
      </c>
      <c r="AQ108" s="16">
        <f t="shared" si="86"/>
        <v>14101003.44589553</v>
      </c>
      <c r="AR108" s="16">
        <f t="shared" si="69"/>
        <v>14101003.44589553</v>
      </c>
      <c r="AV108" s="16">
        <v>103</v>
      </c>
      <c r="AW108" s="16">
        <f>盗宝贼掉落!AI107</f>
        <v>2297037.9272293355</v>
      </c>
      <c r="AX108" s="16">
        <f>盗宝贼掉落!AJ107</f>
        <v>2846147.8647567322</v>
      </c>
      <c r="AY108" s="16">
        <f>盗宝贼掉落!AK107</f>
        <v>3096940.7186676571</v>
      </c>
      <c r="AZ108" s="16">
        <f>盗宝贼掉落!AL107</f>
        <v>2514711.0500201099</v>
      </c>
      <c r="BA108" s="16">
        <f>盗宝贼掉落!AM107</f>
        <v>1362238.8433442372</v>
      </c>
      <c r="BC108" s="16">
        <f>盗宝贼掉落!AI107/AW108</f>
        <v>1</v>
      </c>
      <c r="BG108" s="41">
        <f t="shared" si="70"/>
        <v>0.81245158815573293</v>
      </c>
      <c r="BH108" s="41">
        <f t="shared" si="71"/>
        <v>0.36191790640716759</v>
      </c>
      <c r="BI108" s="41">
        <f t="shared" si="72"/>
        <v>0.21962555576632412</v>
      </c>
      <c r="BJ108" s="41">
        <f t="shared" si="73"/>
        <v>0.17833560992087291</v>
      </c>
      <c r="BK108" s="41">
        <f t="shared" si="74"/>
        <v>9.6605808839849108E-2</v>
      </c>
      <c r="BR108" s="16">
        <v>1</v>
      </c>
      <c r="BS108" s="69" t="s">
        <v>78</v>
      </c>
      <c r="BT108" s="170" t="s">
        <v>459</v>
      </c>
      <c r="BU108" s="170"/>
      <c r="BV108" s="170"/>
      <c r="BW108" s="170"/>
      <c r="BX108" s="170"/>
      <c r="CA108" s="16">
        <v>103</v>
      </c>
      <c r="CB108" s="16">
        <f t="shared" si="75"/>
        <v>43.035786286381615</v>
      </c>
      <c r="CC108" s="16">
        <f t="shared" si="76"/>
        <v>57.947427823538007</v>
      </c>
      <c r="CD108" s="16">
        <f t="shared" si="77"/>
        <v>72</v>
      </c>
      <c r="CE108" s="16">
        <f t="shared" si="78"/>
        <v>72</v>
      </c>
      <c r="CF108" s="16">
        <f t="shared" si="79"/>
        <v>72</v>
      </c>
      <c r="CH108" s="16">
        <v>17</v>
      </c>
      <c r="CI108" s="17">
        <v>150</v>
      </c>
      <c r="CJ108" s="17">
        <f t="shared" si="82"/>
        <v>72</v>
      </c>
      <c r="CK108" s="17">
        <f>(CJ108-CJ107)*(INDEX([3]中r将兵属性验证!$V$7:$V$166,$CI108,1)+INDEX([3]中r将兵属性验证!$AP$7:$AP$166,$CI108,1))+CK107</f>
        <v>160048686434.99048</v>
      </c>
      <c r="CL108" s="17">
        <f t="shared" si="80"/>
        <v>160048686434.99048</v>
      </c>
      <c r="CP108" s="16">
        <v>50</v>
      </c>
      <c r="CQ108" s="16">
        <v>0</v>
      </c>
      <c r="CT108" s="17">
        <v>150</v>
      </c>
      <c r="CU108" s="17">
        <f t="shared" si="83"/>
        <v>0</v>
      </c>
      <c r="CV108" s="17">
        <f t="shared" si="81"/>
        <v>0</v>
      </c>
    </row>
    <row r="109" spans="31:100">
      <c r="AE109" s="17" t="s">
        <v>161</v>
      </c>
      <c r="AF109" s="64" t="s">
        <v>1</v>
      </c>
      <c r="AG109" s="64" t="s">
        <v>2</v>
      </c>
      <c r="AH109" s="64" t="s">
        <v>0</v>
      </c>
      <c r="AI109" s="64" t="s">
        <v>205</v>
      </c>
      <c r="AJ109" s="178"/>
      <c r="AM109" s="16">
        <v>104</v>
      </c>
      <c r="AN109" s="16">
        <f t="shared" si="65"/>
        <v>3108281.689060743</v>
      </c>
      <c r="AO109" s="16">
        <f t="shared" si="84"/>
        <v>9379827.9088582061</v>
      </c>
      <c r="AP109" s="16">
        <f t="shared" si="85"/>
        <v>14101003.44589553</v>
      </c>
      <c r="AQ109" s="16">
        <f t="shared" si="86"/>
        <v>14101003.44589553</v>
      </c>
      <c r="AR109" s="16">
        <f t="shared" si="69"/>
        <v>14101003.44589553</v>
      </c>
      <c r="AV109" s="16">
        <v>104</v>
      </c>
      <c r="AW109" s="16">
        <f>盗宝贼掉落!AI108</f>
        <v>2495162.178332875</v>
      </c>
      <c r="AX109" s="16">
        <f>盗宝贼掉落!AJ108</f>
        <v>3092901.4998302558</v>
      </c>
      <c r="AY109" s="16">
        <f>盗宝贼掉落!AK108</f>
        <v>3373762.1127552842</v>
      </c>
      <c r="AZ109" s="16">
        <f>盗宝贼掉落!AL108</f>
        <v>2740652.4583923202</v>
      </c>
      <c r="BA109" s="16">
        <f>盗宝贼掉落!AM108</f>
        <v>1483157.4030998594</v>
      </c>
      <c r="BC109" s="16">
        <f>盗宝贼掉落!AI108/AW109</f>
        <v>1</v>
      </c>
      <c r="BG109" s="41">
        <f t="shared" si="70"/>
        <v>0.80274647793805987</v>
      </c>
      <c r="BH109" s="41">
        <f t="shared" si="71"/>
        <v>0.32973968497965228</v>
      </c>
      <c r="BI109" s="41">
        <f t="shared" si="72"/>
        <v>0.23925688166095066</v>
      </c>
      <c r="BJ109" s="41">
        <f t="shared" si="73"/>
        <v>0.19435868297656927</v>
      </c>
      <c r="BK109" s="41">
        <f t="shared" si="74"/>
        <v>0.10518098295561877</v>
      </c>
      <c r="BR109" s="16">
        <v>2</v>
      </c>
      <c r="BS109" s="17" t="s">
        <v>161</v>
      </c>
      <c r="BT109" s="17" t="s">
        <v>1</v>
      </c>
      <c r="BU109" s="17" t="s">
        <v>2</v>
      </c>
      <c r="BV109" s="17" t="s">
        <v>0</v>
      </c>
      <c r="BW109" s="17" t="s">
        <v>205</v>
      </c>
      <c r="BX109" s="71" t="s">
        <v>172</v>
      </c>
      <c r="CA109" s="16">
        <v>104</v>
      </c>
      <c r="CB109" s="16">
        <f t="shared" si="75"/>
        <v>45.551147696005714</v>
      </c>
      <c r="CC109" s="16">
        <f t="shared" si="76"/>
        <v>61.392741187238101</v>
      </c>
      <c r="CD109" s="16">
        <f t="shared" si="77"/>
        <v>72</v>
      </c>
      <c r="CE109" s="16">
        <f t="shared" si="78"/>
        <v>72</v>
      </c>
      <c r="CF109" s="16">
        <f t="shared" si="79"/>
        <v>72</v>
      </c>
      <c r="CH109" s="16">
        <v>18</v>
      </c>
      <c r="CI109" s="17">
        <v>160</v>
      </c>
      <c r="CJ109" s="17">
        <f t="shared" si="82"/>
        <v>72</v>
      </c>
      <c r="CK109" s="17">
        <f>(CJ109-CJ108)*(INDEX([3]中r将兵属性验证!$V$7:$V$166,$CI109,1)+INDEX([3]中r将兵属性验证!$AP$7:$AP$166,$CI109,1))+CK108</f>
        <v>160048686434.99048</v>
      </c>
      <c r="CL109" s="17">
        <f t="shared" si="80"/>
        <v>160048686434.99048</v>
      </c>
      <c r="CP109" s="16">
        <v>60</v>
      </c>
      <c r="CQ109" s="16">
        <v>0</v>
      </c>
      <c r="CT109" s="17">
        <v>160</v>
      </c>
      <c r="CU109" s="17">
        <f t="shared" si="83"/>
        <v>0</v>
      </c>
      <c r="CV109" s="17">
        <f t="shared" si="81"/>
        <v>0</v>
      </c>
    </row>
    <row r="110" spans="31:100">
      <c r="AE110" s="17">
        <f>基础状态预期!C121</f>
        <v>50</v>
      </c>
      <c r="AF110" s="64">
        <f>求节点(P$7:P$9,Z$6:Z$8,基础状态预期!Q121)*P$6</f>
        <v>0</v>
      </c>
      <c r="AG110" s="64">
        <f>求节点(Q$7:Q$9,AA$6:AA$8,基础状态预期!R121)*Q$6</f>
        <v>0</v>
      </c>
      <c r="AH110" s="64">
        <f>求节点(R$7:R$9,AB$6:AB$8,基础状态预期!S121)*R$6</f>
        <v>0</v>
      </c>
      <c r="AI110" s="64">
        <f>求节点(S$7:S$9,AC$6:AC$8,基础状态预期!T121)*S$6</f>
        <v>0</v>
      </c>
      <c r="AJ110" s="17">
        <f>SUMPRODUCT(AF110:AI110,基础状态预期!I121:L121)</f>
        <v>0</v>
      </c>
      <c r="AM110" s="16">
        <v>105</v>
      </c>
      <c r="AN110" s="16">
        <f t="shared" si="65"/>
        <v>3389271.3145492827</v>
      </c>
      <c r="AO110" s="16">
        <f t="shared" si="84"/>
        <v>10895585.501298476</v>
      </c>
      <c r="AP110" s="16">
        <f t="shared" si="85"/>
        <v>14101003.44589553</v>
      </c>
      <c r="AQ110" s="16">
        <f t="shared" si="86"/>
        <v>14101003.44589553</v>
      </c>
      <c r="AR110" s="16">
        <f t="shared" si="69"/>
        <v>14101003.44589553</v>
      </c>
      <c r="AV110" s="16">
        <v>105</v>
      </c>
      <c r="AW110" s="16">
        <f>盗宝贼掉落!AI109</f>
        <v>2707506.4929505261</v>
      </c>
      <c r="AX110" s="16">
        <f>盗宝贼掉落!AJ109</f>
        <v>3361119.6128729372</v>
      </c>
      <c r="AY110" s="16">
        <f>盗宝贼掉落!AK109</f>
        <v>3667321.4146667379</v>
      </c>
      <c r="AZ110" s="16">
        <f>盗宝贼掉落!AL109</f>
        <v>2978414.8691812837</v>
      </c>
      <c r="BA110" s="16">
        <f>盗宝贼掉落!AM109</f>
        <v>1610106.989975947</v>
      </c>
      <c r="BC110" s="16">
        <f>盗宝贼掉落!AI109/AW110</f>
        <v>1</v>
      </c>
      <c r="BG110" s="41">
        <f t="shared" si="70"/>
        <v>0.79884619485252983</v>
      </c>
      <c r="BH110" s="41">
        <f t="shared" si="71"/>
        <v>0.30848453371068285</v>
      </c>
      <c r="BI110" s="41">
        <f t="shared" si="72"/>
        <v>0.26007520874226925</v>
      </c>
      <c r="BJ110" s="41">
        <f t="shared" si="73"/>
        <v>0.21122006533855789</v>
      </c>
      <c r="BK110" s="41">
        <f t="shared" si="74"/>
        <v>0.11418385905327973</v>
      </c>
      <c r="BR110" s="16">
        <v>3</v>
      </c>
      <c r="BS110" s="17">
        <f>基础状态预期!C121</f>
        <v>50</v>
      </c>
      <c r="BT110" s="17">
        <f>求节点($E$5:$E$10,F$5:F$10,基础状态预期!M121)</f>
        <v>6</v>
      </c>
      <c r="BU110" s="17">
        <f>求节点($E$5:$E$10,G$5:G$10,基础状态预期!N121)</f>
        <v>8</v>
      </c>
      <c r="BV110" s="17">
        <f>求节点($E$5:$E$10,H$5:H$10,基础状态预期!O121)</f>
        <v>10</v>
      </c>
      <c r="BW110" s="17">
        <f>求节点($E$5:$E$10,I$5:I$10,基础状态预期!P121)</f>
        <v>12</v>
      </c>
      <c r="BX110" s="51">
        <f>SUMPRODUCT(BT110:BW110,基础状态预期!I121:L121)/6</f>
        <v>0</v>
      </c>
      <c r="CA110" s="16">
        <v>105</v>
      </c>
      <c r="CB110" s="16">
        <f t="shared" si="75"/>
        <v>48.066509105629812</v>
      </c>
      <c r="CC110" s="16">
        <f t="shared" si="76"/>
        <v>64.838054550938196</v>
      </c>
      <c r="CD110" s="16">
        <f t="shared" si="77"/>
        <v>72</v>
      </c>
      <c r="CE110" s="16">
        <f t="shared" si="78"/>
        <v>72</v>
      </c>
      <c r="CF110" s="16">
        <f t="shared" si="79"/>
        <v>72</v>
      </c>
      <c r="CH110" s="16">
        <v>19</v>
      </c>
      <c r="CP110" s="16">
        <v>70</v>
      </c>
      <c r="CQ110" s="16">
        <v>0</v>
      </c>
    </row>
    <row r="111" spans="31:100">
      <c r="AE111" s="17">
        <f>基础状态预期!C122</f>
        <v>60</v>
      </c>
      <c r="AF111" s="64">
        <f>求节点(P$7:P$9,Z$6:Z$8,基础状态预期!Q122)*P$6</f>
        <v>0</v>
      </c>
      <c r="AG111" s="64">
        <f>求节点(Q$7:Q$9,AA$6:AA$8,基础状态预期!R122)*Q$6</f>
        <v>0</v>
      </c>
      <c r="AH111" s="64">
        <f>求节点(R$7:R$9,AB$6:AB$8,基础状态预期!S122)*R$6</f>
        <v>132800.55589700959</v>
      </c>
      <c r="AI111" s="64">
        <f>求节点(S$7:S$9,AC$6:AC$8,基础状态预期!T122)*S$6</f>
        <v>433422.07814988814</v>
      </c>
      <c r="AJ111" s="17">
        <f>SUMPRODUCT(AF111:AI111,基础状态预期!I122:L122)</f>
        <v>1474126.6861800402</v>
      </c>
      <c r="AM111" s="16">
        <v>106</v>
      </c>
      <c r="AN111" s="16">
        <f t="shared" si="65"/>
        <v>4890354.4668307202</v>
      </c>
      <c r="AO111" s="16">
        <f t="shared" si="84"/>
        <v>11536669.090217886</v>
      </c>
      <c r="AP111" s="16">
        <f t="shared" si="85"/>
        <v>14101003.44589553</v>
      </c>
      <c r="AQ111" s="16">
        <f t="shared" si="86"/>
        <v>14101003.44589553</v>
      </c>
      <c r="AR111" s="16">
        <f t="shared" si="69"/>
        <v>14101003.44589553</v>
      </c>
      <c r="AV111" s="16">
        <v>106</v>
      </c>
      <c r="AW111" s="16">
        <f>盗宝贼掉落!AI110</f>
        <v>2935091.4942781795</v>
      </c>
      <c r="AX111" s="16">
        <f>盗宝贼掉落!AJ110</f>
        <v>3646941.6807125038</v>
      </c>
      <c r="AY111" s="16">
        <f>盗宝贼掉落!AK110</f>
        <v>3976980.9899941264</v>
      </c>
      <c r="AZ111" s="16">
        <f>盗宝贼掉落!AL110</f>
        <v>3227413.5216451674</v>
      </c>
      <c r="BA111" s="16">
        <f>盗宝贼掉落!AM110</f>
        <v>1738563.485763019</v>
      </c>
      <c r="BC111" s="16">
        <f>盗宝贼掉落!AI110/AW111</f>
        <v>1</v>
      </c>
      <c r="BG111" s="41">
        <f t="shared" si="70"/>
        <v>0.60017970357480388</v>
      </c>
      <c r="BH111" s="41">
        <f t="shared" si="71"/>
        <v>0.31611738641310255</v>
      </c>
      <c r="BI111" s="41">
        <f t="shared" si="72"/>
        <v>0.28203531792992587</v>
      </c>
      <c r="BJ111" s="41">
        <f t="shared" si="73"/>
        <v>0.22887828756503079</v>
      </c>
      <c r="BK111" s="41">
        <f t="shared" si="74"/>
        <v>0.12329360051813006</v>
      </c>
      <c r="BR111" s="16">
        <v>4</v>
      </c>
      <c r="BS111" s="17">
        <f>基础状态预期!C122</f>
        <v>60</v>
      </c>
      <c r="BT111" s="17">
        <f>求节点($E$5:$E$10,F$5:F$10,基础状态预期!M122)</f>
        <v>6</v>
      </c>
      <c r="BU111" s="17">
        <f>求节点($E$5:$E$10,G$5:G$10,基础状态预期!N122)</f>
        <v>32</v>
      </c>
      <c r="BV111" s="17">
        <f>求节点($E$5:$E$10,H$5:H$10,基础状态预期!O122)</f>
        <v>29.303061343665814</v>
      </c>
      <c r="BW111" s="17">
        <f>求节点($E$5:$E$10,I$5:I$10,基础状态预期!P122)</f>
        <v>41.095481135834298</v>
      </c>
      <c r="BX111" s="17">
        <f>MAX(SUMPRODUCT(BT111:BW111,基础状态预期!I122:L122)/6,BX110)</f>
        <v>33.731265744884759</v>
      </c>
      <c r="CA111" s="16">
        <v>106</v>
      </c>
      <c r="CB111" s="16">
        <f t="shared" si="75"/>
        <v>51.420416719851033</v>
      </c>
      <c r="CC111" s="16">
        <f t="shared" si="76"/>
        <v>66.270443640750557</v>
      </c>
      <c r="CD111" s="16">
        <f t="shared" si="77"/>
        <v>72</v>
      </c>
      <c r="CE111" s="16">
        <f t="shared" si="78"/>
        <v>72</v>
      </c>
      <c r="CF111" s="16">
        <f t="shared" si="79"/>
        <v>72</v>
      </c>
      <c r="CH111" s="16">
        <v>20</v>
      </c>
      <c r="CP111" s="16">
        <v>75</v>
      </c>
      <c r="CQ111" s="16">
        <v>0</v>
      </c>
    </row>
    <row r="112" spans="31:100">
      <c r="AE112" s="17">
        <f>基础状态预期!C123</f>
        <v>70</v>
      </c>
      <c r="AF112" s="64">
        <f>求节点(P$7:P$9,Z$6:Z$8,基础状态预期!Q123)*P$6</f>
        <v>0</v>
      </c>
      <c r="AG112" s="64">
        <f>求节点(Q$7:Q$9,AA$6:AA$8,基础状态预期!R123)*Q$6</f>
        <v>0</v>
      </c>
      <c r="AH112" s="64">
        <f>求节点(R$7:R$9,AB$6:AB$8,基础状态预期!S123)*R$6</f>
        <v>715863.38082112744</v>
      </c>
      <c r="AI112" s="64">
        <f>求节点(S$7:S$9,AC$6:AC$8,基础状态预期!T123)*S$6</f>
        <v>433422.07814988814</v>
      </c>
      <c r="AJ112" s="17">
        <f>SUMPRODUCT(AF112:AI112,基础状态预期!I123:L123)</f>
        <v>3036578.6949439798</v>
      </c>
      <c r="AM112" s="16">
        <v>107</v>
      </c>
      <c r="AN112" s="16">
        <f t="shared" si="65"/>
        <v>6391437.6191121582</v>
      </c>
      <c r="AO112" s="16">
        <f t="shared" si="84"/>
        <v>12177752.679137297</v>
      </c>
      <c r="AP112" s="16">
        <f t="shared" si="85"/>
        <v>14101003.44589553</v>
      </c>
      <c r="AQ112" s="16">
        <f t="shared" si="86"/>
        <v>14101003.44589553</v>
      </c>
      <c r="AR112" s="16">
        <f t="shared" si="69"/>
        <v>14101003.44589553</v>
      </c>
      <c r="AV112" s="16">
        <v>107</v>
      </c>
      <c r="AW112" s="16">
        <f>盗宝贼掉落!AI111</f>
        <v>3179011.0591724473</v>
      </c>
      <c r="AX112" s="16">
        <f>盗宝贼掉落!AJ111</f>
        <v>3948189.467478123</v>
      </c>
      <c r="AY112" s="16">
        <f>盗宝贼掉落!AK111</f>
        <v>4310354.4408485619</v>
      </c>
      <c r="AZ112" s="16">
        <f>盗宝贼掉落!AL111</f>
        <v>3481078.3213146701</v>
      </c>
      <c r="BA112" s="16">
        <f>盗宝贼掉落!AM111</f>
        <v>1874063.0553800727</v>
      </c>
      <c r="BC112" s="16">
        <f>盗宝贼掉落!AI111/AW112</f>
        <v>1</v>
      </c>
      <c r="BG112" s="41">
        <f t="shared" si="70"/>
        <v>0.49738591669366045</v>
      </c>
      <c r="BH112" s="41">
        <f t="shared" si="71"/>
        <v>0.32421330696279366</v>
      </c>
      <c r="BI112" s="41">
        <f t="shared" si="72"/>
        <v>0.30567714257975054</v>
      </c>
      <c r="BJ112" s="41">
        <f t="shared" si="73"/>
        <v>0.24686741866784878</v>
      </c>
      <c r="BK112" s="41">
        <f t="shared" si="74"/>
        <v>0.13290281521954866</v>
      </c>
      <c r="BR112" s="16">
        <v>5</v>
      </c>
      <c r="BS112" s="17">
        <f>基础状态预期!C123</f>
        <v>70</v>
      </c>
      <c r="BT112" s="17">
        <f>求节点($E$5:$E$10,F$5:F$10,基础状态预期!M123)</f>
        <v>6</v>
      </c>
      <c r="BU112" s="17">
        <f>求节点($E$5:$E$10,G$5:G$10,基础状态预期!N123)</f>
        <v>32</v>
      </c>
      <c r="BV112" s="17">
        <f>求节点($E$5:$E$10,H$5:H$10,基础状态预期!O123)</f>
        <v>54.389008460744186</v>
      </c>
      <c r="BW112" s="17">
        <f>求节点($E$5:$E$10,I$5:I$10,基础状态预期!P123)</f>
        <v>41.095481135834298</v>
      </c>
      <c r="BX112" s="17">
        <f>MAX(SUMPRODUCT(BT112:BW112,基础状态预期!I123:L123)/6,BX111)</f>
        <v>44.516010384464067</v>
      </c>
      <c r="CA112" s="16">
        <v>107</v>
      </c>
      <c r="CB112" s="16">
        <f t="shared" si="75"/>
        <v>54.774324334072254</v>
      </c>
      <c r="CC112" s="16">
        <f t="shared" si="76"/>
        <v>67.702832730562918</v>
      </c>
      <c r="CD112" s="16">
        <f t="shared" si="77"/>
        <v>72</v>
      </c>
      <c r="CE112" s="16">
        <f t="shared" si="78"/>
        <v>72</v>
      </c>
      <c r="CF112" s="16">
        <f t="shared" si="79"/>
        <v>72</v>
      </c>
      <c r="CH112" s="16">
        <v>21</v>
      </c>
      <c r="CP112" s="16">
        <v>80</v>
      </c>
      <c r="CQ112" s="16">
        <v>0</v>
      </c>
    </row>
    <row r="113" spans="31:95">
      <c r="AE113" s="17">
        <f>基础状态预期!C124</f>
        <v>75</v>
      </c>
      <c r="AF113" s="64">
        <f>求节点(P$7:P$9,Z$6:Z$8,基础状态预期!Q124)*P$6</f>
        <v>0</v>
      </c>
      <c r="AG113" s="64">
        <f>求节点(Q$7:Q$9,AA$6:AA$8,基础状态预期!R124)*Q$6</f>
        <v>0</v>
      </c>
      <c r="AH113" s="64">
        <f>求节点(R$7:R$9,AB$6:AB$8,基础状态预期!S124)*R$6</f>
        <v>906208.43609135668</v>
      </c>
      <c r="AI113" s="64">
        <f>求节点(S$7:S$9,AC$6:AC$8,基础状态预期!T124)*S$6</f>
        <v>462687.07753992331</v>
      </c>
      <c r="AJ113" s="17">
        <f>SUMPRODUCT(AF113:AI113,基础状态预期!I124:L124)</f>
        <v>2949166.6976828766</v>
      </c>
      <c r="AM113" s="16">
        <v>108</v>
      </c>
      <c r="AN113" s="16">
        <f t="shared" si="65"/>
        <v>7892520.7713935953</v>
      </c>
      <c r="AO113" s="16">
        <f t="shared" si="84"/>
        <v>12818836.268056709</v>
      </c>
      <c r="AP113" s="16">
        <f t="shared" si="85"/>
        <v>14101003.44589553</v>
      </c>
      <c r="AQ113" s="16">
        <f t="shared" si="86"/>
        <v>14101003.44589553</v>
      </c>
      <c r="AR113" s="16">
        <f t="shared" si="69"/>
        <v>14101003.44589553</v>
      </c>
      <c r="AV113" s="16">
        <v>108</v>
      </c>
      <c r="AW113" s="16">
        <f>盗宝贼掉落!AI112</f>
        <v>3440437.5758195268</v>
      </c>
      <c r="AX113" s="16">
        <f>盗宝贼掉落!AJ112</f>
        <v>4273179.5683738822</v>
      </c>
      <c r="AY113" s="16">
        <f>盗宝贼掉落!AK112</f>
        <v>4641567.8607782852</v>
      </c>
      <c r="AZ113" s="16">
        <f>盗宝贼掉落!AL112</f>
        <v>3753583.9017140707</v>
      </c>
      <c r="BA113" s="16">
        <f>盗宝贼掉落!AM112</f>
        <v>2025574.0249660953</v>
      </c>
      <c r="BC113" s="16">
        <f>盗宝贼掉落!AI112/AW113</f>
        <v>1</v>
      </c>
      <c r="BG113" s="41">
        <f t="shared" si="70"/>
        <v>0.43591112085372985</v>
      </c>
      <c r="BH113" s="41">
        <f t="shared" si="71"/>
        <v>0.33335159908565409</v>
      </c>
      <c r="BI113" s="41">
        <f t="shared" si="72"/>
        <v>0.32916578444843486</v>
      </c>
      <c r="BJ113" s="41">
        <f t="shared" si="73"/>
        <v>0.26619268026678278</v>
      </c>
      <c r="BK113" s="41">
        <f t="shared" si="74"/>
        <v>0.14364750939449578</v>
      </c>
      <c r="BR113" s="16">
        <v>6</v>
      </c>
      <c r="BS113" s="17">
        <f>基础状态预期!C124</f>
        <v>75</v>
      </c>
      <c r="BT113" s="17">
        <f>求节点($E$5:$E$10,F$5:F$10,基础状态预期!M124)</f>
        <v>6</v>
      </c>
      <c r="BU113" s="17">
        <f>求节点($E$5:$E$10,G$5:G$10,基础状态预期!N124)</f>
        <v>32</v>
      </c>
      <c r="BV113" s="17">
        <f>求节点($E$5:$E$10,H$5:H$10,基础状态预期!O124)</f>
        <v>60</v>
      </c>
      <c r="BW113" s="17">
        <f>求节点($E$5:$E$10,I$5:I$10,基础状态预期!P124)</f>
        <v>42.692858450540456</v>
      </c>
      <c r="BX113" s="17">
        <f>MAX(SUMPRODUCT(BT113:BW113,基础状态预期!I124:L124)/6,BX112)</f>
        <v>44.516010384464067</v>
      </c>
      <c r="CA113" s="16">
        <v>108</v>
      </c>
      <c r="CB113" s="16">
        <f t="shared" si="75"/>
        <v>58.128231948293475</v>
      </c>
      <c r="CC113" s="16">
        <f t="shared" si="76"/>
        <v>69.135221820375278</v>
      </c>
      <c r="CD113" s="16">
        <f t="shared" si="77"/>
        <v>72</v>
      </c>
      <c r="CE113" s="16">
        <f t="shared" si="78"/>
        <v>72</v>
      </c>
      <c r="CF113" s="16">
        <f t="shared" si="79"/>
        <v>72</v>
      </c>
      <c r="CH113" s="16">
        <v>22</v>
      </c>
      <c r="CP113" s="16">
        <v>85</v>
      </c>
      <c r="CQ113" s="16">
        <v>0</v>
      </c>
    </row>
    <row r="114" spans="31:95">
      <c r="AE114" s="17">
        <f>基础状态预期!C125</f>
        <v>80</v>
      </c>
      <c r="AF114" s="64">
        <f>求节点(P$7:P$9,Z$6:Z$8,基础状态预期!Q125)*P$6</f>
        <v>0</v>
      </c>
      <c r="AG114" s="64">
        <f>求节点(Q$7:Q$9,AA$6:AA$8,基础状态预期!R125)*Q$6</f>
        <v>0</v>
      </c>
      <c r="AH114" s="64">
        <f>求节点(R$7:R$9,AB$6:AB$8,基础状态预期!S125)*R$6</f>
        <v>0</v>
      </c>
      <c r="AI114" s="64">
        <f>求节点(S$7:S$9,AC$6:AC$8,基础状态预期!T125)*S$6</f>
        <v>1128418.551561574</v>
      </c>
      <c r="AJ114" s="17">
        <f>SUMPRODUCT(AF114:AI114,基础状态预期!I125:L125)</f>
        <v>6770511.3093694439</v>
      </c>
      <c r="AM114" s="16">
        <v>109</v>
      </c>
      <c r="AN114" s="16">
        <f t="shared" si="65"/>
        <v>9393603.9236750342</v>
      </c>
      <c r="AO114" s="16">
        <f t="shared" si="84"/>
        <v>13459919.85697612</v>
      </c>
      <c r="AP114" s="16">
        <f t="shared" si="85"/>
        <v>14101003.44589553</v>
      </c>
      <c r="AQ114" s="16">
        <f t="shared" si="86"/>
        <v>14101003.44589553</v>
      </c>
      <c r="AR114" s="16">
        <f t="shared" si="69"/>
        <v>14101003.44589553</v>
      </c>
      <c r="AV114" s="16">
        <v>109</v>
      </c>
      <c r="AW114" s="16">
        <f>盗宝贼掉落!AI113</f>
        <v>3720627.5787651655</v>
      </c>
      <c r="AX114" s="16">
        <f>盗宝贼掉落!AJ113</f>
        <v>4604440.8179749809</v>
      </c>
      <c r="AY114" s="16">
        <f>盗宝贼掉落!AK113</f>
        <v>5003107.0683213379</v>
      </c>
      <c r="AZ114" s="16">
        <f>盗宝贼掉落!AL113</f>
        <v>4048326.451731733</v>
      </c>
      <c r="BA114" s="16">
        <f>盗宝贼掉落!AM113</f>
        <v>2189581.0919621265</v>
      </c>
      <c r="BC114" s="16">
        <f>盗宝贼掉落!AI113/AW114</f>
        <v>1</v>
      </c>
      <c r="BG114" s="41">
        <f t="shared" si="70"/>
        <v>0.39608095135754401</v>
      </c>
      <c r="BH114" s="41">
        <f t="shared" si="71"/>
        <v>0.34208530711188095</v>
      </c>
      <c r="BI114" s="41">
        <f t="shared" si="72"/>
        <v>0.35480503834481542</v>
      </c>
      <c r="BJ114" s="41">
        <f t="shared" si="73"/>
        <v>0.28709491968176953</v>
      </c>
      <c r="BK114" s="41">
        <f t="shared" si="74"/>
        <v>0.15527838854613302</v>
      </c>
      <c r="BR114" s="16">
        <v>7</v>
      </c>
      <c r="BS114" s="17">
        <f>基础状态预期!C125</f>
        <v>80</v>
      </c>
      <c r="BT114" s="17">
        <f>求节点($E$5:$E$10,F$5:F$10,基础状态预期!M125)</f>
        <v>6</v>
      </c>
      <c r="BU114" s="17">
        <f>求节点($E$5:$E$10,G$5:G$10,基础状态预期!N125)</f>
        <v>32</v>
      </c>
      <c r="BV114" s="17">
        <f>求节点($E$5:$E$10,H$5:H$10,基础状态预期!O125)</f>
        <v>60</v>
      </c>
      <c r="BW114" s="17">
        <f>求节点($E$5:$E$10,I$5:I$10,基础状态预期!P125)</f>
        <v>55.621298157056366</v>
      </c>
      <c r="BX114" s="17">
        <f>MAX(SUMPRODUCT(BT114:BW114,基础状态预期!I125:L125)/6,BX113)</f>
        <v>55.621298157056366</v>
      </c>
      <c r="CA114" s="16">
        <v>109</v>
      </c>
      <c r="CB114" s="16">
        <f t="shared" si="75"/>
        <v>61.482139562514696</v>
      </c>
      <c r="CC114" s="16">
        <f t="shared" si="76"/>
        <v>70.567610910187639</v>
      </c>
      <c r="CD114" s="16">
        <f t="shared" si="77"/>
        <v>72</v>
      </c>
      <c r="CE114" s="16">
        <f t="shared" si="78"/>
        <v>72</v>
      </c>
      <c r="CF114" s="16">
        <f t="shared" si="79"/>
        <v>72</v>
      </c>
      <c r="CH114" s="16">
        <v>23</v>
      </c>
      <c r="CP114" s="16">
        <v>90</v>
      </c>
      <c r="CQ114" s="16">
        <v>0</v>
      </c>
    </row>
    <row r="115" spans="31:95">
      <c r="AE115" s="17">
        <f>基础状态预期!C126</f>
        <v>85</v>
      </c>
      <c r="AF115" s="64">
        <f>求节点(P$7:P$9,Z$6:Z$8,基础状态预期!Q126)*P$6</f>
        <v>0</v>
      </c>
      <c r="AG115" s="64">
        <f>求节点(Q$7:Q$9,AA$6:AA$8,基础状态预期!R126)*Q$6</f>
        <v>0</v>
      </c>
      <c r="AH115" s="64">
        <f>求节点(R$7:R$9,AB$6:AB$8,基础状态预期!S126)*R$6</f>
        <v>0</v>
      </c>
      <c r="AI115" s="64">
        <f>求节点(S$7:S$9,AC$6:AC$8,基础状态预期!T126)*S$6</f>
        <v>2350167.2409825884</v>
      </c>
      <c r="AJ115" s="17">
        <f>SUMPRODUCT(AF115:AI115,基础状态预期!I126:L126)</f>
        <v>14101003.44589553</v>
      </c>
      <c r="AM115" s="16">
        <v>110</v>
      </c>
      <c r="AN115" s="16">
        <f t="shared" si="65"/>
        <v>10894687.075956471</v>
      </c>
      <c r="AO115" s="16">
        <f t="shared" si="84"/>
        <v>14101003.44589553</v>
      </c>
      <c r="AP115" s="16">
        <f t="shared" si="85"/>
        <v>14101003.44589553</v>
      </c>
      <c r="AQ115" s="16">
        <f t="shared" si="86"/>
        <v>14101003.44589553</v>
      </c>
      <c r="AR115" s="16">
        <f t="shared" si="69"/>
        <v>14101003.44589553</v>
      </c>
      <c r="AV115" s="16">
        <v>110</v>
      </c>
      <c r="AW115" s="16">
        <f>盗宝贼掉落!AI114</f>
        <v>4020927.7883902662</v>
      </c>
      <c r="AX115" s="16">
        <f>盗宝贼掉落!AJ114</f>
        <v>4976531.7096702186</v>
      </c>
      <c r="AY115" s="16">
        <f>盗宝贼掉落!AK114</f>
        <v>5417720.7048720997</v>
      </c>
      <c r="AZ115" s="16">
        <f>盗宝贼掉落!AL114</f>
        <v>4389442.7850821018</v>
      </c>
      <c r="BA115" s="16">
        <f>盗宝贼掉落!AM114</f>
        <v>2373253.7866709093</v>
      </c>
      <c r="BC115" s="16">
        <f>盗宝贼掉落!AI114/AW115</f>
        <v>1</v>
      </c>
      <c r="BG115" s="41">
        <f t="shared" si="70"/>
        <v>0.36907235245554393</v>
      </c>
      <c r="BH115" s="41">
        <f t="shared" si="71"/>
        <v>0.35292039525873387</v>
      </c>
      <c r="BI115" s="41">
        <f t="shared" si="72"/>
        <v>0.3842081682810361</v>
      </c>
      <c r="BJ115" s="41">
        <f t="shared" si="73"/>
        <v>0.31128584585657731</v>
      </c>
      <c r="BK115" s="41">
        <f t="shared" si="74"/>
        <v>0.16830389381698274</v>
      </c>
      <c r="BR115" s="16">
        <v>8</v>
      </c>
      <c r="BS115" s="17">
        <f>基础状态预期!C126</f>
        <v>85</v>
      </c>
      <c r="BT115" s="17">
        <f>求节点($E$5:$E$10,F$5:F$10,基础状态预期!M126)</f>
        <v>6</v>
      </c>
      <c r="BU115" s="17">
        <f>求节点($E$5:$E$10,G$5:G$10,基础状态预期!N126)</f>
        <v>32</v>
      </c>
      <c r="BV115" s="17">
        <f>求节点($E$5:$E$10,H$5:H$10,基础状态预期!O126)</f>
        <v>60</v>
      </c>
      <c r="BW115" s="17">
        <f>求节点($E$5:$E$10,I$5:I$10,基础状态预期!P126)</f>
        <v>72</v>
      </c>
      <c r="BX115" s="17">
        <f>MAX(SUMPRODUCT(BT115:BW115,基础状态预期!I126:L126)/6,BX114)</f>
        <v>72</v>
      </c>
      <c r="CA115" s="16">
        <v>110</v>
      </c>
      <c r="CB115" s="16">
        <f t="shared" si="75"/>
        <v>64.836047176735917</v>
      </c>
      <c r="CC115" s="16">
        <f t="shared" si="76"/>
        <v>72</v>
      </c>
      <c r="CD115" s="16">
        <f t="shared" si="77"/>
        <v>72</v>
      </c>
      <c r="CE115" s="16">
        <f t="shared" si="78"/>
        <v>72</v>
      </c>
      <c r="CF115" s="16">
        <f t="shared" si="79"/>
        <v>72</v>
      </c>
      <c r="CH115" s="16">
        <v>24</v>
      </c>
      <c r="CP115" s="16">
        <v>95</v>
      </c>
      <c r="CQ115" s="16">
        <v>0</v>
      </c>
    </row>
    <row r="116" spans="31:95">
      <c r="AE116" s="17">
        <f>基础状态预期!C127</f>
        <v>90</v>
      </c>
      <c r="AF116" s="64">
        <f>求节点(P$7:P$9,Z$6:Z$8,基础状态预期!Q127)*P$6</f>
        <v>0</v>
      </c>
      <c r="AG116" s="64">
        <f>求节点(Q$7:Q$9,AA$6:AA$8,基础状态预期!R127)*Q$6</f>
        <v>0</v>
      </c>
      <c r="AH116" s="64">
        <f>求节点(R$7:R$9,AB$6:AB$8,基础状态预期!S127)*R$6</f>
        <v>0</v>
      </c>
      <c r="AI116" s="64">
        <f>求节点(S$7:S$9,AC$6:AC$8,基础状态预期!T127)*S$6</f>
        <v>2350167.2409825884</v>
      </c>
      <c r="AJ116" s="17">
        <f>SUMPRODUCT(AF116:AI116,基础状态预期!I127:L127)</f>
        <v>14101003.44589553</v>
      </c>
      <c r="AM116" s="16">
        <v>111</v>
      </c>
      <c r="AN116" s="16">
        <f t="shared" si="65"/>
        <v>11535950.349944282</v>
      </c>
      <c r="AO116" s="16">
        <f t="shared" si="84"/>
        <v>14101003.44589553</v>
      </c>
      <c r="AP116" s="16">
        <f t="shared" si="85"/>
        <v>14101003.44589553</v>
      </c>
      <c r="AQ116" s="16">
        <f t="shared" si="86"/>
        <v>14101003.44589553</v>
      </c>
      <c r="AR116" s="16">
        <f t="shared" si="69"/>
        <v>14101003.44589553</v>
      </c>
      <c r="AV116" s="16">
        <v>111</v>
      </c>
      <c r="AW116" s="16">
        <f>盗宝贼掉落!AI115</f>
        <v>4342781.5838605314</v>
      </c>
      <c r="AX116" s="16">
        <f>盗宝贼掉落!AJ115</f>
        <v>5383725.3483805433</v>
      </c>
      <c r="AY116" s="16">
        <f>盗宝贼掉落!AK115</f>
        <v>5864694.0207562828</v>
      </c>
      <c r="AZ116" s="16">
        <f>盗宝贼掉落!AL115</f>
        <v>4758130.8915264001</v>
      </c>
      <c r="BA116" s="16">
        <f>盗宝贼掉落!AM115</f>
        <v>2574844.6030558585</v>
      </c>
      <c r="BC116" s="16">
        <f>盗宝贼掉落!AI115/AW116</f>
        <v>1</v>
      </c>
      <c r="BG116" s="41">
        <f t="shared" si="70"/>
        <v>0.37645633451270072</v>
      </c>
      <c r="BH116" s="41">
        <f t="shared" si="71"/>
        <v>0.38179732166136154</v>
      </c>
      <c r="BI116" s="41">
        <f t="shared" si="72"/>
        <v>0.4159061476198247</v>
      </c>
      <c r="BJ116" s="41">
        <f t="shared" si="73"/>
        <v>0.33743207777964057</v>
      </c>
      <c r="BK116" s="41">
        <f t="shared" si="74"/>
        <v>0.1826000974281965</v>
      </c>
      <c r="BR116" s="16">
        <v>9</v>
      </c>
      <c r="BS116" s="17">
        <f>基础状态预期!C127</f>
        <v>90</v>
      </c>
      <c r="BT116" s="17">
        <f>求节点($E$5:$E$10,F$5:F$10,基础状态预期!M127)</f>
        <v>6</v>
      </c>
      <c r="BU116" s="17">
        <f>求节点($E$5:$E$10,G$5:G$10,基础状态预期!N127)</f>
        <v>32</v>
      </c>
      <c r="BV116" s="17">
        <f>求节点($E$5:$E$10,H$5:H$10,基础状态预期!O127)</f>
        <v>60</v>
      </c>
      <c r="BW116" s="17">
        <f>求节点($E$5:$E$10,I$5:I$10,基础状态预期!P127)</f>
        <v>72</v>
      </c>
      <c r="BX116" s="17">
        <f>MAX(SUMPRODUCT(BT116:BW116,基础状态预期!I127:L127)/6,BX115)</f>
        <v>72</v>
      </c>
      <c r="CA116" s="16">
        <v>111</v>
      </c>
      <c r="CB116" s="16">
        <f t="shared" si="75"/>
        <v>66.268837741388737</v>
      </c>
      <c r="CC116" s="16">
        <f t="shared" si="76"/>
        <v>72</v>
      </c>
      <c r="CD116" s="16">
        <f t="shared" si="77"/>
        <v>72</v>
      </c>
      <c r="CE116" s="16">
        <f t="shared" si="78"/>
        <v>72</v>
      </c>
      <c r="CF116" s="16">
        <f t="shared" si="79"/>
        <v>72</v>
      </c>
      <c r="CH116" s="16">
        <v>25</v>
      </c>
      <c r="CP116" s="16">
        <v>100</v>
      </c>
      <c r="CQ116" s="16">
        <v>0</v>
      </c>
    </row>
    <row r="117" spans="31:95">
      <c r="AE117" s="17">
        <f>基础状态预期!C128</f>
        <v>95</v>
      </c>
      <c r="AF117" s="64">
        <f>求节点(P$7:P$9,Z$6:Z$8,基础状态预期!Q128)*P$6</f>
        <v>0</v>
      </c>
      <c r="AG117" s="64">
        <f>求节点(Q$7:Q$9,AA$6:AA$8,基础状态预期!R128)*Q$6</f>
        <v>0</v>
      </c>
      <c r="AH117" s="64">
        <f>求节点(R$7:R$9,AB$6:AB$8,基础状态预期!S128)*R$6</f>
        <v>0</v>
      </c>
      <c r="AI117" s="64">
        <f>求节点(S$7:S$9,AC$6:AC$8,基础状态预期!T128)*S$6</f>
        <v>2350167.2409825884</v>
      </c>
      <c r="AJ117" s="17">
        <f>SUMPRODUCT(AF117:AI117,基础状态预期!I128:L128)</f>
        <v>14101003.44589553</v>
      </c>
      <c r="AM117" s="16">
        <v>112</v>
      </c>
      <c r="AN117" s="16">
        <f t="shared" si="65"/>
        <v>12177213.623932095</v>
      </c>
      <c r="AO117" s="16">
        <f t="shared" si="84"/>
        <v>14101003.44589553</v>
      </c>
      <c r="AP117" s="16">
        <f t="shared" si="85"/>
        <v>14101003.44589553</v>
      </c>
      <c r="AQ117" s="16">
        <f t="shared" si="86"/>
        <v>14101003.44589553</v>
      </c>
      <c r="AR117" s="16">
        <f t="shared" si="69"/>
        <v>14101003.44589553</v>
      </c>
      <c r="AV117" s="16">
        <v>112</v>
      </c>
      <c r="AW117" s="16">
        <f>盗宝贼掉落!AI116</f>
        <v>4687735.9406621493</v>
      </c>
      <c r="AX117" s="16">
        <f>盗宝贼掉落!AJ116</f>
        <v>5816248.1715856381</v>
      </c>
      <c r="AY117" s="16">
        <f>盗宝贼掉落!AK116</f>
        <v>6336486.9714224003</v>
      </c>
      <c r="AZ117" s="16">
        <f>盗宝贼掉落!AL116</f>
        <v>5144063.9526758231</v>
      </c>
      <c r="BA117" s="16">
        <f>盗宝贼掉落!AM116</f>
        <v>2770924.6563878893</v>
      </c>
      <c r="BC117" s="16">
        <f>盗宝贼掉落!AI116/AW117</f>
        <v>1</v>
      </c>
      <c r="BG117" s="41">
        <f t="shared" si="70"/>
        <v>0.38495965377902697</v>
      </c>
      <c r="BH117" s="41">
        <f t="shared" si="71"/>
        <v>0.41247051629354864</v>
      </c>
      <c r="BI117" s="41">
        <f t="shared" si="72"/>
        <v>0.44936425948231379</v>
      </c>
      <c r="BJ117" s="41">
        <f t="shared" si="73"/>
        <v>0.36480126910210342</v>
      </c>
      <c r="BK117" s="41">
        <f t="shared" si="74"/>
        <v>0.1965054945926164</v>
      </c>
      <c r="BR117" s="16">
        <v>10</v>
      </c>
      <c r="BS117" s="17">
        <f>基础状态预期!C128</f>
        <v>95</v>
      </c>
      <c r="BT117" s="17">
        <f>求节点($E$5:$E$10,F$5:F$10,基础状态预期!M128)</f>
        <v>6</v>
      </c>
      <c r="BU117" s="17">
        <f>求节点($E$5:$E$10,G$5:G$10,基础状态预期!N128)</f>
        <v>32</v>
      </c>
      <c r="BV117" s="17">
        <f>求节点($E$5:$E$10,H$5:H$10,基础状态预期!O128)</f>
        <v>60</v>
      </c>
      <c r="BW117" s="17">
        <f>求节点($E$5:$E$10,I$5:I$10,基础状态预期!P128)</f>
        <v>72</v>
      </c>
      <c r="BX117" s="17">
        <f>MAX(SUMPRODUCT(BT117:BW117,基础状态预期!I128:L128)/6,BX116)</f>
        <v>72</v>
      </c>
      <c r="CA117" s="16">
        <v>112</v>
      </c>
      <c r="CB117" s="16">
        <f t="shared" si="75"/>
        <v>67.701628306041556</v>
      </c>
      <c r="CC117" s="16">
        <f t="shared" si="76"/>
        <v>72</v>
      </c>
      <c r="CD117" s="16">
        <f t="shared" si="77"/>
        <v>72</v>
      </c>
      <c r="CE117" s="16">
        <f t="shared" si="78"/>
        <v>72</v>
      </c>
      <c r="CF117" s="16">
        <f t="shared" si="79"/>
        <v>72</v>
      </c>
      <c r="CH117" s="16">
        <v>26</v>
      </c>
      <c r="CP117" s="16">
        <v>105</v>
      </c>
      <c r="CQ117" s="16">
        <v>0</v>
      </c>
    </row>
    <row r="118" spans="31:95">
      <c r="AE118" s="17">
        <f>基础状态预期!C129</f>
        <v>100</v>
      </c>
      <c r="AF118" s="64">
        <f>求节点(P$7:P$9,Z$6:Z$8,基础状态预期!Q129)*P$6</f>
        <v>0</v>
      </c>
      <c r="AG118" s="64">
        <f>求节点(Q$7:Q$9,AA$6:AA$8,基础状态预期!R129)*Q$6</f>
        <v>0</v>
      </c>
      <c r="AH118" s="64">
        <f>求节点(R$7:R$9,AB$6:AB$8,基础状态预期!S129)*R$6</f>
        <v>0</v>
      </c>
      <c r="AI118" s="64">
        <f>求节点(S$7:S$9,AC$6:AC$8,基础状态预期!T129)*S$6</f>
        <v>2350167.2409825884</v>
      </c>
      <c r="AJ118" s="17">
        <f>SUMPRODUCT(AF118:AI118,基础状态预期!I129:L129)</f>
        <v>14101003.44589553</v>
      </c>
      <c r="AM118" s="16">
        <v>113</v>
      </c>
      <c r="AN118" s="16">
        <f t="shared" si="65"/>
        <v>12818476.897919906</v>
      </c>
      <c r="AO118" s="16">
        <f t="shared" si="84"/>
        <v>14101003.44589553</v>
      </c>
      <c r="AP118" s="16">
        <f t="shared" si="85"/>
        <v>14101003.44589553</v>
      </c>
      <c r="AQ118" s="16">
        <f t="shared" si="86"/>
        <v>14101003.44589553</v>
      </c>
      <c r="AR118" s="16">
        <f t="shared" si="69"/>
        <v>14101003.44589553</v>
      </c>
      <c r="AV118" s="16">
        <v>113</v>
      </c>
      <c r="AW118" s="16">
        <f>盗宝贼掉落!AI117</f>
        <v>5057448.8660684051</v>
      </c>
      <c r="AX118" s="16">
        <f>盗宝贼掉落!AJ117</f>
        <v>6278530.2881494109</v>
      </c>
      <c r="AY118" s="16">
        <f>盗宝贼掉落!AK117</f>
        <v>6844691.4443693543</v>
      </c>
      <c r="AZ118" s="16">
        <f>盗宝贼掉落!AL117</f>
        <v>5538422.5783576658</v>
      </c>
      <c r="BA118" s="16">
        <f>盗宝贼掉落!AM117</f>
        <v>2979179.810449258</v>
      </c>
      <c r="BC118" s="16">
        <f>盗宝贼掉落!AI117/AW118</f>
        <v>1</v>
      </c>
      <c r="BG118" s="41">
        <f t="shared" si="70"/>
        <v>0.39454366586166667</v>
      </c>
      <c r="BH118" s="41">
        <f t="shared" si="71"/>
        <v>0.44525414891497972</v>
      </c>
      <c r="BI118" s="41">
        <f t="shared" si="72"/>
        <v>0.4854045650461622</v>
      </c>
      <c r="BJ118" s="41">
        <f t="shared" si="73"/>
        <v>0.39276797566982868</v>
      </c>
      <c r="BK118" s="41">
        <f t="shared" si="74"/>
        <v>0.21127431263173169</v>
      </c>
      <c r="BR118" s="16">
        <v>11</v>
      </c>
      <c r="BS118" s="17">
        <f>基础状态预期!C129</f>
        <v>100</v>
      </c>
      <c r="BT118" s="17">
        <f>求节点($E$5:$E$10,F$5:F$10,基础状态预期!M129)</f>
        <v>6</v>
      </c>
      <c r="BU118" s="17">
        <f>求节点($E$5:$E$10,G$5:G$10,基础状态预期!N129)</f>
        <v>32</v>
      </c>
      <c r="BV118" s="17">
        <f>求节点($E$5:$E$10,H$5:H$10,基础状态预期!O129)</f>
        <v>60</v>
      </c>
      <c r="BW118" s="17">
        <f>求节点($E$5:$E$10,I$5:I$10,基础状态预期!P129)</f>
        <v>72</v>
      </c>
      <c r="BX118" s="17">
        <f>MAX(SUMPRODUCT(BT118:BW118,基础状态预期!I129:L129)/6,BX117)</f>
        <v>72</v>
      </c>
      <c r="CA118" s="16">
        <v>113</v>
      </c>
      <c r="CB118" s="16">
        <f t="shared" si="75"/>
        <v>69.134418870694361</v>
      </c>
      <c r="CC118" s="16">
        <f t="shared" si="76"/>
        <v>72</v>
      </c>
      <c r="CD118" s="16">
        <f t="shared" si="77"/>
        <v>72</v>
      </c>
      <c r="CE118" s="16">
        <f t="shared" si="78"/>
        <v>72</v>
      </c>
      <c r="CF118" s="16">
        <f t="shared" si="79"/>
        <v>72</v>
      </c>
      <c r="CH118" s="16">
        <v>27</v>
      </c>
      <c r="CP118" s="16">
        <v>110</v>
      </c>
      <c r="CQ118" s="16">
        <v>0</v>
      </c>
    </row>
    <row r="119" spans="31:95">
      <c r="AE119" s="17">
        <f>基础状态预期!C130</f>
        <v>105</v>
      </c>
      <c r="AF119" s="64">
        <f>求节点(P$7:P$9,Z$6:Z$8,基础状态预期!Q130)*P$6</f>
        <v>0</v>
      </c>
      <c r="AG119" s="64">
        <f>求节点(Q$7:Q$9,AA$6:AA$8,基础状态预期!R130)*Q$6</f>
        <v>0</v>
      </c>
      <c r="AH119" s="64">
        <f>求节点(R$7:R$9,AB$6:AB$8,基础状态预期!S130)*R$6</f>
        <v>0</v>
      </c>
      <c r="AI119" s="64">
        <f>求节点(S$7:S$9,AC$6:AC$8,基础状态预期!T130)*S$6</f>
        <v>2350167.2409825884</v>
      </c>
      <c r="AJ119" s="17">
        <f>SUMPRODUCT(AF119:AI119,基础状态预期!I130:L130)</f>
        <v>14101003.44589553</v>
      </c>
      <c r="AM119" s="16">
        <v>114</v>
      </c>
      <c r="AN119" s="16">
        <f t="shared" si="65"/>
        <v>13459740.171907719</v>
      </c>
      <c r="AO119" s="16">
        <f t="shared" si="84"/>
        <v>14101003.44589553</v>
      </c>
      <c r="AP119" s="16">
        <f t="shared" si="85"/>
        <v>14101003.44589553</v>
      </c>
      <c r="AQ119" s="16">
        <f t="shared" si="86"/>
        <v>14101003.44589553</v>
      </c>
      <c r="AR119" s="16">
        <f t="shared" si="69"/>
        <v>14101003.44589553</v>
      </c>
      <c r="AV119" s="16">
        <v>114</v>
      </c>
      <c r="AW119" s="16">
        <f>盗宝贼掉落!AI118</f>
        <v>5453697.3682754859</v>
      </c>
      <c r="AX119" s="16">
        <f>盗宝贼掉落!AJ118</f>
        <v>6772499.9117825087</v>
      </c>
      <c r="AY119" s="16">
        <f>盗宝贼掉落!AK118</f>
        <v>7363007.7401279863</v>
      </c>
      <c r="AZ119" s="16">
        <f>盗宝贼掉落!AL118</f>
        <v>5948278.3134986665</v>
      </c>
      <c r="BA119" s="16">
        <f>盗宝贼掉落!AM118</f>
        <v>3201583.3144338732</v>
      </c>
      <c r="BC119" s="16">
        <f>盗宝贼掉落!AI118/AW119</f>
        <v>1</v>
      </c>
      <c r="BG119" s="41">
        <f t="shared" si="70"/>
        <v>0.40518593216666121</v>
      </c>
      <c r="BH119" s="41">
        <f t="shared" si="71"/>
        <v>0.48028496253958608</v>
      </c>
      <c r="BI119" s="41">
        <f t="shared" si="72"/>
        <v>0.52216197013065646</v>
      </c>
      <c r="BJ119" s="41">
        <f t="shared" si="73"/>
        <v>0.42183368980241404</v>
      </c>
      <c r="BK119" s="41">
        <f t="shared" si="74"/>
        <v>0.22704648833808905</v>
      </c>
      <c r="BR119" s="16">
        <v>12</v>
      </c>
      <c r="BS119" s="17">
        <f>基础状态预期!C130</f>
        <v>105</v>
      </c>
      <c r="BT119" s="17">
        <f>求节点($E$5:$E$10,F$5:F$10,基础状态预期!M130)</f>
        <v>6</v>
      </c>
      <c r="BU119" s="17">
        <f>求节点($E$5:$E$10,G$5:G$10,基础状态预期!N130)</f>
        <v>32</v>
      </c>
      <c r="BV119" s="17">
        <f>求节点($E$5:$E$10,H$5:H$10,基础状态预期!O130)</f>
        <v>60</v>
      </c>
      <c r="BW119" s="17">
        <f>求节点($E$5:$E$10,I$5:I$10,基础状态预期!P130)</f>
        <v>72</v>
      </c>
      <c r="BX119" s="17">
        <f>MAX(SUMPRODUCT(BT119:BW119,基础状态预期!I130:L130)/6,BX118)</f>
        <v>72</v>
      </c>
      <c r="CA119" s="16">
        <v>114</v>
      </c>
      <c r="CB119" s="16">
        <f t="shared" si="75"/>
        <v>70.567209435347181</v>
      </c>
      <c r="CC119" s="16">
        <f t="shared" si="76"/>
        <v>72</v>
      </c>
      <c r="CD119" s="16">
        <f t="shared" si="77"/>
        <v>72</v>
      </c>
      <c r="CE119" s="16">
        <f t="shared" si="78"/>
        <v>72</v>
      </c>
      <c r="CF119" s="16">
        <f t="shared" si="79"/>
        <v>72</v>
      </c>
      <c r="CH119" s="16">
        <v>28</v>
      </c>
      <c r="CP119" s="16">
        <v>115</v>
      </c>
      <c r="CQ119" s="16">
        <v>0</v>
      </c>
    </row>
    <row r="120" spans="31:95">
      <c r="AE120" s="17">
        <f>基础状态预期!C131</f>
        <v>110</v>
      </c>
      <c r="AF120" s="64">
        <f>求节点(P$7:P$9,Z$6:Z$8,基础状态预期!Q131)*P$6</f>
        <v>0</v>
      </c>
      <c r="AG120" s="64">
        <f>求节点(Q$7:Q$9,AA$6:AA$8,基础状态预期!R131)*Q$6</f>
        <v>0</v>
      </c>
      <c r="AH120" s="64">
        <f>求节点(R$7:R$9,AB$6:AB$8,基础状态预期!S131)*R$6</f>
        <v>0</v>
      </c>
      <c r="AI120" s="64">
        <f>求节点(S$7:S$9,AC$6:AC$8,基础状态预期!T131)*S$6</f>
        <v>2350167.2409825884</v>
      </c>
      <c r="AJ120" s="17">
        <f>SUMPRODUCT(AF120:AI120,基础状态预期!I131:L131)</f>
        <v>14101003.44589553</v>
      </c>
      <c r="AM120" s="16">
        <v>115</v>
      </c>
      <c r="AN120" s="16">
        <f t="shared" si="65"/>
        <v>14101003.44589553</v>
      </c>
      <c r="AO120" s="16">
        <f t="shared" si="84"/>
        <v>14101003.44589553</v>
      </c>
      <c r="AP120" s="16">
        <f t="shared" si="85"/>
        <v>14101003.44589553</v>
      </c>
      <c r="AQ120" s="16">
        <f t="shared" si="86"/>
        <v>14101003.44589553</v>
      </c>
      <c r="AR120" s="16">
        <f t="shared" si="69"/>
        <v>14101003.44589553</v>
      </c>
      <c r="AV120" s="16">
        <v>115</v>
      </c>
      <c r="AW120" s="16">
        <f>盗宝贼掉落!AI119</f>
        <v>5878385.9975107871</v>
      </c>
      <c r="AX120" s="16">
        <f>盗宝贼掉落!AJ119</f>
        <v>7278039.5313967708</v>
      </c>
      <c r="AY120" s="16">
        <f>盗宝贼掉落!AK119</f>
        <v>7898368.6787188351</v>
      </c>
      <c r="AZ120" s="16">
        <f>盗宝贼掉落!AL119</f>
        <v>6378645.8107480798</v>
      </c>
      <c r="BA120" s="16">
        <f>盗宝贼掉落!AM119</f>
        <v>3436254.3068048288</v>
      </c>
      <c r="BC120" s="16">
        <f>盗宝贼掉落!AI119/AW120</f>
        <v>1</v>
      </c>
      <c r="BG120" s="41">
        <f t="shared" si="70"/>
        <v>0.41687714069893705</v>
      </c>
      <c r="BH120" s="41">
        <f t="shared" si="71"/>
        <v>0.51613628486242491</v>
      </c>
      <c r="BI120" s="41">
        <f t="shared" si="72"/>
        <v>0.56012812910969567</v>
      </c>
      <c r="BJ120" s="41">
        <f t="shared" si="73"/>
        <v>0.45235403531546214</v>
      </c>
      <c r="BK120" s="41">
        <f t="shared" si="74"/>
        <v>0.2436886367689699</v>
      </c>
      <c r="BR120" s="16">
        <v>13</v>
      </c>
      <c r="BS120" s="17">
        <f>基础状态预期!C131</f>
        <v>110</v>
      </c>
      <c r="BT120" s="17">
        <f>求节点($E$5:$E$10,F$5:F$10,基础状态预期!M131)</f>
        <v>6</v>
      </c>
      <c r="BU120" s="17">
        <f>求节点($E$5:$E$10,G$5:G$10,基础状态预期!N131)</f>
        <v>32</v>
      </c>
      <c r="BV120" s="17">
        <f>求节点($E$5:$E$10,H$5:H$10,基础状态预期!O131)</f>
        <v>60</v>
      </c>
      <c r="BW120" s="17">
        <f>求节点($E$5:$E$10,I$5:I$10,基础状态预期!P131)</f>
        <v>72</v>
      </c>
      <c r="BX120" s="17">
        <f>MAX(SUMPRODUCT(BT120:BW120,基础状态预期!I131:L131)/6,BX119)</f>
        <v>72</v>
      </c>
      <c r="CA120" s="16">
        <v>115</v>
      </c>
      <c r="CB120" s="16">
        <f t="shared" si="75"/>
        <v>72</v>
      </c>
      <c r="CC120" s="16">
        <f t="shared" si="76"/>
        <v>72</v>
      </c>
      <c r="CD120" s="16">
        <f t="shared" si="77"/>
        <v>72</v>
      </c>
      <c r="CE120" s="16">
        <f t="shared" si="78"/>
        <v>72</v>
      </c>
      <c r="CF120" s="16">
        <f t="shared" si="79"/>
        <v>72</v>
      </c>
      <c r="CH120" s="16">
        <v>29</v>
      </c>
      <c r="CP120" s="16">
        <v>120</v>
      </c>
      <c r="CQ120" s="16">
        <v>0</v>
      </c>
    </row>
    <row r="121" spans="31:95">
      <c r="AE121" s="17">
        <f>基础状态预期!C132</f>
        <v>115</v>
      </c>
      <c r="AF121" s="64">
        <f>求节点(P$7:P$9,Z$6:Z$8,基础状态预期!Q132)*P$6</f>
        <v>0</v>
      </c>
      <c r="AG121" s="64">
        <f>求节点(Q$7:Q$9,AA$6:AA$8,基础状态预期!R132)*Q$6</f>
        <v>0</v>
      </c>
      <c r="AH121" s="64">
        <f>求节点(R$7:R$9,AB$6:AB$8,基础状态预期!S132)*R$6</f>
        <v>0</v>
      </c>
      <c r="AI121" s="64">
        <f>求节点(S$7:S$9,AC$6:AC$8,基础状态预期!T132)*S$6</f>
        <v>2350167.2409825884</v>
      </c>
      <c r="AJ121" s="17">
        <f>SUMPRODUCT(AF121:AI121,基础状态预期!I132:L132)</f>
        <v>14101003.44589553</v>
      </c>
      <c r="AM121" s="16">
        <v>116</v>
      </c>
      <c r="AN121" s="16">
        <f t="shared" si="65"/>
        <v>14101003.44589553</v>
      </c>
      <c r="AO121" s="16">
        <f t="shared" si="84"/>
        <v>14101003.44589553</v>
      </c>
      <c r="AP121" s="16">
        <f t="shared" si="85"/>
        <v>14101003.44589553</v>
      </c>
      <c r="AQ121" s="16">
        <f t="shared" si="86"/>
        <v>14101003.44589553</v>
      </c>
      <c r="AR121" s="16">
        <f t="shared" si="69"/>
        <v>14101003.44589553</v>
      </c>
      <c r="AV121" s="16">
        <v>116</v>
      </c>
      <c r="AW121" s="16">
        <f>盗宝贼掉落!AI120</f>
        <v>6333556.0001660939</v>
      </c>
      <c r="AX121" s="16">
        <f>盗宝贼掉落!AJ120</f>
        <v>7832127.174521883</v>
      </c>
      <c r="AY121" s="16">
        <f>盗宝贼掉落!AK120</f>
        <v>8500278.0466151312</v>
      </c>
      <c r="AZ121" s="16">
        <f>盗宝贼掉落!AL120</f>
        <v>6878534.0159816267</v>
      </c>
      <c r="BA121" s="16">
        <f>盗宝贼掉落!AM120</f>
        <v>3703382.6968631642</v>
      </c>
      <c r="BC121" s="16">
        <f>盗宝贼掉落!AI120/AW121</f>
        <v>1</v>
      </c>
      <c r="BG121" s="41">
        <f t="shared" si="70"/>
        <v>0.44915640397277135</v>
      </c>
      <c r="BH121" s="41">
        <f t="shared" si="71"/>
        <v>0.5554304844029827</v>
      </c>
      <c r="BI121" s="41">
        <f t="shared" si="72"/>
        <v>0.60281369898461812</v>
      </c>
      <c r="BJ121" s="41">
        <f t="shared" si="73"/>
        <v>0.48780457662988558</v>
      </c>
      <c r="BK121" s="41">
        <f t="shared" si="74"/>
        <v>0.26263256448895711</v>
      </c>
      <c r="BR121" s="16">
        <v>14</v>
      </c>
      <c r="BS121" s="17">
        <f>基础状态预期!C132</f>
        <v>115</v>
      </c>
      <c r="BT121" s="17">
        <f>求节点($E$5:$E$10,F$5:F$10,基础状态预期!M132)</f>
        <v>6</v>
      </c>
      <c r="BU121" s="17">
        <f>求节点($E$5:$E$10,G$5:G$10,基础状态预期!N132)</f>
        <v>32</v>
      </c>
      <c r="BV121" s="17">
        <f>求节点($E$5:$E$10,H$5:H$10,基础状态预期!O132)</f>
        <v>60</v>
      </c>
      <c r="BW121" s="17">
        <f>求节点($E$5:$E$10,I$5:I$10,基础状态预期!P132)</f>
        <v>72</v>
      </c>
      <c r="BX121" s="17">
        <f>MAX(SUMPRODUCT(BT121:BW121,基础状态预期!I132:L132)/6,BX120)</f>
        <v>72</v>
      </c>
      <c r="CA121" s="16">
        <v>116</v>
      </c>
      <c r="CB121" s="16">
        <f t="shared" si="75"/>
        <v>72</v>
      </c>
      <c r="CC121" s="16">
        <f t="shared" si="76"/>
        <v>72</v>
      </c>
      <c r="CD121" s="16">
        <f t="shared" si="77"/>
        <v>72</v>
      </c>
      <c r="CE121" s="16">
        <f t="shared" si="78"/>
        <v>72</v>
      </c>
      <c r="CF121" s="16">
        <f t="shared" si="79"/>
        <v>72</v>
      </c>
      <c r="CH121" s="16">
        <v>30</v>
      </c>
      <c r="CP121" s="16">
        <v>125</v>
      </c>
      <c r="CQ121" s="16">
        <v>0</v>
      </c>
    </row>
    <row r="122" spans="31:95">
      <c r="AE122" s="17">
        <f>基础状态预期!C133</f>
        <v>120</v>
      </c>
      <c r="AF122" s="64">
        <f>求节点(P$7:P$9,Z$6:Z$8,基础状态预期!Q133)*P$6</f>
        <v>0</v>
      </c>
      <c r="AG122" s="64">
        <f>求节点(Q$7:Q$9,AA$6:AA$8,基础状态预期!R133)*Q$6</f>
        <v>0</v>
      </c>
      <c r="AH122" s="64">
        <f>求节点(R$7:R$9,AB$6:AB$8,基础状态预期!S133)*R$6</f>
        <v>0</v>
      </c>
      <c r="AI122" s="64">
        <f>求节点(S$7:S$9,AC$6:AC$8,基础状态预期!T133)*S$6</f>
        <v>2350167.2409825884</v>
      </c>
      <c r="AJ122" s="17">
        <f>SUMPRODUCT(AF122:AI122,基础状态预期!I133:L133)</f>
        <v>14101003.44589553</v>
      </c>
      <c r="AM122" s="16">
        <v>117</v>
      </c>
      <c r="AN122" s="16">
        <f t="shared" si="65"/>
        <v>14101003.44589553</v>
      </c>
      <c r="AO122" s="16">
        <f t="shared" si="84"/>
        <v>14101003.44589553</v>
      </c>
      <c r="AP122" s="16">
        <f t="shared" si="85"/>
        <v>14101003.44589553</v>
      </c>
      <c r="AQ122" s="16">
        <f t="shared" si="86"/>
        <v>14101003.44589553</v>
      </c>
      <c r="AR122" s="16">
        <f t="shared" si="69"/>
        <v>14101003.44589553</v>
      </c>
      <c r="AV122" s="16">
        <v>117</v>
      </c>
      <c r="AW122" s="16">
        <f>盗宝贼掉落!AI121</f>
        <v>6821395.1299546231</v>
      </c>
      <c r="AX122" s="16">
        <f>盗宝贼掉落!AJ121</f>
        <v>8438001.5099002533</v>
      </c>
      <c r="AY122" s="16">
        <f>盗宝贼掉落!AK121</f>
        <v>9166226.4870518167</v>
      </c>
      <c r="AZ122" s="16">
        <f>盗宝贼掉落!AL121</f>
        <v>7412998.0704603428</v>
      </c>
      <c r="BA122" s="16">
        <f>盗宝贼掉落!AM121</f>
        <v>3996206.4737201761</v>
      </c>
      <c r="BC122" s="16">
        <f>盗宝贼掉落!AI121/AW122</f>
        <v>1</v>
      </c>
      <c r="BG122" s="41">
        <f t="shared" si="70"/>
        <v>0.48375246173988917</v>
      </c>
      <c r="BH122" s="41">
        <f t="shared" si="71"/>
        <v>0.59839723763462782</v>
      </c>
      <c r="BI122" s="41">
        <f t="shared" si="72"/>
        <v>0.65004072385500267</v>
      </c>
      <c r="BJ122" s="41">
        <f t="shared" si="73"/>
        <v>0.52570713133313163</v>
      </c>
      <c r="BK122" s="41">
        <f t="shared" si="74"/>
        <v>0.28339873038492008</v>
      </c>
      <c r="BR122" s="16">
        <v>15</v>
      </c>
      <c r="BS122" s="17">
        <f>基础状态预期!C133</f>
        <v>120</v>
      </c>
      <c r="BT122" s="17">
        <f>求节点($E$5:$E$10,F$5:F$10,基础状态预期!M133)</f>
        <v>6</v>
      </c>
      <c r="BU122" s="17">
        <f>求节点($E$5:$E$10,G$5:G$10,基础状态预期!N133)</f>
        <v>32</v>
      </c>
      <c r="BV122" s="17">
        <f>求节点($E$5:$E$10,H$5:H$10,基础状态预期!O133)</f>
        <v>60</v>
      </c>
      <c r="BW122" s="17">
        <f>求节点($E$5:$E$10,I$5:I$10,基础状态预期!P133)</f>
        <v>72</v>
      </c>
      <c r="BX122" s="17">
        <f>MAX(SUMPRODUCT(BT122:BW122,基础状态预期!I133:L133)/6,BX121)</f>
        <v>72</v>
      </c>
      <c r="CA122" s="16">
        <v>117</v>
      </c>
      <c r="CB122" s="16">
        <f t="shared" si="75"/>
        <v>72</v>
      </c>
      <c r="CC122" s="16">
        <f t="shared" si="76"/>
        <v>72</v>
      </c>
      <c r="CD122" s="16">
        <f t="shared" si="77"/>
        <v>72</v>
      </c>
      <c r="CE122" s="16">
        <f t="shared" si="78"/>
        <v>72</v>
      </c>
      <c r="CF122" s="16">
        <f t="shared" si="79"/>
        <v>72</v>
      </c>
      <c r="CH122" s="16">
        <v>31</v>
      </c>
      <c r="CP122" s="16">
        <v>130</v>
      </c>
      <c r="CQ122" s="16">
        <v>0</v>
      </c>
    </row>
    <row r="123" spans="31:95">
      <c r="AE123" s="17">
        <f>基础状态预期!C134</f>
        <v>125</v>
      </c>
      <c r="AF123" s="64">
        <f>求节点(P$7:P$9,Z$6:Z$8,基础状态预期!Q134)*P$6</f>
        <v>0</v>
      </c>
      <c r="AG123" s="64">
        <f>求节点(Q$7:Q$9,AA$6:AA$8,基础状态预期!R134)*Q$6</f>
        <v>0</v>
      </c>
      <c r="AH123" s="64">
        <f>求节点(R$7:R$9,AB$6:AB$8,基础状态预期!S134)*R$6</f>
        <v>0</v>
      </c>
      <c r="AI123" s="64">
        <f>求节点(S$7:S$9,AC$6:AC$8,基础状态预期!T134)*S$6</f>
        <v>2350167.2409825884</v>
      </c>
      <c r="AJ123" s="17">
        <f>SUMPRODUCT(AF123:AI123,基础状态预期!I134:L134)</f>
        <v>14101003.44589553</v>
      </c>
      <c r="AM123" s="16">
        <v>118</v>
      </c>
      <c r="AN123" s="16">
        <f t="shared" si="65"/>
        <v>14101003.44589553</v>
      </c>
      <c r="AO123" s="16">
        <f t="shared" si="84"/>
        <v>14101003.44589553</v>
      </c>
      <c r="AP123" s="16">
        <f t="shared" si="85"/>
        <v>14101003.44589553</v>
      </c>
      <c r="AQ123" s="16">
        <f t="shared" si="86"/>
        <v>14101003.44589553</v>
      </c>
      <c r="AR123" s="16">
        <f t="shared" si="69"/>
        <v>14101003.44589553</v>
      </c>
      <c r="AV123" s="16">
        <v>118</v>
      </c>
      <c r="AW123" s="16">
        <f>盗宝贼掉落!AI122</f>
        <v>7344248.163248796</v>
      </c>
      <c r="AX123" s="16">
        <f>盗宝贼掉落!AJ122</f>
        <v>9087513.8993324935</v>
      </c>
      <c r="AY123" s="16">
        <f>盗宝贼掉落!AK122</f>
        <v>9874520.1364006437</v>
      </c>
      <c r="AZ123" s="16">
        <f>盗宝贼掉落!AL122</f>
        <v>7998290.8439134676</v>
      </c>
      <c r="BA123" s="16">
        <f>盗宝贼掉落!AM122</f>
        <v>4305272.4483487029</v>
      </c>
      <c r="BC123" s="16">
        <f>盗宝贼掉落!AI122/AW123</f>
        <v>1</v>
      </c>
      <c r="BG123" s="41">
        <f t="shared" ref="BG123:BG131" si="87">AW123/AN123</f>
        <v>0.5208315983630607</v>
      </c>
      <c r="BH123" s="41">
        <f t="shared" ref="BH123:BH131" si="88">AX123/AO123</f>
        <v>0.64445866807994112</v>
      </c>
      <c r="BI123" s="41">
        <f t="shared" ref="BI123:BI131" si="89">AY123/AP123</f>
        <v>0.70027074131911393</v>
      </c>
      <c r="BJ123" s="41">
        <f t="shared" ref="BJ123:BJ131" si="90">AZ123/AQ123</f>
        <v>0.56721430319496746</v>
      </c>
      <c r="BK123" s="41">
        <f t="shared" ref="BK123:BK131" si="91">BA123/AR123</f>
        <v>0.30531674322807617</v>
      </c>
      <c r="BR123" s="16">
        <v>16</v>
      </c>
      <c r="BS123" s="17">
        <f>基础状态预期!C134</f>
        <v>125</v>
      </c>
      <c r="BT123" s="17">
        <f>求节点($E$5:$E$10,F$5:F$10,基础状态预期!M134)</f>
        <v>6</v>
      </c>
      <c r="BU123" s="17">
        <f>求节点($E$5:$E$10,G$5:G$10,基础状态预期!N134)</f>
        <v>32</v>
      </c>
      <c r="BV123" s="17">
        <f>求节点($E$5:$E$10,H$5:H$10,基础状态预期!O134)</f>
        <v>60</v>
      </c>
      <c r="BW123" s="17">
        <f>求节点($E$5:$E$10,I$5:I$10,基础状态预期!P134)</f>
        <v>72</v>
      </c>
      <c r="BX123" s="17">
        <f>MAX(SUMPRODUCT(BT123:BW123,基础状态预期!I134:L134)/6,BX122)</f>
        <v>72</v>
      </c>
      <c r="CA123" s="16">
        <v>118</v>
      </c>
      <c r="CB123" s="16">
        <f t="shared" si="75"/>
        <v>72</v>
      </c>
      <c r="CC123" s="16">
        <f t="shared" si="76"/>
        <v>72</v>
      </c>
      <c r="CD123" s="16">
        <f t="shared" si="77"/>
        <v>72</v>
      </c>
      <c r="CE123" s="16">
        <f t="shared" si="78"/>
        <v>72</v>
      </c>
      <c r="CF123" s="16">
        <f t="shared" si="79"/>
        <v>72</v>
      </c>
      <c r="CH123" s="16">
        <v>32</v>
      </c>
      <c r="CP123" s="16">
        <v>135</v>
      </c>
      <c r="CQ123" s="16">
        <v>0</v>
      </c>
    </row>
    <row r="124" spans="31:95">
      <c r="AE124" s="17">
        <f>基础状态预期!C135</f>
        <v>130</v>
      </c>
      <c r="AF124" s="64">
        <f>求节点(P$7:P$9,Z$6:Z$8,基础状态预期!Q135)*P$6</f>
        <v>0</v>
      </c>
      <c r="AG124" s="64">
        <f>求节点(Q$7:Q$9,AA$6:AA$8,基础状态预期!R135)*Q$6</f>
        <v>0</v>
      </c>
      <c r="AH124" s="64">
        <f>求节点(R$7:R$9,AB$6:AB$8,基础状态预期!S135)*R$6</f>
        <v>0</v>
      </c>
      <c r="AI124" s="64">
        <f>求节点(S$7:S$9,AC$6:AC$8,基础状态预期!T135)*S$6</f>
        <v>2350167.2409825884</v>
      </c>
      <c r="AJ124" s="17">
        <f>SUMPRODUCT(AF124:AI124,基础状态预期!I135:L135)</f>
        <v>14101003.44589553</v>
      </c>
      <c r="AM124" s="16">
        <v>119</v>
      </c>
      <c r="AN124" s="16">
        <f t="shared" si="65"/>
        <v>14101003.44589553</v>
      </c>
      <c r="AO124" s="16">
        <f t="shared" si="84"/>
        <v>14101003.44589553</v>
      </c>
      <c r="AP124" s="16">
        <f t="shared" si="85"/>
        <v>14101003.44589553</v>
      </c>
      <c r="AQ124" s="16">
        <f t="shared" si="86"/>
        <v>14101003.44589553</v>
      </c>
      <c r="AR124" s="16">
        <f t="shared" si="69"/>
        <v>14101003.44589553</v>
      </c>
      <c r="AV124" s="16">
        <v>119</v>
      </c>
      <c r="AW124" s="16">
        <f>盗宝贼掉落!AI123</f>
        <v>7904628.169140067</v>
      </c>
      <c r="AX124" s="16">
        <f>盗宝贼掉落!AJ123</f>
        <v>9788681.3233997431</v>
      </c>
      <c r="AY124" s="16">
        <f>盗宝贼掉落!AK123</f>
        <v>10647222.946229044</v>
      </c>
      <c r="AZ124" s="16">
        <f>盗宝贼掉落!AL123</f>
        <v>8615482.4245569427</v>
      </c>
      <c r="BA124" s="16">
        <f>盗宝贼掉落!AM123</f>
        <v>4619787.7407202702</v>
      </c>
      <c r="BC124" s="16">
        <f>盗宝贼掉落!AI123/AW124</f>
        <v>1</v>
      </c>
      <c r="BG124" s="41">
        <f t="shared" si="87"/>
        <v>0.56057203300953151</v>
      </c>
      <c r="BH124" s="41">
        <f t="shared" si="88"/>
        <v>0.69418331546107082</v>
      </c>
      <c r="BI124" s="41">
        <f t="shared" si="89"/>
        <v>0.75506845928246336</v>
      </c>
      <c r="BJ124" s="41">
        <f t="shared" si="90"/>
        <v>0.6109836408177538</v>
      </c>
      <c r="BK124" s="41">
        <f t="shared" si="91"/>
        <v>0.32762120500473896</v>
      </c>
      <c r="BR124" s="16">
        <v>17</v>
      </c>
      <c r="BS124" s="17">
        <f>基础状态预期!C135</f>
        <v>130</v>
      </c>
      <c r="BT124" s="17">
        <f>求节点($E$5:$E$10,F$5:F$10,基础状态预期!M135)</f>
        <v>6</v>
      </c>
      <c r="BU124" s="17">
        <f>求节点($E$5:$E$10,G$5:G$10,基础状态预期!N135)</f>
        <v>32</v>
      </c>
      <c r="BV124" s="17">
        <f>求节点($E$5:$E$10,H$5:H$10,基础状态预期!O135)</f>
        <v>60</v>
      </c>
      <c r="BW124" s="17">
        <f>求节点($E$5:$E$10,I$5:I$10,基础状态预期!P135)</f>
        <v>72</v>
      </c>
      <c r="BX124" s="17">
        <f>MAX(SUMPRODUCT(BT124:BW124,基础状态预期!I135:L135)/6,BX123)</f>
        <v>72</v>
      </c>
      <c r="CA124" s="16">
        <v>119</v>
      </c>
      <c r="CB124" s="16">
        <f t="shared" si="75"/>
        <v>72</v>
      </c>
      <c r="CC124" s="16">
        <f t="shared" si="76"/>
        <v>72</v>
      </c>
      <c r="CD124" s="16">
        <f t="shared" si="77"/>
        <v>72</v>
      </c>
      <c r="CE124" s="16">
        <f t="shared" si="78"/>
        <v>72</v>
      </c>
      <c r="CF124" s="16">
        <f t="shared" si="79"/>
        <v>72</v>
      </c>
      <c r="CH124" s="16">
        <v>33</v>
      </c>
      <c r="CP124" s="16">
        <v>140</v>
      </c>
      <c r="CQ124" s="16">
        <v>0</v>
      </c>
    </row>
    <row r="125" spans="31:95">
      <c r="AE125" s="17">
        <f>基础状态预期!C136</f>
        <v>135</v>
      </c>
      <c r="AF125" s="65">
        <f>求节点(P$7:P$9,Z$6:Z$8,基础状态预期!Q136)*P$6</f>
        <v>0</v>
      </c>
      <c r="AG125" s="65">
        <f>求节点(Q$7:Q$9,AA$6:AA$8,基础状态预期!R136)*Q$6</f>
        <v>0</v>
      </c>
      <c r="AH125" s="65">
        <f>求节点(R$7:R$9,AB$6:AB$8,基础状态预期!S136)*R$6</f>
        <v>0</v>
      </c>
      <c r="AI125" s="65">
        <f>求节点(S$7:S$9,AC$6:AC$8,基础状态预期!T136)*S$6</f>
        <v>2350167.2409825884</v>
      </c>
      <c r="AJ125" s="17">
        <f>SUMPRODUCT(AF125:AI125,基础状态预期!I136:L136)</f>
        <v>14101003.44589553</v>
      </c>
      <c r="AM125" s="16">
        <v>120</v>
      </c>
      <c r="AN125" s="16">
        <f t="shared" si="65"/>
        <v>14101003.44589553</v>
      </c>
      <c r="AO125" s="16">
        <f t="shared" si="84"/>
        <v>14101003.44589553</v>
      </c>
      <c r="AP125" s="16">
        <f t="shared" si="85"/>
        <v>14101003.44589553</v>
      </c>
      <c r="AQ125" s="16">
        <f t="shared" si="86"/>
        <v>14101003.44589553</v>
      </c>
      <c r="AR125" s="16">
        <f t="shared" si="69"/>
        <v>14101003.44589553</v>
      </c>
      <c r="AV125" s="16">
        <v>120</v>
      </c>
      <c r="AW125" s="16">
        <f>盗宝贼掉落!AI124</f>
        <v>8505228.5883902684</v>
      </c>
      <c r="AX125" s="16">
        <f>盗宝贼掉落!AJ124</f>
        <v>10540698.971190218</v>
      </c>
      <c r="AY125" s="16">
        <f>盗宝贼掉落!AK124</f>
        <v>11458954.710952099</v>
      </c>
      <c r="AZ125" s="16">
        <f>盗宝贼掉落!AL124</f>
        <v>9229190.8159621023</v>
      </c>
      <c r="BA125" s="16">
        <f>盗宝贼掉落!AM124</f>
        <v>4951785.3517909097</v>
      </c>
      <c r="BC125" s="16">
        <f>盗宝贼掉落!AI124/AW125</f>
        <v>1</v>
      </c>
      <c r="BG125" s="66">
        <f t="shared" si="87"/>
        <v>0.60316477625327725</v>
      </c>
      <c r="BH125" s="66">
        <f t="shared" si="88"/>
        <v>0.74751410505174842</v>
      </c>
      <c r="BI125" s="66">
        <f t="shared" si="89"/>
        <v>0.81263399125595781</v>
      </c>
      <c r="BJ125" s="66">
        <f t="shared" si="90"/>
        <v>0.65450596132210026</v>
      </c>
      <c r="BK125" s="66">
        <f t="shared" si="91"/>
        <v>0.35116545930866061</v>
      </c>
      <c r="BR125" s="16">
        <v>18</v>
      </c>
      <c r="BS125" s="17">
        <f>基础状态预期!C136</f>
        <v>135</v>
      </c>
      <c r="BT125" s="17">
        <f>求节点($E$5:$E$10,F$5:F$10,基础状态预期!M136)</f>
        <v>6</v>
      </c>
      <c r="BU125" s="17">
        <f>求节点($E$5:$E$10,G$5:G$10,基础状态预期!N136)</f>
        <v>32</v>
      </c>
      <c r="BV125" s="17">
        <f>求节点($E$5:$E$10,H$5:H$10,基础状态预期!O136)</f>
        <v>60</v>
      </c>
      <c r="BW125" s="17">
        <f>求节点($E$5:$E$10,I$5:I$10,基础状态预期!P136)</f>
        <v>72</v>
      </c>
      <c r="BX125" s="17">
        <f>MAX(SUMPRODUCT(BT125:BW125,基础状态预期!I136:L136)/6,BX124)</f>
        <v>72</v>
      </c>
      <c r="CA125" s="16">
        <v>120</v>
      </c>
      <c r="CB125" s="16">
        <f t="shared" si="75"/>
        <v>72</v>
      </c>
      <c r="CC125" s="16">
        <f t="shared" si="76"/>
        <v>72</v>
      </c>
      <c r="CD125" s="16">
        <f t="shared" si="77"/>
        <v>72</v>
      </c>
      <c r="CE125" s="16">
        <f t="shared" si="78"/>
        <v>72</v>
      </c>
      <c r="CF125" s="16">
        <f t="shared" si="79"/>
        <v>72</v>
      </c>
      <c r="CH125" s="16">
        <v>34</v>
      </c>
      <c r="CP125" s="16">
        <v>145</v>
      </c>
      <c r="CQ125" s="16">
        <v>0</v>
      </c>
    </row>
    <row r="126" spans="31:95">
      <c r="AE126" s="17">
        <f>基础状态预期!C137</f>
        <v>140</v>
      </c>
      <c r="AF126" s="64">
        <f>求节点(P$7:P$9,Z$6:Z$8,基础状态预期!Q137)*P$6</f>
        <v>0</v>
      </c>
      <c r="AG126" s="64">
        <f>求节点(Q$7:Q$9,AA$6:AA$8,基础状态预期!R137)*Q$6</f>
        <v>0</v>
      </c>
      <c r="AH126" s="64">
        <f>求节点(R$7:R$9,AB$6:AB$8,基础状态预期!S137)*R$6</f>
        <v>0</v>
      </c>
      <c r="AI126" s="64">
        <f>求节点(S$7:S$9,AC$6:AC$8,基础状态预期!T137)*S$6</f>
        <v>2350167.2409825884</v>
      </c>
      <c r="AJ126" s="17">
        <f>SUMPRODUCT(AF126:AI126,基础状态预期!I137:L137)</f>
        <v>14101003.44589553</v>
      </c>
      <c r="AM126" s="16">
        <v>121</v>
      </c>
      <c r="AN126" s="16">
        <f t="shared" si="65"/>
        <v>14101003.44589553</v>
      </c>
      <c r="AO126" s="16">
        <f t="shared" si="84"/>
        <v>14101003.44589553</v>
      </c>
      <c r="AP126" s="16">
        <f t="shared" si="85"/>
        <v>14101003.44589553</v>
      </c>
      <c r="AQ126" s="16">
        <f t="shared" si="86"/>
        <v>14101003.44589553</v>
      </c>
      <c r="AR126" s="16">
        <f t="shared" si="69"/>
        <v>14101003.44589553</v>
      </c>
      <c r="AV126" s="16">
        <v>121</v>
      </c>
      <c r="AW126" s="16">
        <f>盗宝贼掉落!AI125</f>
        <v>9148936.179330809</v>
      </c>
      <c r="AX126" s="16">
        <f>盗宝贼掉落!AJ125</f>
        <v>11323458.71948114</v>
      </c>
      <c r="AY126" s="16">
        <f>盗宝贼掉落!AK125</f>
        <v>12268238.41299976</v>
      </c>
      <c r="AZ126" s="16">
        <f>盗宝贼掉落!AL125</f>
        <v>9883919.6195932832</v>
      </c>
      <c r="BA126" s="16">
        <f>盗宝贼掉落!AM125</f>
        <v>5321232.7016935432</v>
      </c>
      <c r="BC126" s="16">
        <f>盗宝贼掉落!AI125/AW126</f>
        <v>1</v>
      </c>
      <c r="BG126" s="41">
        <f t="shared" si="87"/>
        <v>0.648814548158546</v>
      </c>
      <c r="BH126" s="41">
        <f t="shared" si="88"/>
        <v>0.80302503030570727</v>
      </c>
      <c r="BI126" s="41">
        <f t="shared" si="89"/>
        <v>0.87002591411824348</v>
      </c>
      <c r="BJ126" s="41">
        <f t="shared" si="90"/>
        <v>0.70093732389451047</v>
      </c>
      <c r="BK126" s="41">
        <f t="shared" si="91"/>
        <v>0.37736553445367949</v>
      </c>
      <c r="BR126" s="16">
        <v>19</v>
      </c>
      <c r="BS126" s="17">
        <f>基础状态预期!C137</f>
        <v>140</v>
      </c>
      <c r="BT126" s="17">
        <f>求节点($E$5:$E$10,F$5:F$10,基础状态预期!M137)</f>
        <v>6</v>
      </c>
      <c r="BU126" s="17">
        <f>求节点($E$5:$E$10,G$5:G$10,基础状态预期!N137)</f>
        <v>32</v>
      </c>
      <c r="BV126" s="17">
        <f>求节点($E$5:$E$10,H$5:H$10,基础状态预期!O137)</f>
        <v>60</v>
      </c>
      <c r="BW126" s="17">
        <f>求节点($E$5:$E$10,I$5:I$10,基础状态预期!P137)</f>
        <v>72</v>
      </c>
      <c r="BX126" s="17">
        <f>MAX(SUMPRODUCT(BT126:BW126,基础状态预期!I137:L137)/6,BX125)</f>
        <v>72</v>
      </c>
      <c r="CA126" s="16">
        <v>121</v>
      </c>
      <c r="CB126" s="16">
        <f t="shared" si="75"/>
        <v>72</v>
      </c>
      <c r="CC126" s="16">
        <f t="shared" si="76"/>
        <v>72</v>
      </c>
      <c r="CD126" s="16">
        <f t="shared" si="77"/>
        <v>72</v>
      </c>
      <c r="CE126" s="16">
        <f t="shared" si="78"/>
        <v>72</v>
      </c>
      <c r="CF126" s="16">
        <f t="shared" si="79"/>
        <v>72</v>
      </c>
      <c r="CH126" s="16">
        <v>35</v>
      </c>
      <c r="CP126" s="16">
        <v>150</v>
      </c>
      <c r="CQ126" s="16">
        <v>0</v>
      </c>
    </row>
    <row r="127" spans="31:95">
      <c r="AE127" s="17">
        <f>基础状态预期!C138</f>
        <v>145</v>
      </c>
      <c r="AF127" s="64">
        <f>求节点(P$7:P$9,Z$6:Z$8,基础状态预期!Q138)*P$6</f>
        <v>0</v>
      </c>
      <c r="AG127" s="64">
        <f>求节点(Q$7:Q$9,AA$6:AA$8,基础状态预期!R138)*Q$6</f>
        <v>0</v>
      </c>
      <c r="AH127" s="64">
        <f>求节点(R$7:R$9,AB$6:AB$8,基础状态预期!S138)*R$6</f>
        <v>0</v>
      </c>
      <c r="AI127" s="64">
        <f>求节点(S$7:S$9,AC$6:AC$8,基础状态预期!T138)*S$6</f>
        <v>2350167.2409825884</v>
      </c>
      <c r="AJ127" s="17">
        <f>SUMPRODUCT(AF127:AI127,基础状态预期!I138:L138)</f>
        <v>14101003.44589553</v>
      </c>
      <c r="AM127" s="16">
        <v>122</v>
      </c>
      <c r="AN127" s="16">
        <f t="shared" si="65"/>
        <v>14101003.44589553</v>
      </c>
      <c r="AO127" s="16">
        <f t="shared" si="84"/>
        <v>14101003.44589553</v>
      </c>
      <c r="AP127" s="16">
        <f t="shared" si="85"/>
        <v>14101003.44589553</v>
      </c>
      <c r="AQ127" s="16">
        <f t="shared" si="86"/>
        <v>14101003.44589553</v>
      </c>
      <c r="AR127" s="16">
        <f t="shared" si="69"/>
        <v>14101003.44589553</v>
      </c>
      <c r="AV127" s="16">
        <v>122</v>
      </c>
      <c r="AW127" s="16">
        <f>盗宝贼掉落!AI126</f>
        <v>9838844.8929340374</v>
      </c>
      <c r="AX127" s="16">
        <f>盗宝贼掉落!AJ126</f>
        <v>12146292.024568463</v>
      </c>
      <c r="AY127" s="16">
        <f>盗宝贼掉落!AK126</f>
        <v>13155826.676110473</v>
      </c>
      <c r="AZ127" s="16">
        <f>盗宝贼掉落!AL126</f>
        <v>10614684.116355022</v>
      </c>
      <c r="BA127" s="16">
        <f>盗宝贼掉落!AM126</f>
        <v>5716733.0228769043</v>
      </c>
      <c r="BC127" s="16">
        <f>盗宝贼掉落!AI126/AW127</f>
        <v>1</v>
      </c>
      <c r="BG127" s="41">
        <f t="shared" si="87"/>
        <v>0.69774076225744719</v>
      </c>
      <c r="BH127" s="41">
        <f t="shared" si="88"/>
        <v>0.86137784953906682</v>
      </c>
      <c r="BI127" s="41">
        <f t="shared" si="89"/>
        <v>0.93297095675413255</v>
      </c>
      <c r="BJ127" s="41">
        <f t="shared" si="90"/>
        <v>0.75276090507195126</v>
      </c>
      <c r="BK127" s="41">
        <f t="shared" si="91"/>
        <v>0.40541320657154445</v>
      </c>
      <c r="BR127" s="16">
        <v>20</v>
      </c>
      <c r="BS127" s="17">
        <f>基础状态预期!C138</f>
        <v>145</v>
      </c>
      <c r="BT127" s="17">
        <f>求节点($E$5:$E$10,F$5:F$10,基础状态预期!M138)</f>
        <v>6</v>
      </c>
      <c r="BU127" s="17">
        <f>求节点($E$5:$E$10,G$5:G$10,基础状态预期!N138)</f>
        <v>32</v>
      </c>
      <c r="BV127" s="17">
        <f>求节点($E$5:$E$10,H$5:H$10,基础状态预期!O138)</f>
        <v>60</v>
      </c>
      <c r="BW127" s="17">
        <f>求节点($E$5:$E$10,I$5:I$10,基础状态预期!P138)</f>
        <v>72</v>
      </c>
      <c r="BX127" s="17">
        <f>MAX(SUMPRODUCT(BT127:BW127,基础状态预期!I138:L138)/6,BX126)</f>
        <v>72</v>
      </c>
      <c r="CA127" s="16">
        <v>122</v>
      </c>
      <c r="CB127" s="16">
        <f t="shared" si="75"/>
        <v>72</v>
      </c>
      <c r="CC127" s="16">
        <f t="shared" si="76"/>
        <v>72</v>
      </c>
      <c r="CD127" s="16">
        <f t="shared" si="77"/>
        <v>72</v>
      </c>
      <c r="CE127" s="16">
        <f t="shared" si="78"/>
        <v>72</v>
      </c>
      <c r="CF127" s="16">
        <f t="shared" si="79"/>
        <v>72</v>
      </c>
      <c r="CH127" s="16">
        <v>36</v>
      </c>
      <c r="CP127" s="16">
        <v>155</v>
      </c>
      <c r="CQ127" s="16">
        <v>0</v>
      </c>
    </row>
    <row r="128" spans="31:95">
      <c r="AE128" s="17">
        <f>基础状态预期!C139</f>
        <v>150</v>
      </c>
      <c r="AF128" s="64">
        <f>求节点(P$7:P$9,Z$6:Z$8,基础状态预期!Q139)*P$6</f>
        <v>0</v>
      </c>
      <c r="AG128" s="64">
        <f>求节点(Q$7:Q$9,AA$6:AA$8,基础状态预期!R139)*Q$6</f>
        <v>0</v>
      </c>
      <c r="AH128" s="64">
        <f>求节点(R$7:R$9,AB$6:AB$8,基础状态预期!S139)*R$6</f>
        <v>0</v>
      </c>
      <c r="AI128" s="64">
        <f>求节点(S$7:S$9,AC$6:AC$8,基础状态预期!T139)*S$6</f>
        <v>2350167.2409825884</v>
      </c>
      <c r="AJ128" s="17">
        <f>SUMPRODUCT(AF128:AI128,基础状态预期!I139:L139)</f>
        <v>14101003.44589553</v>
      </c>
      <c r="AM128" s="16">
        <v>123</v>
      </c>
      <c r="AN128" s="16">
        <f t="shared" si="65"/>
        <v>14101003.44589553</v>
      </c>
      <c r="AO128" s="16">
        <f t="shared" si="84"/>
        <v>14101003.44589553</v>
      </c>
      <c r="AP128" s="16">
        <f t="shared" si="85"/>
        <v>14101003.44589553</v>
      </c>
      <c r="AQ128" s="16">
        <f t="shared" si="86"/>
        <v>14101003.44589553</v>
      </c>
      <c r="AR128" s="16">
        <f t="shared" si="69"/>
        <v>14101003.44589553</v>
      </c>
      <c r="AV128" s="16">
        <v>123</v>
      </c>
      <c r="AW128" s="16">
        <f>盗宝贼掉落!AI127</f>
        <v>10578270.743746549</v>
      </c>
      <c r="AX128" s="16">
        <f>盗宝贼掉落!AJ127</f>
        <v>13059687.096154638</v>
      </c>
      <c r="AY128" s="16">
        <f>盗宝贼掉落!AK127</f>
        <v>14178592.683343686</v>
      </c>
      <c r="AZ128" s="16">
        <f>盗宝贼掉落!AL127</f>
        <v>11456063.962053884</v>
      </c>
      <c r="BA128" s="16">
        <f>盗宝贼掉落!AM127</f>
        <v>6169785.4980396722</v>
      </c>
      <c r="BC128" s="16">
        <f>盗宝贼掉落!AI127/AW128</f>
        <v>1</v>
      </c>
      <c r="BG128" s="41">
        <f t="shared" si="87"/>
        <v>0.75017858015102001</v>
      </c>
      <c r="BH128" s="41">
        <f t="shared" si="88"/>
        <v>0.92615303203517796</v>
      </c>
      <c r="BI128" s="41">
        <f t="shared" si="89"/>
        <v>1.0055023912125021</v>
      </c>
      <c r="BJ128" s="41">
        <f t="shared" si="90"/>
        <v>0.81242898819292708</v>
      </c>
      <c r="BK128" s="41">
        <f t="shared" si="91"/>
        <v>0.43754230127754146</v>
      </c>
      <c r="BR128" s="16">
        <v>21</v>
      </c>
      <c r="BS128" s="17">
        <f>基础状态预期!C139</f>
        <v>150</v>
      </c>
      <c r="BT128" s="17">
        <f>求节点($E$5:$E$10,F$5:F$10,基础状态预期!M139)</f>
        <v>6</v>
      </c>
      <c r="BU128" s="17">
        <f>求节点($E$5:$E$10,G$5:G$10,基础状态预期!N139)</f>
        <v>32</v>
      </c>
      <c r="BV128" s="17">
        <f>求节点($E$5:$E$10,H$5:H$10,基础状态预期!O139)</f>
        <v>60</v>
      </c>
      <c r="BW128" s="17">
        <f>求节点($E$5:$E$10,I$5:I$10,基础状态预期!P139)</f>
        <v>72</v>
      </c>
      <c r="BX128" s="17">
        <f>MAX(SUMPRODUCT(BT128:BW128,基础状态预期!I139:L139)/6,BX127)</f>
        <v>72</v>
      </c>
      <c r="CA128" s="16">
        <v>123</v>
      </c>
      <c r="CB128" s="16">
        <f t="shared" si="75"/>
        <v>72</v>
      </c>
      <c r="CC128" s="16">
        <f t="shared" si="76"/>
        <v>72</v>
      </c>
      <c r="CD128" s="16">
        <f t="shared" si="77"/>
        <v>72</v>
      </c>
      <c r="CE128" s="16">
        <f t="shared" si="78"/>
        <v>72</v>
      </c>
      <c r="CF128" s="16">
        <f t="shared" si="79"/>
        <v>72</v>
      </c>
      <c r="CH128" s="16">
        <v>37</v>
      </c>
      <c r="CP128" s="16">
        <v>160</v>
      </c>
      <c r="CQ128" s="16">
        <v>0</v>
      </c>
    </row>
    <row r="129" spans="31:100">
      <c r="AE129" s="17">
        <f>基础状态预期!C140</f>
        <v>155</v>
      </c>
      <c r="AF129" s="64">
        <f>求节点(P$7:P$9,Z$6:Z$8,基础状态预期!Q140)*P$6</f>
        <v>0</v>
      </c>
      <c r="AG129" s="64">
        <f>求节点(Q$7:Q$9,AA$6:AA$8,基础状态预期!R140)*Q$6</f>
        <v>0</v>
      </c>
      <c r="AH129" s="64">
        <f>求节点(R$7:R$9,AB$6:AB$8,基础状态预期!S140)*R$6</f>
        <v>0</v>
      </c>
      <c r="AI129" s="64">
        <f>求节点(S$7:S$9,AC$6:AC$8,基础状态预期!T140)*S$6</f>
        <v>2350167.2409825884</v>
      </c>
      <c r="AJ129" s="17">
        <f>SUMPRODUCT(AF129:AI129,基础状态预期!I140:L140)</f>
        <v>14101003.44589553</v>
      </c>
      <c r="AM129" s="16">
        <v>124</v>
      </c>
      <c r="AN129" s="16">
        <f t="shared" si="65"/>
        <v>14101003.44589553</v>
      </c>
      <c r="AO129" s="16">
        <f t="shared" si="84"/>
        <v>14101003.44589553</v>
      </c>
      <c r="AP129" s="16">
        <f t="shared" si="85"/>
        <v>14101003.44589553</v>
      </c>
      <c r="AQ129" s="16">
        <f t="shared" si="86"/>
        <v>14101003.44589553</v>
      </c>
      <c r="AR129" s="16">
        <f t="shared" si="69"/>
        <v>14101003.44589553</v>
      </c>
      <c r="AV129" s="16">
        <v>124</v>
      </c>
      <c r="AW129" s="16">
        <f>盗宝贼掉落!AI128</f>
        <v>11370767.748160699</v>
      </c>
      <c r="AX129" s="16">
        <f>盗宝贼掉落!AJ128</f>
        <v>14066213.285220969</v>
      </c>
      <c r="AY129" s="16">
        <f>盗宝贼掉落!AK128</f>
        <v>15267755.58894494</v>
      </c>
      <c r="AZ129" s="16">
        <f>盗宝贼掉落!AL128</f>
        <v>12344953.838710047</v>
      </c>
      <c r="BA129" s="16">
        <f>盗宝贼掉落!AM128</f>
        <v>6656952.4885031879</v>
      </c>
      <c r="BC129" s="16">
        <f>盗宝贼掉落!AI128/AW129</f>
        <v>1</v>
      </c>
      <c r="BG129" s="41">
        <f t="shared" si="87"/>
        <v>0.80638004180266065</v>
      </c>
      <c r="BH129" s="41">
        <f t="shared" si="88"/>
        <v>0.99753278830063064</v>
      </c>
      <c r="BI129" s="41">
        <f t="shared" si="89"/>
        <v>1.082742490456523</v>
      </c>
      <c r="BJ129" s="41">
        <f t="shared" si="90"/>
        <v>0.87546633727710865</v>
      </c>
      <c r="BK129" s="41">
        <f t="shared" si="91"/>
        <v>0.47209069298120554</v>
      </c>
      <c r="BR129" s="16">
        <v>22</v>
      </c>
      <c r="BS129" s="17">
        <f>基础状态预期!C140</f>
        <v>155</v>
      </c>
      <c r="BT129" s="17">
        <f>求节点($E$5:$E$10,F$5:F$10,基础状态预期!M140)</f>
        <v>6</v>
      </c>
      <c r="BU129" s="17">
        <f>求节点($E$5:$E$10,G$5:G$10,基础状态预期!N140)</f>
        <v>32</v>
      </c>
      <c r="BV129" s="17">
        <f>求节点($E$5:$E$10,H$5:H$10,基础状态预期!O140)</f>
        <v>60</v>
      </c>
      <c r="BW129" s="17">
        <f>求节点($E$5:$E$10,I$5:I$10,基础状态预期!P140)</f>
        <v>72</v>
      </c>
      <c r="BX129" s="17">
        <f>MAX(SUMPRODUCT(BT129:BW129,基础状态预期!I140:L140)/6,BX128)</f>
        <v>72</v>
      </c>
      <c r="CA129" s="16">
        <v>124</v>
      </c>
      <c r="CB129" s="16">
        <f t="shared" si="75"/>
        <v>72</v>
      </c>
      <c r="CC129" s="16">
        <f t="shared" si="76"/>
        <v>72</v>
      </c>
      <c r="CD129" s="16">
        <f t="shared" si="77"/>
        <v>72</v>
      </c>
      <c r="CE129" s="16">
        <f t="shared" si="78"/>
        <v>72</v>
      </c>
      <c r="CF129" s="16">
        <f t="shared" si="79"/>
        <v>72</v>
      </c>
      <c r="CH129" s="16">
        <v>38</v>
      </c>
    </row>
    <row r="130" spans="31:100">
      <c r="AE130" s="17">
        <f>基础状态预期!C141</f>
        <v>160</v>
      </c>
      <c r="AF130" s="64">
        <f>求节点(P$7:P$9,Z$6:Z$8,基础状态预期!Q141)*P$6</f>
        <v>0</v>
      </c>
      <c r="AG130" s="64">
        <f>求节点(Q$7:Q$9,AA$6:AA$8,基础状态预期!R141)*Q$6</f>
        <v>0</v>
      </c>
      <c r="AH130" s="64">
        <f>求节点(R$7:R$9,AB$6:AB$8,基础状态预期!S141)*R$6</f>
        <v>0</v>
      </c>
      <c r="AI130" s="64">
        <f>求节点(S$7:S$9,AC$6:AC$8,基础状态预期!T141)*S$6</f>
        <v>2350167.2409825884</v>
      </c>
      <c r="AJ130" s="17">
        <f>SUMPRODUCT(AF130:AI130,基础状态预期!I141:L141)</f>
        <v>14101003.44589553</v>
      </c>
      <c r="AM130" s="16">
        <v>125</v>
      </c>
      <c r="AN130" s="16">
        <f t="shared" si="65"/>
        <v>14101003.44589553</v>
      </c>
      <c r="AO130" s="16">
        <f t="shared" si="84"/>
        <v>14101003.44589553</v>
      </c>
      <c r="AP130" s="16">
        <f t="shared" si="85"/>
        <v>14101003.44589553</v>
      </c>
      <c r="AQ130" s="16">
        <f t="shared" si="86"/>
        <v>14101003.44589553</v>
      </c>
      <c r="AR130" s="16">
        <f t="shared" si="69"/>
        <v>14101003.44589553</v>
      </c>
      <c r="AV130" s="16">
        <v>125</v>
      </c>
      <c r="AW130" s="16">
        <f>盗宝贼掉落!AI129</f>
        <v>12220145.006631313</v>
      </c>
      <c r="AX130" s="16">
        <f>盗宝贼掉落!AJ129</f>
        <v>15110019.867512219</v>
      </c>
      <c r="AY130" s="16">
        <f>盗宝贼掉落!AK129</f>
        <v>16431922.753147181</v>
      </c>
      <c r="AZ130" s="16">
        <f>盗宝贼掉落!AL129</f>
        <v>13288376.800458487</v>
      </c>
      <c r="BA130" s="16">
        <f>盗宝贼掉落!AM129</f>
        <v>7118327.8107180893</v>
      </c>
      <c r="BC130" s="16">
        <f>盗宝贼掉落!AI129/AW130</f>
        <v>1</v>
      </c>
      <c r="BG130" s="41">
        <f t="shared" si="87"/>
        <v>0.86661527695664164</v>
      </c>
      <c r="BH130" s="41">
        <f t="shared" si="88"/>
        <v>1.0715563559351082</v>
      </c>
      <c r="BI130" s="41">
        <f t="shared" si="89"/>
        <v>1.1653016621260472</v>
      </c>
      <c r="BJ130" s="41">
        <f t="shared" si="90"/>
        <v>0.9423710058255762</v>
      </c>
      <c r="BK130" s="41">
        <f t="shared" si="91"/>
        <v>0.50481001852319007</v>
      </c>
      <c r="BR130" s="16">
        <v>23</v>
      </c>
      <c r="BS130" s="17">
        <f>基础状态预期!C141</f>
        <v>160</v>
      </c>
      <c r="BT130" s="17">
        <f>求节点($E$5:$E$10,F$5:F$10,基础状态预期!M141)</f>
        <v>6</v>
      </c>
      <c r="BU130" s="17">
        <f>求节点($E$5:$E$10,G$5:G$10,基础状态预期!N141)</f>
        <v>32</v>
      </c>
      <c r="BV130" s="17">
        <f>求节点($E$5:$E$10,H$5:H$10,基础状态预期!O141)</f>
        <v>60</v>
      </c>
      <c r="BW130" s="17">
        <f>求节点($E$5:$E$10,I$5:I$10,基础状态预期!P141)</f>
        <v>72</v>
      </c>
      <c r="BX130" s="17">
        <f>MAX(SUMPRODUCT(BT130:BW130,基础状态预期!I141:L141)/6,BX129)</f>
        <v>72</v>
      </c>
      <c r="CA130" s="16">
        <v>125</v>
      </c>
      <c r="CB130" s="16">
        <f t="shared" si="75"/>
        <v>72</v>
      </c>
      <c r="CC130" s="16">
        <f t="shared" si="76"/>
        <v>72</v>
      </c>
      <c r="CD130" s="16">
        <f t="shared" si="77"/>
        <v>72</v>
      </c>
      <c r="CE130" s="16">
        <f t="shared" si="78"/>
        <v>72</v>
      </c>
      <c r="CF130" s="16">
        <f t="shared" si="79"/>
        <v>72</v>
      </c>
      <c r="CH130" s="16">
        <v>39</v>
      </c>
    </row>
    <row r="131" spans="31:100">
      <c r="AM131" s="16">
        <v>126</v>
      </c>
      <c r="AN131" s="16">
        <f t="shared" si="65"/>
        <v>14101003.44589553</v>
      </c>
      <c r="AO131" s="16">
        <f t="shared" si="84"/>
        <v>14101003.44589553</v>
      </c>
      <c r="AP131" s="16">
        <f t="shared" si="85"/>
        <v>14101003.44589553</v>
      </c>
      <c r="AQ131" s="16">
        <f t="shared" si="86"/>
        <v>14101003.44589553</v>
      </c>
      <c r="AR131" s="16">
        <f t="shared" si="69"/>
        <v>14101003.44589553</v>
      </c>
      <c r="AV131" s="16">
        <v>126</v>
      </c>
      <c r="AW131" s="16">
        <f>盗宝贼掉落!AI130</f>
        <v>13130485.011941923</v>
      </c>
      <c r="AX131" s="16">
        <f>盗宝贼掉落!AJ130</f>
        <v>16259888.09571752</v>
      </c>
      <c r="AY131" s="16">
        <f>盗宝贼掉落!AK130</f>
        <v>17670512.160191465</v>
      </c>
      <c r="AZ131" s="16">
        <f>盗宝贼掉落!AL130</f>
        <v>14221812.452230524</v>
      </c>
      <c r="BA131" s="16">
        <f>盗宝贼掉落!AM130</f>
        <v>7610167.2988634706</v>
      </c>
      <c r="BC131" s="16">
        <f>盗宝贼掉落!AI130/AW131</f>
        <v>1</v>
      </c>
      <c r="BG131" s="41">
        <f t="shared" si="87"/>
        <v>0.93117380350431</v>
      </c>
      <c r="BH131" s="41">
        <f t="shared" si="88"/>
        <v>1.1531014908340009</v>
      </c>
      <c r="BI131" s="41">
        <f t="shared" si="89"/>
        <v>1.2531386314450503</v>
      </c>
      <c r="BJ131" s="41">
        <f t="shared" si="90"/>
        <v>1.0085674049225311</v>
      </c>
      <c r="BK131" s="41">
        <f t="shared" si="91"/>
        <v>0.53968976945953517</v>
      </c>
      <c r="BR131" s="16">
        <v>24</v>
      </c>
      <c r="CA131" s="16">
        <v>126</v>
      </c>
      <c r="CB131" s="16">
        <f t="shared" si="75"/>
        <v>72</v>
      </c>
      <c r="CC131" s="16">
        <f t="shared" si="76"/>
        <v>72</v>
      </c>
      <c r="CD131" s="16">
        <f t="shared" si="77"/>
        <v>72</v>
      </c>
      <c r="CE131" s="16">
        <f t="shared" si="78"/>
        <v>72</v>
      </c>
      <c r="CF131" s="16">
        <f t="shared" si="79"/>
        <v>72</v>
      </c>
      <c r="CH131" s="16">
        <v>40</v>
      </c>
    </row>
    <row r="132" spans="31:100">
      <c r="AM132" s="16">
        <v>127</v>
      </c>
      <c r="AN132" s="16">
        <f t="shared" si="65"/>
        <v>14101003.44589553</v>
      </c>
      <c r="AO132" s="16">
        <f t="shared" si="84"/>
        <v>14101003.44589553</v>
      </c>
      <c r="AP132" s="16">
        <f t="shared" si="85"/>
        <v>14101003.44589553</v>
      </c>
      <c r="AQ132" s="16">
        <f t="shared" si="86"/>
        <v>14101003.44589553</v>
      </c>
      <c r="AR132" s="16">
        <f t="shared" si="69"/>
        <v>14101003.44589553</v>
      </c>
      <c r="AV132" s="16">
        <v>127</v>
      </c>
      <c r="AW132" s="16">
        <f>盗宝贼掉落!AI131</f>
        <v>14106163.271518983</v>
      </c>
      <c r="AX132" s="16">
        <f>盗宝贼掉落!AJ131</f>
        <v>17468530.750165548</v>
      </c>
      <c r="AY132" s="16">
        <f>盗宝贼掉落!AK131</f>
        <v>18895219.803248316</v>
      </c>
      <c r="AZ132" s="16">
        <f>盗宝贼掉落!AL131</f>
        <v>15185474.28019747</v>
      </c>
      <c r="BA132" s="16">
        <f>盗宝贼掉落!AM131</f>
        <v>8147514.5562005518</v>
      </c>
      <c r="BC132" s="16">
        <f>盗宝贼掉落!AI131/AW132</f>
        <v>1</v>
      </c>
      <c r="BG132" s="41">
        <f t="shared" si="70"/>
        <v>1.0003659190385457</v>
      </c>
      <c r="BH132" s="41">
        <f t="shared" si="71"/>
        <v>1.2388147281284601</v>
      </c>
      <c r="BI132" s="41">
        <f t="shared" si="72"/>
        <v>1.3399911485553371</v>
      </c>
      <c r="BJ132" s="41">
        <f t="shared" si="73"/>
        <v>1.076907351910307</v>
      </c>
      <c r="BK132" s="41">
        <f t="shared" si="74"/>
        <v>0.57779679208376489</v>
      </c>
      <c r="BR132" s="16">
        <v>25</v>
      </c>
      <c r="CA132" s="16">
        <v>127</v>
      </c>
      <c r="CB132" s="16">
        <f t="shared" si="75"/>
        <v>72</v>
      </c>
      <c r="CC132" s="16">
        <f t="shared" si="76"/>
        <v>72</v>
      </c>
      <c r="CD132" s="16">
        <f t="shared" si="77"/>
        <v>72</v>
      </c>
      <c r="CE132" s="16">
        <f t="shared" si="78"/>
        <v>72</v>
      </c>
      <c r="CF132" s="16">
        <f t="shared" si="79"/>
        <v>72</v>
      </c>
      <c r="CH132" s="16">
        <v>41</v>
      </c>
    </row>
    <row r="133" spans="31:100">
      <c r="AM133" s="16">
        <v>128</v>
      </c>
      <c r="AN133" s="16">
        <f t="shared" si="65"/>
        <v>14101003.44589553</v>
      </c>
      <c r="AO133" s="16">
        <f t="shared" si="84"/>
        <v>14101003.44589553</v>
      </c>
      <c r="AP133" s="16">
        <f t="shared" si="85"/>
        <v>14101003.44589553</v>
      </c>
      <c r="AQ133" s="16">
        <f t="shared" si="86"/>
        <v>14101003.44589553</v>
      </c>
      <c r="AR133" s="16">
        <f t="shared" si="69"/>
        <v>14101003.44589553</v>
      </c>
      <c r="AV133" s="16">
        <v>128</v>
      </c>
      <c r="AW133" s="16">
        <f>盗宝贼掉落!AI132</f>
        <v>15151869.338107299</v>
      </c>
      <c r="AX133" s="16">
        <f>盗宝贼掉落!AJ132</f>
        <v>18672958.869915791</v>
      </c>
      <c r="AY133" s="16">
        <f>盗宝贼掉落!AK132</f>
        <v>20182883.069768287</v>
      </c>
      <c r="AZ133" s="16">
        <f>盗宝贼掉落!AL132</f>
        <v>16242973.859609919</v>
      </c>
      <c r="BA133" s="16">
        <f>盗宝贼掉落!AM132</f>
        <v>8731809.3435052205</v>
      </c>
      <c r="BC133" s="16">
        <f>盗宝贼掉落!AI132/AW133</f>
        <v>1</v>
      </c>
      <c r="BG133" s="41">
        <f t="shared" si="70"/>
        <v>1.0745241922848867</v>
      </c>
      <c r="BH133" s="41">
        <f t="shared" si="71"/>
        <v>1.3242290835232049</v>
      </c>
      <c r="BI133" s="41">
        <f t="shared" si="72"/>
        <v>1.4313082857690562</v>
      </c>
      <c r="BJ133" s="41">
        <f t="shared" si="73"/>
        <v>1.1519019849851795</v>
      </c>
      <c r="BK133" s="41">
        <f t="shared" si="74"/>
        <v>0.61923318982287356</v>
      </c>
      <c r="BR133" s="16">
        <v>26</v>
      </c>
      <c r="CA133" s="16">
        <v>128</v>
      </c>
      <c r="CB133" s="16">
        <f t="shared" si="75"/>
        <v>72</v>
      </c>
      <c r="CC133" s="16">
        <f t="shared" si="76"/>
        <v>72</v>
      </c>
      <c r="CD133" s="16">
        <f t="shared" si="77"/>
        <v>72</v>
      </c>
      <c r="CE133" s="16">
        <f t="shared" si="78"/>
        <v>72</v>
      </c>
      <c r="CF133" s="16">
        <f t="shared" si="79"/>
        <v>72</v>
      </c>
      <c r="CH133" s="16">
        <v>42</v>
      </c>
    </row>
    <row r="134" spans="31:100">
      <c r="AM134" s="16">
        <v>129</v>
      </c>
      <c r="AN134" s="16">
        <f t="shared" si="65"/>
        <v>14101003.44589553</v>
      </c>
      <c r="AO134" s="16">
        <f t="shared" si="84"/>
        <v>14101003.44589553</v>
      </c>
      <c r="AP134" s="16">
        <f t="shared" si="85"/>
        <v>14101003.44589553</v>
      </c>
      <c r="AQ134" s="16">
        <f t="shared" si="86"/>
        <v>14101003.44589553</v>
      </c>
      <c r="AR134" s="16">
        <f t="shared" si="69"/>
        <v>14101003.44589553</v>
      </c>
      <c r="AV134" s="16">
        <v>129</v>
      </c>
      <c r="AW134" s="16">
        <f>盗宝贼掉落!AI133</f>
        <v>16272629.349889867</v>
      </c>
      <c r="AX134" s="16">
        <f>盗宝贼掉落!AJ133</f>
        <v>20054795.053573493</v>
      </c>
      <c r="AY134" s="16">
        <f>盗宝贼掉落!AK133</f>
        <v>21713660.226726942</v>
      </c>
      <c r="AZ134" s="16">
        <f>盗宝贼掉落!AL133</f>
        <v>17506243.167979889</v>
      </c>
      <c r="BA134" s="16">
        <f>盗宝贼掉落!AM133</f>
        <v>9401498.0903236829</v>
      </c>
      <c r="BC134" s="16">
        <f>盗宝贼掉落!AI133/AW134</f>
        <v>1</v>
      </c>
      <c r="BG134" s="41">
        <f t="shared" si="70"/>
        <v>1.1540050615778301</v>
      </c>
      <c r="BH134" s="41">
        <f t="shared" si="71"/>
        <v>1.4222246757489425</v>
      </c>
      <c r="BI134" s="41">
        <f t="shared" si="72"/>
        <v>1.5398663159001835</v>
      </c>
      <c r="BJ134" s="41">
        <f t="shared" si="73"/>
        <v>1.2414891773589023</v>
      </c>
      <c r="BK134" s="41">
        <f t="shared" si="74"/>
        <v>0.66672546577245451</v>
      </c>
      <c r="CA134" s="16">
        <v>129</v>
      </c>
      <c r="CB134" s="16">
        <f t="shared" si="75"/>
        <v>72</v>
      </c>
      <c r="CC134" s="16">
        <f t="shared" si="76"/>
        <v>72</v>
      </c>
      <c r="CD134" s="16">
        <f t="shared" si="77"/>
        <v>72</v>
      </c>
      <c r="CE134" s="16">
        <f t="shared" si="78"/>
        <v>72</v>
      </c>
      <c r="CF134" s="16">
        <f t="shared" si="79"/>
        <v>72</v>
      </c>
      <c r="CH134" s="16">
        <v>43</v>
      </c>
    </row>
    <row r="135" spans="31:100">
      <c r="AM135" s="16">
        <v>130</v>
      </c>
      <c r="AN135" s="16">
        <f t="shared" ref="AN135:AN165" si="92">求节点($AE$6:$AE$26,$AJ$6:$AJ$26,$AM135)</f>
        <v>14101003.44589553</v>
      </c>
      <c r="AO135" s="16">
        <f t="shared" ref="AO135:AO165" si="93">求节点($AE$32:$AE$52,$AJ$32:$AJ$52,$AM135)</f>
        <v>14101003.44589553</v>
      </c>
      <c r="AP135" s="16">
        <f t="shared" ref="AP135:AP165" si="94">求节点($AE$58:$AE$78,$AJ$58:$AJ$78,$AM135)</f>
        <v>14101003.44589553</v>
      </c>
      <c r="AQ135" s="16">
        <f t="shared" ref="AQ135:AQ165" si="95">求节点($AE$84:$AE$104,$AJ$84:$AJ$104,$AM135)</f>
        <v>14101003.44589553</v>
      </c>
      <c r="AR135" s="16">
        <f t="shared" ref="AR135:AR165" si="96">求节点($AE$110:$AE$130,$AJ$110:$AJ$130,$AM135)</f>
        <v>14101003.44589553</v>
      </c>
      <c r="AV135" s="16">
        <v>130</v>
      </c>
      <c r="AW135" s="16">
        <f>盗宝贼掉落!AI134</f>
        <v>17473830.18839027</v>
      </c>
      <c r="AX135" s="16">
        <f>盗宝贼掉落!AJ134</f>
        <v>21561933.141990222</v>
      </c>
      <c r="AY135" s="16">
        <f>盗宝贼掉落!AK134</f>
        <v>23371112.874312103</v>
      </c>
      <c r="AZ135" s="16">
        <f>盗宝贼掉落!AL134</f>
        <v>18852438.033882104</v>
      </c>
      <c r="BA135" s="16">
        <f>盗宝贼掉落!AM134</f>
        <v>10132914.366110912</v>
      </c>
      <c r="BC135" s="16">
        <f>盗宝贼掉落!AI134/AW135</f>
        <v>1</v>
      </c>
      <c r="BG135" s="41">
        <f t="shared" ref="BG135:BG165" si="97">AW135/AN135</f>
        <v>1.2391905480653216</v>
      </c>
      <c r="BH135" s="41">
        <f t="shared" ref="BH135:BH165" si="98">AX135/AO135</f>
        <v>1.5291062955002959</v>
      </c>
      <c r="BI135" s="41">
        <f t="shared" ref="BI135:BI165" si="99">AY135/AP135</f>
        <v>1.6574077840619834</v>
      </c>
      <c r="BJ135" s="41">
        <f t="shared" ref="BJ135:BJ165" si="100">AZ135/AQ135</f>
        <v>1.3369571964305564</v>
      </c>
      <c r="BK135" s="41">
        <f t="shared" ref="BK135:BK165" si="101">BA135/AR135</f>
        <v>0.71859526912323135</v>
      </c>
      <c r="CA135" s="16">
        <v>130</v>
      </c>
      <c r="CB135" s="16">
        <f t="shared" ref="CB135:CB165" si="102">求节点($BS$6:$BS$26,$BX$6:$BX$26,$CA135)</f>
        <v>72</v>
      </c>
      <c r="CC135" s="16">
        <f t="shared" ref="CC135:CC165" si="103">求节点($BS$32:$BS$52,$BX$32:$BX$52,$CA135)</f>
        <v>72</v>
      </c>
      <c r="CD135" s="16">
        <f t="shared" ref="CD135:CD165" si="104">求节点($BS$58:$BS$78,$BX$58:$BX$78,$CA135)</f>
        <v>72</v>
      </c>
      <c r="CE135" s="16">
        <f t="shared" ref="CE135:CE165" si="105">求节点($BS$84:$BS$104,$BX$84:$BX$104,$CA135)</f>
        <v>72</v>
      </c>
      <c r="CF135" s="16">
        <f t="shared" ref="CF135:CF165" si="106">求节点($BS$110:$BS$130,$BX$110:$BX$130,$CA135)</f>
        <v>72</v>
      </c>
      <c r="CH135" s="16">
        <v>44</v>
      </c>
    </row>
    <row r="136" spans="31:100">
      <c r="AM136" s="16">
        <v>131</v>
      </c>
      <c r="AN136" s="16">
        <f t="shared" si="92"/>
        <v>14101003.44589553</v>
      </c>
      <c r="AO136" s="16">
        <f t="shared" si="93"/>
        <v>14101003.44589553</v>
      </c>
      <c r="AP136" s="16">
        <f t="shared" si="94"/>
        <v>14101003.44589553</v>
      </c>
      <c r="AQ136" s="16">
        <f t="shared" si="95"/>
        <v>14101003.44589553</v>
      </c>
      <c r="AR136" s="16">
        <f t="shared" si="96"/>
        <v>14101003.44589553</v>
      </c>
      <c r="AV136" s="16">
        <v>131</v>
      </c>
      <c r="AW136" s="16">
        <f>盗宝贼掉落!AI135</f>
        <v>18761245.370271351</v>
      </c>
      <c r="AX136" s="16">
        <f>盗宝贼掉落!AJ135</f>
        <v>23162320.395392764</v>
      </c>
      <c r="AY136" s="16">
        <f>盗宝贼掉落!AK135</f>
        <v>25117123.087551627</v>
      </c>
      <c r="AZ136" s="16">
        <f>盗宝贼掉落!AL135</f>
        <v>20290393.616624467</v>
      </c>
      <c r="BA136" s="16">
        <f>盗宝贼掉落!AM135</f>
        <v>10872075.980885439</v>
      </c>
      <c r="BC136" s="16">
        <f>盗宝贼掉落!AI135/AW136</f>
        <v>1</v>
      </c>
      <c r="BG136" s="41">
        <f t="shared" si="97"/>
        <v>1.3304900918758591</v>
      </c>
      <c r="BH136" s="41">
        <f t="shared" si="98"/>
        <v>1.6426008605887386</v>
      </c>
      <c r="BI136" s="41">
        <f t="shared" si="99"/>
        <v>1.7812294836976748</v>
      </c>
      <c r="BJ136" s="41">
        <f t="shared" si="100"/>
        <v>1.4389326046530768</v>
      </c>
      <c r="BK136" s="41">
        <f t="shared" si="101"/>
        <v>0.77101434820583947</v>
      </c>
      <c r="CA136" s="16">
        <v>131</v>
      </c>
      <c r="CB136" s="16">
        <f t="shared" si="102"/>
        <v>72</v>
      </c>
      <c r="CC136" s="16">
        <f t="shared" si="103"/>
        <v>72</v>
      </c>
      <c r="CD136" s="16">
        <f t="shared" si="104"/>
        <v>72</v>
      </c>
      <c r="CE136" s="16">
        <f t="shared" si="105"/>
        <v>72</v>
      </c>
      <c r="CF136" s="16">
        <f t="shared" si="106"/>
        <v>72</v>
      </c>
      <c r="CH136" s="16">
        <v>45</v>
      </c>
    </row>
    <row r="137" spans="31:100">
      <c r="AM137" s="16">
        <v>132</v>
      </c>
      <c r="AN137" s="16">
        <f t="shared" si="92"/>
        <v>14101003.44589553</v>
      </c>
      <c r="AO137" s="16">
        <f t="shared" si="93"/>
        <v>14101003.44589553</v>
      </c>
      <c r="AP137" s="16">
        <f t="shared" si="94"/>
        <v>14101003.44589553</v>
      </c>
      <c r="AQ137" s="16">
        <f t="shared" si="95"/>
        <v>14101003.44589553</v>
      </c>
      <c r="AR137" s="16">
        <f t="shared" si="96"/>
        <v>14101003.44589553</v>
      </c>
      <c r="AV137" s="16">
        <v>132</v>
      </c>
      <c r="AW137" s="16">
        <f>盗宝贼掉落!AI136</f>
        <v>20141062.797477808</v>
      </c>
      <c r="AX137" s="16">
        <f>盗宝贼掉落!AJ136</f>
        <v>24884378.492458094</v>
      </c>
      <c r="AY137" s="16">
        <f>盗宝贼掉落!AK136</f>
        <v>27026769.424999967</v>
      </c>
      <c r="AZ137" s="16">
        <f>盗宝贼掉落!AL136</f>
        <v>21761145.401490279</v>
      </c>
      <c r="BA137" s="16">
        <f>盗宝贼掉落!AM136</f>
        <v>11635993.125601927</v>
      </c>
      <c r="BC137" s="16">
        <f>盗宝贼掉落!AI136/AW137</f>
        <v>1</v>
      </c>
      <c r="BG137" s="41">
        <f t="shared" si="97"/>
        <v>1.4283425200736617</v>
      </c>
      <c r="BH137" s="41">
        <f t="shared" si="98"/>
        <v>1.764723949464841</v>
      </c>
      <c r="BI137" s="41">
        <f t="shared" si="99"/>
        <v>1.9166557563580215</v>
      </c>
      <c r="BJ137" s="41">
        <f t="shared" si="100"/>
        <v>1.5432338191382</v>
      </c>
      <c r="BK137" s="41">
        <f t="shared" si="101"/>
        <v>0.82518901369312769</v>
      </c>
      <c r="CA137" s="16">
        <v>132</v>
      </c>
      <c r="CB137" s="16">
        <f t="shared" si="102"/>
        <v>72</v>
      </c>
      <c r="CC137" s="16">
        <f t="shared" si="103"/>
        <v>72</v>
      </c>
      <c r="CD137" s="16">
        <f t="shared" si="104"/>
        <v>72</v>
      </c>
      <c r="CE137" s="16">
        <f t="shared" si="105"/>
        <v>72</v>
      </c>
      <c r="CF137" s="16">
        <f t="shared" si="106"/>
        <v>72</v>
      </c>
      <c r="CH137" s="16">
        <v>1</v>
      </c>
      <c r="CI137" s="17" t="s">
        <v>77</v>
      </c>
      <c r="CJ137" s="70" t="s">
        <v>54</v>
      </c>
      <c r="CK137" s="170" t="s">
        <v>414</v>
      </c>
      <c r="CL137" s="170"/>
      <c r="CT137" s="17" t="s">
        <v>77</v>
      </c>
      <c r="CU137" s="17" t="s">
        <v>418</v>
      </c>
    </row>
    <row r="138" spans="31:100">
      <c r="AM138" s="16">
        <v>133</v>
      </c>
      <c r="AN138" s="16">
        <f t="shared" si="92"/>
        <v>14101003.44589553</v>
      </c>
      <c r="AO138" s="16">
        <f t="shared" si="93"/>
        <v>14101003.44589553</v>
      </c>
      <c r="AP138" s="16">
        <f t="shared" si="94"/>
        <v>14101003.44589553</v>
      </c>
      <c r="AQ138" s="16">
        <f t="shared" si="95"/>
        <v>14101003.44589553</v>
      </c>
      <c r="AR138" s="16">
        <f t="shared" si="96"/>
        <v>14101003.44589553</v>
      </c>
      <c r="AV138" s="16">
        <v>133</v>
      </c>
      <c r="AW138" s="16">
        <f>盗宝贼掉落!AI137</f>
        <v>21619914.499102831</v>
      </c>
      <c r="AX138" s="16">
        <f>盗宝贼掉落!AJ137</f>
        <v>26731327.186969876</v>
      </c>
      <c r="AY138" s="16">
        <f>盗宝贼掉落!AK137</f>
        <v>28938083.540075336</v>
      </c>
      <c r="AZ138" s="16">
        <f>盗宝贼掉落!AL137</f>
        <v>23246805.862557568</v>
      </c>
      <c r="BA138" s="16">
        <f>盗宝贼掉落!AM137</f>
        <v>12442201.402216859</v>
      </c>
      <c r="BC138" s="16">
        <f>盗宝贼掉落!AI137/AW138</f>
        <v>1</v>
      </c>
      <c r="BG138" s="41">
        <f t="shared" si="97"/>
        <v>1.5332181558608071</v>
      </c>
      <c r="BH138" s="41">
        <f t="shared" si="98"/>
        <v>1.8957038972109985</v>
      </c>
      <c r="BI138" s="41">
        <f t="shared" si="99"/>
        <v>2.0522003027024667</v>
      </c>
      <c r="BJ138" s="41">
        <f t="shared" si="100"/>
        <v>1.6485923113027934</v>
      </c>
      <c r="BK138" s="41">
        <f t="shared" si="101"/>
        <v>0.88236283679786565</v>
      </c>
      <c r="CA138" s="16">
        <v>133</v>
      </c>
      <c r="CB138" s="16">
        <f t="shared" si="102"/>
        <v>72</v>
      </c>
      <c r="CC138" s="16">
        <f t="shared" si="103"/>
        <v>72</v>
      </c>
      <c r="CD138" s="16">
        <f t="shared" si="104"/>
        <v>72</v>
      </c>
      <c r="CE138" s="16">
        <f t="shared" si="105"/>
        <v>72</v>
      </c>
      <c r="CF138" s="16">
        <f t="shared" si="106"/>
        <v>72</v>
      </c>
      <c r="CH138" s="16">
        <v>2</v>
      </c>
      <c r="CI138" s="17" t="s">
        <v>161</v>
      </c>
      <c r="CJ138" s="17" t="s">
        <v>461</v>
      </c>
      <c r="CK138" s="17" t="s">
        <v>461</v>
      </c>
      <c r="CL138" s="17" t="s">
        <v>413</v>
      </c>
      <c r="CT138" s="17" t="s">
        <v>161</v>
      </c>
      <c r="CU138" s="17" t="s">
        <v>451</v>
      </c>
      <c r="CV138" s="17" t="s">
        <v>192</v>
      </c>
    </row>
    <row r="139" spans="31:100">
      <c r="AM139" s="16">
        <v>134</v>
      </c>
      <c r="AN139" s="16">
        <f t="shared" si="92"/>
        <v>14101003.44589553</v>
      </c>
      <c r="AO139" s="16">
        <f t="shared" si="93"/>
        <v>14101003.44589553</v>
      </c>
      <c r="AP139" s="16">
        <f t="shared" si="94"/>
        <v>14101003.44589553</v>
      </c>
      <c r="AQ139" s="16">
        <f t="shared" si="95"/>
        <v>14101003.44589553</v>
      </c>
      <c r="AR139" s="16">
        <f t="shared" si="96"/>
        <v>14101003.44589553</v>
      </c>
      <c r="AV139" s="16">
        <v>134</v>
      </c>
      <c r="AW139" s="16">
        <f>盗宝贼掉落!AI138</f>
        <v>23204908.507931132</v>
      </c>
      <c r="AX139" s="16">
        <f>盗宝贼掉落!AJ138</f>
        <v>28608812.536608517</v>
      </c>
      <c r="AY139" s="16">
        <f>盗宝贼掉落!AK138</f>
        <v>30915703.569888003</v>
      </c>
      <c r="AZ139" s="16">
        <f>盗宝贼掉落!AL138</f>
        <v>24852130.377250038</v>
      </c>
      <c r="BA139" s="16">
        <f>盗宝贼掉落!AM138</f>
        <v>13323921.264830554</v>
      </c>
      <c r="BC139" s="16">
        <f>盗宝贼掉落!AI138/AW139</f>
        <v>1</v>
      </c>
      <c r="BG139" s="41">
        <f t="shared" si="97"/>
        <v>1.6456210791640884</v>
      </c>
      <c r="BH139" s="41">
        <f t="shared" si="98"/>
        <v>2.0288494110634283</v>
      </c>
      <c r="BI139" s="41">
        <f t="shared" si="99"/>
        <v>2.1924470615519804</v>
      </c>
      <c r="BJ139" s="41">
        <f t="shared" si="100"/>
        <v>1.7624370118485366</v>
      </c>
      <c r="BK139" s="41">
        <f t="shared" si="101"/>
        <v>0.9448917104341843</v>
      </c>
      <c r="CA139" s="16">
        <v>134</v>
      </c>
      <c r="CB139" s="16">
        <f t="shared" si="102"/>
        <v>72</v>
      </c>
      <c r="CC139" s="16">
        <f t="shared" si="103"/>
        <v>72</v>
      </c>
      <c r="CD139" s="16">
        <f t="shared" si="104"/>
        <v>72</v>
      </c>
      <c r="CE139" s="16">
        <f t="shared" si="105"/>
        <v>72</v>
      </c>
      <c r="CF139" s="16">
        <f t="shared" si="106"/>
        <v>72</v>
      </c>
      <c r="CH139" s="16">
        <v>3</v>
      </c>
      <c r="CI139" s="17">
        <v>10</v>
      </c>
      <c r="CJ139" s="17">
        <f>求节点($CA$6:$CA$165,$CE$6:$CE$165,$CI139)</f>
        <v>0</v>
      </c>
      <c r="CK139" s="51">
        <f>CJ139*(INDEX([3]大r将兵属性验证!$V$7:$V$166,$CI139,1)+INDEX([3]大r将兵属性验证!$AP$7:$AP$166,$CI139,1))</f>
        <v>0</v>
      </c>
      <c r="CL139" s="17">
        <f t="shared" ref="CL139:CL154" si="107">SUM(CK139:CK139)</f>
        <v>0</v>
      </c>
      <c r="CT139" s="17">
        <v>10</v>
      </c>
      <c r="CU139" s="17">
        <f>求节点($CP$82:$CP$102,CQ$82:CQ$102,$CT139)</f>
        <v>0</v>
      </c>
      <c r="CV139" s="17">
        <f t="shared" ref="CV139:CV154" si="108">SUM(CU139:CU139)</f>
        <v>0</v>
      </c>
    </row>
    <row r="140" spans="31:100">
      <c r="AM140" s="16">
        <v>135</v>
      </c>
      <c r="AN140" s="16">
        <f t="shared" si="92"/>
        <v>14101003.44589553</v>
      </c>
      <c r="AO140" s="16">
        <f t="shared" si="93"/>
        <v>14101003.44589553</v>
      </c>
      <c r="AP140" s="16">
        <f t="shared" si="94"/>
        <v>14101003.44589553</v>
      </c>
      <c r="AQ140" s="16">
        <f t="shared" si="95"/>
        <v>14101003.44589553</v>
      </c>
      <c r="AR140" s="16">
        <f t="shared" si="96"/>
        <v>14101003.44589553</v>
      </c>
      <c r="AV140" s="16">
        <v>135</v>
      </c>
      <c r="AW140" s="16">
        <f>盗宝贼掉落!AI139</f>
        <v>24903663.024872355</v>
      </c>
      <c r="AX140" s="16">
        <f>盗宝贼掉落!AJ139</f>
        <v>30666834.936714228</v>
      </c>
      <c r="AY140" s="16">
        <f>盗宝贼掉落!AK139</f>
        <v>33135237.699297156</v>
      </c>
      <c r="AZ140" s="16">
        <f>盗宝贼掉落!AL139</f>
        <v>26684716.748899423</v>
      </c>
      <c r="BA140" s="16">
        <f>盗宝贼掉落!AM139</f>
        <v>14323437.963701971</v>
      </c>
      <c r="BC140" s="16">
        <f>盗宝贼掉落!AI139/AW140</f>
        <v>1</v>
      </c>
      <c r="BG140" s="41">
        <f t="shared" si="97"/>
        <v>1.7660915494720502</v>
      </c>
      <c r="BH140" s="41">
        <f t="shared" si="98"/>
        <v>2.1747980598955614</v>
      </c>
      <c r="BI140" s="41">
        <f t="shared" si="99"/>
        <v>2.3498496278250354</v>
      </c>
      <c r="BJ140" s="41">
        <f t="shared" si="100"/>
        <v>1.892398427621597</v>
      </c>
      <c r="BK140" s="41">
        <f t="shared" si="101"/>
        <v>1.0157743751116652</v>
      </c>
      <c r="CA140" s="16">
        <v>135</v>
      </c>
      <c r="CB140" s="16">
        <f t="shared" si="102"/>
        <v>72</v>
      </c>
      <c r="CC140" s="16">
        <f t="shared" si="103"/>
        <v>72</v>
      </c>
      <c r="CD140" s="16">
        <f t="shared" si="104"/>
        <v>72</v>
      </c>
      <c r="CE140" s="16">
        <f t="shared" si="105"/>
        <v>72</v>
      </c>
      <c r="CF140" s="16">
        <f t="shared" si="106"/>
        <v>72</v>
      </c>
      <c r="CH140" s="16">
        <v>4</v>
      </c>
      <c r="CI140" s="17">
        <v>20</v>
      </c>
      <c r="CJ140" s="17">
        <f t="shared" ref="CJ140:CJ154" si="109">求节点($CA$6:$CA$165,$CE$6:$CE$165,$CI140)</f>
        <v>0</v>
      </c>
      <c r="CK140" s="17">
        <f>(CJ140-CJ139)*(INDEX([3]大r将兵属性验证!$V$7:$V$166,$CI140,1)+INDEX([3]大r将兵属性验证!$AP$7:$AP$166,$CI140,1))+CK139</f>
        <v>0</v>
      </c>
      <c r="CL140" s="17">
        <f t="shared" si="107"/>
        <v>0</v>
      </c>
      <c r="CT140" s="17">
        <v>20</v>
      </c>
      <c r="CU140" s="17">
        <f t="shared" ref="CU140:CU154" si="110">求节点($CP$82:$CP$102,CQ$82:CQ$102,$CT140)</f>
        <v>0</v>
      </c>
      <c r="CV140" s="17">
        <f t="shared" si="108"/>
        <v>0</v>
      </c>
    </row>
    <row r="141" spans="31:100">
      <c r="AM141" s="16">
        <v>136</v>
      </c>
      <c r="AN141" s="16">
        <f t="shared" si="92"/>
        <v>14101003.44589553</v>
      </c>
      <c r="AO141" s="16">
        <f t="shared" si="93"/>
        <v>14101003.44589553</v>
      </c>
      <c r="AP141" s="16">
        <f t="shared" si="94"/>
        <v>14101003.44589553</v>
      </c>
      <c r="AQ141" s="16">
        <f t="shared" si="95"/>
        <v>14101003.44589553</v>
      </c>
      <c r="AR141" s="16">
        <f t="shared" si="96"/>
        <v>14101003.44589553</v>
      </c>
      <c r="AV141" s="16">
        <v>136</v>
      </c>
      <c r="AW141" s="16">
        <f>盗宝贼掉落!AI140</f>
        <v>26724343.035493575</v>
      </c>
      <c r="AX141" s="16">
        <f>盗宝贼掉落!AJ140</f>
        <v>32933270.73795319</v>
      </c>
      <c r="AY141" s="16">
        <f>盗宝贼掉落!AK140</f>
        <v>35682929.798772253</v>
      </c>
      <c r="AZ141" s="16">
        <f>盗宝贼掉落!AL140</f>
        <v>28734870.323736418</v>
      </c>
      <c r="BA141" s="16">
        <f>盗宝贼掉落!AM140</f>
        <v>15426760.243506748</v>
      </c>
      <c r="BC141" s="16">
        <f>盗宝贼掉落!AI140/AW141</f>
        <v>1</v>
      </c>
      <c r="BG141" s="41">
        <f t="shared" si="97"/>
        <v>1.8952086025673869</v>
      </c>
      <c r="BH141" s="41">
        <f t="shared" si="98"/>
        <v>2.3355267491647402</v>
      </c>
      <c r="BI141" s="41">
        <f t="shared" si="99"/>
        <v>2.5305241528154303</v>
      </c>
      <c r="BJ141" s="41">
        <f t="shared" si="100"/>
        <v>2.0377890434528232</v>
      </c>
      <c r="BK141" s="41">
        <f t="shared" si="101"/>
        <v>1.0940186138311394</v>
      </c>
      <c r="CA141" s="16">
        <v>136</v>
      </c>
      <c r="CB141" s="16">
        <f t="shared" si="102"/>
        <v>72</v>
      </c>
      <c r="CC141" s="16">
        <f t="shared" si="103"/>
        <v>72</v>
      </c>
      <c r="CD141" s="16">
        <f t="shared" si="104"/>
        <v>72</v>
      </c>
      <c r="CE141" s="16">
        <f t="shared" si="105"/>
        <v>72</v>
      </c>
      <c r="CF141" s="16">
        <f t="shared" si="106"/>
        <v>72</v>
      </c>
      <c r="CH141" s="16">
        <v>5</v>
      </c>
      <c r="CI141" s="17">
        <v>30</v>
      </c>
      <c r="CJ141" s="17">
        <f t="shared" si="109"/>
        <v>0</v>
      </c>
      <c r="CK141" s="17">
        <f>(CJ141-CJ140)*(INDEX([3]大r将兵属性验证!$V$7:$V$166,$CI141,1)+INDEX([3]大r将兵属性验证!$AP$7:$AP$166,$CI141,1))+CK140</f>
        <v>0</v>
      </c>
      <c r="CL141" s="17">
        <f t="shared" si="107"/>
        <v>0</v>
      </c>
      <c r="CT141" s="17">
        <v>30</v>
      </c>
      <c r="CU141" s="17">
        <f t="shared" si="110"/>
        <v>0</v>
      </c>
      <c r="CV141" s="17">
        <f t="shared" si="108"/>
        <v>0</v>
      </c>
    </row>
    <row r="142" spans="31:100">
      <c r="AM142" s="16">
        <v>137</v>
      </c>
      <c r="AN142" s="16">
        <f t="shared" si="92"/>
        <v>14101003.44589553</v>
      </c>
      <c r="AO142" s="16">
        <f t="shared" si="93"/>
        <v>14101003.44589553</v>
      </c>
      <c r="AP142" s="16">
        <f t="shared" si="94"/>
        <v>14101003.44589553</v>
      </c>
      <c r="AQ142" s="16">
        <f t="shared" si="95"/>
        <v>14101003.44589553</v>
      </c>
      <c r="AR142" s="16">
        <f t="shared" si="96"/>
        <v>14101003.44589553</v>
      </c>
      <c r="AV142" s="16">
        <v>137</v>
      </c>
      <c r="AW142" s="16">
        <f>盗宝贼掉落!AI141</f>
        <v>28675699.554647703</v>
      </c>
      <c r="AX142" s="16">
        <f>盗宝贼掉落!AJ141</f>
        <v>35381057.338898152</v>
      </c>
      <c r="AY142" s="16">
        <f>盗宝贼掉落!AK141</f>
        <v>38330133.400228024</v>
      </c>
      <c r="AZ142" s="16">
        <f>盗宝贼掉落!AL141</f>
        <v>30893493.132232845</v>
      </c>
      <c r="BA142" s="16">
        <f>盗宝贼掉落!AM141</f>
        <v>16574059.739067758</v>
      </c>
      <c r="BC142" s="16">
        <f>盗宝贼掉落!AI141/AW142</f>
        <v>1</v>
      </c>
      <c r="BG142" s="41">
        <f t="shared" si="97"/>
        <v>2.0335928336358591</v>
      </c>
      <c r="BH142" s="41">
        <f t="shared" si="98"/>
        <v>2.5091162820186916</v>
      </c>
      <c r="BI142" s="41">
        <f t="shared" si="99"/>
        <v>2.7182557289130385</v>
      </c>
      <c r="BJ142" s="41">
        <f t="shared" si="100"/>
        <v>2.1908719653015343</v>
      </c>
      <c r="BK142" s="41">
        <f t="shared" si="101"/>
        <v>1.1753815820740101</v>
      </c>
      <c r="CA142" s="16">
        <v>137</v>
      </c>
      <c r="CB142" s="16">
        <f t="shared" si="102"/>
        <v>72</v>
      </c>
      <c r="CC142" s="16">
        <f t="shared" si="103"/>
        <v>72</v>
      </c>
      <c r="CD142" s="16">
        <f t="shared" si="104"/>
        <v>72</v>
      </c>
      <c r="CE142" s="16">
        <f t="shared" si="105"/>
        <v>72</v>
      </c>
      <c r="CF142" s="16">
        <f t="shared" si="106"/>
        <v>72</v>
      </c>
      <c r="CH142" s="16">
        <v>6</v>
      </c>
      <c r="CI142" s="17">
        <v>40</v>
      </c>
      <c r="CJ142" s="17">
        <f t="shared" si="109"/>
        <v>0</v>
      </c>
      <c r="CK142" s="17">
        <f>(CJ142-CJ141)*(INDEX([3]大r将兵属性验证!$V$7:$V$166,$CI142,1)+INDEX([3]大r将兵属性验证!$AP$7:$AP$166,$CI142,1))+CK141</f>
        <v>0</v>
      </c>
      <c r="CL142" s="17">
        <f t="shared" si="107"/>
        <v>0</v>
      </c>
      <c r="CT142" s="17">
        <v>40</v>
      </c>
      <c r="CU142" s="17">
        <f t="shared" si="110"/>
        <v>0</v>
      </c>
      <c r="CV142" s="17">
        <f t="shared" si="108"/>
        <v>0</v>
      </c>
    </row>
    <row r="143" spans="31:100">
      <c r="AM143" s="16">
        <v>138</v>
      </c>
      <c r="AN143" s="16">
        <f t="shared" si="92"/>
        <v>14101003.44589553</v>
      </c>
      <c r="AO143" s="16">
        <f t="shared" si="93"/>
        <v>14101003.44589553</v>
      </c>
      <c r="AP143" s="16">
        <f t="shared" si="94"/>
        <v>14101003.44589553</v>
      </c>
      <c r="AQ143" s="16">
        <f t="shared" si="95"/>
        <v>14101003.44589553</v>
      </c>
      <c r="AR143" s="16">
        <f t="shared" si="96"/>
        <v>14101003.44589553</v>
      </c>
      <c r="AV143" s="16">
        <v>138</v>
      </c>
      <c r="AW143" s="16">
        <f>盗宝贼掉落!AI142</f>
        <v>30767111.687824335</v>
      </c>
      <c r="AX143" s="16">
        <f>盗宝贼掉落!AJ142</f>
        <v>37962091.785192013</v>
      </c>
      <c r="AY143" s="16">
        <f>盗宝贼掉落!AK142</f>
        <v>41157876.79613059</v>
      </c>
      <c r="AZ143" s="16">
        <f>盗宝贼掉落!AL142</f>
        <v>33169308.205219824</v>
      </c>
      <c r="BA143" s="16">
        <f>盗宝贼掉落!AM142</f>
        <v>17714208.387147781</v>
      </c>
      <c r="BC143" s="16">
        <f>盗宝贼掉落!AI142/AW143</f>
        <v>1</v>
      </c>
      <c r="BG143" s="41">
        <f t="shared" si="97"/>
        <v>2.1819093801285407</v>
      </c>
      <c r="BH143" s="41">
        <f t="shared" si="98"/>
        <v>2.6921553441816855</v>
      </c>
      <c r="BI143" s="41">
        <f t="shared" si="99"/>
        <v>2.918790634584993</v>
      </c>
      <c r="BJ143" s="41">
        <f t="shared" si="100"/>
        <v>2.3522658038123256</v>
      </c>
      <c r="BK143" s="41">
        <f t="shared" si="101"/>
        <v>1.2562374341028879</v>
      </c>
      <c r="CA143" s="16">
        <v>138</v>
      </c>
      <c r="CB143" s="16">
        <f t="shared" si="102"/>
        <v>72</v>
      </c>
      <c r="CC143" s="16">
        <f t="shared" si="103"/>
        <v>72</v>
      </c>
      <c r="CD143" s="16">
        <f t="shared" si="104"/>
        <v>72</v>
      </c>
      <c r="CE143" s="16">
        <f t="shared" si="105"/>
        <v>72</v>
      </c>
      <c r="CF143" s="16">
        <f t="shared" si="106"/>
        <v>72</v>
      </c>
      <c r="CH143" s="16">
        <v>7</v>
      </c>
      <c r="CI143" s="17">
        <v>50</v>
      </c>
      <c r="CJ143" s="17">
        <f t="shared" si="109"/>
        <v>0</v>
      </c>
      <c r="CK143" s="17">
        <f>(CJ143-CJ142)*(INDEX([3]大r将兵属性验证!$V$7:$V$166,$CI143,1)+INDEX([3]大r将兵属性验证!$AP$7:$AP$166,$CI143,1))+CK142</f>
        <v>0</v>
      </c>
      <c r="CL143" s="17">
        <f t="shared" si="107"/>
        <v>0</v>
      </c>
      <c r="CT143" s="17">
        <v>50</v>
      </c>
      <c r="CU143" s="17">
        <f t="shared" si="110"/>
        <v>0</v>
      </c>
      <c r="CV143" s="17">
        <f t="shared" si="108"/>
        <v>0</v>
      </c>
    </row>
    <row r="144" spans="31:100">
      <c r="AM144" s="16">
        <v>139</v>
      </c>
      <c r="AN144" s="16">
        <f t="shared" si="92"/>
        <v>14101003.44589553</v>
      </c>
      <c r="AO144" s="16">
        <f t="shared" si="93"/>
        <v>14101003.44589553</v>
      </c>
      <c r="AP144" s="16">
        <f t="shared" si="94"/>
        <v>14101003.44589553</v>
      </c>
      <c r="AQ144" s="16">
        <f t="shared" si="95"/>
        <v>14101003.44589553</v>
      </c>
      <c r="AR144" s="16">
        <f t="shared" si="96"/>
        <v>14101003.44589553</v>
      </c>
      <c r="AV144" s="16">
        <v>139</v>
      </c>
      <c r="AW144" s="16">
        <f>盗宝贼掉落!AI143</f>
        <v>33008631.711389471</v>
      </c>
      <c r="AX144" s="16">
        <f>盗宝贼掉落!AJ143</f>
        <v>40747875.815954357</v>
      </c>
      <c r="AY144" s="16">
        <f>盗宝贼掉落!AK143</f>
        <v>44164309.627615906</v>
      </c>
      <c r="AZ144" s="16">
        <f>盗宝贼掉落!AL143</f>
        <v>35445097.008651525</v>
      </c>
      <c r="BA144" s="16">
        <f>盗宝贼掉落!AM143</f>
        <v>18938664.372079555</v>
      </c>
      <c r="BC144" s="16">
        <f>盗宝贼掉落!AI143/AW144</f>
        <v>1</v>
      </c>
      <c r="BG144" s="41">
        <f t="shared" si="97"/>
        <v>2.3408711187144275</v>
      </c>
      <c r="BH144" s="41">
        <f t="shared" si="98"/>
        <v>2.8897146201191166</v>
      </c>
      <c r="BI144" s="41">
        <f t="shared" si="99"/>
        <v>3.1319976480447633</v>
      </c>
      <c r="BJ144" s="41">
        <f t="shared" si="100"/>
        <v>2.5136577793666701</v>
      </c>
      <c r="BK144" s="41">
        <f t="shared" si="101"/>
        <v>1.343072104389291</v>
      </c>
      <c r="CA144" s="16">
        <v>139</v>
      </c>
      <c r="CB144" s="16">
        <f t="shared" si="102"/>
        <v>72</v>
      </c>
      <c r="CC144" s="16">
        <f t="shared" si="103"/>
        <v>72</v>
      </c>
      <c r="CD144" s="16">
        <f t="shared" si="104"/>
        <v>72</v>
      </c>
      <c r="CE144" s="16">
        <f t="shared" si="105"/>
        <v>72</v>
      </c>
      <c r="CF144" s="16">
        <f t="shared" si="106"/>
        <v>72</v>
      </c>
      <c r="CH144" s="16">
        <v>8</v>
      </c>
      <c r="CI144" s="17">
        <v>60</v>
      </c>
      <c r="CJ144" s="17">
        <f t="shared" si="109"/>
        <v>24.346762954521527</v>
      </c>
      <c r="CK144" s="17">
        <f>(CJ144-CJ143)*(INDEX([3]大r将兵属性验证!$V$7:$V$166,$CI144,1)+INDEX([3]大r将兵属性验证!$AP$7:$AP$166,$CI144,1))+CK143</f>
        <v>1854098123.1574254</v>
      </c>
      <c r="CL144" s="17">
        <f t="shared" si="107"/>
        <v>1854098123.1574254</v>
      </c>
      <c r="CT144" s="17">
        <v>60</v>
      </c>
      <c r="CU144" s="17">
        <f t="shared" si="110"/>
        <v>0</v>
      </c>
      <c r="CV144" s="17">
        <f t="shared" si="108"/>
        <v>0</v>
      </c>
    </row>
    <row r="145" spans="39:100">
      <c r="AM145" s="16">
        <v>140</v>
      </c>
      <c r="AN145" s="16">
        <f t="shared" si="92"/>
        <v>14101003.44589553</v>
      </c>
      <c r="AO145" s="16">
        <f t="shared" si="93"/>
        <v>14101003.44589553</v>
      </c>
      <c r="AP145" s="16">
        <f t="shared" si="94"/>
        <v>14101003.44589553</v>
      </c>
      <c r="AQ145" s="16">
        <f t="shared" si="95"/>
        <v>14101003.44589553</v>
      </c>
      <c r="AR145" s="16">
        <f t="shared" si="96"/>
        <v>14101003.44589553</v>
      </c>
      <c r="AV145" s="16">
        <v>140</v>
      </c>
      <c r="AW145" s="16">
        <f>盗宝贼掉落!AI144</f>
        <v>35411033.388390273</v>
      </c>
      <c r="AX145" s="16">
        <f>盗宝贼掉落!AJ144</f>
        <v>43693206.033270225</v>
      </c>
      <c r="AY145" s="16">
        <f>盗宝贼掉落!AK144</f>
        <v>47174106.033712104</v>
      </c>
      <c r="AZ145" s="16">
        <f>盗宝贼掉落!AL144</f>
        <v>37857941.219082102</v>
      </c>
      <c r="BA145" s="16">
        <f>盗宝贼掉落!AM144</f>
        <v>20270258.896150917</v>
      </c>
      <c r="BC145" s="16">
        <f>盗宝贼掉落!AI144/AW145</f>
        <v>1</v>
      </c>
      <c r="BG145" s="41">
        <f t="shared" si="97"/>
        <v>2.51124209168941</v>
      </c>
      <c r="BH145" s="41">
        <f t="shared" si="98"/>
        <v>3.0985884232223406</v>
      </c>
      <c r="BI145" s="41">
        <f t="shared" si="99"/>
        <v>3.3454431959197466</v>
      </c>
      <c r="BJ145" s="41">
        <f t="shared" si="100"/>
        <v>2.6847693048470007</v>
      </c>
      <c r="BK145" s="41">
        <f t="shared" si="101"/>
        <v>1.4375047119112017</v>
      </c>
      <c r="CA145" s="16">
        <v>140</v>
      </c>
      <c r="CB145" s="16">
        <f t="shared" si="102"/>
        <v>72</v>
      </c>
      <c r="CC145" s="16">
        <f t="shared" si="103"/>
        <v>72</v>
      </c>
      <c r="CD145" s="16">
        <f t="shared" si="104"/>
        <v>72</v>
      </c>
      <c r="CE145" s="16">
        <f t="shared" si="105"/>
        <v>72</v>
      </c>
      <c r="CF145" s="16">
        <f t="shared" si="106"/>
        <v>72</v>
      </c>
      <c r="CH145" s="16">
        <v>9</v>
      </c>
      <c r="CI145" s="17">
        <v>70</v>
      </c>
      <c r="CJ145" s="17">
        <f t="shared" si="109"/>
        <v>32.827970618571428</v>
      </c>
      <c r="CK145" s="17">
        <f>(CJ145-CJ144)*(INDEX([3]大r将兵属性验证!$V$7:$V$166,$CI145,1)+INDEX([3]大r将兵属性验证!$AP$7:$AP$166,$CI145,1))+CK144</f>
        <v>4322915692.2261162</v>
      </c>
      <c r="CL145" s="17">
        <f t="shared" si="107"/>
        <v>4322915692.2261162</v>
      </c>
      <c r="CT145" s="17">
        <v>70</v>
      </c>
      <c r="CU145" s="17">
        <f t="shared" si="110"/>
        <v>0</v>
      </c>
      <c r="CV145" s="17">
        <f t="shared" si="108"/>
        <v>0</v>
      </c>
    </row>
    <row r="146" spans="39:100">
      <c r="AM146" s="16">
        <v>141</v>
      </c>
      <c r="AN146" s="16">
        <f t="shared" si="92"/>
        <v>14101003.44589553</v>
      </c>
      <c r="AO146" s="16">
        <f t="shared" si="93"/>
        <v>14101003.44589553</v>
      </c>
      <c r="AP146" s="16">
        <f t="shared" si="94"/>
        <v>14101003.44589553</v>
      </c>
      <c r="AQ146" s="16">
        <f t="shared" si="95"/>
        <v>14101003.44589553</v>
      </c>
      <c r="AR146" s="16">
        <f t="shared" si="96"/>
        <v>14101003.44589553</v>
      </c>
      <c r="AV146" s="16">
        <v>141</v>
      </c>
      <c r="AW146" s="16">
        <f>盗宝贼掉落!AI145</f>
        <v>37985863.752152376</v>
      </c>
      <c r="AX146" s="16">
        <f>盗宝贼掉落!AJ145</f>
        <v>46747634.460476927</v>
      </c>
      <c r="AY146" s="16">
        <f>盗宝贼掉落!AK145</f>
        <v>50430788.331335552</v>
      </c>
      <c r="AZ146" s="16">
        <f>盗宝贼掉落!AL145</f>
        <v>40569596.299408972</v>
      </c>
      <c r="BA146" s="16">
        <f>盗宝贼掉落!AM145</f>
        <v>21728402.311528277</v>
      </c>
      <c r="BC146" s="16">
        <f>盗宝贼掉落!AI145/AW146</f>
        <v>1</v>
      </c>
      <c r="BG146" s="41">
        <f t="shared" si="97"/>
        <v>2.6938411793104815</v>
      </c>
      <c r="BH146" s="41">
        <f t="shared" si="98"/>
        <v>3.31519913741203</v>
      </c>
      <c r="BI146" s="41">
        <f t="shared" si="99"/>
        <v>3.5763971354829196</v>
      </c>
      <c r="BJ146" s="41">
        <f t="shared" si="100"/>
        <v>2.8770715825346334</v>
      </c>
      <c r="BK146" s="41">
        <f t="shared" si="101"/>
        <v>1.540911779427506</v>
      </c>
      <c r="CA146" s="16">
        <v>141</v>
      </c>
      <c r="CB146" s="16">
        <f t="shared" si="102"/>
        <v>72</v>
      </c>
      <c r="CC146" s="16">
        <f t="shared" si="103"/>
        <v>72</v>
      </c>
      <c r="CD146" s="16">
        <f t="shared" si="104"/>
        <v>72</v>
      </c>
      <c r="CE146" s="16">
        <f t="shared" si="105"/>
        <v>72</v>
      </c>
      <c r="CF146" s="16">
        <f t="shared" si="106"/>
        <v>72</v>
      </c>
      <c r="CH146" s="16">
        <v>10</v>
      </c>
      <c r="CI146" s="17">
        <v>80</v>
      </c>
      <c r="CJ146" s="17">
        <f t="shared" si="109"/>
        <v>41.4662002464148</v>
      </c>
      <c r="CK146" s="17">
        <f>(CJ146-CJ145)*(INDEX([3]大r将兵属性验证!$V$7:$V$166,$CI146,1)+INDEX([3]大r将兵属性验证!$AP$7:$AP$166,$CI146,1))+CK145</f>
        <v>11928241915.497627</v>
      </c>
      <c r="CL146" s="17">
        <f t="shared" si="107"/>
        <v>11928241915.497627</v>
      </c>
      <c r="CT146" s="17">
        <v>80</v>
      </c>
      <c r="CU146" s="17">
        <f t="shared" si="110"/>
        <v>0</v>
      </c>
      <c r="CV146" s="17">
        <f t="shared" si="108"/>
        <v>0</v>
      </c>
    </row>
    <row r="147" spans="39:100">
      <c r="AM147" s="16">
        <v>142</v>
      </c>
      <c r="AN147" s="16">
        <f t="shared" si="92"/>
        <v>14101003.44589553</v>
      </c>
      <c r="AO147" s="16">
        <f t="shared" si="93"/>
        <v>14101003.44589553</v>
      </c>
      <c r="AP147" s="16">
        <f t="shared" si="94"/>
        <v>14101003.44589553</v>
      </c>
      <c r="AQ147" s="16">
        <f t="shared" si="95"/>
        <v>14101003.44589553</v>
      </c>
      <c r="AR147" s="16">
        <f t="shared" si="96"/>
        <v>14101003.44589553</v>
      </c>
      <c r="AV147" s="16">
        <v>142</v>
      </c>
      <c r="AW147" s="16">
        <f>盗宝贼掉落!AI146</f>
        <v>40745498.606565356</v>
      </c>
      <c r="AX147" s="16">
        <f>盗宝贼掉落!AJ146</f>
        <v>50144487.000392489</v>
      </c>
      <c r="AY147" s="16">
        <f>盗宝贼掉落!AK146</f>
        <v>54234727.206601277</v>
      </c>
      <c r="AZ147" s="16">
        <f>盗宝贼掉落!AL146</f>
        <v>43620413.904231258</v>
      </c>
      <c r="BA147" s="16">
        <f>盗宝贼掉落!AM146</f>
        <v>23363779.530504003</v>
      </c>
      <c r="BC147" s="16">
        <f>盗宝贼掉落!AI146/AW147</f>
        <v>1</v>
      </c>
      <c r="BG147" s="41">
        <f t="shared" si="97"/>
        <v>2.8895460357060907</v>
      </c>
      <c r="BH147" s="41">
        <f t="shared" si="98"/>
        <v>3.5560935214854066</v>
      </c>
      <c r="BI147" s="41">
        <f t="shared" si="99"/>
        <v>3.8461608363330857</v>
      </c>
      <c r="BJ147" s="41">
        <f t="shared" si="100"/>
        <v>3.0934262282538576</v>
      </c>
      <c r="BK147" s="41">
        <f t="shared" si="101"/>
        <v>1.6568877257671084</v>
      </c>
      <c r="CA147" s="16">
        <v>142</v>
      </c>
      <c r="CB147" s="16">
        <f t="shared" si="102"/>
        <v>72</v>
      </c>
      <c r="CC147" s="16">
        <f t="shared" si="103"/>
        <v>72</v>
      </c>
      <c r="CD147" s="16">
        <f t="shared" si="104"/>
        <v>72</v>
      </c>
      <c r="CE147" s="16">
        <f t="shared" si="105"/>
        <v>72</v>
      </c>
      <c r="CF147" s="16">
        <f t="shared" si="106"/>
        <v>72</v>
      </c>
      <c r="CH147" s="16">
        <v>11</v>
      </c>
      <c r="CI147" s="17">
        <v>90</v>
      </c>
      <c r="CJ147" s="17">
        <f t="shared" si="109"/>
        <v>72</v>
      </c>
      <c r="CK147" s="17">
        <f>(CJ147-CJ146)*(INDEX([3]大r将兵属性验证!$V$7:$V$166,$CI147,1)+INDEX([3]大r将兵属性验证!$AP$7:$AP$166,$CI147,1))+CK146</f>
        <v>86830310577.146179</v>
      </c>
      <c r="CL147" s="17">
        <f t="shared" si="107"/>
        <v>86830310577.146179</v>
      </c>
      <c r="CT147" s="17">
        <v>90</v>
      </c>
      <c r="CU147" s="17">
        <f t="shared" si="110"/>
        <v>0</v>
      </c>
      <c r="CV147" s="17">
        <f t="shared" si="108"/>
        <v>0</v>
      </c>
    </row>
    <row r="148" spans="39:100">
      <c r="AM148" s="16">
        <v>143</v>
      </c>
      <c r="AN148" s="16">
        <f t="shared" si="92"/>
        <v>14101003.44589553</v>
      </c>
      <c r="AO148" s="16">
        <f t="shared" si="93"/>
        <v>14101003.44589553</v>
      </c>
      <c r="AP148" s="16">
        <f t="shared" si="94"/>
        <v>14101003.44589553</v>
      </c>
      <c r="AQ148" s="16">
        <f t="shared" si="95"/>
        <v>14101003.44589553</v>
      </c>
      <c r="AR148" s="16">
        <f t="shared" si="96"/>
        <v>14101003.44589553</v>
      </c>
      <c r="AV148" s="16">
        <v>143</v>
      </c>
      <c r="AW148" s="16">
        <f>盗宝贼掉落!AI147</f>
        <v>43703202.009815402</v>
      </c>
      <c r="AX148" s="16">
        <f>盗宝贼掉落!AJ147</f>
        <v>53849469.796284616</v>
      </c>
      <c r="AY148" s="16">
        <f>盗宝贼掉落!AK147</f>
        <v>58251740.419475764</v>
      </c>
      <c r="AZ148" s="16">
        <f>盗宝贼掉落!AL147</f>
        <v>46887595.609323278</v>
      </c>
      <c r="BA148" s="16">
        <f>盗宝贼掉落!AM147</f>
        <v>25140285.220303636</v>
      </c>
      <c r="BC148" s="16">
        <f>盗宝贼掉落!AI147/AW148</f>
        <v>1</v>
      </c>
      <c r="BG148" s="41">
        <f t="shared" si="97"/>
        <v>3.099297307280382</v>
      </c>
      <c r="BH148" s="41">
        <f t="shared" si="98"/>
        <v>3.8188395600994571</v>
      </c>
      <c r="BI148" s="41">
        <f t="shared" si="99"/>
        <v>4.1310351169676132</v>
      </c>
      <c r="BJ148" s="41">
        <f t="shared" si="100"/>
        <v>3.3251247536551132</v>
      </c>
      <c r="BK148" s="41">
        <f t="shared" si="101"/>
        <v>1.782872071251169</v>
      </c>
      <c r="CA148" s="16">
        <v>143</v>
      </c>
      <c r="CB148" s="16">
        <f t="shared" si="102"/>
        <v>72</v>
      </c>
      <c r="CC148" s="16">
        <f t="shared" si="103"/>
        <v>72</v>
      </c>
      <c r="CD148" s="16">
        <f t="shared" si="104"/>
        <v>72</v>
      </c>
      <c r="CE148" s="16">
        <f t="shared" si="105"/>
        <v>72</v>
      </c>
      <c r="CF148" s="16">
        <f t="shared" si="106"/>
        <v>72</v>
      </c>
      <c r="CH148" s="16">
        <v>12</v>
      </c>
      <c r="CI148" s="17">
        <v>100</v>
      </c>
      <c r="CJ148" s="17">
        <f t="shared" si="109"/>
        <v>72</v>
      </c>
      <c r="CK148" s="17">
        <f>(CJ148-CJ147)*(INDEX([3]大r将兵属性验证!$V$7:$V$166,$CI148,1)+INDEX([3]大r将兵属性验证!$AP$7:$AP$166,$CI148,1))+CK147</f>
        <v>86830310577.146179</v>
      </c>
      <c r="CL148" s="17">
        <f t="shared" si="107"/>
        <v>86830310577.146179</v>
      </c>
      <c r="CT148" s="17">
        <v>100</v>
      </c>
      <c r="CU148" s="17">
        <f t="shared" si="110"/>
        <v>0</v>
      </c>
      <c r="CV148" s="17">
        <f t="shared" si="108"/>
        <v>0</v>
      </c>
    </row>
    <row r="149" spans="39:100">
      <c r="AM149" s="16">
        <v>144</v>
      </c>
      <c r="AN149" s="16">
        <f t="shared" si="92"/>
        <v>14101003.44589553</v>
      </c>
      <c r="AO149" s="16">
        <f t="shared" si="93"/>
        <v>14101003.44589553</v>
      </c>
      <c r="AP149" s="16">
        <f t="shared" si="94"/>
        <v>14101003.44589553</v>
      </c>
      <c r="AQ149" s="16">
        <f t="shared" si="95"/>
        <v>14101003.44589553</v>
      </c>
      <c r="AR149" s="16">
        <f t="shared" si="96"/>
        <v>14101003.44589553</v>
      </c>
      <c r="AV149" s="16">
        <v>144</v>
      </c>
      <c r="AW149" s="16">
        <f>盗宝贼掉落!AI148</f>
        <v>46873190.027471997</v>
      </c>
      <c r="AX149" s="16">
        <f>盗宝贼掉落!AJ148</f>
        <v>57756045.877513528</v>
      </c>
      <c r="AY149" s="16">
        <f>盗宝贼掉落!AK148</f>
        <v>62543984.868671834</v>
      </c>
      <c r="AZ149" s="16">
        <f>盗宝贼掉落!AL148</f>
        <v>50375175.059428312</v>
      </c>
      <c r="BA149" s="16">
        <f>盗宝贼掉落!AM148</f>
        <v>26912191.382474437</v>
      </c>
      <c r="BC149" s="16">
        <f>盗宝贼掉落!AI148/AW149</f>
        <v>1</v>
      </c>
      <c r="BG149" s="41">
        <f t="shared" si="97"/>
        <v>3.3241031538869441</v>
      </c>
      <c r="BH149" s="41">
        <f t="shared" si="98"/>
        <v>4.0958819774152282</v>
      </c>
      <c r="BI149" s="41">
        <f t="shared" si="99"/>
        <v>4.4354279543756094</v>
      </c>
      <c r="BJ149" s="41">
        <f t="shared" si="100"/>
        <v>3.5724532124762609</v>
      </c>
      <c r="BK149" s="41">
        <f t="shared" si="101"/>
        <v>1.9085302323153421</v>
      </c>
      <c r="CA149" s="16">
        <v>144</v>
      </c>
      <c r="CB149" s="16">
        <f t="shared" si="102"/>
        <v>72</v>
      </c>
      <c r="CC149" s="16">
        <f t="shared" si="103"/>
        <v>72</v>
      </c>
      <c r="CD149" s="16">
        <f t="shared" si="104"/>
        <v>72</v>
      </c>
      <c r="CE149" s="16">
        <f t="shared" si="105"/>
        <v>72</v>
      </c>
      <c r="CF149" s="16">
        <f t="shared" si="106"/>
        <v>72</v>
      </c>
      <c r="CH149" s="16">
        <v>13</v>
      </c>
      <c r="CI149" s="17">
        <v>110</v>
      </c>
      <c r="CJ149" s="17">
        <f t="shared" si="109"/>
        <v>72</v>
      </c>
      <c r="CK149" s="17">
        <f>(CJ149-CJ148)*(INDEX([3]大r将兵属性验证!$V$7:$V$166,$CI149,1)+INDEX([3]大r将兵属性验证!$AP$7:$AP$166,$CI149,1))+CK148</f>
        <v>86830310577.146179</v>
      </c>
      <c r="CL149" s="17">
        <f t="shared" si="107"/>
        <v>86830310577.146179</v>
      </c>
      <c r="CT149" s="17">
        <v>110</v>
      </c>
      <c r="CU149" s="17">
        <f t="shared" si="110"/>
        <v>0</v>
      </c>
      <c r="CV149" s="17">
        <f t="shared" si="108"/>
        <v>0</v>
      </c>
    </row>
    <row r="150" spans="39:100">
      <c r="AM150" s="16">
        <v>145</v>
      </c>
      <c r="AN150" s="16">
        <f t="shared" si="92"/>
        <v>14101003.44589553</v>
      </c>
      <c r="AO150" s="16">
        <f t="shared" si="93"/>
        <v>14101003.44589553</v>
      </c>
      <c r="AP150" s="16">
        <f t="shared" si="94"/>
        <v>14101003.44589553</v>
      </c>
      <c r="AQ150" s="16">
        <f t="shared" si="95"/>
        <v>14101003.44589553</v>
      </c>
      <c r="AR150" s="16">
        <f t="shared" si="96"/>
        <v>14101003.44589553</v>
      </c>
      <c r="AV150" s="16">
        <v>145</v>
      </c>
      <c r="AW150" s="16">
        <f>盗宝贼掉落!AI149</f>
        <v>50270699.061354458</v>
      </c>
      <c r="AX150" s="16">
        <f>盗宝贼掉落!AJ149</f>
        <v>62031680.958380461</v>
      </c>
      <c r="AY150" s="16">
        <f>盗宝贼掉落!AK149</f>
        <v>67159039.68288134</v>
      </c>
      <c r="AZ150" s="16">
        <f>盗宝贼掉落!AL149</f>
        <v>53926044.403254457</v>
      </c>
      <c r="BA150" s="16">
        <f>盗宝贼掉落!AM149</f>
        <v>28773390.88569041</v>
      </c>
      <c r="BC150" s="16">
        <f>盗宝贼掉落!AI149/AW150</f>
        <v>1</v>
      </c>
      <c r="BG150" s="41">
        <f t="shared" si="97"/>
        <v>3.5650440945028685</v>
      </c>
      <c r="BH150" s="41">
        <f t="shared" si="98"/>
        <v>4.399096929264025</v>
      </c>
      <c r="BI150" s="41">
        <f t="shared" si="99"/>
        <v>4.7627135147201001</v>
      </c>
      <c r="BJ150" s="41">
        <f t="shared" si="100"/>
        <v>3.8242699968243081</v>
      </c>
      <c r="BK150" s="41">
        <f t="shared" si="101"/>
        <v>2.0405208037918512</v>
      </c>
      <c r="CA150" s="16">
        <v>145</v>
      </c>
      <c r="CB150" s="16">
        <f t="shared" si="102"/>
        <v>72</v>
      </c>
      <c r="CC150" s="16">
        <f t="shared" si="103"/>
        <v>72</v>
      </c>
      <c r="CD150" s="16">
        <f t="shared" si="104"/>
        <v>72</v>
      </c>
      <c r="CE150" s="16">
        <f t="shared" si="105"/>
        <v>72</v>
      </c>
      <c r="CF150" s="16">
        <f t="shared" si="106"/>
        <v>72</v>
      </c>
      <c r="CH150" s="16">
        <v>14</v>
      </c>
      <c r="CI150" s="17">
        <v>120</v>
      </c>
      <c r="CJ150" s="17">
        <f t="shared" si="109"/>
        <v>72</v>
      </c>
      <c r="CK150" s="17">
        <f>(CJ150-CJ149)*(INDEX([3]大r将兵属性验证!$V$7:$V$166,$CI150,1)+INDEX([3]大r将兵属性验证!$AP$7:$AP$166,$CI150,1))+CK149</f>
        <v>86830310577.146179</v>
      </c>
      <c r="CL150" s="17">
        <f t="shared" si="107"/>
        <v>86830310577.146179</v>
      </c>
      <c r="CT150" s="17">
        <v>120</v>
      </c>
      <c r="CU150" s="17">
        <f t="shared" si="110"/>
        <v>0</v>
      </c>
      <c r="CV150" s="17">
        <f t="shared" si="108"/>
        <v>0</v>
      </c>
    </row>
    <row r="151" spans="39:100">
      <c r="AM151" s="16">
        <v>146</v>
      </c>
      <c r="AN151" s="16">
        <f t="shared" si="92"/>
        <v>14101003.44589553</v>
      </c>
      <c r="AO151" s="16">
        <f t="shared" si="93"/>
        <v>14101003.44589553</v>
      </c>
      <c r="AP151" s="16">
        <f t="shared" si="94"/>
        <v>14101003.44589553</v>
      </c>
      <c r="AQ151" s="16">
        <f t="shared" si="95"/>
        <v>14101003.44589553</v>
      </c>
      <c r="AR151" s="16">
        <f t="shared" si="96"/>
        <v>14101003.44589553</v>
      </c>
      <c r="AV151" s="16">
        <v>146</v>
      </c>
      <c r="AW151" s="16">
        <f>盗宝贼掉落!AI150</f>
        <v>53912059.082596898</v>
      </c>
      <c r="AX151" s="16">
        <f>盗宝贼掉落!AJ150</f>
        <v>66509683.778652027</v>
      </c>
      <c r="AY151" s="16">
        <f>盗宝贼掉落!AK150</f>
        <v>71788402.683717057</v>
      </c>
      <c r="AZ151" s="16">
        <f>盗宝贼掉落!AL150</f>
        <v>57566160.06941767</v>
      </c>
      <c r="BA151" s="16">
        <f>盗宝贼掉落!AM150</f>
        <v>30725127.421540175</v>
      </c>
      <c r="BC151" s="16">
        <f>盗宝贼掉落!AI150/AW151</f>
        <v>1</v>
      </c>
      <c r="BG151" s="41">
        <f t="shared" si="97"/>
        <v>3.823278200693542</v>
      </c>
      <c r="BH151" s="41">
        <f t="shared" si="98"/>
        <v>4.7166631817263633</v>
      </c>
      <c r="BI151" s="41">
        <f t="shared" si="99"/>
        <v>5.0910137678615328</v>
      </c>
      <c r="BJ151" s="41">
        <f t="shared" si="100"/>
        <v>4.0824158571618403</v>
      </c>
      <c r="BK151" s="41">
        <f t="shared" si="101"/>
        <v>2.1789319844811139</v>
      </c>
      <c r="CA151" s="16">
        <v>146</v>
      </c>
      <c r="CB151" s="16">
        <f t="shared" si="102"/>
        <v>72</v>
      </c>
      <c r="CC151" s="16">
        <f t="shared" si="103"/>
        <v>72</v>
      </c>
      <c r="CD151" s="16">
        <f t="shared" si="104"/>
        <v>72</v>
      </c>
      <c r="CE151" s="16">
        <f t="shared" si="105"/>
        <v>72</v>
      </c>
      <c r="CF151" s="16">
        <f t="shared" si="106"/>
        <v>72</v>
      </c>
      <c r="CH151" s="16">
        <v>15</v>
      </c>
      <c r="CI151" s="17">
        <v>130</v>
      </c>
      <c r="CJ151" s="17">
        <f t="shared" si="109"/>
        <v>72</v>
      </c>
      <c r="CK151" s="17">
        <f>(CJ151-CJ150)*(INDEX([3]大r将兵属性验证!$V$7:$V$166,$CI151,1)+INDEX([3]大r将兵属性验证!$AP$7:$AP$166,$CI151,1))+CK150</f>
        <v>86830310577.146179</v>
      </c>
      <c r="CL151" s="17">
        <f t="shared" si="107"/>
        <v>86830310577.146179</v>
      </c>
      <c r="CT151" s="17">
        <v>130</v>
      </c>
      <c r="CU151" s="17">
        <f t="shared" si="110"/>
        <v>0</v>
      </c>
      <c r="CV151" s="17">
        <f t="shared" si="108"/>
        <v>0</v>
      </c>
    </row>
    <row r="152" spans="39:100">
      <c r="AM152" s="16">
        <v>147</v>
      </c>
      <c r="AN152" s="16">
        <f t="shared" si="92"/>
        <v>14101003.44589553</v>
      </c>
      <c r="AO152" s="16">
        <f t="shared" si="93"/>
        <v>14101003.44589553</v>
      </c>
      <c r="AP152" s="16">
        <f t="shared" si="94"/>
        <v>14101003.44589553</v>
      </c>
      <c r="AQ152" s="16">
        <f t="shared" si="95"/>
        <v>14101003.44589553</v>
      </c>
      <c r="AR152" s="16">
        <f t="shared" si="96"/>
        <v>14101003.44589553</v>
      </c>
      <c r="AV152" s="16">
        <v>147</v>
      </c>
      <c r="AW152" s="16">
        <f>盗宝贼掉落!AI151</f>
        <v>57814772.120905139</v>
      </c>
      <c r="AX152" s="16">
        <f>盗宝贼掉落!AJ151</f>
        <v>71087262.933660954</v>
      </c>
      <c r="AY152" s="16">
        <f>盗宝贼掉落!AK151</f>
        <v>76629288.588398248</v>
      </c>
      <c r="AZ152" s="16">
        <f>盗宝贼掉落!AL151</f>
        <v>61409167.323326237</v>
      </c>
      <c r="BA152" s="16">
        <f>盗宝贼掉落!AM151</f>
        <v>32833431.400679696</v>
      </c>
      <c r="BC152" s="16">
        <f>盗宝贼掉落!AI151/AW152</f>
        <v>1</v>
      </c>
      <c r="BG152" s="41">
        <f t="shared" si="97"/>
        <v>4.1000466628304846</v>
      </c>
      <c r="BH152" s="41">
        <f t="shared" si="98"/>
        <v>5.0412910830365609</v>
      </c>
      <c r="BI152" s="41">
        <f t="shared" si="99"/>
        <v>5.4343145778539066</v>
      </c>
      <c r="BJ152" s="41">
        <f t="shared" si="100"/>
        <v>4.3549501678336942</v>
      </c>
      <c r="BK152" s="41">
        <f t="shared" si="101"/>
        <v>2.3284464489820924</v>
      </c>
      <c r="CA152" s="16">
        <v>147</v>
      </c>
      <c r="CB152" s="16">
        <f t="shared" si="102"/>
        <v>72</v>
      </c>
      <c r="CC152" s="16">
        <f t="shared" si="103"/>
        <v>72</v>
      </c>
      <c r="CD152" s="16">
        <f t="shared" si="104"/>
        <v>72</v>
      </c>
      <c r="CE152" s="16">
        <f t="shared" si="105"/>
        <v>72</v>
      </c>
      <c r="CF152" s="16">
        <f t="shared" si="106"/>
        <v>72</v>
      </c>
      <c r="CH152" s="16">
        <v>16</v>
      </c>
      <c r="CI152" s="17">
        <v>140</v>
      </c>
      <c r="CJ152" s="17">
        <f t="shared" si="109"/>
        <v>72</v>
      </c>
      <c r="CK152" s="17">
        <f>(CJ152-CJ151)*(INDEX([3]大r将兵属性验证!$V$7:$V$166,$CI152,1)+INDEX([3]大r将兵属性验证!$AP$7:$AP$166,$CI152,1))+CK151</f>
        <v>86830310577.146179</v>
      </c>
      <c r="CL152" s="17">
        <f t="shared" si="107"/>
        <v>86830310577.146179</v>
      </c>
      <c r="CT152" s="17">
        <v>140</v>
      </c>
      <c r="CU152" s="17">
        <f t="shared" si="110"/>
        <v>0</v>
      </c>
      <c r="CV152" s="17">
        <f t="shared" si="108"/>
        <v>0</v>
      </c>
    </row>
    <row r="153" spans="39:100">
      <c r="AM153" s="16">
        <v>148</v>
      </c>
      <c r="AN153" s="16">
        <f t="shared" si="92"/>
        <v>14101003.44589553</v>
      </c>
      <c r="AO153" s="16">
        <f t="shared" si="93"/>
        <v>14101003.44589553</v>
      </c>
      <c r="AP153" s="16">
        <f t="shared" si="94"/>
        <v>14101003.44589553</v>
      </c>
      <c r="AQ153" s="16">
        <f t="shared" si="95"/>
        <v>14101003.44589553</v>
      </c>
      <c r="AR153" s="16">
        <f t="shared" si="96"/>
        <v>14101003.44589553</v>
      </c>
      <c r="AV153" s="16">
        <v>148</v>
      </c>
      <c r="AW153" s="16">
        <f>盗宝贼掉落!AI152</f>
        <v>61997596.387258403</v>
      </c>
      <c r="AX153" s="16">
        <f>盗宝贼掉落!AJ152</f>
        <v>76231054.702823967</v>
      </c>
      <c r="AY153" s="16">
        <f>盗宝贼掉落!AK152</f>
        <v>82224428.208091408</v>
      </c>
      <c r="AZ153" s="16">
        <f>盗宝贼掉落!AL152</f>
        <v>65994071.653561957</v>
      </c>
      <c r="BA153" s="16">
        <f>盗宝贼掉落!AM152</f>
        <v>35224479.394340038</v>
      </c>
      <c r="BC153" s="16">
        <f>盗宝贼掉落!AI152/AW153</f>
        <v>1</v>
      </c>
      <c r="BG153" s="41">
        <f t="shared" si="97"/>
        <v>4.3966797558158488</v>
      </c>
      <c r="BH153" s="41">
        <f t="shared" si="98"/>
        <v>5.4060730497171132</v>
      </c>
      <c r="BI153" s="41">
        <f t="shared" si="99"/>
        <v>5.8311047524795123</v>
      </c>
      <c r="BJ153" s="41">
        <f t="shared" si="100"/>
        <v>4.6800975481479847</v>
      </c>
      <c r="BK153" s="41">
        <f t="shared" si="101"/>
        <v>2.4980122534891693</v>
      </c>
      <c r="CA153" s="16">
        <v>148</v>
      </c>
      <c r="CB153" s="16">
        <f t="shared" si="102"/>
        <v>72</v>
      </c>
      <c r="CC153" s="16">
        <f t="shared" si="103"/>
        <v>72</v>
      </c>
      <c r="CD153" s="16">
        <f t="shared" si="104"/>
        <v>72</v>
      </c>
      <c r="CE153" s="16">
        <f t="shared" si="105"/>
        <v>72</v>
      </c>
      <c r="CF153" s="16">
        <f t="shared" si="106"/>
        <v>72</v>
      </c>
      <c r="CH153" s="16">
        <v>17</v>
      </c>
      <c r="CI153" s="17">
        <v>150</v>
      </c>
      <c r="CJ153" s="17">
        <f t="shared" si="109"/>
        <v>72</v>
      </c>
      <c r="CK153" s="17">
        <f>(CJ153-CJ152)*(INDEX([3]大r将兵属性验证!$V$7:$V$166,$CI153,1)+INDEX([3]大r将兵属性验证!$AP$7:$AP$166,$CI153,1))+CK152</f>
        <v>86830310577.146179</v>
      </c>
      <c r="CL153" s="17">
        <f t="shared" si="107"/>
        <v>86830310577.146179</v>
      </c>
      <c r="CT153" s="17">
        <v>150</v>
      </c>
      <c r="CU153" s="17">
        <f t="shared" si="110"/>
        <v>0</v>
      </c>
      <c r="CV153" s="17">
        <f t="shared" si="108"/>
        <v>0</v>
      </c>
    </row>
    <row r="154" spans="39:100">
      <c r="AM154" s="16">
        <v>149</v>
      </c>
      <c r="AN154" s="16">
        <f t="shared" si="92"/>
        <v>14101003.44589553</v>
      </c>
      <c r="AO154" s="16">
        <f t="shared" si="93"/>
        <v>14101003.44589553</v>
      </c>
      <c r="AP154" s="16">
        <f t="shared" si="94"/>
        <v>14101003.44589553</v>
      </c>
      <c r="AQ154" s="16">
        <f t="shared" si="95"/>
        <v>14101003.44589553</v>
      </c>
      <c r="AR154" s="16">
        <f t="shared" si="96"/>
        <v>14101003.44589553</v>
      </c>
      <c r="AV154" s="16">
        <v>149</v>
      </c>
      <c r="AW154" s="16">
        <f>盗宝贼掉落!AI153</f>
        <v>66480636.43438869</v>
      </c>
      <c r="AX154" s="16">
        <f>盗宝贼掉落!AJ153</f>
        <v>81763534.660998017</v>
      </c>
      <c r="AY154" s="16">
        <f>盗宝贼掉落!AK153</f>
        <v>88251183.62165007</v>
      </c>
      <c r="AZ154" s="16">
        <f>盗宝贼掉落!AL153</f>
        <v>70813164.879953325</v>
      </c>
      <c r="BA154" s="16">
        <f>盗宝贼掉落!AM153</f>
        <v>37803134.174543612</v>
      </c>
      <c r="BC154" s="16">
        <f>盗宝贼掉落!AI153/AW154</f>
        <v>1</v>
      </c>
      <c r="BG154" s="41">
        <f t="shared" si="97"/>
        <v>4.7146032329876233</v>
      </c>
      <c r="BH154" s="41">
        <f t="shared" si="98"/>
        <v>5.7984195929543905</v>
      </c>
      <c r="BI154" s="41">
        <f t="shared" si="99"/>
        <v>6.2585037979930362</v>
      </c>
      <c r="BJ154" s="41">
        <f t="shared" si="100"/>
        <v>5.0218528881053048</v>
      </c>
      <c r="BK154" s="41">
        <f t="shared" si="101"/>
        <v>2.6808825570174024</v>
      </c>
      <c r="CA154" s="16">
        <v>149</v>
      </c>
      <c r="CB154" s="16">
        <f t="shared" si="102"/>
        <v>72</v>
      </c>
      <c r="CC154" s="16">
        <f t="shared" si="103"/>
        <v>72</v>
      </c>
      <c r="CD154" s="16">
        <f t="shared" si="104"/>
        <v>72</v>
      </c>
      <c r="CE154" s="16">
        <f t="shared" si="105"/>
        <v>72</v>
      </c>
      <c r="CF154" s="16">
        <f t="shared" si="106"/>
        <v>72</v>
      </c>
      <c r="CH154" s="16">
        <v>18</v>
      </c>
      <c r="CI154" s="17">
        <v>160</v>
      </c>
      <c r="CJ154" s="17">
        <f t="shared" si="109"/>
        <v>72</v>
      </c>
      <c r="CK154" s="17">
        <f>(CJ154-CJ153)*(INDEX([3]大r将兵属性验证!$V$7:$V$166,$CI154,1)+INDEX([3]大r将兵属性验证!$AP$7:$AP$166,$CI154,1))+CK153</f>
        <v>86830310577.146179</v>
      </c>
      <c r="CL154" s="17">
        <f t="shared" si="107"/>
        <v>86830310577.146179</v>
      </c>
      <c r="CT154" s="17">
        <v>160</v>
      </c>
      <c r="CU154" s="17">
        <f t="shared" si="110"/>
        <v>0</v>
      </c>
      <c r="CV154" s="17">
        <f t="shared" si="108"/>
        <v>0</v>
      </c>
    </row>
    <row r="155" spans="39:100">
      <c r="AM155" s="16">
        <v>150</v>
      </c>
      <c r="AN155" s="16">
        <f t="shared" si="92"/>
        <v>14101003.44589553</v>
      </c>
      <c r="AO155" s="16">
        <f t="shared" si="93"/>
        <v>14101003.44589553</v>
      </c>
      <c r="AP155" s="16">
        <f t="shared" si="94"/>
        <v>14101003.44589553</v>
      </c>
      <c r="AQ155" s="16">
        <f t="shared" si="95"/>
        <v>14101003.44589553</v>
      </c>
      <c r="AR155" s="16">
        <f t="shared" si="96"/>
        <v>14101003.44589553</v>
      </c>
      <c r="AV155" s="16">
        <v>150</v>
      </c>
      <c r="AW155" s="16">
        <f>盗宝贼掉落!AI154</f>
        <v>71285439.788390279</v>
      </c>
      <c r="AX155" s="16">
        <f>盗宝贼掉落!AJ154</f>
        <v>87673599.46479021</v>
      </c>
      <c r="AY155" s="16">
        <f>盗宝贼掉落!AK154</f>
        <v>94645236.649712101</v>
      </c>
      <c r="AZ155" s="16">
        <f>盗宝贼掉落!AL154</f>
        <v>75981368.79348211</v>
      </c>
      <c r="BA155" s="16">
        <f>盗宝贼掉落!AM154</f>
        <v>40681474.756990917</v>
      </c>
      <c r="BC155" s="16">
        <f>盗宝贼掉落!AI154/AW155</f>
        <v>1</v>
      </c>
      <c r="BG155" s="41">
        <f t="shared" si="97"/>
        <v>5.0553451789375874</v>
      </c>
      <c r="BH155" s="41">
        <f t="shared" si="98"/>
        <v>6.2175432976232576</v>
      </c>
      <c r="BI155" s="41">
        <f t="shared" si="99"/>
        <v>6.7119504659975879</v>
      </c>
      <c r="BJ155" s="41">
        <f t="shared" si="100"/>
        <v>5.3883660893366061</v>
      </c>
      <c r="BK155" s="41">
        <f t="shared" si="101"/>
        <v>2.8850056602767751</v>
      </c>
      <c r="CA155" s="16">
        <v>150</v>
      </c>
      <c r="CB155" s="16">
        <f t="shared" si="102"/>
        <v>72</v>
      </c>
      <c r="CC155" s="16">
        <f t="shared" si="103"/>
        <v>72</v>
      </c>
      <c r="CD155" s="16">
        <f t="shared" si="104"/>
        <v>72</v>
      </c>
      <c r="CE155" s="16">
        <f t="shared" si="105"/>
        <v>72</v>
      </c>
      <c r="CF155" s="16">
        <f t="shared" si="106"/>
        <v>72</v>
      </c>
      <c r="CH155" s="16">
        <v>19</v>
      </c>
    </row>
    <row r="156" spans="39:100">
      <c r="AM156" s="16">
        <v>151</v>
      </c>
      <c r="AN156" s="16">
        <f t="shared" si="92"/>
        <v>14101003.44589553</v>
      </c>
      <c r="AO156" s="16">
        <f t="shared" si="93"/>
        <v>14101003.44589553</v>
      </c>
      <c r="AP156" s="16">
        <f t="shared" si="94"/>
        <v>14101003.44589553</v>
      </c>
      <c r="AQ156" s="16">
        <f t="shared" si="95"/>
        <v>14101003.44589553</v>
      </c>
      <c r="AR156" s="16">
        <f t="shared" si="96"/>
        <v>14101003.44589553</v>
      </c>
      <c r="AV156" s="16">
        <v>151</v>
      </c>
      <c r="AW156" s="16">
        <f>盗宝贼掉落!AI155</f>
        <v>76435100.515914485</v>
      </c>
      <c r="AX156" s="16">
        <f>盗宝贼掉落!AJ155</f>
        <v>94052650.527043879</v>
      </c>
      <c r="AY156" s="16">
        <f>盗宝贼掉落!AK155</f>
        <v>101560080.13536251</v>
      </c>
      <c r="AZ156" s="16">
        <f>盗宝贼掉落!AL155</f>
        <v>81868333.550492421</v>
      </c>
      <c r="BA156" s="16">
        <f>盗宝贼掉落!AM155</f>
        <v>44310542.321916208</v>
      </c>
      <c r="BC156" s="16">
        <f>盗宝贼掉落!AI155/AW156</f>
        <v>1</v>
      </c>
      <c r="BG156" s="41">
        <f t="shared" si="97"/>
        <v>5.4205433541797294</v>
      </c>
      <c r="BH156" s="41">
        <f t="shared" si="98"/>
        <v>6.6699260721349862</v>
      </c>
      <c r="BI156" s="41">
        <f t="shared" si="99"/>
        <v>7.2023299990699776</v>
      </c>
      <c r="BJ156" s="41">
        <f t="shared" si="100"/>
        <v>5.8058516093989301</v>
      </c>
      <c r="BK156" s="41">
        <f t="shared" si="101"/>
        <v>3.1423680230937014</v>
      </c>
      <c r="CA156" s="16">
        <v>151</v>
      </c>
      <c r="CB156" s="16">
        <f t="shared" si="102"/>
        <v>72</v>
      </c>
      <c r="CC156" s="16">
        <f t="shared" si="103"/>
        <v>72</v>
      </c>
      <c r="CD156" s="16">
        <f t="shared" si="104"/>
        <v>72</v>
      </c>
      <c r="CE156" s="16">
        <f t="shared" si="105"/>
        <v>72</v>
      </c>
      <c r="CF156" s="16">
        <f t="shared" si="106"/>
        <v>72</v>
      </c>
      <c r="CH156" s="16">
        <v>20</v>
      </c>
    </row>
    <row r="157" spans="39:100">
      <c r="AM157" s="16">
        <v>152</v>
      </c>
      <c r="AN157" s="16">
        <f t="shared" si="92"/>
        <v>14101003.44589553</v>
      </c>
      <c r="AO157" s="16">
        <f t="shared" si="93"/>
        <v>14101003.44589553</v>
      </c>
      <c r="AP157" s="16">
        <f t="shared" si="94"/>
        <v>14101003.44589553</v>
      </c>
      <c r="AQ157" s="16">
        <f t="shared" si="95"/>
        <v>14101003.44589553</v>
      </c>
      <c r="AR157" s="16">
        <f t="shared" si="96"/>
        <v>14101003.44589553</v>
      </c>
      <c r="AV157" s="16">
        <v>152</v>
      </c>
      <c r="AW157" s="16">
        <f>盗宝贼掉落!AI156</f>
        <v>81954370.224740446</v>
      </c>
      <c r="AX157" s="16">
        <f>盗宝贼掉落!AJ156</f>
        <v>100820739.8105092</v>
      </c>
      <c r="AY157" s="16">
        <f>盗宝贼掉落!AK156</f>
        <v>109498411.60133606</v>
      </c>
      <c r="AZ157" s="16">
        <f>盗宝贼掉落!AL156</f>
        <v>88981315.732968032</v>
      </c>
      <c r="BA157" s="16">
        <f>盗宝贼掉落!AM156</f>
        <v>68917903.036469728</v>
      </c>
      <c r="BC157" s="16">
        <f>盗宝贼掉落!AI156/AW157</f>
        <v>1</v>
      </c>
      <c r="BG157" s="41">
        <f t="shared" si="97"/>
        <v>5.8119530669709487</v>
      </c>
      <c r="BH157" s="41">
        <f t="shared" si="98"/>
        <v>7.1498982464156295</v>
      </c>
      <c r="BI157" s="41">
        <f t="shared" si="99"/>
        <v>7.7652921667222534</v>
      </c>
      <c r="BJ157" s="41">
        <f t="shared" si="100"/>
        <v>6.3102825323305911</v>
      </c>
      <c r="BK157" s="41">
        <f t="shared" si="101"/>
        <v>4.8874467197247657</v>
      </c>
      <c r="CA157" s="16">
        <v>152</v>
      </c>
      <c r="CB157" s="16">
        <f t="shared" si="102"/>
        <v>72</v>
      </c>
      <c r="CC157" s="16">
        <f t="shared" si="103"/>
        <v>72</v>
      </c>
      <c r="CD157" s="16">
        <f t="shared" si="104"/>
        <v>72</v>
      </c>
      <c r="CE157" s="16">
        <f t="shared" si="105"/>
        <v>72</v>
      </c>
      <c r="CF157" s="16">
        <f t="shared" si="106"/>
        <v>72</v>
      </c>
      <c r="CH157" s="16">
        <v>21</v>
      </c>
    </row>
    <row r="158" spans="39:100">
      <c r="AM158" s="16">
        <v>153</v>
      </c>
      <c r="AN158" s="16">
        <f t="shared" si="92"/>
        <v>14101003.44589553</v>
      </c>
      <c r="AO158" s="16">
        <f t="shared" si="93"/>
        <v>14101003.44589553</v>
      </c>
      <c r="AP158" s="16">
        <f t="shared" si="94"/>
        <v>14101003.44589553</v>
      </c>
      <c r="AQ158" s="16">
        <f t="shared" si="95"/>
        <v>14101003.44589553</v>
      </c>
      <c r="AR158" s="16">
        <f t="shared" si="96"/>
        <v>14101003.44589553</v>
      </c>
      <c r="AV158" s="16">
        <v>153</v>
      </c>
      <c r="AW158" s="16">
        <f>盗宝贼掉落!AI157</f>
        <v>87869777.031240538</v>
      </c>
      <c r="AX158" s="16">
        <f>盗宝贼掉落!AJ157</f>
        <v>108909138.83390307</v>
      </c>
      <c r="AY158" s="16">
        <f>盗宝贼掉落!AK157</f>
        <v>118713822.35353626</v>
      </c>
      <c r="AZ158" s="16">
        <f>盗宝贼掉落!AL157</f>
        <v>118150541.2430609</v>
      </c>
      <c r="BA158" s="16">
        <f>盗宝贼掉落!AM157</f>
        <v>118386437.73568973</v>
      </c>
      <c r="BC158" s="16">
        <f>盗宝贼掉落!AI157/AW158</f>
        <v>1</v>
      </c>
      <c r="BG158" s="41">
        <f t="shared" si="97"/>
        <v>6.2314556101195304</v>
      </c>
      <c r="BH158" s="41">
        <f t="shared" si="98"/>
        <v>7.7235027458704693</v>
      </c>
      <c r="BI158" s="41">
        <f t="shared" si="99"/>
        <v>8.4188208881043192</v>
      </c>
      <c r="BJ158" s="41">
        <f t="shared" si="100"/>
        <v>8.378874716001274</v>
      </c>
      <c r="BK158" s="41">
        <f t="shared" si="101"/>
        <v>8.3956037731590811</v>
      </c>
      <c r="CA158" s="16">
        <v>153</v>
      </c>
      <c r="CB158" s="16">
        <f t="shared" si="102"/>
        <v>72</v>
      </c>
      <c r="CC158" s="16">
        <f t="shared" si="103"/>
        <v>72</v>
      </c>
      <c r="CD158" s="16">
        <f t="shared" si="104"/>
        <v>72</v>
      </c>
      <c r="CE158" s="16">
        <f t="shared" si="105"/>
        <v>72</v>
      </c>
      <c r="CF158" s="16">
        <f t="shared" si="106"/>
        <v>72</v>
      </c>
      <c r="CH158" s="16">
        <v>22</v>
      </c>
    </row>
    <row r="159" spans="39:100">
      <c r="AM159" s="16">
        <v>154</v>
      </c>
      <c r="AN159" s="16">
        <f t="shared" si="92"/>
        <v>14101003.44589553</v>
      </c>
      <c r="AO159" s="16">
        <f t="shared" si="93"/>
        <v>14101003.44589553</v>
      </c>
      <c r="AP159" s="16">
        <f t="shared" si="94"/>
        <v>14101003.44589553</v>
      </c>
      <c r="AQ159" s="16">
        <f t="shared" si="95"/>
        <v>14101003.44589553</v>
      </c>
      <c r="AR159" s="16">
        <f t="shared" si="96"/>
        <v>14101003.44589553</v>
      </c>
      <c r="AV159" s="16">
        <v>154</v>
      </c>
      <c r="AW159" s="16">
        <f>盗宝贼掉落!AI158</f>
        <v>94209753.066553742</v>
      </c>
      <c r="AX159" s="16">
        <f>盗宝贼掉落!AJ158</f>
        <v>117319100.23785093</v>
      </c>
      <c r="AY159" s="16">
        <f>盗宝贼掉落!AK158</f>
        <v>146383043.28643051</v>
      </c>
      <c r="AZ159" s="16">
        <f>盗宝贼掉落!AL158</f>
        <v>166944470.50088733</v>
      </c>
      <c r="BA159" s="16">
        <f>盗宝贼掉落!AM158</f>
        <v>167180366.99351615</v>
      </c>
      <c r="BC159" s="16">
        <f>盗宝贼掉落!AI158/AW159</f>
        <v>1</v>
      </c>
      <c r="BG159" s="41">
        <f t="shared" si="97"/>
        <v>6.6810673033326564</v>
      </c>
      <c r="BH159" s="41">
        <f t="shared" si="98"/>
        <v>8.319911465024127</v>
      </c>
      <c r="BI159" s="41">
        <f t="shared" si="99"/>
        <v>10.381037338802946</v>
      </c>
      <c r="BJ159" s="41">
        <f t="shared" si="100"/>
        <v>11.839190816557167</v>
      </c>
      <c r="BK159" s="41">
        <f t="shared" si="101"/>
        <v>11.855919873714974</v>
      </c>
      <c r="CA159" s="16">
        <v>154</v>
      </c>
      <c r="CB159" s="16">
        <f t="shared" si="102"/>
        <v>72</v>
      </c>
      <c r="CC159" s="16">
        <f t="shared" si="103"/>
        <v>72</v>
      </c>
      <c r="CD159" s="16">
        <f t="shared" si="104"/>
        <v>72</v>
      </c>
      <c r="CE159" s="16">
        <f t="shared" si="105"/>
        <v>72</v>
      </c>
      <c r="CF159" s="16">
        <f t="shared" si="106"/>
        <v>72</v>
      </c>
      <c r="CH159" s="16">
        <v>23</v>
      </c>
    </row>
    <row r="160" spans="39:100">
      <c r="AM160" s="16">
        <v>155</v>
      </c>
      <c r="AN160" s="16">
        <f t="shared" si="92"/>
        <v>14101003.44589553</v>
      </c>
      <c r="AO160" s="16">
        <f t="shared" si="93"/>
        <v>14101003.44589553</v>
      </c>
      <c r="AP160" s="16">
        <f t="shared" si="94"/>
        <v>14101003.44589553</v>
      </c>
      <c r="AQ160" s="16">
        <f t="shared" si="95"/>
        <v>14101003.44589553</v>
      </c>
      <c r="AR160" s="16">
        <f t="shared" si="96"/>
        <v>14101003.44589553</v>
      </c>
      <c r="AV160" s="16">
        <v>155</v>
      </c>
      <c r="AW160" s="16">
        <f>盗宝贼掉落!AI159</f>
        <v>101004771.13431868</v>
      </c>
      <c r="AX160" s="16">
        <f>盗宝贼掉落!AJ159</f>
        <v>139998258.35616049</v>
      </c>
      <c r="AY160" s="16">
        <f>盗宝贼掉落!AK159</f>
        <v>191701028.47034514</v>
      </c>
      <c r="AZ160" s="16">
        <f>盗宝贼掉落!AL159</f>
        <v>217178550.85524434</v>
      </c>
      <c r="BA160" s="16">
        <f>盗宝贼掉落!AM159</f>
        <v>218096033.86862731</v>
      </c>
      <c r="BC160" s="16">
        <f>盗宝贼掉落!AI159/AW160</f>
        <v>1</v>
      </c>
      <c r="BG160" s="41">
        <f t="shared" si="97"/>
        <v>7.1629491845645061</v>
      </c>
      <c r="BH160" s="41">
        <f t="shared" si="98"/>
        <v>9.9282479359233609</v>
      </c>
      <c r="BI160" s="41">
        <f t="shared" si="99"/>
        <v>13.594850125800429</v>
      </c>
      <c r="BJ160" s="41">
        <f t="shared" si="100"/>
        <v>15.401638024452785</v>
      </c>
      <c r="BK160" s="41">
        <f t="shared" si="101"/>
        <v>15.466703111267583</v>
      </c>
      <c r="CA160" s="16">
        <v>155</v>
      </c>
      <c r="CB160" s="16">
        <f t="shared" si="102"/>
        <v>72</v>
      </c>
      <c r="CC160" s="16">
        <f t="shared" si="103"/>
        <v>72</v>
      </c>
      <c r="CD160" s="16">
        <f t="shared" si="104"/>
        <v>72</v>
      </c>
      <c r="CE160" s="16">
        <f t="shared" si="105"/>
        <v>72</v>
      </c>
      <c r="CF160" s="16">
        <f t="shared" si="106"/>
        <v>72</v>
      </c>
      <c r="CH160" s="16">
        <v>24</v>
      </c>
    </row>
    <row r="161" spans="39:86">
      <c r="AM161" s="16">
        <v>156</v>
      </c>
      <c r="AN161" s="16">
        <f t="shared" si="92"/>
        <v>14101003.44589553</v>
      </c>
      <c r="AO161" s="16">
        <f t="shared" si="93"/>
        <v>14101003.44589553</v>
      </c>
      <c r="AP161" s="16">
        <f t="shared" si="94"/>
        <v>14101003.44589553</v>
      </c>
      <c r="AQ161" s="16">
        <f t="shared" si="95"/>
        <v>14101003.44589553</v>
      </c>
      <c r="AR161" s="16">
        <f t="shared" si="96"/>
        <v>14101003.44589553</v>
      </c>
      <c r="AV161" s="16">
        <v>156</v>
      </c>
      <c r="AW161" s="16">
        <f>盗宝贼掉落!AI160</f>
        <v>108287491.17680356</v>
      </c>
      <c r="AX161" s="16">
        <f>盗宝贼掉落!AJ160</f>
        <v>157817722.00463557</v>
      </c>
      <c r="AY161" s="16">
        <f>盗宝贼掉落!AK160</f>
        <v>216649833.15824476</v>
      </c>
      <c r="AZ161" s="16">
        <f>盗宝贼掉落!AL160</f>
        <v>245417307.80968016</v>
      </c>
      <c r="BA161" s="16">
        <f>盗宝贼掉落!AM160</f>
        <v>246383711.70334852</v>
      </c>
      <c r="BC161" s="16">
        <f>盗宝贼掉落!AI160/AW161</f>
        <v>1</v>
      </c>
      <c r="BG161" s="41">
        <f t="shared" si="97"/>
        <v>7.679417396945853</v>
      </c>
      <c r="BH161" s="41">
        <f t="shared" si="98"/>
        <v>11.191949750964183</v>
      </c>
      <c r="BI161" s="41">
        <f t="shared" si="99"/>
        <v>15.364142983831865</v>
      </c>
      <c r="BJ161" s="41">
        <f t="shared" si="100"/>
        <v>17.404244226400451</v>
      </c>
      <c r="BK161" s="41">
        <f t="shared" si="101"/>
        <v>17.472778632294073</v>
      </c>
      <c r="CA161" s="16">
        <v>156</v>
      </c>
      <c r="CB161" s="16">
        <f t="shared" si="102"/>
        <v>72</v>
      </c>
      <c r="CC161" s="16">
        <f t="shared" si="103"/>
        <v>72</v>
      </c>
      <c r="CD161" s="16">
        <f t="shared" si="104"/>
        <v>72</v>
      </c>
      <c r="CE161" s="16">
        <f t="shared" si="105"/>
        <v>72</v>
      </c>
      <c r="CF161" s="16">
        <f t="shared" si="106"/>
        <v>72</v>
      </c>
      <c r="CH161" s="16">
        <v>25</v>
      </c>
    </row>
    <row r="162" spans="39:86">
      <c r="AM162" s="16">
        <v>157</v>
      </c>
      <c r="AN162" s="16">
        <f t="shared" si="92"/>
        <v>14101003.44589553</v>
      </c>
      <c r="AO162" s="16">
        <f t="shared" si="93"/>
        <v>14101003.44589553</v>
      </c>
      <c r="AP162" s="16">
        <f t="shared" si="94"/>
        <v>14101003.44589553</v>
      </c>
      <c r="AQ162" s="16">
        <f t="shared" si="95"/>
        <v>14101003.44589553</v>
      </c>
      <c r="AR162" s="16">
        <f t="shared" si="96"/>
        <v>14101003.44589553</v>
      </c>
      <c r="AV162" s="16">
        <v>157</v>
      </c>
      <c r="AW162" s="16">
        <f>盗宝贼掉落!AI161</f>
        <v>116092917.25342003</v>
      </c>
      <c r="AX162" s="16">
        <f>盗宝贼掉落!AJ161</f>
        <v>169186494.76840305</v>
      </c>
      <c r="AY162" s="16">
        <f>盗宝贼掉落!AK161</f>
        <v>232245413.82567564</v>
      </c>
      <c r="AZ162" s="16">
        <f>盗宝贼掉落!AL161</f>
        <v>263069448.56512392</v>
      </c>
      <c r="BA162" s="16">
        <f>盗宝贼掉落!AM161</f>
        <v>263305345.05775273</v>
      </c>
      <c r="BC162" s="16">
        <f>盗宝贼掉落!AI161/AW162</f>
        <v>1</v>
      </c>
      <c r="BG162" s="41">
        <f t="shared" si="97"/>
        <v>8.2329543212197382</v>
      </c>
      <c r="BH162" s="41">
        <f t="shared" si="98"/>
        <v>11.998188314580496</v>
      </c>
      <c r="BI162" s="41">
        <f t="shared" si="99"/>
        <v>16.470133825353884</v>
      </c>
      <c r="BJ162" s="41">
        <f t="shared" si="100"/>
        <v>18.656080014057242</v>
      </c>
      <c r="BK162" s="41">
        <f t="shared" si="101"/>
        <v>18.672809071215049</v>
      </c>
      <c r="CA162" s="16">
        <v>157</v>
      </c>
      <c r="CB162" s="16">
        <f t="shared" si="102"/>
        <v>72</v>
      </c>
      <c r="CC162" s="16">
        <f t="shared" si="103"/>
        <v>72</v>
      </c>
      <c r="CD162" s="16">
        <f t="shared" si="104"/>
        <v>72</v>
      </c>
      <c r="CE162" s="16">
        <f t="shared" si="105"/>
        <v>72</v>
      </c>
      <c r="CF162" s="16">
        <f t="shared" si="106"/>
        <v>72</v>
      </c>
      <c r="CH162" s="16">
        <v>26</v>
      </c>
    </row>
    <row r="163" spans="39:86">
      <c r="AM163" s="16">
        <v>158</v>
      </c>
      <c r="AN163" s="16">
        <f t="shared" si="92"/>
        <v>14101003.44589553</v>
      </c>
      <c r="AO163" s="16">
        <f t="shared" si="93"/>
        <v>14101003.44589553</v>
      </c>
      <c r="AP163" s="16">
        <f t="shared" si="94"/>
        <v>14101003.44589553</v>
      </c>
      <c r="AQ163" s="16">
        <f t="shared" si="95"/>
        <v>14101003.44589553</v>
      </c>
      <c r="AR163" s="16">
        <f t="shared" si="96"/>
        <v>14101003.44589553</v>
      </c>
      <c r="AV163" s="16">
        <v>158</v>
      </c>
      <c r="AW163" s="16">
        <f>盗宝贼掉落!AI162</f>
        <v>124458565.78612657</v>
      </c>
      <c r="AX163" s="16">
        <f>盗宝贼掉落!AJ162</f>
        <v>181371243.71821475</v>
      </c>
      <c r="AY163" s="16">
        <f>盗宝贼掉落!AK162</f>
        <v>248960343.31787252</v>
      </c>
      <c r="AZ163" s="16">
        <f>盗宝贼掉落!AL162</f>
        <v>281988544.58376437</v>
      </c>
      <c r="BA163" s="16">
        <f>盗宝贼掉落!AM162</f>
        <v>282224441.07639319</v>
      </c>
      <c r="BC163" s="16">
        <f>盗宝贼掉落!AI162/AW163</f>
        <v>1</v>
      </c>
      <c r="BG163" s="41">
        <f t="shared" si="97"/>
        <v>8.8262205071904667</v>
      </c>
      <c r="BH163" s="41">
        <f t="shared" si="98"/>
        <v>12.862293411537861</v>
      </c>
      <c r="BI163" s="41">
        <f t="shared" si="99"/>
        <v>17.655505459105395</v>
      </c>
      <c r="BJ163" s="41">
        <f t="shared" si="100"/>
        <v>19.997764390721045</v>
      </c>
      <c r="BK163" s="41">
        <f t="shared" si="101"/>
        <v>20.014493447878852</v>
      </c>
      <c r="CA163" s="16">
        <v>158</v>
      </c>
      <c r="CB163" s="16">
        <f t="shared" si="102"/>
        <v>72</v>
      </c>
      <c r="CC163" s="16">
        <f t="shared" si="103"/>
        <v>72</v>
      </c>
      <c r="CD163" s="16">
        <f t="shared" si="104"/>
        <v>72</v>
      </c>
      <c r="CE163" s="16">
        <f t="shared" si="105"/>
        <v>72</v>
      </c>
      <c r="CF163" s="16">
        <f t="shared" si="106"/>
        <v>72</v>
      </c>
      <c r="CH163" s="16">
        <v>27</v>
      </c>
    </row>
    <row r="164" spans="39:86">
      <c r="AM164" s="16">
        <v>159</v>
      </c>
      <c r="AN164" s="16">
        <f t="shared" si="92"/>
        <v>14101003.44589553</v>
      </c>
      <c r="AO164" s="16">
        <f t="shared" si="93"/>
        <v>14101003.44589553</v>
      </c>
      <c r="AP164" s="16">
        <f t="shared" si="94"/>
        <v>14101003.44589553</v>
      </c>
      <c r="AQ164" s="16">
        <f t="shared" si="95"/>
        <v>14101003.44589553</v>
      </c>
      <c r="AR164" s="16">
        <f t="shared" si="96"/>
        <v>14101003.44589553</v>
      </c>
      <c r="AV164" s="16">
        <v>159</v>
      </c>
      <c r="AW164" s="16">
        <f>盗宝贼掉落!AI163</f>
        <v>133424645.88038711</v>
      </c>
      <c r="AX164" s="16">
        <f>盗宝贼掉落!AJ163</f>
        <v>194430534.29028991</v>
      </c>
      <c r="AY164" s="16">
        <f>盗宝贼掉落!AK163</f>
        <v>266874961.17577443</v>
      </c>
      <c r="AZ164" s="16">
        <f>盗宝贼掉落!AL163</f>
        <v>302265529.63171923</v>
      </c>
      <c r="BA164" s="16">
        <f>盗宝贼掉落!AM163</f>
        <v>302501426.12434804</v>
      </c>
      <c r="BC164" s="16">
        <f>盗宝贼掉落!AI163/AW164</f>
        <v>1</v>
      </c>
      <c r="BG164" s="41">
        <f t="shared" si="97"/>
        <v>9.4620674615340139</v>
      </c>
      <c r="BH164" s="41">
        <f t="shared" si="98"/>
        <v>13.788418323299116</v>
      </c>
      <c r="BI164" s="41">
        <f t="shared" si="99"/>
        <v>18.92595531940356</v>
      </c>
      <c r="BJ164" s="41">
        <f t="shared" si="100"/>
        <v>21.435746100728853</v>
      </c>
      <c r="BK164" s="41">
        <f t="shared" si="101"/>
        <v>21.45247515788666</v>
      </c>
      <c r="CA164" s="16">
        <v>159</v>
      </c>
      <c r="CB164" s="16">
        <f t="shared" si="102"/>
        <v>72</v>
      </c>
      <c r="CC164" s="16">
        <f t="shared" si="103"/>
        <v>72</v>
      </c>
      <c r="CD164" s="16">
        <f t="shared" si="104"/>
        <v>72</v>
      </c>
      <c r="CE164" s="16">
        <f t="shared" si="105"/>
        <v>72</v>
      </c>
      <c r="CF164" s="16">
        <f t="shared" si="106"/>
        <v>72</v>
      </c>
      <c r="CH164" s="16">
        <v>28</v>
      </c>
    </row>
    <row r="165" spans="39:86">
      <c r="AM165" s="16">
        <v>160</v>
      </c>
      <c r="AN165" s="16">
        <f t="shared" si="92"/>
        <v>14101003.44589553</v>
      </c>
      <c r="AO165" s="16">
        <f t="shared" si="93"/>
        <v>14101003.44589553</v>
      </c>
      <c r="AP165" s="16">
        <f t="shared" si="94"/>
        <v>14101003.44589553</v>
      </c>
      <c r="AQ165" s="16">
        <f t="shared" si="95"/>
        <v>14101003.44589553</v>
      </c>
      <c r="AR165" s="16">
        <f t="shared" si="96"/>
        <v>14101003.44589553</v>
      </c>
      <c r="AV165" s="16">
        <v>160</v>
      </c>
      <c r="AW165" s="16">
        <f>盗宝贼掉落!AI164</f>
        <v>143034252.58839029</v>
      </c>
      <c r="AX165" s="16">
        <f>盗宝贼掉落!AJ164</f>
        <v>208427135.3649902</v>
      </c>
      <c r="AY165" s="16">
        <f>盗宝贼掉落!AK164</f>
        <v>286075373.18735212</v>
      </c>
      <c r="AZ165" s="16">
        <f>盗宝贼掉落!AL164</f>
        <v>323997864.1063621</v>
      </c>
      <c r="BA165" s="16">
        <f>盗宝贼掉落!AM164</f>
        <v>324233760.59899092</v>
      </c>
      <c r="BC165" s="16">
        <f>盗宝贼掉落!AI164/AW165</f>
        <v>1</v>
      </c>
      <c r="BG165" s="41">
        <f t="shared" si="97"/>
        <v>10.143551353433942</v>
      </c>
      <c r="BH165" s="41">
        <f t="shared" si="98"/>
        <v>14.781014426718578</v>
      </c>
      <c r="BI165" s="41">
        <f t="shared" si="99"/>
        <v>20.287589765154049</v>
      </c>
      <c r="BJ165" s="41">
        <f t="shared" si="100"/>
        <v>22.976936737127758</v>
      </c>
      <c r="BK165" s="41">
        <f t="shared" si="101"/>
        <v>22.993665794285565</v>
      </c>
      <c r="CA165" s="16">
        <v>160</v>
      </c>
      <c r="CB165" s="16">
        <f t="shared" si="102"/>
        <v>72</v>
      </c>
      <c r="CC165" s="16">
        <f t="shared" si="103"/>
        <v>72</v>
      </c>
      <c r="CD165" s="16">
        <f t="shared" si="104"/>
        <v>72</v>
      </c>
      <c r="CE165" s="16">
        <f t="shared" si="105"/>
        <v>72</v>
      </c>
      <c r="CF165" s="16">
        <f t="shared" si="106"/>
        <v>72</v>
      </c>
      <c r="CH165" s="16">
        <v>29</v>
      </c>
    </row>
    <row r="166" spans="39:86">
      <c r="CH166" s="16">
        <v>30</v>
      </c>
    </row>
    <row r="167" spans="39:86">
      <c r="CH167" s="16">
        <v>31</v>
      </c>
    </row>
    <row r="168" spans="39:86">
      <c r="CH168" s="16">
        <v>32</v>
      </c>
    </row>
    <row r="169" spans="39:86">
      <c r="CH169" s="16">
        <v>33</v>
      </c>
    </row>
    <row r="170" spans="39:86">
      <c r="CH170" s="16">
        <v>34</v>
      </c>
    </row>
    <row r="171" spans="39:86">
      <c r="CH171" s="16">
        <v>35</v>
      </c>
    </row>
    <row r="172" spans="39:86">
      <c r="CH172" s="16">
        <v>36</v>
      </c>
    </row>
    <row r="173" spans="39:86">
      <c r="CH173" s="16">
        <v>37</v>
      </c>
    </row>
    <row r="174" spans="39:86">
      <c r="CH174" s="16">
        <v>38</v>
      </c>
    </row>
    <row r="175" spans="39:86">
      <c r="CH175" s="16">
        <v>39</v>
      </c>
    </row>
    <row r="176" spans="39:86">
      <c r="CH176" s="16">
        <v>40</v>
      </c>
    </row>
    <row r="177" spans="86:100">
      <c r="CH177" s="16">
        <v>41</v>
      </c>
    </row>
    <row r="178" spans="86:100">
      <c r="CH178" s="16">
        <v>42</v>
      </c>
    </row>
    <row r="179" spans="86:100">
      <c r="CH179" s="16">
        <v>43</v>
      </c>
    </row>
    <row r="180" spans="86:100">
      <c r="CH180" s="16">
        <v>44</v>
      </c>
    </row>
    <row r="181" spans="86:100">
      <c r="CH181" s="16">
        <v>45</v>
      </c>
    </row>
    <row r="182" spans="86:100">
      <c r="CH182" s="16">
        <v>1</v>
      </c>
      <c r="CI182" s="17" t="s">
        <v>78</v>
      </c>
      <c r="CJ182" s="70" t="s">
        <v>54</v>
      </c>
      <c r="CK182" s="170" t="s">
        <v>414</v>
      </c>
      <c r="CL182" s="170"/>
      <c r="CT182" s="17" t="s">
        <v>78</v>
      </c>
      <c r="CU182" s="17" t="s">
        <v>418</v>
      </c>
    </row>
    <row r="183" spans="86:100">
      <c r="CH183" s="16">
        <v>2</v>
      </c>
      <c r="CI183" s="17" t="s">
        <v>161</v>
      </c>
      <c r="CJ183" s="17" t="s">
        <v>461</v>
      </c>
      <c r="CK183" s="17" t="s">
        <v>461</v>
      </c>
      <c r="CL183" s="17" t="s">
        <v>413</v>
      </c>
      <c r="CT183" s="17" t="s">
        <v>161</v>
      </c>
      <c r="CU183" s="17" t="s">
        <v>451</v>
      </c>
      <c r="CV183" s="17" t="s">
        <v>192</v>
      </c>
    </row>
    <row r="184" spans="86:100">
      <c r="CH184" s="16">
        <v>3</v>
      </c>
      <c r="CI184" s="17">
        <v>10</v>
      </c>
      <c r="CJ184" s="17">
        <f>求节点($CA$6:$CA$165,$CF$6:$CF$165,$CI184)</f>
        <v>0</v>
      </c>
      <c r="CK184" s="51">
        <f>CJ184*(INDEX([3]超r将兵属性验证!$V$7:$V$166,$CI184,1)+INDEX([3]超r将兵属性验证!$AP$7:$AP$166,$CI184,1))</f>
        <v>0</v>
      </c>
      <c r="CL184" s="17">
        <f t="shared" ref="CL184:CL199" si="111">SUM(CK184:CK184)</f>
        <v>0</v>
      </c>
      <c r="CT184" s="17">
        <v>10</v>
      </c>
      <c r="CU184" s="17">
        <f>求节点($CP$108:$CP$128,CQ$108:CQ$128,$CT184)</f>
        <v>0</v>
      </c>
      <c r="CV184" s="17">
        <f t="shared" ref="CV184:CV199" si="112">SUM(CU184:CU184)</f>
        <v>0</v>
      </c>
    </row>
    <row r="185" spans="86:100">
      <c r="CH185" s="16">
        <v>4</v>
      </c>
      <c r="CI185" s="17">
        <v>20</v>
      </c>
      <c r="CJ185" s="17">
        <f t="shared" ref="CJ185:CJ199" si="113">求节点($CA$6:$CA$165,$CF$6:$CF$165,$CI185)</f>
        <v>0</v>
      </c>
      <c r="CK185" s="17">
        <f>(CJ185-CJ184)*(INDEX([3]超r将兵属性验证!$V$7:$V$166,$CI185,1)+INDEX([3]超r将兵属性验证!$AP$7:$AP$166,$CI185,1))+CK184</f>
        <v>0</v>
      </c>
      <c r="CL185" s="17">
        <f t="shared" si="111"/>
        <v>0</v>
      </c>
      <c r="CT185" s="17">
        <v>20</v>
      </c>
      <c r="CU185" s="17">
        <f t="shared" ref="CU185:CU199" si="114">求节点($CP$108:$CP$128,CQ$108:CQ$128,$CT185)</f>
        <v>0</v>
      </c>
      <c r="CV185" s="17">
        <f t="shared" si="112"/>
        <v>0</v>
      </c>
    </row>
    <row r="186" spans="86:100">
      <c r="CH186" s="16">
        <v>5</v>
      </c>
      <c r="CI186" s="17">
        <v>30</v>
      </c>
      <c r="CJ186" s="17">
        <f t="shared" si="113"/>
        <v>0</v>
      </c>
      <c r="CK186" s="17">
        <f>(CJ186-CJ185)*(INDEX([3]超r将兵属性验证!$V$7:$V$166,$CI186,1)+INDEX([3]超r将兵属性验证!$AP$7:$AP$166,$CI186,1))+CK185</f>
        <v>0</v>
      </c>
      <c r="CL186" s="17">
        <f t="shared" si="111"/>
        <v>0</v>
      </c>
      <c r="CT186" s="17">
        <v>30</v>
      </c>
      <c r="CU186" s="17">
        <f t="shared" si="114"/>
        <v>0</v>
      </c>
      <c r="CV186" s="17">
        <f t="shared" si="112"/>
        <v>0</v>
      </c>
    </row>
    <row r="187" spans="86:100">
      <c r="CH187" s="16">
        <v>6</v>
      </c>
      <c r="CI187" s="17">
        <v>40</v>
      </c>
      <c r="CJ187" s="17">
        <f t="shared" si="113"/>
        <v>0</v>
      </c>
      <c r="CK187" s="17">
        <f>(CJ187-CJ186)*(INDEX([3]超r将兵属性验证!$V$7:$V$166,$CI187,1)+INDEX([3]超r将兵属性验证!$AP$7:$AP$166,$CI187,1))+CK186</f>
        <v>0</v>
      </c>
      <c r="CL187" s="17">
        <f t="shared" si="111"/>
        <v>0</v>
      </c>
      <c r="CT187" s="17">
        <v>40</v>
      </c>
      <c r="CU187" s="17">
        <f t="shared" si="114"/>
        <v>0</v>
      </c>
      <c r="CV187" s="17">
        <f t="shared" si="112"/>
        <v>0</v>
      </c>
    </row>
    <row r="188" spans="86:100">
      <c r="CH188" s="16">
        <v>7</v>
      </c>
      <c r="CI188" s="17">
        <v>50</v>
      </c>
      <c r="CJ188" s="17">
        <f t="shared" si="113"/>
        <v>0</v>
      </c>
      <c r="CK188" s="17">
        <f>(CJ188-CJ187)*(INDEX([3]超r将兵属性验证!$V$7:$V$166,$CI188,1)+INDEX([3]超r将兵属性验证!$AP$7:$AP$166,$CI188,1))+CK187</f>
        <v>0</v>
      </c>
      <c r="CL188" s="17">
        <f t="shared" si="111"/>
        <v>0</v>
      </c>
      <c r="CT188" s="17">
        <v>50</v>
      </c>
      <c r="CU188" s="17">
        <f t="shared" si="114"/>
        <v>0</v>
      </c>
      <c r="CV188" s="17">
        <f t="shared" si="112"/>
        <v>0</v>
      </c>
    </row>
    <row r="189" spans="86:100">
      <c r="CH189" s="16">
        <v>8</v>
      </c>
      <c r="CI189" s="17">
        <v>60</v>
      </c>
      <c r="CJ189" s="17">
        <f t="shared" si="113"/>
        <v>33.731265744884759</v>
      </c>
      <c r="CK189" s="17">
        <f>(CJ189-CJ188)*(INDEX([3]超r将兵属性验证!$V$7:$V$166,$CI189,1)+INDEX([3]超r将兵属性验证!$AP$7:$AP$166,$CI189,1))+CK188</f>
        <v>3054924640.3692241</v>
      </c>
      <c r="CL189" s="17">
        <f t="shared" si="111"/>
        <v>3054924640.3692241</v>
      </c>
      <c r="CT189" s="17">
        <v>60</v>
      </c>
      <c r="CU189" s="17">
        <f t="shared" si="114"/>
        <v>0</v>
      </c>
      <c r="CV189" s="17">
        <f t="shared" si="112"/>
        <v>0</v>
      </c>
    </row>
    <row r="190" spans="86:100">
      <c r="CH190" s="16">
        <v>9</v>
      </c>
      <c r="CI190" s="17">
        <v>70</v>
      </c>
      <c r="CJ190" s="17">
        <f t="shared" si="113"/>
        <v>44.516010384464067</v>
      </c>
      <c r="CK190" s="17">
        <f>(CJ190-CJ189)*(INDEX([3]超r将兵属性验证!$V$7:$V$166,$CI190,1)+INDEX([3]超r将兵属性验证!$AP$7:$AP$166,$CI190,1))+CK189</f>
        <v>6582976514.9043055</v>
      </c>
      <c r="CL190" s="17">
        <f t="shared" si="111"/>
        <v>6582976514.9043055</v>
      </c>
      <c r="CT190" s="17">
        <v>70</v>
      </c>
      <c r="CU190" s="17">
        <f t="shared" si="114"/>
        <v>0</v>
      </c>
      <c r="CV190" s="17">
        <f t="shared" si="112"/>
        <v>0</v>
      </c>
    </row>
    <row r="191" spans="86:100">
      <c r="CH191" s="16">
        <v>10</v>
      </c>
      <c r="CI191" s="17">
        <v>80</v>
      </c>
      <c r="CJ191" s="17">
        <f t="shared" si="113"/>
        <v>55.621298157056366</v>
      </c>
      <c r="CK191" s="17">
        <f>(CJ191-CJ190)*(INDEX([3]超r将兵属性验证!$V$7:$V$166,$CI191,1)+INDEX([3]超r将兵属性验证!$AP$7:$AP$166,$CI191,1))+CK190</f>
        <v>18432996924.891468</v>
      </c>
      <c r="CL191" s="17">
        <f t="shared" si="111"/>
        <v>18432996924.891468</v>
      </c>
      <c r="CT191" s="17">
        <v>80</v>
      </c>
      <c r="CU191" s="17">
        <f t="shared" si="114"/>
        <v>0</v>
      </c>
      <c r="CV191" s="17">
        <f t="shared" si="112"/>
        <v>0</v>
      </c>
    </row>
    <row r="192" spans="86:100">
      <c r="CH192" s="16">
        <v>11</v>
      </c>
      <c r="CI192" s="17">
        <v>90</v>
      </c>
      <c r="CJ192" s="17">
        <f t="shared" si="113"/>
        <v>72</v>
      </c>
      <c r="CK192" s="17">
        <f>(CJ192-CJ191)*(INDEX([3]超r将兵属性验证!$V$7:$V$166,$CI192,1)+INDEX([3]超r将兵属性验证!$AP$7:$AP$166,$CI192,1))+CK191</f>
        <v>65954145594.370758</v>
      </c>
      <c r="CL192" s="17">
        <f t="shared" si="111"/>
        <v>65954145594.370758</v>
      </c>
      <c r="CT192" s="17">
        <v>90</v>
      </c>
      <c r="CU192" s="17">
        <f t="shared" si="114"/>
        <v>0</v>
      </c>
      <c r="CV192" s="17">
        <f t="shared" si="112"/>
        <v>0</v>
      </c>
    </row>
    <row r="193" spans="86:100">
      <c r="CH193" s="16">
        <v>12</v>
      </c>
      <c r="CI193" s="17">
        <v>100</v>
      </c>
      <c r="CJ193" s="17">
        <f t="shared" si="113"/>
        <v>72</v>
      </c>
      <c r="CK193" s="17">
        <f>(CJ193-CJ192)*(INDEX([3]超r将兵属性验证!$V$7:$V$166,$CI193,1)+INDEX([3]超r将兵属性验证!$AP$7:$AP$166,$CI193,1))+CK192</f>
        <v>65954145594.370758</v>
      </c>
      <c r="CL193" s="17">
        <f t="shared" si="111"/>
        <v>65954145594.370758</v>
      </c>
      <c r="CT193" s="17">
        <v>100</v>
      </c>
      <c r="CU193" s="17">
        <f t="shared" si="114"/>
        <v>0</v>
      </c>
      <c r="CV193" s="17">
        <f t="shared" si="112"/>
        <v>0</v>
      </c>
    </row>
    <row r="194" spans="86:100">
      <c r="CH194" s="16">
        <v>13</v>
      </c>
      <c r="CI194" s="17">
        <v>110</v>
      </c>
      <c r="CJ194" s="17">
        <f t="shared" si="113"/>
        <v>72</v>
      </c>
      <c r="CK194" s="17">
        <f>(CJ194-CJ193)*(INDEX([3]超r将兵属性验证!$V$7:$V$166,$CI194,1)+INDEX([3]超r将兵属性验证!$AP$7:$AP$166,$CI194,1))+CK193</f>
        <v>65954145594.370758</v>
      </c>
      <c r="CL194" s="17">
        <f t="shared" si="111"/>
        <v>65954145594.370758</v>
      </c>
      <c r="CT194" s="17">
        <v>110</v>
      </c>
      <c r="CU194" s="17">
        <f t="shared" si="114"/>
        <v>0</v>
      </c>
      <c r="CV194" s="17">
        <f t="shared" si="112"/>
        <v>0</v>
      </c>
    </row>
    <row r="195" spans="86:100">
      <c r="CH195" s="16">
        <v>14</v>
      </c>
      <c r="CI195" s="17">
        <v>120</v>
      </c>
      <c r="CJ195" s="17">
        <f t="shared" si="113"/>
        <v>72</v>
      </c>
      <c r="CK195" s="17">
        <f>(CJ195-CJ194)*(INDEX([3]超r将兵属性验证!$V$7:$V$166,$CI195,1)+INDEX([3]超r将兵属性验证!$AP$7:$AP$166,$CI195,1))+CK194</f>
        <v>65954145594.370758</v>
      </c>
      <c r="CL195" s="17">
        <f t="shared" si="111"/>
        <v>65954145594.370758</v>
      </c>
      <c r="CT195" s="17">
        <v>120</v>
      </c>
      <c r="CU195" s="17">
        <f t="shared" si="114"/>
        <v>0</v>
      </c>
      <c r="CV195" s="17">
        <f t="shared" si="112"/>
        <v>0</v>
      </c>
    </row>
    <row r="196" spans="86:100">
      <c r="CH196" s="16">
        <v>15</v>
      </c>
      <c r="CI196" s="17">
        <v>130</v>
      </c>
      <c r="CJ196" s="17">
        <f t="shared" si="113"/>
        <v>72</v>
      </c>
      <c r="CK196" s="17">
        <f>(CJ196-CJ195)*(INDEX([3]超r将兵属性验证!$V$7:$V$166,$CI196,1)+INDEX([3]超r将兵属性验证!$AP$7:$AP$166,$CI196,1))+CK195</f>
        <v>65954145594.370758</v>
      </c>
      <c r="CL196" s="17">
        <f t="shared" si="111"/>
        <v>65954145594.370758</v>
      </c>
      <c r="CT196" s="17">
        <v>130</v>
      </c>
      <c r="CU196" s="17">
        <f t="shared" si="114"/>
        <v>0</v>
      </c>
      <c r="CV196" s="17">
        <f t="shared" si="112"/>
        <v>0</v>
      </c>
    </row>
    <row r="197" spans="86:100">
      <c r="CH197" s="16">
        <v>16</v>
      </c>
      <c r="CI197" s="17">
        <v>140</v>
      </c>
      <c r="CJ197" s="17">
        <f t="shared" si="113"/>
        <v>72</v>
      </c>
      <c r="CK197" s="17">
        <f>(CJ197-CJ196)*(INDEX([3]超r将兵属性验证!$V$7:$V$166,$CI197,1)+INDEX([3]超r将兵属性验证!$AP$7:$AP$166,$CI197,1))+CK196</f>
        <v>65954145594.370758</v>
      </c>
      <c r="CL197" s="17">
        <f t="shared" si="111"/>
        <v>65954145594.370758</v>
      </c>
      <c r="CT197" s="17">
        <v>140</v>
      </c>
      <c r="CU197" s="17">
        <f t="shared" si="114"/>
        <v>0</v>
      </c>
      <c r="CV197" s="17">
        <f t="shared" si="112"/>
        <v>0</v>
      </c>
    </row>
    <row r="198" spans="86:100">
      <c r="CH198" s="16">
        <v>17</v>
      </c>
      <c r="CI198" s="17">
        <v>150</v>
      </c>
      <c r="CJ198" s="17">
        <f t="shared" si="113"/>
        <v>72</v>
      </c>
      <c r="CK198" s="17">
        <f>(CJ198-CJ197)*(INDEX([3]超r将兵属性验证!$V$7:$V$166,$CI198,1)+INDEX([3]超r将兵属性验证!$AP$7:$AP$166,$CI198,1))+CK197</f>
        <v>65954145594.370758</v>
      </c>
      <c r="CL198" s="17">
        <f t="shared" si="111"/>
        <v>65954145594.370758</v>
      </c>
      <c r="CT198" s="17">
        <v>150</v>
      </c>
      <c r="CU198" s="17">
        <f t="shared" si="114"/>
        <v>0</v>
      </c>
      <c r="CV198" s="17">
        <f t="shared" si="112"/>
        <v>0</v>
      </c>
    </row>
    <row r="199" spans="86:100">
      <c r="CH199" s="16">
        <v>18</v>
      </c>
      <c r="CI199" s="17">
        <v>160</v>
      </c>
      <c r="CJ199" s="17">
        <f t="shared" si="113"/>
        <v>72</v>
      </c>
      <c r="CK199" s="17">
        <f>(CJ199-CJ198)*(INDEX([3]超r将兵属性验证!$V$7:$V$166,$CI199,1)+INDEX([3]超r将兵属性验证!$AP$7:$AP$166,$CI199,1))+CK198</f>
        <v>65954145594.370758</v>
      </c>
      <c r="CL199" s="17">
        <f t="shared" si="111"/>
        <v>65954145594.370758</v>
      </c>
      <c r="CT199" s="17">
        <v>160</v>
      </c>
      <c r="CU199" s="17">
        <f t="shared" si="114"/>
        <v>0</v>
      </c>
      <c r="CV199" s="17">
        <f t="shared" si="112"/>
        <v>0</v>
      </c>
    </row>
    <row r="200" spans="86:100">
      <c r="CH200" s="16">
        <v>19</v>
      </c>
    </row>
    <row r="201" spans="86:100">
      <c r="CH201" s="16">
        <v>20</v>
      </c>
    </row>
    <row r="202" spans="86:100">
      <c r="CH202" s="16">
        <v>21</v>
      </c>
    </row>
    <row r="203" spans="86:100">
      <c r="CH203" s="16">
        <v>22</v>
      </c>
    </row>
    <row r="204" spans="86:100">
      <c r="CH204" s="16">
        <v>23</v>
      </c>
    </row>
    <row r="205" spans="86:100">
      <c r="CH205" s="16">
        <v>24</v>
      </c>
    </row>
    <row r="206" spans="86:100">
      <c r="CH206" s="16">
        <v>25</v>
      </c>
    </row>
    <row r="207" spans="86:100">
      <c r="CH207" s="16">
        <v>26</v>
      </c>
    </row>
    <row r="208" spans="86:100">
      <c r="CH208" s="16">
        <v>27</v>
      </c>
    </row>
    <row r="209" spans="86:86">
      <c r="CH209" s="16">
        <v>28</v>
      </c>
    </row>
    <row r="210" spans="86:86">
      <c r="CH210" s="16">
        <v>29</v>
      </c>
    </row>
    <row r="211" spans="86:86">
      <c r="CH211" s="16">
        <v>30</v>
      </c>
    </row>
    <row r="212" spans="86:86">
      <c r="CH212" s="16">
        <v>31</v>
      </c>
    </row>
    <row r="213" spans="86:86">
      <c r="CH213" s="16">
        <v>32</v>
      </c>
    </row>
    <row r="214" spans="86:86">
      <c r="CH214" s="16">
        <v>33</v>
      </c>
    </row>
    <row r="215" spans="86:86">
      <c r="CH215" s="16">
        <v>34</v>
      </c>
    </row>
    <row r="216" spans="86:86">
      <c r="CH216" s="16">
        <v>35</v>
      </c>
    </row>
    <row r="217" spans="86:86">
      <c r="CH217" s="16">
        <v>36</v>
      </c>
    </row>
    <row r="218" spans="86:86">
      <c r="CH218" s="16">
        <v>37</v>
      </c>
    </row>
    <row r="219" spans="86:86">
      <c r="CH219" s="16">
        <v>38</v>
      </c>
    </row>
    <row r="220" spans="86:86">
      <c r="CH220" s="16">
        <v>39</v>
      </c>
    </row>
    <row r="221" spans="86:86">
      <c r="CH221" s="16">
        <v>40</v>
      </c>
    </row>
    <row r="222" spans="86:86">
      <c r="CH222" s="16">
        <v>41</v>
      </c>
    </row>
    <row r="223" spans="86:86">
      <c r="CH223" s="16">
        <v>42</v>
      </c>
    </row>
    <row r="224" spans="86:86">
      <c r="CH224" s="16">
        <v>43</v>
      </c>
    </row>
    <row r="225" spans="86:86">
      <c r="CH225" s="16">
        <v>44</v>
      </c>
    </row>
    <row r="226" spans="86:86">
      <c r="CH226" s="16">
        <v>45</v>
      </c>
    </row>
  </sheetData>
  <mergeCells count="37">
    <mergeCell ref="C27:I27"/>
    <mergeCell ref="AN4:AR4"/>
    <mergeCell ref="AW4:BA4"/>
    <mergeCell ref="N40:N51"/>
    <mergeCell ref="N26:N37"/>
    <mergeCell ref="N12:N23"/>
    <mergeCell ref="AF4:AI4"/>
    <mergeCell ref="AF30:AI30"/>
    <mergeCell ref="D4:D13"/>
    <mergeCell ref="V4:Y4"/>
    <mergeCell ref="Z4:AC4"/>
    <mergeCell ref="C17:D17"/>
    <mergeCell ref="AF56:AI56"/>
    <mergeCell ref="AF82:AI82"/>
    <mergeCell ref="AF108:AI108"/>
    <mergeCell ref="AJ4:AJ5"/>
    <mergeCell ref="AJ30:AJ31"/>
    <mergeCell ref="AJ56:AJ57"/>
    <mergeCell ref="AJ82:AJ83"/>
    <mergeCell ref="AJ108:AJ109"/>
    <mergeCell ref="CK182:CL182"/>
    <mergeCell ref="CB4:CF4"/>
    <mergeCell ref="BT4:BX4"/>
    <mergeCell ref="BT30:BX30"/>
    <mergeCell ref="BT56:BX56"/>
    <mergeCell ref="BT82:BX82"/>
    <mergeCell ref="BT108:BX108"/>
    <mergeCell ref="CQ54:CQ55"/>
    <mergeCell ref="CQ80:CQ81"/>
    <mergeCell ref="CK92:CL92"/>
    <mergeCell ref="CQ106:CQ107"/>
    <mergeCell ref="CK137:CL137"/>
    <mergeCell ref="CK2:CL2"/>
    <mergeCell ref="CQ2:CQ3"/>
    <mergeCell ref="CU2:CV2"/>
    <mergeCell ref="CQ28:CQ29"/>
    <mergeCell ref="CK47:CL4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6E50C-5991-4CE2-AF9C-CB730DF662B3}">
  <sheetPr codeName="Sheet17">
    <tabColor rgb="FFC00000"/>
  </sheetPr>
  <dimension ref="A2:BA133"/>
  <sheetViews>
    <sheetView zoomScaleNormal="100" workbookViewId="0">
      <selection activeCell="J39" sqref="J39"/>
    </sheetView>
  </sheetViews>
  <sheetFormatPr defaultColWidth="6.625" defaultRowHeight="11.25"/>
  <cols>
    <col min="1" max="1" width="6.625" style="16"/>
    <col min="2" max="6" width="10.625" style="16" customWidth="1"/>
    <col min="7" max="7" width="16.375" style="16" bestFit="1" customWidth="1"/>
    <col min="8" max="8" width="10.625" style="16" customWidth="1"/>
    <col min="9" max="12" width="6.625" style="16"/>
    <col min="13" max="13" width="6.625" style="13"/>
    <col min="14" max="33" width="6.625" style="16"/>
    <col min="34" max="34" width="10.5" style="16" bestFit="1" customWidth="1"/>
    <col min="35" max="35" width="8.25" style="16" bestFit="1" customWidth="1"/>
    <col min="36" max="38" width="6.625" style="16"/>
    <col min="39" max="39" width="8.25" style="16" bestFit="1" customWidth="1"/>
    <col min="40" max="44" width="6.625" style="16"/>
    <col min="45" max="45" width="7.5" style="16" bestFit="1" customWidth="1"/>
    <col min="46" max="16384" width="6.625" style="16"/>
  </cols>
  <sheetData>
    <row r="2" spans="2:53">
      <c r="AL2" s="16" t="s">
        <v>761</v>
      </c>
      <c r="AM2" s="16" t="s">
        <v>762</v>
      </c>
    </row>
    <row r="3" spans="2:53">
      <c r="B3" s="98" t="s">
        <v>591</v>
      </c>
      <c r="C3" s="99" t="s">
        <v>592</v>
      </c>
      <c r="AL3" s="16">
        <v>7</v>
      </c>
      <c r="AM3" s="16">
        <f>5*3^(9-1)</f>
        <v>32805</v>
      </c>
    </row>
    <row r="4" spans="2:53">
      <c r="B4" s="100" t="s">
        <v>593</v>
      </c>
      <c r="C4" s="101">
        <v>0</v>
      </c>
      <c r="O4" s="98">
        <f>基础状态预期!B15</f>
        <v>1</v>
      </c>
      <c r="P4" s="180" t="str">
        <f>基础状态预期!C15</f>
        <v>非r</v>
      </c>
      <c r="Q4" s="180"/>
      <c r="R4" s="180" t="str">
        <f>基础状态预期!E15</f>
        <v>武将上阵情况（主力队伍）</v>
      </c>
      <c r="S4" s="180"/>
      <c r="T4" s="180"/>
      <c r="U4" s="180"/>
      <c r="V4" s="180" t="str">
        <f>基础状态预期!I15</f>
        <v>主力队伍装备宝物数量</v>
      </c>
      <c r="W4" s="180"/>
      <c r="X4" s="180"/>
      <c r="Y4" s="180"/>
      <c r="Z4" s="180" t="str">
        <f>基础状态预期!M15</f>
        <v>宝物星级</v>
      </c>
      <c r="AA4" s="180"/>
      <c r="AB4" s="180"/>
      <c r="AC4" s="180"/>
      <c r="AD4" s="180" t="str">
        <f>基础状态预期!Q15</f>
        <v>宝物温养进度</v>
      </c>
      <c r="AE4" s="180"/>
      <c r="AF4" s="180"/>
      <c r="AG4" s="181"/>
    </row>
    <row r="5" spans="2:53">
      <c r="B5" s="100" t="s">
        <v>594</v>
      </c>
      <c r="C5" s="101">
        <v>3</v>
      </c>
      <c r="O5" s="100">
        <f>基础状态预期!B16</f>
        <v>2</v>
      </c>
      <c r="P5" s="16" t="str">
        <f>基础状态预期!C16</f>
        <v>定义等级</v>
      </c>
      <c r="Q5" s="16" t="str">
        <f>基础状态预期!D16</f>
        <v>天数</v>
      </c>
      <c r="R5" s="16" t="str">
        <f>基础状态预期!E16</f>
        <v>蓝</v>
      </c>
      <c r="S5" s="16" t="str">
        <f>基础状态预期!F16</f>
        <v>紫</v>
      </c>
      <c r="T5" s="16" t="str">
        <f>基础状态预期!G16</f>
        <v>橙</v>
      </c>
      <c r="U5" s="16" t="str">
        <f>基础状态预期!H16</f>
        <v>橙+</v>
      </c>
      <c r="V5" s="16" t="str">
        <f>基础状态预期!I16</f>
        <v>蓝</v>
      </c>
      <c r="W5" s="16" t="str">
        <f>基础状态预期!J16</f>
        <v>紫</v>
      </c>
      <c r="X5" s="16" t="str">
        <f>基础状态预期!K16</f>
        <v>橙</v>
      </c>
      <c r="Y5" s="16" t="str">
        <f>基础状态预期!L16</f>
        <v>橙+</v>
      </c>
      <c r="Z5" s="16" t="str">
        <f>基础状态预期!M16</f>
        <v>蓝</v>
      </c>
      <c r="AA5" s="16" t="str">
        <f>基础状态预期!N16</f>
        <v>紫</v>
      </c>
      <c r="AB5" s="16" t="str">
        <f>基础状态预期!O16</f>
        <v>橙</v>
      </c>
      <c r="AC5" s="16" t="str">
        <f>基础状态预期!P16</f>
        <v>橙+</v>
      </c>
      <c r="AD5" s="16" t="str">
        <f>基础状态预期!Q16</f>
        <v>蓝</v>
      </c>
      <c r="AE5" s="16" t="str">
        <f>基础状态预期!R16</f>
        <v>紫</v>
      </c>
      <c r="AF5" s="16" t="str">
        <f>基础状态预期!S16</f>
        <v>橙</v>
      </c>
      <c r="AG5" s="101" t="str">
        <f>基础状态预期!T16</f>
        <v>橙+</v>
      </c>
      <c r="AH5" s="16" t="s">
        <v>721</v>
      </c>
      <c r="AI5" s="16" t="s">
        <v>723</v>
      </c>
      <c r="AJ5" s="16" t="s">
        <v>749</v>
      </c>
    </row>
    <row r="6" spans="2:53">
      <c r="B6" s="100" t="s">
        <v>595</v>
      </c>
      <c r="C6" s="101">
        <v>5</v>
      </c>
      <c r="O6" s="100">
        <f>基础状态预期!B17</f>
        <v>3</v>
      </c>
      <c r="P6" s="16">
        <f>基础状态预期!C17</f>
        <v>50</v>
      </c>
      <c r="Q6" s="16">
        <f>基础状态预期!D17</f>
        <v>31</v>
      </c>
      <c r="R6" s="16">
        <f>基础状态预期!E17</f>
        <v>0</v>
      </c>
      <c r="S6" s="16">
        <f>基础状态预期!F17</f>
        <v>0</v>
      </c>
      <c r="T6" s="16">
        <f>基础状态预期!G17</f>
        <v>5.88431237242321</v>
      </c>
      <c r="U6" s="16">
        <f>基础状态预期!H17</f>
        <v>0.11568762757678953</v>
      </c>
      <c r="V6" s="16">
        <f>基础状态预期!I17</f>
        <v>0</v>
      </c>
      <c r="W6" s="16">
        <f>基础状态预期!J17</f>
        <v>0</v>
      </c>
      <c r="X6" s="16">
        <f>基础状态预期!K17</f>
        <v>0</v>
      </c>
      <c r="Y6" s="16">
        <f>基础状态预期!L17</f>
        <v>0</v>
      </c>
      <c r="Z6" s="16">
        <f>基础状态预期!M17</f>
        <v>0</v>
      </c>
      <c r="AA6" s="16">
        <f>基础状态预期!N17</f>
        <v>0</v>
      </c>
      <c r="AB6" s="16">
        <f>基础状态预期!O17</f>
        <v>0</v>
      </c>
      <c r="AC6" s="16">
        <f>基础状态预期!P17</f>
        <v>0</v>
      </c>
      <c r="AD6" s="16">
        <f>基础状态预期!Q17</f>
        <v>0</v>
      </c>
      <c r="AE6" s="16">
        <f>基础状态预期!R17</f>
        <v>0</v>
      </c>
      <c r="AF6" s="16">
        <f>基础状态预期!S17</f>
        <v>0</v>
      </c>
      <c r="AG6" s="101">
        <f>基础状态预期!T17</f>
        <v>0</v>
      </c>
      <c r="AH6" s="16">
        <f>求节点(万里长城!$Q$13:$Q$172,万里长城!$W$13:$W$172,P6)</f>
        <v>15290.900270319049</v>
      </c>
      <c r="AI6" s="16">
        <f>求节点($C$40:$C$54,$B$40:$B$54,AH6/36)</f>
        <v>6.373965493273837</v>
      </c>
      <c r="AJ6" s="25" cm="1">
        <f t="array" ref="AJ6">求节点($B$22:$B$36,$I$22:$I$36,AI6)</f>
        <v>6.3739654932738365E-2</v>
      </c>
    </row>
    <row r="7" spans="2:53">
      <c r="B7" s="100" t="s">
        <v>596</v>
      </c>
      <c r="C7" s="101">
        <v>5</v>
      </c>
      <c r="O7" s="100">
        <f>基础状态预期!B18</f>
        <v>4</v>
      </c>
      <c r="P7" s="16">
        <f>基础状态预期!C18</f>
        <v>60</v>
      </c>
      <c r="Q7" s="16">
        <f>基础状态预期!D18</f>
        <v>63</v>
      </c>
      <c r="R7" s="16">
        <f>基础状态预期!E18</f>
        <v>0</v>
      </c>
      <c r="S7" s="16">
        <f>基础状态预期!F18</f>
        <v>0</v>
      </c>
      <c r="T7" s="16">
        <f>基础状态预期!G18</f>
        <v>3.8788022814352239</v>
      </c>
      <c r="U7" s="16">
        <f>基础状态预期!H18</f>
        <v>2.1211977185647761</v>
      </c>
      <c r="V7" s="16">
        <f>基础状态预期!I18</f>
        <v>0</v>
      </c>
      <c r="W7" s="16">
        <f>基础状态预期!J18</f>
        <v>0.33873433232608008</v>
      </c>
      <c r="X7" s="16">
        <f>基础状态预期!K18</f>
        <v>3.8788022814352239</v>
      </c>
      <c r="Y7" s="16">
        <f>基础状态预期!L18</f>
        <v>1.7824633862386956</v>
      </c>
      <c r="Z7" s="16">
        <f>基础状态预期!M18</f>
        <v>0</v>
      </c>
      <c r="AA7" s="16">
        <f>基础状态预期!N18</f>
        <v>2.7597014206746113</v>
      </c>
      <c r="AB7" s="16">
        <f>基础状态预期!O18</f>
        <v>0</v>
      </c>
      <c r="AC7" s="16">
        <f>基础状态预期!P18</f>
        <v>0</v>
      </c>
      <c r="AD7" s="16">
        <f>基础状态预期!Q18</f>
        <v>0</v>
      </c>
      <c r="AE7" s="16">
        <f>基础状态预期!R18</f>
        <v>0.62661690344576848</v>
      </c>
      <c r="AF7" s="16">
        <f>基础状态预期!S18</f>
        <v>0.16666666666666666</v>
      </c>
      <c r="AG7" s="101">
        <f>基础状态预期!T18</f>
        <v>0.16666666666666666</v>
      </c>
      <c r="AH7" s="16" cm="1">
        <f t="array" ref="AH7">求节点(万里长城!$Q$13:$Q$172,万里长城!$W$13:$W$172,P7)</f>
        <v>35678.767297411119</v>
      </c>
      <c r="AI7" s="16" cm="1">
        <f t="array" ref="AI7">求节点($C$40:$C$54,$B$40:$B$54,AH7/36)</f>
        <v>7.1797509392129841</v>
      </c>
      <c r="AJ7" s="25" cm="1">
        <f t="array" ref="AJ7">求节点($B$22:$B$36,$I$22:$I$36,AI7)</f>
        <v>7.1797509392129852E-2</v>
      </c>
    </row>
    <row r="8" spans="2:53">
      <c r="B8" s="102" t="s">
        <v>597</v>
      </c>
      <c r="C8" s="103">
        <v>5</v>
      </c>
      <c r="O8" s="100">
        <f>基础状态预期!B19</f>
        <v>5</v>
      </c>
      <c r="P8" s="16">
        <f>基础状态预期!C19</f>
        <v>70</v>
      </c>
      <c r="Q8" s="16">
        <f>基础状态预期!D19</f>
        <v>127</v>
      </c>
      <c r="R8" s="16">
        <f>基础状态预期!E19</f>
        <v>0</v>
      </c>
      <c r="S8" s="16">
        <f>基础状态预期!F19</f>
        <v>0</v>
      </c>
      <c r="T8" s="16">
        <f>基础状态预期!G19</f>
        <v>1.7442029359982258</v>
      </c>
      <c r="U8" s="16">
        <f>基础状态预期!H19</f>
        <v>4.2557970640017739</v>
      </c>
      <c r="V8" s="16">
        <f>基础状态预期!I19</f>
        <v>0</v>
      </c>
      <c r="W8" s="16">
        <f>基础状态预期!J19</f>
        <v>1.0170839818254924</v>
      </c>
      <c r="X8" s="16">
        <f>基础状态预期!K19</f>
        <v>1.7442029359982258</v>
      </c>
      <c r="Y8" s="16">
        <f>基础状态预期!L19</f>
        <v>3.2387130821762815</v>
      </c>
      <c r="Z8" s="16">
        <f>基础状态预期!M19</f>
        <v>0</v>
      </c>
      <c r="AA8" s="16">
        <f>基础状态预期!N19</f>
        <v>3</v>
      </c>
      <c r="AB8" s="16">
        <f>基础状态预期!O19</f>
        <v>0.53251740581610574</v>
      </c>
      <c r="AC8" s="16">
        <f>基础状态预期!P19</f>
        <v>0</v>
      </c>
      <c r="AD8" s="16">
        <f>基础状态预期!Q19</f>
        <v>0</v>
      </c>
      <c r="AE8" s="16">
        <f>基础状态预期!R19</f>
        <v>0.66666666666666663</v>
      </c>
      <c r="AF8" s="16">
        <f>基础状态预期!S19</f>
        <v>0.25541956763601759</v>
      </c>
      <c r="AG8" s="101">
        <f>基础状态预期!T19</f>
        <v>0.16666666666666666</v>
      </c>
      <c r="AH8" s="16" cm="1">
        <f t="array" ref="AH8">求节点(万里长城!$Q$13:$Q$172,万里长城!$W$13:$W$172,P8)</f>
        <v>76454.501351595245</v>
      </c>
      <c r="AI8" s="16" cm="1">
        <f t="array" ref="AI8">求节点($C$40:$C$54,$B$40:$B$54,AH8/36)</f>
        <v>7.9566091554563947</v>
      </c>
      <c r="AJ8" s="25" cm="1">
        <f t="array" ref="AJ8">求节点($B$22:$B$36,$I$22:$I$36,AI8)</f>
        <v>7.9566091554563956E-2</v>
      </c>
    </row>
    <row r="9" spans="2:53">
      <c r="O9" s="100">
        <f>基础状态预期!B20</f>
        <v>6</v>
      </c>
      <c r="P9" s="16">
        <f>基础状态预期!C20</f>
        <v>75</v>
      </c>
      <c r="Q9" s="16">
        <f>基础状态预期!D20</f>
        <v>180.01933598375612</v>
      </c>
      <c r="R9" s="16">
        <f>基础状态预期!E20</f>
        <v>0</v>
      </c>
      <c r="S9" s="16">
        <f>基础状态预期!F20</f>
        <v>0</v>
      </c>
      <c r="T9" s="16">
        <f>基础状态预期!G20</f>
        <v>0.4997227796061352</v>
      </c>
      <c r="U9" s="16">
        <f>基础状态预期!H20</f>
        <v>5.5002772203938646</v>
      </c>
      <c r="V9" s="16">
        <f>基础状态预期!I20</f>
        <v>0</v>
      </c>
      <c r="W9" s="16">
        <f>基础状态预期!J20</f>
        <v>1.2172771418705972</v>
      </c>
      <c r="X9" s="16">
        <f>基础状态预期!K20</f>
        <v>0.4997227796061352</v>
      </c>
      <c r="Y9" s="16">
        <f>基础状态预期!L20</f>
        <v>4.2830000785232674</v>
      </c>
      <c r="Z9" s="16">
        <f>基础状态预期!M20</f>
        <v>0</v>
      </c>
      <c r="AA9" s="16">
        <f>基础状态预期!N20</f>
        <v>3</v>
      </c>
      <c r="AB9" s="16">
        <f>基础状态预期!O20</f>
        <v>1.083183037397494</v>
      </c>
      <c r="AC9" s="16">
        <f>基础状态预期!P20</f>
        <v>0</v>
      </c>
      <c r="AD9" s="16">
        <f>基础状态预期!Q20</f>
        <v>0</v>
      </c>
      <c r="AE9" s="16">
        <f>基础状态预期!R20</f>
        <v>0.66666666666666663</v>
      </c>
      <c r="AF9" s="16">
        <f>基础状态预期!S20</f>
        <v>0.3471971728995823</v>
      </c>
      <c r="AG9" s="101">
        <f>基础状态预期!T20</f>
        <v>0.16666666666666666</v>
      </c>
      <c r="AH9" s="16" cm="1">
        <f t="array" ref="AH9">求节点(万里长城!$Q$13:$Q$172,万里长城!$W$13:$W$172,P9)</f>
        <v>110234.22547351829</v>
      </c>
      <c r="AI9" s="16" cm="1">
        <f t="array" ref="AI9">求节点($C$40:$C$54,$B$40:$B$54,AH9/36)</f>
        <v>8.2000598579581254</v>
      </c>
      <c r="AJ9" s="25" cm="1">
        <f t="array" ref="AJ9">求节点($B$22:$B$36,$I$22:$I$36,AI9)</f>
        <v>8.2000598579581252E-2</v>
      </c>
      <c r="AO9" s="16" t="s">
        <v>763</v>
      </c>
      <c r="AP9" s="16" t="s">
        <v>765</v>
      </c>
      <c r="AQ9" s="16" t="s">
        <v>766</v>
      </c>
      <c r="AR9" s="16" t="s">
        <v>767</v>
      </c>
      <c r="AS9" s="16" t="s">
        <v>764</v>
      </c>
      <c r="AV9" s="16" t="s">
        <v>769</v>
      </c>
      <c r="AW9" s="16">
        <v>1</v>
      </c>
      <c r="AX9" s="16">
        <v>3</v>
      </c>
      <c r="AY9" s="16">
        <v>6</v>
      </c>
      <c r="AZ9" s="16">
        <v>12</v>
      </c>
      <c r="BA9" s="16">
        <v>18</v>
      </c>
    </row>
    <row r="10" spans="2:53">
      <c r="O10" s="100">
        <f>基础状态预期!B21</f>
        <v>7</v>
      </c>
      <c r="P10" s="16">
        <f>基础状态预期!C21</f>
        <v>80</v>
      </c>
      <c r="Q10" s="16">
        <f>基础状态预期!D21</f>
        <v>255</v>
      </c>
      <c r="R10" s="16">
        <f>基础状态预期!E21</f>
        <v>0</v>
      </c>
      <c r="S10" s="16">
        <f>基础状态预期!F21</f>
        <v>0</v>
      </c>
      <c r="T10" s="16">
        <f>基础状态预期!G21</f>
        <v>0</v>
      </c>
      <c r="U10" s="16">
        <f>基础状态预期!H21</f>
        <v>6</v>
      </c>
      <c r="V10" s="16">
        <f>基础状态预期!I21</f>
        <v>0</v>
      </c>
      <c r="W10" s="16">
        <f>基础状态预期!J21</f>
        <v>0.39191615890648013</v>
      </c>
      <c r="X10" s="16">
        <f>基础状态预期!K21</f>
        <v>0</v>
      </c>
      <c r="Y10" s="16">
        <f>基础状态预期!L21</f>
        <v>5.6080838410935199</v>
      </c>
      <c r="Z10" s="16">
        <f>基础状态预期!M21</f>
        <v>0</v>
      </c>
      <c r="AA10" s="16">
        <f>基础状态预期!N21</f>
        <v>3</v>
      </c>
      <c r="AB10" s="16">
        <f>基础状态预期!O21</f>
        <v>1.8050314404100702</v>
      </c>
      <c r="AC10" s="16">
        <f>基础状态预期!P21</f>
        <v>0</v>
      </c>
      <c r="AD10" s="16">
        <f>基础状态预期!Q21</f>
        <v>0</v>
      </c>
      <c r="AE10" s="16">
        <f>基础状态预期!R21</f>
        <v>0.66666666666666663</v>
      </c>
      <c r="AF10" s="16">
        <f>基础状态预期!S21</f>
        <v>0</v>
      </c>
      <c r="AG10" s="101">
        <f>基础状态预期!T21</f>
        <v>0.16666666666666666</v>
      </c>
      <c r="AH10" s="16" cm="1">
        <f t="array" ref="AH10">求节点(万里长城!$Q$13:$Q$172,万里长城!$W$13:$W$172,P10)</f>
        <v>158005.96945996353</v>
      </c>
      <c r="AI10" s="16" cm="1">
        <f t="array" ref="AI10">求节点($C$40:$C$54,$B$40:$B$54,AH10/36)</f>
        <v>8.5034418626477386</v>
      </c>
      <c r="AJ10" s="25" cm="1">
        <f t="array" ref="AJ10">求节点($B$22:$B$36,$I$22:$I$36,AI10)</f>
        <v>8.5034418626477384E-2</v>
      </c>
      <c r="AO10" s="16">
        <v>0</v>
      </c>
      <c r="AP10" s="16">
        <v>16</v>
      </c>
      <c r="AQ10" s="16">
        <v>70</v>
      </c>
      <c r="AR10" s="16">
        <v>700</v>
      </c>
      <c r="AS10" s="16">
        <v>3000</v>
      </c>
    </row>
    <row r="11" spans="2:53">
      <c r="B11" s="98" t="s">
        <v>580</v>
      </c>
      <c r="C11" s="104" t="s">
        <v>581</v>
      </c>
      <c r="D11" s="180" t="s">
        <v>589</v>
      </c>
      <c r="E11" s="180"/>
      <c r="F11" s="180"/>
      <c r="G11" s="99" t="s">
        <v>590</v>
      </c>
      <c r="O11" s="100">
        <f>基础状态预期!B22</f>
        <v>8</v>
      </c>
      <c r="P11" s="16">
        <f>基础状态预期!C22</f>
        <v>85</v>
      </c>
      <c r="Q11" s="16">
        <f>基础状态预期!D22</f>
        <v>361.0386719675123</v>
      </c>
      <c r="R11" s="16">
        <f>基础状态预期!E22</f>
        <v>0</v>
      </c>
      <c r="S11" s="16">
        <f>基础状态预期!F22</f>
        <v>0</v>
      </c>
      <c r="T11" s="16">
        <f>基础状态预期!G22</f>
        <v>0</v>
      </c>
      <c r="U11" s="16">
        <f>基础状态预期!H22</f>
        <v>6</v>
      </c>
      <c r="V11" s="16">
        <f>基础状态预期!I22</f>
        <v>0</v>
      </c>
      <c r="W11" s="16">
        <f>基础状态预期!J22</f>
        <v>0</v>
      </c>
      <c r="X11" s="16">
        <f>基础状态预期!K22</f>
        <v>0</v>
      </c>
      <c r="Y11" s="16">
        <f>基础状态预期!L22</f>
        <v>6</v>
      </c>
      <c r="Z11" s="16">
        <f>基础状态预期!M22</f>
        <v>0</v>
      </c>
      <c r="AA11" s="16">
        <f>基础状态预期!N22</f>
        <v>3</v>
      </c>
      <c r="AB11" s="16">
        <f>基础状态预期!O22</f>
        <v>2.8252544446082144</v>
      </c>
      <c r="AC11" s="16">
        <f>基础状态预期!P22</f>
        <v>0.24672819053585648</v>
      </c>
      <c r="AD11" s="16">
        <f>基础状态预期!Q22</f>
        <v>0</v>
      </c>
      <c r="AE11" s="16">
        <f>基础状态预期!R22</f>
        <v>0</v>
      </c>
      <c r="AF11" s="16">
        <f>基础状态预期!S22</f>
        <v>0</v>
      </c>
      <c r="AG11" s="101">
        <f>基础状态预期!T22</f>
        <v>0.20778803175597607</v>
      </c>
      <c r="AH11" s="16" cm="1">
        <f t="array" ref="AH11">求节点(万里长城!$Q$13:$Q$172,万里长城!$W$13:$W$172,P11)</f>
        <v>225565.41770380962</v>
      </c>
      <c r="AI11" s="16" cm="1">
        <f t="array" ref="AI11">求节点($C$40:$C$54,$B$40:$B$54,AH11/36)</f>
        <v>8.9324888082597269</v>
      </c>
      <c r="AJ11" s="25" cm="1">
        <f t="array" ref="AJ11">求节点($B$22:$B$36,$I$22:$I$36,AI11)</f>
        <v>8.9324888082597267E-2</v>
      </c>
      <c r="AN11" s="48" t="s">
        <v>768</v>
      </c>
      <c r="AO11" s="16">
        <v>0</v>
      </c>
      <c r="AP11" s="16">
        <f>16-10</f>
        <v>6</v>
      </c>
      <c r="AQ11" s="16">
        <v>20</v>
      </c>
      <c r="AR11" s="16">
        <v>500</v>
      </c>
      <c r="AS11" s="16">
        <v>2500</v>
      </c>
    </row>
    <row r="12" spans="2:53">
      <c r="B12" s="100">
        <v>1</v>
      </c>
      <c r="C12" s="16" t="s">
        <v>582</v>
      </c>
      <c r="D12" s="164" t="s">
        <v>575</v>
      </c>
      <c r="E12" s="164"/>
      <c r="F12" s="164"/>
      <c r="G12" s="101">
        <v>0</v>
      </c>
      <c r="O12" s="100">
        <f>基础状态预期!B23</f>
        <v>9</v>
      </c>
      <c r="P12" s="16">
        <f>基础状态预期!C23</f>
        <v>90</v>
      </c>
      <c r="Q12" s="16">
        <f>基础状态预期!D23</f>
        <v>511</v>
      </c>
      <c r="R12" s="16">
        <f>基础状态预期!E23</f>
        <v>0</v>
      </c>
      <c r="S12" s="16">
        <f>基础状态预期!F23</f>
        <v>0</v>
      </c>
      <c r="T12" s="16">
        <f>基础状态预期!G23</f>
        <v>0</v>
      </c>
      <c r="U12" s="16">
        <f>基础状态预期!H23</f>
        <v>6</v>
      </c>
      <c r="V12" s="16">
        <f>基础状态预期!I23</f>
        <v>0</v>
      </c>
      <c r="W12" s="16">
        <f>基础状态预期!J23</f>
        <v>0</v>
      </c>
      <c r="X12" s="16">
        <f>基础状态预期!K23</f>
        <v>0</v>
      </c>
      <c r="Y12" s="16">
        <f>基础状态预期!L23</f>
        <v>6</v>
      </c>
      <c r="Z12" s="16">
        <f>基础状态预期!M23</f>
        <v>0</v>
      </c>
      <c r="AA12" s="16">
        <f>基础状态预期!N23</f>
        <v>3</v>
      </c>
      <c r="AB12" s="16">
        <f>基础状态预期!O23</f>
        <v>4.178744295281728</v>
      </c>
      <c r="AC12" s="16">
        <f>基础状态预期!P23</f>
        <v>0.6483307979029902</v>
      </c>
      <c r="AD12" s="16">
        <f>基础状态预期!Q23</f>
        <v>0</v>
      </c>
      <c r="AE12" s="16">
        <f>基础状态预期!R23</f>
        <v>0</v>
      </c>
      <c r="AF12" s="16">
        <f>基础状态预期!S23</f>
        <v>0</v>
      </c>
      <c r="AG12" s="101">
        <f>基础状态预期!T23</f>
        <v>0.27472179965049837</v>
      </c>
      <c r="AH12" s="16" cm="1">
        <f t="array" ref="AH12">求节点(万里长城!$Q$13:$Q$172,万里长城!$W$13:$W$172,P12)</f>
        <v>321108.90567670006</v>
      </c>
      <c r="AI12" s="16" cm="1">
        <f t="array" ref="AI12">求节点($C$40:$C$54,$B$40:$B$54,AH12/36)</f>
        <v>9.179750939212985</v>
      </c>
      <c r="AJ12" s="25" cm="1">
        <f t="array" ref="AJ12">求节点($B$22:$B$36,$I$22:$I$36,AI12)</f>
        <v>9.1797509392129842E-2</v>
      </c>
    </row>
    <row r="13" spans="2:53">
      <c r="B13" s="100">
        <v>2</v>
      </c>
      <c r="C13" s="16" t="s">
        <v>583</v>
      </c>
      <c r="D13" s="164" t="s">
        <v>577</v>
      </c>
      <c r="E13" s="164"/>
      <c r="F13" s="164"/>
      <c r="G13" s="101">
        <v>0</v>
      </c>
      <c r="O13" s="100">
        <f>基础状态预期!B24</f>
        <v>10</v>
      </c>
      <c r="P13" s="16">
        <f>基础状态预期!C24</f>
        <v>95</v>
      </c>
      <c r="Q13" s="16">
        <f>基础状态预期!D24</f>
        <v>723.0773439350246</v>
      </c>
      <c r="R13" s="16">
        <f>基础状态预期!E24</f>
        <v>0</v>
      </c>
      <c r="S13" s="16">
        <f>基础状态预期!F24</f>
        <v>0</v>
      </c>
      <c r="T13" s="16">
        <f>基础状态预期!G24</f>
        <v>0</v>
      </c>
      <c r="U13" s="16">
        <f>基础状态预期!H24</f>
        <v>6</v>
      </c>
      <c r="V13" s="16">
        <f>基础状态预期!I24</f>
        <v>0</v>
      </c>
      <c r="W13" s="16">
        <f>基础状态预期!J24</f>
        <v>0</v>
      </c>
      <c r="X13" s="16">
        <f>基础状态预期!K24</f>
        <v>0</v>
      </c>
      <c r="Y13" s="16">
        <f>基础状态预期!L24</f>
        <v>6</v>
      </c>
      <c r="Z13" s="16">
        <f>基础状态预期!M24</f>
        <v>0</v>
      </c>
      <c r="AA13" s="16">
        <f>基础状态预期!N24</f>
        <v>3</v>
      </c>
      <c r="AB13" s="16">
        <f>基础状态预期!O24</f>
        <v>5</v>
      </c>
      <c r="AC13" s="16">
        <f>基础状态预期!P24</f>
        <v>1.2156528354524823</v>
      </c>
      <c r="AD13" s="16">
        <f>基础状态预期!Q24</f>
        <v>0</v>
      </c>
      <c r="AE13" s="16">
        <f>基础状态预期!R24</f>
        <v>0</v>
      </c>
      <c r="AF13" s="16">
        <f>基础状态预期!S24</f>
        <v>0</v>
      </c>
      <c r="AG13" s="101">
        <f>基础状态预期!T24</f>
        <v>0.36927547257541371</v>
      </c>
      <c r="AH13" s="16" cm="1">
        <f t="array" ref="AH13">求节点(万里长城!$Q$13:$Q$172,万里长城!$W$13:$W$172,P13)</f>
        <v>456227.80216439231</v>
      </c>
      <c r="AI13" s="16" cm="1">
        <f t="array" ref="AI13">求节点($C$40:$C$54,$B$40:$B$54,AH13/36)</f>
        <v>9.4657822362876427</v>
      </c>
      <c r="AJ13" s="25" cm="1">
        <f t="array" ref="AJ13">求节点($B$22:$B$36,$I$22:$I$36,AI13)</f>
        <v>9.4657822362876426E-2</v>
      </c>
      <c r="AP13" s="24">
        <v>0.2</v>
      </c>
      <c r="AQ13" s="24">
        <v>0.2</v>
      </c>
      <c r="AR13" s="24">
        <v>0.2</v>
      </c>
      <c r="AS13" s="24">
        <v>0.2</v>
      </c>
    </row>
    <row r="14" spans="2:53">
      <c r="B14" s="100">
        <v>3</v>
      </c>
      <c r="C14" s="16" t="s">
        <v>584</v>
      </c>
      <c r="D14" s="164" t="s">
        <v>579</v>
      </c>
      <c r="E14" s="164"/>
      <c r="F14" s="164"/>
      <c r="G14" s="101">
        <v>0</v>
      </c>
      <c r="O14" s="100">
        <f>基础状态预期!B25</f>
        <v>11</v>
      </c>
      <c r="P14" s="16">
        <f>基础状态预期!C25</f>
        <v>100</v>
      </c>
      <c r="Q14" s="16">
        <f>基础状态预期!D25</f>
        <v>1023</v>
      </c>
      <c r="R14" s="16">
        <f>基础状态预期!E25</f>
        <v>0</v>
      </c>
      <c r="S14" s="16">
        <f>基础状态预期!F25</f>
        <v>0</v>
      </c>
      <c r="T14" s="16">
        <f>基础状态预期!G25</f>
        <v>0</v>
      </c>
      <c r="U14" s="16">
        <f>基础状态预期!H25</f>
        <v>6</v>
      </c>
      <c r="V14" s="16">
        <f>基础状态预期!I25</f>
        <v>0</v>
      </c>
      <c r="W14" s="16">
        <f>基础状态预期!J25</f>
        <v>0</v>
      </c>
      <c r="X14" s="16">
        <f>基础状态预期!K25</f>
        <v>0</v>
      </c>
      <c r="Y14" s="16">
        <f>基础状态预期!L25</f>
        <v>6</v>
      </c>
      <c r="Z14" s="16">
        <f>基础状态预期!M25</f>
        <v>0</v>
      </c>
      <c r="AA14" s="16">
        <f>基础状态预期!N25</f>
        <v>3</v>
      </c>
      <c r="AB14" s="16">
        <f>基础状态预期!O25</f>
        <v>5</v>
      </c>
      <c r="AC14" s="16">
        <f>基础状态预期!P25</f>
        <v>1.9574751714591101</v>
      </c>
      <c r="AD14" s="16">
        <f>基础状态预期!Q25</f>
        <v>0</v>
      </c>
      <c r="AE14" s="16">
        <f>基础状态预期!R25</f>
        <v>0</v>
      </c>
      <c r="AF14" s="16">
        <f>基础状态预期!S25</f>
        <v>0</v>
      </c>
      <c r="AG14" s="101">
        <f>基础状态预期!T25</f>
        <v>0.49291252857651835</v>
      </c>
      <c r="AH14" s="16" cm="1">
        <f t="array" ref="AH14">求节点(万里长城!$Q$13:$Q$172,万里长城!$W$13:$W$172,P14)</f>
        <v>647314.77811017307</v>
      </c>
      <c r="AI14" s="16" cm="1">
        <f t="array" ref="AI14">求节点($C$40:$C$54,$B$40:$B$54,AH14/36)</f>
        <v>9.870291575873793</v>
      </c>
      <c r="AJ14" s="25" cm="1">
        <f t="array" ref="AJ14">求节点($B$22:$B$36,$I$22:$I$36,AI14)</f>
        <v>9.8702915758737936E-2</v>
      </c>
      <c r="AP14" s="16">
        <f>AP11*AP13</f>
        <v>1.2000000000000002</v>
      </c>
      <c r="AQ14" s="16">
        <f t="shared" ref="AQ14:AS14" si="0">AQ11*AQ13</f>
        <v>4</v>
      </c>
      <c r="AR14" s="16">
        <f t="shared" si="0"/>
        <v>100</v>
      </c>
      <c r="AS14" s="16">
        <f t="shared" si="0"/>
        <v>500</v>
      </c>
    </row>
    <row r="15" spans="2:53">
      <c r="B15" s="100">
        <v>4</v>
      </c>
      <c r="C15" s="16" t="s">
        <v>585</v>
      </c>
      <c r="D15" s="164" t="s">
        <v>750</v>
      </c>
      <c r="E15" s="164"/>
      <c r="F15" s="164"/>
      <c r="G15" s="101">
        <v>1</v>
      </c>
      <c r="O15" s="100">
        <f>基础状态预期!B26</f>
        <v>12</v>
      </c>
      <c r="P15" s="16">
        <f>基础状态预期!C26</f>
        <v>105</v>
      </c>
      <c r="Q15" s="16">
        <f>基础状态预期!D26</f>
        <v>1447.1546878700494</v>
      </c>
      <c r="R15" s="16">
        <f>基础状态预期!E26</f>
        <v>0</v>
      </c>
      <c r="S15" s="16">
        <f>基础状态预期!F26</f>
        <v>0</v>
      </c>
      <c r="T15" s="16">
        <f>基础状态预期!G26</f>
        <v>0</v>
      </c>
      <c r="U15" s="16">
        <f>基础状态预期!H26</f>
        <v>6</v>
      </c>
      <c r="V15" s="16">
        <f>基础状态预期!I26</f>
        <v>0</v>
      </c>
      <c r="W15" s="16">
        <f>基础状态预期!J26</f>
        <v>0</v>
      </c>
      <c r="X15" s="16">
        <f>基础状态预期!K26</f>
        <v>0</v>
      </c>
      <c r="Y15" s="16">
        <f>基础状态预期!L26</f>
        <v>6</v>
      </c>
      <c r="Z15" s="16">
        <f>基础状态预期!M26</f>
        <v>0</v>
      </c>
      <c r="AA15" s="16">
        <f>基础状态预期!N26</f>
        <v>3</v>
      </c>
      <c r="AB15" s="16">
        <f>基础状态预期!O26</f>
        <v>5</v>
      </c>
      <c r="AC15" s="16">
        <f>基础状态预期!P26</f>
        <v>3.0055424254691507</v>
      </c>
      <c r="AD15" s="16">
        <f>基础状态预期!Q26</f>
        <v>0</v>
      </c>
      <c r="AE15" s="16">
        <f>基础状态预期!R26</f>
        <v>0</v>
      </c>
      <c r="AF15" s="16">
        <f>基础状态预期!S26</f>
        <v>0</v>
      </c>
      <c r="AG15" s="101">
        <f>基础状态预期!T26</f>
        <v>0.66759040424485838</v>
      </c>
      <c r="AH15" s="16" cm="1">
        <f t="array" ref="AH15">求节点(万里长城!$Q$13:$Q$172,万里长城!$W$13:$W$172,P15)</f>
        <v>917552.57108555769</v>
      </c>
      <c r="AI15" s="16" cm="1">
        <f t="array" ref="AI15">求节点($C$40:$C$54,$B$40:$B$54,AH15/36)</f>
        <v>10.147451390007705</v>
      </c>
      <c r="AJ15" s="25" cm="1">
        <f t="array" ref="AJ15">求节点($B$22:$B$36,$I$22:$I$36,AI15)</f>
        <v>0.10147451390007706</v>
      </c>
      <c r="AS15" s="24"/>
    </row>
    <row r="16" spans="2:53">
      <c r="B16" s="100">
        <v>5</v>
      </c>
      <c r="C16" s="16" t="s">
        <v>586</v>
      </c>
      <c r="D16" s="164" t="s">
        <v>751</v>
      </c>
      <c r="E16" s="164"/>
      <c r="F16" s="164"/>
      <c r="G16" s="101">
        <v>2</v>
      </c>
      <c r="O16" s="100">
        <f>基础状态预期!B27</f>
        <v>13</v>
      </c>
      <c r="P16" s="16">
        <f>基础状态预期!C27</f>
        <v>110</v>
      </c>
      <c r="Q16" s="16">
        <f>基础状态预期!D27</f>
        <v>2047</v>
      </c>
      <c r="R16" s="16">
        <f>基础状态预期!E27</f>
        <v>0</v>
      </c>
      <c r="S16" s="16">
        <f>基础状态预期!F27</f>
        <v>0</v>
      </c>
      <c r="T16" s="16">
        <f>基础状态预期!G27</f>
        <v>0</v>
      </c>
      <c r="U16" s="16">
        <f>基础状态预期!H27</f>
        <v>6</v>
      </c>
      <c r="V16" s="16">
        <f>基础状态预期!I27</f>
        <v>0</v>
      </c>
      <c r="W16" s="16">
        <f>基础状态预期!J27</f>
        <v>0</v>
      </c>
      <c r="X16" s="16">
        <f>基础状态预期!K27</f>
        <v>0</v>
      </c>
      <c r="Y16" s="16">
        <f>基础状态预期!L27</f>
        <v>6</v>
      </c>
      <c r="Z16" s="16">
        <f>基础状态预期!M27</f>
        <v>0</v>
      </c>
      <c r="AA16" s="16">
        <f>基础状态预期!N27</f>
        <v>3</v>
      </c>
      <c r="AB16" s="16">
        <f>基础状态预期!O27</f>
        <v>5</v>
      </c>
      <c r="AC16" s="16">
        <f>基础状态预期!P27</f>
        <v>4.4030039313946601</v>
      </c>
      <c r="AD16" s="16">
        <f>基础状态预期!Q27</f>
        <v>0</v>
      </c>
      <c r="AE16" s="16">
        <f>基础状态预期!R27</f>
        <v>0</v>
      </c>
      <c r="AF16" s="16">
        <f>基础状态预期!S27</f>
        <v>0</v>
      </c>
      <c r="AG16" s="101">
        <f>基础状态预期!T27</f>
        <v>0.90050065523244327</v>
      </c>
      <c r="AH16" s="16" cm="1">
        <f t="array" ref="AH16">求节点(万里长城!$Q$13:$Q$172,万里长城!$W$13:$W$172,P16)</f>
        <v>1299726.5229771193</v>
      </c>
      <c r="AI16" s="16" cm="1">
        <f t="array" ref="AI16">求节点($C$40:$C$54,$B$40:$B$54,AH16/36)</f>
        <v>10.417124283065137</v>
      </c>
      <c r="AJ16" s="25" cm="1">
        <f t="array" ref="AJ16">求节点($B$22:$B$36,$I$22:$I$36,AI16)</f>
        <v>0.10417124283065138</v>
      </c>
      <c r="AS16" s="24"/>
    </row>
    <row r="17" spans="1:45">
      <c r="B17" s="102">
        <v>6</v>
      </c>
      <c r="C17" s="97" t="s">
        <v>587</v>
      </c>
      <c r="D17" s="182" t="s">
        <v>752</v>
      </c>
      <c r="E17" s="182"/>
      <c r="F17" s="182"/>
      <c r="G17" s="103">
        <v>3</v>
      </c>
      <c r="O17" s="100">
        <f>基础状态预期!B28</f>
        <v>14</v>
      </c>
      <c r="P17" s="16">
        <f>基础状态预期!C28</f>
        <v>115</v>
      </c>
      <c r="Q17" s="16">
        <f>基础状态预期!D28</f>
        <v>2895.3093757400989</v>
      </c>
      <c r="R17" s="16">
        <f>基础状态预期!E28</f>
        <v>0</v>
      </c>
      <c r="S17" s="16">
        <f>基础状态预期!F28</f>
        <v>0</v>
      </c>
      <c r="T17" s="16">
        <f>基础状态预期!G28</f>
        <v>0</v>
      </c>
      <c r="U17" s="16">
        <f>基础状态预期!H28</f>
        <v>6</v>
      </c>
      <c r="V17" s="16">
        <f>基础状态预期!I28</f>
        <v>0</v>
      </c>
      <c r="W17" s="16">
        <f>基础状态预期!J28</f>
        <v>0</v>
      </c>
      <c r="X17" s="16">
        <f>基础状态预期!K28</f>
        <v>0</v>
      </c>
      <c r="Y17" s="16">
        <f>基础状态预期!L28</f>
        <v>6</v>
      </c>
      <c r="Z17" s="16">
        <f>基础状态预期!M28</f>
        <v>0</v>
      </c>
      <c r="AA17" s="16">
        <f>基础状态预期!N28</f>
        <v>3</v>
      </c>
      <c r="AB17" s="16">
        <f>基础状态预期!O28</f>
        <v>5</v>
      </c>
      <c r="AC17" s="16">
        <f>基础状态预期!P28</f>
        <v>5</v>
      </c>
      <c r="AD17" s="16">
        <f>基础状态预期!Q28</f>
        <v>0</v>
      </c>
      <c r="AE17" s="16">
        <f>基础状态预期!R28</f>
        <v>0</v>
      </c>
      <c r="AF17" s="16">
        <f>基础状态预期!S28</f>
        <v>0</v>
      </c>
      <c r="AG17" s="101">
        <f>基础状态预期!T28</f>
        <v>1</v>
      </c>
      <c r="AH17" s="16" cm="1">
        <f t="array" ref="AH17">求节点(万里长城!$Q$13:$Q$172,万里长城!$W$13:$W$172,P17)</f>
        <v>1840202.1089278886</v>
      </c>
      <c r="AI17" s="16" cm="1">
        <f t="array" ref="AI17">求节点($C$40:$C$54,$B$40:$B$54,AH17/36)</f>
        <v>10.798499345831349</v>
      </c>
      <c r="AJ17" s="25" cm="1">
        <f t="array" ref="AJ17">求节点($B$22:$B$36,$I$22:$I$36,AI17)</f>
        <v>0.10798499345831349</v>
      </c>
    </row>
    <row r="18" spans="1:45">
      <c r="O18" s="100">
        <f>基础状态预期!B29</f>
        <v>15</v>
      </c>
      <c r="P18" s="16">
        <f>基础状态预期!C29</f>
        <v>120</v>
      </c>
      <c r="Q18" s="16">
        <f>基础状态预期!D29</f>
        <v>4095</v>
      </c>
      <c r="R18" s="16">
        <f>基础状态预期!E29</f>
        <v>0</v>
      </c>
      <c r="S18" s="16">
        <f>基础状态预期!F29</f>
        <v>0</v>
      </c>
      <c r="T18" s="16">
        <f>基础状态预期!G29</f>
        <v>0</v>
      </c>
      <c r="U18" s="16">
        <f>基础状态预期!H29</f>
        <v>6</v>
      </c>
      <c r="V18" s="16">
        <f>基础状态预期!I29</f>
        <v>0</v>
      </c>
      <c r="W18" s="16">
        <f>基础状态预期!J29</f>
        <v>0</v>
      </c>
      <c r="X18" s="16">
        <f>基础状态预期!K29</f>
        <v>0</v>
      </c>
      <c r="Y18" s="16">
        <f>基础状态预期!L29</f>
        <v>6</v>
      </c>
      <c r="Z18" s="16">
        <f>基础状态预期!M29</f>
        <v>0</v>
      </c>
      <c r="AA18" s="16">
        <f>基础状态预期!N29</f>
        <v>3</v>
      </c>
      <c r="AB18" s="16">
        <f>基础状态预期!O29</f>
        <v>5</v>
      </c>
      <c r="AC18" s="16">
        <f>基础状态预期!P29</f>
        <v>5</v>
      </c>
      <c r="AD18" s="16">
        <f>基础状态预期!Q29</f>
        <v>0</v>
      </c>
      <c r="AE18" s="16">
        <f>基础状态预期!R29</f>
        <v>0</v>
      </c>
      <c r="AF18" s="16">
        <f>基础状态预期!S29</f>
        <v>0</v>
      </c>
      <c r="AG18" s="101">
        <f>基础状态预期!T29</f>
        <v>1</v>
      </c>
      <c r="AH18" s="16" cm="1">
        <f t="array" ref="AH18">求节点(万里长城!$Q$13:$Q$172,万里长城!$W$13:$W$172,P18)</f>
        <v>2604550.0127110113</v>
      </c>
      <c r="AI18" s="16" cm="1">
        <f t="array" ref="AI18">求节点($C$40:$C$54,$B$40:$B$54,AH18/36)</f>
        <v>11.112615043982073</v>
      </c>
      <c r="AJ18" s="25" cm="1">
        <f t="array" ref="AJ18">求节点($B$22:$B$36,$I$22:$I$36,AI18)</f>
        <v>0.11112615043982073</v>
      </c>
      <c r="AR18" s="16">
        <v>2688</v>
      </c>
      <c r="AS18" s="16">
        <f>AR18-AR17</f>
        <v>2688</v>
      </c>
    </row>
    <row r="19" spans="1:45">
      <c r="O19" s="100">
        <f>基础状态预期!B30</f>
        <v>16</v>
      </c>
      <c r="P19" s="16">
        <f>基础状态预期!C30</f>
        <v>125</v>
      </c>
      <c r="Q19" s="16">
        <f>基础状态预期!D30</f>
        <v>5791.6187514801986</v>
      </c>
      <c r="R19" s="16">
        <f>基础状态预期!E30</f>
        <v>0</v>
      </c>
      <c r="S19" s="16">
        <f>基础状态预期!F30</f>
        <v>0</v>
      </c>
      <c r="T19" s="16">
        <f>基础状态预期!G30</f>
        <v>0</v>
      </c>
      <c r="U19" s="16">
        <f>基础状态预期!H30</f>
        <v>6</v>
      </c>
      <c r="V19" s="16">
        <f>基础状态预期!I30</f>
        <v>0</v>
      </c>
      <c r="W19" s="16">
        <f>基础状态预期!J30</f>
        <v>0</v>
      </c>
      <c r="X19" s="16">
        <f>基础状态预期!K30</f>
        <v>0</v>
      </c>
      <c r="Y19" s="16">
        <f>基础状态预期!L30</f>
        <v>6</v>
      </c>
      <c r="Z19" s="16">
        <f>基础状态预期!M30</f>
        <v>0</v>
      </c>
      <c r="AA19" s="16">
        <f>基础状态预期!N30</f>
        <v>3</v>
      </c>
      <c r="AB19" s="16">
        <f>基础状态预期!O30</f>
        <v>5</v>
      </c>
      <c r="AC19" s="16">
        <f>基础状态预期!P30</f>
        <v>5</v>
      </c>
      <c r="AD19" s="16">
        <f>基础状态预期!Q30</f>
        <v>0</v>
      </c>
      <c r="AE19" s="16">
        <f>基础状态预期!R30</f>
        <v>0</v>
      </c>
      <c r="AF19" s="16">
        <f>基础状态预期!S30</f>
        <v>0</v>
      </c>
      <c r="AG19" s="101">
        <f>基础状态预期!T30</f>
        <v>1</v>
      </c>
      <c r="AH19" s="16" cm="1">
        <f t="array" ref="AH19">求节点(万里长城!$Q$13:$Q$172,万里长城!$W$13:$W$172,P19)</f>
        <v>3685501.1846125508</v>
      </c>
      <c r="AI19" s="16" cm="1">
        <f t="array" ref="AI19">求节点($C$40:$C$54,$B$40:$B$54,AH19/36)</f>
        <v>11.366865085826214</v>
      </c>
      <c r="AJ19" s="25" cm="1">
        <f t="array" ref="AJ19">求节点($B$22:$B$36,$I$22:$I$36,AI19)</f>
        <v>0.11366865085826214</v>
      </c>
      <c r="AR19" s="16">
        <v>5888</v>
      </c>
      <c r="AS19" s="16">
        <f t="shared" ref="AS19:AS20" si="1">AR19-AR18</f>
        <v>3200</v>
      </c>
    </row>
    <row r="20" spans="1:45">
      <c r="B20" s="98"/>
      <c r="C20" s="104" t="s">
        <v>563</v>
      </c>
      <c r="D20" s="104" t="s">
        <v>565</v>
      </c>
      <c r="E20" s="104" t="s">
        <v>564</v>
      </c>
      <c r="F20" s="104" t="s">
        <v>566</v>
      </c>
      <c r="G20" s="104" t="s">
        <v>567</v>
      </c>
      <c r="H20" s="104" t="s">
        <v>568</v>
      </c>
      <c r="I20" s="104" t="s">
        <v>602</v>
      </c>
      <c r="J20" s="99" t="s">
        <v>654</v>
      </c>
      <c r="O20" s="100">
        <f>基础状态预期!B31</f>
        <v>17</v>
      </c>
      <c r="P20" s="16">
        <f>基础状态预期!C31</f>
        <v>130</v>
      </c>
      <c r="Q20" s="16">
        <f>基础状态预期!D31</f>
        <v>8191</v>
      </c>
      <c r="R20" s="16">
        <f>基础状态预期!E31</f>
        <v>0</v>
      </c>
      <c r="S20" s="16">
        <f>基础状态预期!F31</f>
        <v>0</v>
      </c>
      <c r="T20" s="16">
        <f>基础状态预期!G31</f>
        <v>0</v>
      </c>
      <c r="U20" s="16">
        <f>基础状态预期!H31</f>
        <v>6</v>
      </c>
      <c r="V20" s="16">
        <f>基础状态预期!I31</f>
        <v>0</v>
      </c>
      <c r="W20" s="16">
        <f>基础状态预期!J31</f>
        <v>0</v>
      </c>
      <c r="X20" s="16">
        <f>基础状态预期!K31</f>
        <v>0</v>
      </c>
      <c r="Y20" s="16">
        <f>基础状态预期!L31</f>
        <v>6</v>
      </c>
      <c r="Z20" s="16">
        <f>基础状态预期!M31</f>
        <v>0</v>
      </c>
      <c r="AA20" s="16">
        <f>基础状态预期!N31</f>
        <v>3</v>
      </c>
      <c r="AB20" s="16">
        <f>基础状态预期!O31</f>
        <v>5</v>
      </c>
      <c r="AC20" s="16">
        <f>基础状态预期!P31</f>
        <v>5</v>
      </c>
      <c r="AD20" s="16">
        <f>基础状态预期!Q31</f>
        <v>0</v>
      </c>
      <c r="AE20" s="16">
        <f>基础状态预期!R31</f>
        <v>0</v>
      </c>
      <c r="AF20" s="16">
        <f>基础状态预期!S31</f>
        <v>0</v>
      </c>
      <c r="AG20" s="101">
        <f>基础状态预期!T31</f>
        <v>1</v>
      </c>
      <c r="AH20" s="16" cm="1">
        <f t="array" ref="AH20">求节点(万里长城!$Q$13:$Q$172,万里长城!$W$13:$W$172,P20)</f>
        <v>5214196.9921787959</v>
      </c>
      <c r="AI20" s="16" cm="1">
        <f t="array" ref="AI20">求节点($C$40:$C$54,$B$40:$B$54,AH20/36)</f>
        <v>11.726428943236124</v>
      </c>
      <c r="AJ20" s="25" cm="1">
        <f t="array" ref="AJ20">求节点($B$22:$B$36,$I$22:$I$36,AI20)</f>
        <v>0.11726428943236124</v>
      </c>
      <c r="AR20" s="16">
        <v>10888</v>
      </c>
      <c r="AS20" s="16">
        <f t="shared" si="1"/>
        <v>5000</v>
      </c>
    </row>
    <row r="21" spans="1:45">
      <c r="B21" s="100" t="s">
        <v>569</v>
      </c>
      <c r="C21" s="16" t="s">
        <v>575</v>
      </c>
      <c r="D21" s="16" t="s">
        <v>577</v>
      </c>
      <c r="E21" s="16" t="s">
        <v>579</v>
      </c>
      <c r="F21" s="16" t="s">
        <v>599</v>
      </c>
      <c r="G21" s="16" t="s">
        <v>598</v>
      </c>
      <c r="H21" s="16" t="s">
        <v>600</v>
      </c>
      <c r="I21" s="16" t="s">
        <v>753</v>
      </c>
      <c r="J21" s="101"/>
      <c r="O21" s="100">
        <f>基础状态预期!B32</f>
        <v>18</v>
      </c>
      <c r="P21" s="16">
        <f>基础状态预期!C32</f>
        <v>135</v>
      </c>
      <c r="Q21" s="16">
        <f>基础状态预期!D32</f>
        <v>11584.237502960397</v>
      </c>
      <c r="R21" s="16">
        <f>基础状态预期!E32</f>
        <v>0</v>
      </c>
      <c r="S21" s="16">
        <f>基础状态预期!F32</f>
        <v>0</v>
      </c>
      <c r="T21" s="16">
        <f>基础状态预期!G32</f>
        <v>0</v>
      </c>
      <c r="U21" s="16">
        <f>基础状态预期!H32</f>
        <v>6</v>
      </c>
      <c r="V21" s="16">
        <f>基础状态预期!I32</f>
        <v>0</v>
      </c>
      <c r="W21" s="16">
        <f>基础状态预期!J32</f>
        <v>0</v>
      </c>
      <c r="X21" s="16">
        <f>基础状态预期!K32</f>
        <v>0</v>
      </c>
      <c r="Y21" s="16">
        <f>基础状态预期!L32</f>
        <v>6</v>
      </c>
      <c r="Z21" s="16">
        <f>基础状态预期!M32</f>
        <v>0</v>
      </c>
      <c r="AA21" s="16">
        <f>基础状态预期!N32</f>
        <v>3</v>
      </c>
      <c r="AB21" s="16">
        <f>基础状态预期!O32</f>
        <v>5</v>
      </c>
      <c r="AC21" s="16">
        <f>基础状态预期!P32</f>
        <v>5</v>
      </c>
      <c r="AD21" s="16">
        <f>基础状态预期!Q32</f>
        <v>0</v>
      </c>
      <c r="AE21" s="16">
        <f>基础状态预期!R32</f>
        <v>0</v>
      </c>
      <c r="AF21" s="16">
        <f>基础状态预期!S32</f>
        <v>0</v>
      </c>
      <c r="AG21" s="101">
        <f>基础状态预期!T32</f>
        <v>1</v>
      </c>
      <c r="AH21" s="16" cm="1">
        <f t="array" ref="AH21">求节点(万里长城!$Q$13:$Q$172,万里长城!$W$13:$W$172,P21)</f>
        <v>7376099.3359818738</v>
      </c>
      <c r="AI21" s="16" cm="1">
        <f t="array" ref="AI21">求节点($C$40:$C$54,$B$40:$B$54,AH21/36)</f>
        <v>12.078309675641469</v>
      </c>
      <c r="AJ21" s="25" cm="1">
        <f t="array" ref="AJ21">求节点($B$22:$B$36,$I$22:$I$36,AI21)</f>
        <v>0.12078309675641469</v>
      </c>
    </row>
    <row r="22" spans="1:45">
      <c r="A22" s="16">
        <v>6</v>
      </c>
      <c r="B22" s="100">
        <v>1</v>
      </c>
      <c r="C22" s="16">
        <v>6</v>
      </c>
      <c r="D22" s="16">
        <v>6</v>
      </c>
      <c r="E22" s="16">
        <v>6</v>
      </c>
      <c r="F22" s="145">
        <v>5.0000000000000001E-3</v>
      </c>
      <c r="G22" s="35">
        <f>F22</f>
        <v>5.0000000000000001E-3</v>
      </c>
      <c r="H22" s="35">
        <f>F22</f>
        <v>5.0000000000000001E-3</v>
      </c>
      <c r="I22" s="24">
        <v>0.01</v>
      </c>
      <c r="J22" s="101">
        <v>500</v>
      </c>
      <c r="O22" s="100">
        <f>基础状态预期!B33</f>
        <v>19</v>
      </c>
      <c r="P22" s="16">
        <f>基础状态预期!C33</f>
        <v>140</v>
      </c>
      <c r="Q22" s="16">
        <f>基础状态预期!D33</f>
        <v>16383</v>
      </c>
      <c r="R22" s="16">
        <f>基础状态预期!E33</f>
        <v>0</v>
      </c>
      <c r="S22" s="16">
        <f>基础状态预期!F33</f>
        <v>0</v>
      </c>
      <c r="T22" s="16">
        <f>基础状态预期!G33</f>
        <v>0</v>
      </c>
      <c r="U22" s="16">
        <f>基础状态预期!H33</f>
        <v>6</v>
      </c>
      <c r="V22" s="16">
        <f>基础状态预期!I33</f>
        <v>0</v>
      </c>
      <c r="W22" s="16">
        <f>基础状态预期!J33</f>
        <v>0</v>
      </c>
      <c r="X22" s="16">
        <f>基础状态预期!K33</f>
        <v>0</v>
      </c>
      <c r="Y22" s="16">
        <f>基础状态预期!L33</f>
        <v>6</v>
      </c>
      <c r="Z22" s="16">
        <f>基础状态预期!M33</f>
        <v>0</v>
      </c>
      <c r="AA22" s="16">
        <f>基础状态预期!N33</f>
        <v>3</v>
      </c>
      <c r="AB22" s="16">
        <f>基础状态预期!O33</f>
        <v>5</v>
      </c>
      <c r="AC22" s="16">
        <f>基础状态预期!P33</f>
        <v>5</v>
      </c>
      <c r="AD22" s="16">
        <f>基础状态预期!Q33</f>
        <v>0</v>
      </c>
      <c r="AE22" s="16">
        <f>基础状态预期!R33</f>
        <v>0</v>
      </c>
      <c r="AF22" s="16">
        <f>基础状态预期!S33</f>
        <v>0</v>
      </c>
      <c r="AG22" s="101">
        <f>基础状态预期!T33</f>
        <v>1</v>
      </c>
      <c r="AH22" s="16" cm="1">
        <f t="array" ref="AH22">求节点(万里长城!$Q$13:$Q$172,万里长城!$W$13:$W$172,P22)</f>
        <v>10433490.951114366</v>
      </c>
      <c r="AI22" s="16" cm="1">
        <f t="array" ref="AI22">求节点($C$40:$C$54,$B$40:$B$54,AH22/36)</f>
        <v>12.318018913914743</v>
      </c>
      <c r="AJ22" s="25" cm="1">
        <f t="array" ref="AJ22">求节点($B$22:$B$36,$I$22:$I$36,AI22)</f>
        <v>0.12318018913914743</v>
      </c>
    </row>
    <row r="23" spans="1:45">
      <c r="A23" s="16">
        <v>5</v>
      </c>
      <c r="B23" s="100">
        <v>2</v>
      </c>
      <c r="C23" s="16">
        <f>C22+6</f>
        <v>12</v>
      </c>
      <c r="D23" s="16">
        <v>12</v>
      </c>
      <c r="E23" s="16">
        <v>12</v>
      </c>
      <c r="F23" s="145">
        <f>F22+$F$22</f>
        <v>0.01</v>
      </c>
      <c r="G23" s="35">
        <f t="shared" ref="G23:G36" si="2">F23</f>
        <v>0.01</v>
      </c>
      <c r="H23" s="35">
        <f t="shared" ref="H23:H36" si="3">F23</f>
        <v>0.01</v>
      </c>
      <c r="I23" s="151">
        <v>0.02</v>
      </c>
      <c r="J23" s="101">
        <f>J22+$J$22</f>
        <v>1000</v>
      </c>
      <c r="O23" s="100">
        <f>基础状态预期!B34</f>
        <v>20</v>
      </c>
      <c r="P23" s="16">
        <f>基础状态预期!C34</f>
        <v>145</v>
      </c>
      <c r="Q23" s="16">
        <f>基础状态预期!D34</f>
        <v>23169.475005920798</v>
      </c>
      <c r="R23" s="16">
        <f>基础状态预期!E34</f>
        <v>0</v>
      </c>
      <c r="S23" s="16">
        <f>基础状态预期!F34</f>
        <v>0</v>
      </c>
      <c r="T23" s="16">
        <f>基础状态预期!G34</f>
        <v>0</v>
      </c>
      <c r="U23" s="16">
        <f>基础状态预期!H34</f>
        <v>6</v>
      </c>
      <c r="V23" s="16">
        <f>基础状态预期!I34</f>
        <v>0</v>
      </c>
      <c r="W23" s="16">
        <f>基础状态预期!J34</f>
        <v>0</v>
      </c>
      <c r="X23" s="16">
        <f>基础状态预期!K34</f>
        <v>0</v>
      </c>
      <c r="Y23" s="16">
        <f>基础状态预期!L34</f>
        <v>6</v>
      </c>
      <c r="Z23" s="16">
        <f>基础状态预期!M34</f>
        <v>0</v>
      </c>
      <c r="AA23" s="16">
        <f>基础状态预期!N34</f>
        <v>3</v>
      </c>
      <c r="AB23" s="16">
        <f>基础状态预期!O34</f>
        <v>5</v>
      </c>
      <c r="AC23" s="16">
        <f>基础状态预期!P34</f>
        <v>5</v>
      </c>
      <c r="AD23" s="16">
        <f>基础状态预期!Q34</f>
        <v>0</v>
      </c>
      <c r="AE23" s="16">
        <f>基础状态预期!R34</f>
        <v>0</v>
      </c>
      <c r="AF23" s="16">
        <f>基础状态预期!S34</f>
        <v>0</v>
      </c>
      <c r="AG23" s="101">
        <f>基础状态预期!T34</f>
        <v>1</v>
      </c>
      <c r="AH23" s="16" cm="1">
        <f t="array" ref="AH23">求节点(万里长城!$Q$13:$Q$172,万里长城!$W$13:$W$172,P23)</f>
        <v>14757295.638720524</v>
      </c>
      <c r="AI23" s="16" cm="1">
        <f t="array" ref="AI23">求节点($C$40:$C$54,$B$40:$B$54,AH23/36)</f>
        <v>12.657018969706932</v>
      </c>
      <c r="AJ23" s="25" cm="1">
        <f t="array" ref="AJ23">求节点($B$22:$B$36,$I$22:$I$36,AI23)</f>
        <v>0.12657018969706932</v>
      </c>
    </row>
    <row r="24" spans="1:45">
      <c r="B24" s="100">
        <v>3</v>
      </c>
      <c r="C24" s="16">
        <f t="shared" ref="C24:C35" si="4">C23+6</f>
        <v>18</v>
      </c>
      <c r="D24" s="16">
        <v>18</v>
      </c>
      <c r="E24" s="16">
        <v>18</v>
      </c>
      <c r="F24" s="145">
        <f t="shared" ref="F24:F36" si="5">F23+$F$22</f>
        <v>1.4999999999999999E-2</v>
      </c>
      <c r="G24" s="35">
        <f t="shared" si="2"/>
        <v>1.4999999999999999E-2</v>
      </c>
      <c r="H24" s="35">
        <f t="shared" si="3"/>
        <v>1.4999999999999999E-2</v>
      </c>
      <c r="I24" s="24">
        <v>0.03</v>
      </c>
      <c r="J24" s="101">
        <f t="shared" ref="J24:J36" si="6">J23+$J$22</f>
        <v>1500</v>
      </c>
      <c r="O24" s="100">
        <f>基础状态预期!B35</f>
        <v>21</v>
      </c>
      <c r="P24" s="16">
        <f>基础状态预期!C35</f>
        <v>150</v>
      </c>
      <c r="Q24" s="16">
        <f>基础状态预期!D35</f>
        <v>32767</v>
      </c>
      <c r="R24" s="16">
        <f>基础状态预期!E35</f>
        <v>0</v>
      </c>
      <c r="S24" s="16">
        <f>基础状态预期!F35</f>
        <v>0</v>
      </c>
      <c r="T24" s="16">
        <f>基础状态预期!G35</f>
        <v>0</v>
      </c>
      <c r="U24" s="16">
        <f>基础状态预期!H35</f>
        <v>6</v>
      </c>
      <c r="V24" s="16">
        <f>基础状态预期!I35</f>
        <v>0</v>
      </c>
      <c r="W24" s="16">
        <f>基础状态预期!J35</f>
        <v>0</v>
      </c>
      <c r="X24" s="16">
        <f>基础状态预期!K35</f>
        <v>0</v>
      </c>
      <c r="Y24" s="16">
        <f>基础状态预期!L35</f>
        <v>6</v>
      </c>
      <c r="Z24" s="16">
        <f>基础状态预期!M35</f>
        <v>0</v>
      </c>
      <c r="AA24" s="16">
        <f>基础状态预期!N35</f>
        <v>3</v>
      </c>
      <c r="AB24" s="16">
        <f>基础状态预期!O35</f>
        <v>5</v>
      </c>
      <c r="AC24" s="16">
        <f>基础状态预期!P35</f>
        <v>5</v>
      </c>
      <c r="AD24" s="16">
        <f>基础状态预期!Q35</f>
        <v>0</v>
      </c>
      <c r="AE24" s="16">
        <f>基础状态预期!R35</f>
        <v>0</v>
      </c>
      <c r="AF24" s="16">
        <f>基础状态预期!S35</f>
        <v>0</v>
      </c>
      <c r="AG24" s="101">
        <f>基础状态预期!T35</f>
        <v>1</v>
      </c>
      <c r="AH24" s="16" cm="1">
        <f t="array" ref="AH24">求节点(万里长城!$Q$13:$Q$172,万里长城!$W$13:$W$172,P24)</f>
        <v>20872078.868985504</v>
      </c>
      <c r="AI24" s="16" cm="1">
        <f t="array" ref="AI24">求节点($C$40:$C$54,$B$40:$B$54,AH24/36)</f>
        <v>13.045479148751161</v>
      </c>
      <c r="AJ24" s="25" cm="1">
        <f t="array" ref="AJ24">求节点($B$22:$B$36,$I$22:$I$36,AI24)</f>
        <v>0.1304547914875116</v>
      </c>
    </row>
    <row r="25" spans="1:45">
      <c r="B25" s="100">
        <v>4</v>
      </c>
      <c r="C25" s="16">
        <f t="shared" si="4"/>
        <v>24</v>
      </c>
      <c r="D25" s="16">
        <v>24</v>
      </c>
      <c r="E25" s="16">
        <v>24</v>
      </c>
      <c r="F25" s="145">
        <f t="shared" si="5"/>
        <v>0.02</v>
      </c>
      <c r="G25" s="35">
        <f t="shared" si="2"/>
        <v>0.02</v>
      </c>
      <c r="H25" s="35">
        <f t="shared" si="3"/>
        <v>0.02</v>
      </c>
      <c r="I25" s="151">
        <v>0.04</v>
      </c>
      <c r="J25" s="101">
        <f t="shared" si="6"/>
        <v>2000</v>
      </c>
      <c r="O25" s="100">
        <f>基础状态预期!B36</f>
        <v>22</v>
      </c>
      <c r="P25" s="16">
        <f>基础状态预期!C36</f>
        <v>155</v>
      </c>
      <c r="Q25" s="16">
        <f>基础状态预期!D36</f>
        <v>46339.950011841604</v>
      </c>
      <c r="R25" s="16">
        <f>基础状态预期!E36</f>
        <v>0</v>
      </c>
      <c r="S25" s="16">
        <f>基础状态预期!F36</f>
        <v>0</v>
      </c>
      <c r="T25" s="16">
        <f>基础状态预期!G36</f>
        <v>0</v>
      </c>
      <c r="U25" s="16">
        <f>基础状态预期!H36</f>
        <v>6</v>
      </c>
      <c r="V25" s="16">
        <f>基础状态预期!I36</f>
        <v>0</v>
      </c>
      <c r="W25" s="16">
        <f>基础状态预期!J36</f>
        <v>0</v>
      </c>
      <c r="X25" s="16">
        <f>基础状态预期!K36</f>
        <v>0</v>
      </c>
      <c r="Y25" s="16">
        <f>基础状态预期!L36</f>
        <v>6</v>
      </c>
      <c r="Z25" s="16">
        <f>基础状态预期!M36</f>
        <v>0</v>
      </c>
      <c r="AA25" s="16">
        <f>基础状态预期!N36</f>
        <v>3</v>
      </c>
      <c r="AB25" s="16">
        <f>基础状态预期!O36</f>
        <v>5</v>
      </c>
      <c r="AC25" s="16">
        <f>基础状态预期!P36</f>
        <v>5</v>
      </c>
      <c r="AD25" s="16">
        <f>基础状态预期!Q36</f>
        <v>0</v>
      </c>
      <c r="AE25" s="16">
        <f>基础状态预期!R36</f>
        <v>0</v>
      </c>
      <c r="AF25" s="16">
        <f>基础状态预期!S36</f>
        <v>0</v>
      </c>
      <c r="AG25" s="101">
        <f>基础状态预期!T36</f>
        <v>1</v>
      </c>
      <c r="AH25" s="16" cm="1">
        <f t="array" ref="AH25">求节点(万里长城!$Q$13:$Q$172,万里长城!$W$13:$W$172,P25)</f>
        <v>29519688.244197827</v>
      </c>
      <c r="AI25" s="16" cm="1">
        <f t="array" ref="AI25">求节点($C$40:$C$54,$B$40:$B$54,AH25/36)</f>
        <v>13.271479185945953</v>
      </c>
      <c r="AJ25" s="25" cm="1">
        <f t="array" ref="AJ25">求节点($B$22:$B$36,$I$22:$I$36,AI25)</f>
        <v>0.13271479185945953</v>
      </c>
    </row>
    <row r="26" spans="1:45">
      <c r="B26" s="100">
        <v>5</v>
      </c>
      <c r="C26" s="16">
        <f t="shared" si="4"/>
        <v>30</v>
      </c>
      <c r="D26" s="16">
        <v>30</v>
      </c>
      <c r="E26" s="16">
        <v>30</v>
      </c>
      <c r="F26" s="145">
        <f t="shared" si="5"/>
        <v>2.5000000000000001E-2</v>
      </c>
      <c r="G26" s="35">
        <f t="shared" si="2"/>
        <v>2.5000000000000001E-2</v>
      </c>
      <c r="H26" s="35">
        <f t="shared" si="3"/>
        <v>2.5000000000000001E-2</v>
      </c>
      <c r="I26" s="24">
        <v>0.05</v>
      </c>
      <c r="J26" s="101">
        <f t="shared" si="6"/>
        <v>2500</v>
      </c>
      <c r="O26" s="102">
        <f>基础状态预期!B37</f>
        <v>23</v>
      </c>
      <c r="P26" s="97">
        <f>基础状态预期!C37</f>
        <v>160</v>
      </c>
      <c r="Q26" s="97">
        <f>基础状态预期!D37</f>
        <v>65535</v>
      </c>
      <c r="R26" s="97">
        <f>基础状态预期!E37</f>
        <v>0</v>
      </c>
      <c r="S26" s="97">
        <f>基础状态预期!F37</f>
        <v>0</v>
      </c>
      <c r="T26" s="97">
        <f>基础状态预期!G37</f>
        <v>0</v>
      </c>
      <c r="U26" s="97">
        <f>基础状态预期!H37</f>
        <v>6</v>
      </c>
      <c r="V26" s="97">
        <f>基础状态预期!I37</f>
        <v>0</v>
      </c>
      <c r="W26" s="97">
        <f>基础状态预期!J37</f>
        <v>0</v>
      </c>
      <c r="X26" s="97">
        <f>基础状态预期!K37</f>
        <v>0</v>
      </c>
      <c r="Y26" s="97">
        <f>基础状态预期!L37</f>
        <v>6</v>
      </c>
      <c r="Z26" s="97">
        <f>基础状态预期!M37</f>
        <v>0</v>
      </c>
      <c r="AA26" s="97">
        <f>基础状态预期!N37</f>
        <v>3</v>
      </c>
      <c r="AB26" s="97">
        <f>基础状态预期!O37</f>
        <v>5</v>
      </c>
      <c r="AC26" s="97">
        <f>基础状态预期!P37</f>
        <v>5</v>
      </c>
      <c r="AD26" s="97">
        <f>基础状态预期!Q37</f>
        <v>0</v>
      </c>
      <c r="AE26" s="97">
        <f>基础状态预期!R37</f>
        <v>0</v>
      </c>
      <c r="AF26" s="97">
        <f>基础状态预期!S37</f>
        <v>0</v>
      </c>
      <c r="AG26" s="103">
        <f>基础状态预期!T37</f>
        <v>1</v>
      </c>
      <c r="AH26" s="16" cm="1">
        <f t="array" ref="AH26">求节点(万里长城!$Q$13:$Q$172,万里长城!$W$13:$W$172,P26)</f>
        <v>41749254.704727776</v>
      </c>
      <c r="AI26" s="16" cm="1">
        <f t="array" ref="AI26">求节点($C$40:$C$54,$B$40:$B$54,AH26/36)</f>
        <v>13.591091503643652</v>
      </c>
      <c r="AJ26" s="25" cm="1">
        <f t="array" ref="AJ26">求节点($B$22:$B$36,$I$22:$I$36,AI26)</f>
        <v>0.13591091503643651</v>
      </c>
    </row>
    <row r="27" spans="1:45">
      <c r="B27" s="100">
        <v>6</v>
      </c>
      <c r="C27" s="16">
        <f t="shared" si="4"/>
        <v>36</v>
      </c>
      <c r="D27" s="16">
        <v>36</v>
      </c>
      <c r="E27" s="16">
        <v>36</v>
      </c>
      <c r="F27" s="145">
        <f t="shared" si="5"/>
        <v>3.0000000000000002E-2</v>
      </c>
      <c r="G27" s="35">
        <f t="shared" si="2"/>
        <v>3.0000000000000002E-2</v>
      </c>
      <c r="H27" s="35">
        <f t="shared" si="3"/>
        <v>3.0000000000000002E-2</v>
      </c>
      <c r="I27" s="151">
        <v>0.06</v>
      </c>
      <c r="J27" s="101">
        <f t="shared" si="6"/>
        <v>3000</v>
      </c>
      <c r="O27" s="16">
        <f>基础状态预期!B38</f>
        <v>24</v>
      </c>
    </row>
    <row r="28" spans="1:45">
      <c r="B28" s="100">
        <v>7</v>
      </c>
      <c r="C28" s="16">
        <f t="shared" si="4"/>
        <v>42</v>
      </c>
      <c r="D28" s="16">
        <v>42</v>
      </c>
      <c r="E28" s="16">
        <v>42</v>
      </c>
      <c r="F28" s="145">
        <f t="shared" si="5"/>
        <v>3.5000000000000003E-2</v>
      </c>
      <c r="G28" s="35">
        <f t="shared" si="2"/>
        <v>3.5000000000000003E-2</v>
      </c>
      <c r="H28" s="35">
        <f t="shared" si="3"/>
        <v>3.5000000000000003E-2</v>
      </c>
      <c r="I28" s="24">
        <v>7.0000000000000007E-2</v>
      </c>
      <c r="J28" s="101">
        <f t="shared" si="6"/>
        <v>3500</v>
      </c>
      <c r="O28" s="16">
        <f>基础状态预期!B39</f>
        <v>25</v>
      </c>
    </row>
    <row r="29" spans="1:45">
      <c r="B29" s="100">
        <v>8</v>
      </c>
      <c r="C29" s="16">
        <f t="shared" si="4"/>
        <v>48</v>
      </c>
      <c r="D29" s="16">
        <v>48</v>
      </c>
      <c r="E29" s="16">
        <v>48</v>
      </c>
      <c r="F29" s="145">
        <f t="shared" si="5"/>
        <v>0.04</v>
      </c>
      <c r="G29" s="35">
        <f t="shared" si="2"/>
        <v>0.04</v>
      </c>
      <c r="H29" s="35">
        <f t="shared" si="3"/>
        <v>0.04</v>
      </c>
      <c r="I29" s="151">
        <v>0.08</v>
      </c>
      <c r="J29" s="101">
        <f t="shared" si="6"/>
        <v>4000</v>
      </c>
      <c r="O29" s="16">
        <f>基础状态预期!B40</f>
        <v>26</v>
      </c>
    </row>
    <row r="30" spans="1:45">
      <c r="B30" s="100">
        <v>9</v>
      </c>
      <c r="C30" s="16">
        <f t="shared" si="4"/>
        <v>54</v>
      </c>
      <c r="D30" s="16">
        <v>54</v>
      </c>
      <c r="E30" s="16">
        <v>54</v>
      </c>
      <c r="F30" s="145">
        <f t="shared" si="5"/>
        <v>4.4999999999999998E-2</v>
      </c>
      <c r="G30" s="35">
        <f t="shared" si="2"/>
        <v>4.4999999999999998E-2</v>
      </c>
      <c r="H30" s="35">
        <f t="shared" si="3"/>
        <v>4.4999999999999998E-2</v>
      </c>
      <c r="I30" s="24">
        <v>0.09</v>
      </c>
      <c r="J30" s="101">
        <f t="shared" si="6"/>
        <v>4500</v>
      </c>
      <c r="O30" s="98">
        <f>基础状态预期!B41</f>
        <v>1</v>
      </c>
      <c r="P30" s="180" t="str">
        <f>基础状态预期!C41</f>
        <v>小r</v>
      </c>
      <c r="Q30" s="180">
        <f>基础状态预期!D41</f>
        <v>0</v>
      </c>
      <c r="R30" s="180" t="str">
        <f>基础状态预期!E41</f>
        <v>武将上阵情况（主力队伍）</v>
      </c>
      <c r="S30" s="180">
        <f>基础状态预期!F41</f>
        <v>0</v>
      </c>
      <c r="T30" s="180">
        <f>基础状态预期!G41</f>
        <v>0</v>
      </c>
      <c r="U30" s="180">
        <f>基础状态预期!H41</f>
        <v>0</v>
      </c>
      <c r="V30" s="180" t="str">
        <f>基础状态预期!I41</f>
        <v>主力队伍装备宝物数量</v>
      </c>
      <c r="W30" s="180">
        <f>基础状态预期!J41</f>
        <v>0</v>
      </c>
      <c r="X30" s="180">
        <f>基础状态预期!K41</f>
        <v>0</v>
      </c>
      <c r="Y30" s="180">
        <f>基础状态预期!L41</f>
        <v>0</v>
      </c>
      <c r="Z30" s="180" t="str">
        <f>基础状态预期!M41</f>
        <v>宝物星级</v>
      </c>
      <c r="AA30" s="180">
        <f>基础状态预期!N41</f>
        <v>0</v>
      </c>
      <c r="AB30" s="180">
        <f>基础状态预期!O41</f>
        <v>0</v>
      </c>
      <c r="AC30" s="180">
        <f>基础状态预期!P41</f>
        <v>0</v>
      </c>
      <c r="AD30" s="180" t="str">
        <f>基础状态预期!Q41</f>
        <v>宝物温养进度</v>
      </c>
      <c r="AE30" s="180">
        <f>基础状态预期!R41</f>
        <v>0</v>
      </c>
      <c r="AF30" s="180">
        <f>基础状态预期!S41</f>
        <v>0</v>
      </c>
      <c r="AG30" s="181">
        <f>基础状态预期!T41</f>
        <v>0</v>
      </c>
    </row>
    <row r="31" spans="1:45">
      <c r="B31" s="144">
        <v>10</v>
      </c>
      <c r="C31" s="137">
        <f t="shared" si="4"/>
        <v>60</v>
      </c>
      <c r="D31" s="137">
        <v>60</v>
      </c>
      <c r="E31" s="137">
        <v>60</v>
      </c>
      <c r="F31" s="146">
        <f t="shared" si="5"/>
        <v>4.9999999999999996E-2</v>
      </c>
      <c r="G31" s="152">
        <f t="shared" si="2"/>
        <v>4.9999999999999996E-2</v>
      </c>
      <c r="H31" s="152">
        <f t="shared" si="3"/>
        <v>4.9999999999999996E-2</v>
      </c>
      <c r="I31" s="151">
        <v>0.1</v>
      </c>
      <c r="J31" s="101">
        <f t="shared" si="6"/>
        <v>5000</v>
      </c>
      <c r="O31" s="100">
        <f>基础状态预期!B42</f>
        <v>2</v>
      </c>
      <c r="P31" s="16" t="str">
        <f>基础状态预期!C42</f>
        <v>定义等级</v>
      </c>
      <c r="Q31" s="16" t="str">
        <f>基础状态预期!D42</f>
        <v>天数</v>
      </c>
      <c r="R31" s="16" t="str">
        <f>基础状态预期!E42</f>
        <v>蓝</v>
      </c>
      <c r="S31" s="16" t="str">
        <f>基础状态预期!F42</f>
        <v>紫</v>
      </c>
      <c r="T31" s="16" t="str">
        <f>基础状态预期!G42</f>
        <v>橙</v>
      </c>
      <c r="U31" s="16" t="str">
        <f>基础状态预期!H42</f>
        <v>橙+</v>
      </c>
      <c r="V31" s="16" t="str">
        <f>基础状态预期!I42</f>
        <v>蓝</v>
      </c>
      <c r="W31" s="16" t="str">
        <f>基础状态预期!J42</f>
        <v>紫</v>
      </c>
      <c r="X31" s="16" t="str">
        <f>基础状态预期!K42</f>
        <v>橙</v>
      </c>
      <c r="Y31" s="16" t="str">
        <f>基础状态预期!L42</f>
        <v>橙+</v>
      </c>
      <c r="Z31" s="16" t="str">
        <f>基础状态预期!M42</f>
        <v>蓝</v>
      </c>
      <c r="AA31" s="16" t="str">
        <f>基础状态预期!N42</f>
        <v>紫</v>
      </c>
      <c r="AB31" s="16" t="str">
        <f>基础状态预期!O42</f>
        <v>橙</v>
      </c>
      <c r="AC31" s="16" t="str">
        <f>基础状态预期!P42</f>
        <v>橙+</v>
      </c>
      <c r="AD31" s="16" t="str">
        <f>基础状态预期!Q42</f>
        <v>蓝</v>
      </c>
      <c r="AE31" s="16" t="str">
        <f>基础状态预期!R42</f>
        <v>紫</v>
      </c>
      <c r="AF31" s="16" t="str">
        <f>基础状态预期!S42</f>
        <v>橙</v>
      </c>
      <c r="AG31" s="101" t="str">
        <f>基础状态预期!T42</f>
        <v>橙+</v>
      </c>
      <c r="AH31" s="16" t="s">
        <v>721</v>
      </c>
      <c r="AI31" s="16" t="s">
        <v>722</v>
      </c>
      <c r="AJ31" s="16" t="s">
        <v>749</v>
      </c>
    </row>
    <row r="32" spans="1:45">
      <c r="B32" s="100">
        <v>11</v>
      </c>
      <c r="C32" s="16">
        <f t="shared" si="4"/>
        <v>66</v>
      </c>
      <c r="D32" s="16">
        <v>66</v>
      </c>
      <c r="E32" s="16">
        <v>66</v>
      </c>
      <c r="F32" s="145">
        <f t="shared" si="5"/>
        <v>5.4999999999999993E-2</v>
      </c>
      <c r="G32" s="35">
        <f t="shared" si="2"/>
        <v>5.4999999999999993E-2</v>
      </c>
      <c r="H32" s="35">
        <f t="shared" si="3"/>
        <v>5.4999999999999993E-2</v>
      </c>
      <c r="I32" s="24">
        <v>0.11</v>
      </c>
      <c r="J32" s="101">
        <f t="shared" si="6"/>
        <v>5500</v>
      </c>
      <c r="O32" s="100">
        <f>基础状态预期!B43</f>
        <v>3</v>
      </c>
      <c r="P32" s="16">
        <f>基础状态预期!C43</f>
        <v>50</v>
      </c>
      <c r="Q32" s="16">
        <f>基础状态预期!D43</f>
        <v>27.0351</v>
      </c>
      <c r="R32" s="16">
        <f>基础状态预期!E43</f>
        <v>0</v>
      </c>
      <c r="S32" s="16">
        <f>基础状态预期!F43</f>
        <v>0</v>
      </c>
      <c r="T32" s="16">
        <f>基础状态预期!G43</f>
        <v>5.7971029663293043</v>
      </c>
      <c r="U32" s="16">
        <f>基础状态预期!H43</f>
        <v>0.2028970336706955</v>
      </c>
      <c r="V32" s="16">
        <f>基础状态预期!I43</f>
        <v>0</v>
      </c>
      <c r="W32" s="16">
        <f>基础状态预期!J43</f>
        <v>0</v>
      </c>
      <c r="X32" s="16">
        <f>基础状态预期!K43</f>
        <v>0</v>
      </c>
      <c r="Y32" s="16">
        <f>基础状态预期!L43</f>
        <v>0</v>
      </c>
      <c r="Z32" s="16">
        <f>基础状态预期!M43</f>
        <v>0</v>
      </c>
      <c r="AA32" s="16">
        <f>基础状态预期!N43</f>
        <v>0</v>
      </c>
      <c r="AB32" s="16">
        <f>基础状态预期!O43</f>
        <v>0</v>
      </c>
      <c r="AC32" s="16">
        <f>基础状态预期!P43</f>
        <v>0</v>
      </c>
      <c r="AD32" s="16">
        <f>基础状态预期!Q43</f>
        <v>0</v>
      </c>
      <c r="AE32" s="16">
        <f>基础状态预期!R43</f>
        <v>0</v>
      </c>
      <c r="AF32" s="16">
        <f>基础状态预期!S43</f>
        <v>0</v>
      </c>
      <c r="AG32" s="101">
        <f>基础状态预期!T43</f>
        <v>0</v>
      </c>
      <c r="AH32" s="16" cm="1">
        <f t="array" ref="AH32">求节点(万里长城!$Q$13:$Q$172,万里长城!$W$13:$W$172,P32)</f>
        <v>15290.900270319049</v>
      </c>
      <c r="AI32" s="16" cm="1">
        <f t="array" ref="AI32">求节点($C$40:$C$54,$B$40:$B$54,AH32/36)</f>
        <v>6.373965493273837</v>
      </c>
      <c r="AJ32" s="25" cm="1">
        <f t="array" ref="AJ32">求节点($B$22:$B$36,$I$22:$I$36,AI32)</f>
        <v>6.3739654932738365E-2</v>
      </c>
    </row>
    <row r="33" spans="2:36">
      <c r="B33" s="144">
        <v>12</v>
      </c>
      <c r="C33" s="137">
        <f t="shared" si="4"/>
        <v>72</v>
      </c>
      <c r="D33" s="137">
        <v>72</v>
      </c>
      <c r="E33" s="137">
        <v>72</v>
      </c>
      <c r="F33" s="146">
        <f t="shared" si="5"/>
        <v>5.9999999999999991E-2</v>
      </c>
      <c r="G33" s="152">
        <f t="shared" si="2"/>
        <v>5.9999999999999991E-2</v>
      </c>
      <c r="H33" s="152">
        <f t="shared" si="3"/>
        <v>5.9999999999999991E-2</v>
      </c>
      <c r="I33" s="151">
        <v>0.12</v>
      </c>
      <c r="J33" s="101">
        <f t="shared" si="6"/>
        <v>6000</v>
      </c>
      <c r="O33" s="100">
        <f>基础状态预期!B44</f>
        <v>4</v>
      </c>
      <c r="P33" s="16">
        <f>基础状态预期!C44</f>
        <v>60</v>
      </c>
      <c r="Q33" s="16">
        <f>基础状态预期!D44</f>
        <v>54.589500000000001</v>
      </c>
      <c r="R33" s="16">
        <f>基础状态预期!E44</f>
        <v>0</v>
      </c>
      <c r="S33" s="16">
        <f>基础状态预期!F44</f>
        <v>0</v>
      </c>
      <c r="T33" s="16">
        <f>基础状态预期!G44</f>
        <v>3.8293644210023707</v>
      </c>
      <c r="U33" s="16">
        <f>基础状态预期!H44</f>
        <v>2.1706355789976293</v>
      </c>
      <c r="V33" s="16">
        <f>基础状态预期!I44</f>
        <v>3.0869418581458419E-2</v>
      </c>
      <c r="W33" s="16">
        <f>基础状态预期!J44</f>
        <v>0</v>
      </c>
      <c r="X33" s="16">
        <f>基础状态预期!K44</f>
        <v>3.8293644210023707</v>
      </c>
      <c r="Y33" s="16">
        <f>基础状态预期!L44</f>
        <v>2.1397661604161704</v>
      </c>
      <c r="Z33" s="16">
        <f>基础状态预期!M44</f>
        <v>0</v>
      </c>
      <c r="AA33" s="16">
        <f>基础状态预期!N44</f>
        <v>3</v>
      </c>
      <c r="AB33" s="16">
        <f>基础状态预期!O44</f>
        <v>0</v>
      </c>
      <c r="AC33" s="16">
        <f>基础状态预期!P44</f>
        <v>0</v>
      </c>
      <c r="AD33" s="16">
        <f>基础状态预期!Q44</f>
        <v>0.16666666666666666</v>
      </c>
      <c r="AE33" s="16">
        <f>基础状态预期!R44</f>
        <v>0</v>
      </c>
      <c r="AF33" s="16">
        <f>基础状态预期!S44</f>
        <v>0.16666666666666666</v>
      </c>
      <c r="AG33" s="101">
        <f>基础状态预期!T44</f>
        <v>0.16666666666666666</v>
      </c>
      <c r="AH33" s="16" cm="1">
        <f t="array" ref="AH33">求节点(万里长城!$Q$13:$Q$172,万里长城!$W$13:$W$172,P33)</f>
        <v>35678.767297411119</v>
      </c>
      <c r="AI33" s="16" cm="1">
        <f t="array" ref="AI33">求节点($C$40:$C$54,$B$40:$B$54,AH33/36)</f>
        <v>7.1797509392129841</v>
      </c>
      <c r="AJ33" s="25" cm="1">
        <f t="array" ref="AJ33">求节点($B$22:$B$36,$I$22:$I$36,AI33)</f>
        <v>7.1797509392129852E-2</v>
      </c>
    </row>
    <row r="34" spans="2:36">
      <c r="B34" s="100">
        <v>13</v>
      </c>
      <c r="C34" s="16">
        <f t="shared" si="4"/>
        <v>78</v>
      </c>
      <c r="D34" s="16">
        <v>78</v>
      </c>
      <c r="E34" s="16">
        <v>78</v>
      </c>
      <c r="F34" s="145">
        <f t="shared" si="5"/>
        <v>6.4999999999999988E-2</v>
      </c>
      <c r="G34" s="35">
        <f t="shared" si="2"/>
        <v>6.4999999999999988E-2</v>
      </c>
      <c r="H34" s="35">
        <f t="shared" si="3"/>
        <v>6.4999999999999988E-2</v>
      </c>
      <c r="I34" s="24">
        <v>0.13</v>
      </c>
      <c r="J34" s="101">
        <f t="shared" si="6"/>
        <v>6500</v>
      </c>
      <c r="O34" s="100">
        <f>基础状态预期!B45</f>
        <v>5</v>
      </c>
      <c r="P34" s="16">
        <f>基础状态预期!C45</f>
        <v>70</v>
      </c>
      <c r="Q34" s="16">
        <f>基础状态预期!D45</f>
        <v>109.9693</v>
      </c>
      <c r="R34" s="16">
        <f>基础状态预期!E45</f>
        <v>0</v>
      </c>
      <c r="S34" s="16">
        <f>基础状态预期!F45</f>
        <v>0</v>
      </c>
      <c r="T34" s="16">
        <f>基础状态预期!G45</f>
        <v>1.6615109066245601</v>
      </c>
      <c r="U34" s="16">
        <f>基础状态预期!H45</f>
        <v>4.3384890933754399</v>
      </c>
      <c r="V34" s="16">
        <f>基础状态预期!I45</f>
        <v>0</v>
      </c>
      <c r="W34" s="16">
        <f>基础状态预期!J45</f>
        <v>0.29368517593175891</v>
      </c>
      <c r="X34" s="16">
        <f>基础状态预期!K45</f>
        <v>1.6615109066245601</v>
      </c>
      <c r="Y34" s="16">
        <f>基础状态预期!L45</f>
        <v>4.044803917443681</v>
      </c>
      <c r="Z34" s="16">
        <f>基础状态预期!M45</f>
        <v>0</v>
      </c>
      <c r="AA34" s="16">
        <f>基础状态预期!N45</f>
        <v>3</v>
      </c>
      <c r="AB34" s="16">
        <f>基础状态预期!O45</f>
        <v>0.7927093690413809</v>
      </c>
      <c r="AC34" s="16">
        <f>基础状态预期!P45</f>
        <v>0</v>
      </c>
      <c r="AD34" s="16">
        <f>基础状态预期!Q45</f>
        <v>0</v>
      </c>
      <c r="AE34" s="16">
        <f>基础状态预期!R45</f>
        <v>0.66666666666666663</v>
      </c>
      <c r="AF34" s="16">
        <f>基础状态预期!S45</f>
        <v>0.29878489484023013</v>
      </c>
      <c r="AG34" s="101">
        <f>基础状态预期!T45</f>
        <v>0.16666666666666666</v>
      </c>
      <c r="AH34" s="16" cm="1">
        <f t="array" ref="AH34">求节点(万里长城!$Q$13:$Q$172,万里长城!$W$13:$W$172,P34)</f>
        <v>76454.501351595245</v>
      </c>
      <c r="AI34" s="16" cm="1">
        <f t="array" ref="AI34">求节点($C$40:$C$54,$B$40:$B$54,AH34/36)</f>
        <v>7.9566091554563947</v>
      </c>
      <c r="AJ34" s="25" cm="1">
        <f t="array" ref="AJ34">求节点($B$22:$B$36,$I$22:$I$36,AI34)</f>
        <v>7.9566091554563956E-2</v>
      </c>
    </row>
    <row r="35" spans="2:36">
      <c r="B35" s="100">
        <v>14</v>
      </c>
      <c r="C35" s="16">
        <f t="shared" si="4"/>
        <v>84</v>
      </c>
      <c r="D35" s="16">
        <v>84</v>
      </c>
      <c r="E35" s="16">
        <v>84</v>
      </c>
      <c r="F35" s="145">
        <f t="shared" si="5"/>
        <v>6.9999999999999993E-2</v>
      </c>
      <c r="G35" s="35">
        <f t="shared" si="2"/>
        <v>6.9999999999999993E-2</v>
      </c>
      <c r="H35" s="35">
        <f t="shared" si="3"/>
        <v>6.9999999999999993E-2</v>
      </c>
      <c r="I35" s="151">
        <v>0.14000000000000001</v>
      </c>
      <c r="J35" s="101">
        <f t="shared" si="6"/>
        <v>7000</v>
      </c>
      <c r="O35" s="100">
        <f>基础状态预期!B46</f>
        <v>6</v>
      </c>
      <c r="P35" s="16">
        <f>基础状态预期!C46</f>
        <v>75</v>
      </c>
      <c r="Q35" s="16">
        <f>基础状态预期!D46</f>
        <v>155.75272949314578</v>
      </c>
      <c r="R35" s="16">
        <f>基础状态预期!E46</f>
        <v>0</v>
      </c>
      <c r="S35" s="16">
        <f>基础状态预期!F46</f>
        <v>0</v>
      </c>
      <c r="T35" s="16">
        <f>基础状态预期!G46</f>
        <v>0.45470422566467938</v>
      </c>
      <c r="U35" s="16">
        <f>基础状态预期!H46</f>
        <v>5.5452957743353206</v>
      </c>
      <c r="V35" s="16">
        <f>基础状态预期!I46</f>
        <v>0</v>
      </c>
      <c r="W35" s="16">
        <f>基础状态预期!J46</f>
        <v>0.15889303795075893</v>
      </c>
      <c r="X35" s="16">
        <f>基础状态预期!K46</f>
        <v>0.45470422566467938</v>
      </c>
      <c r="Y35" s="16">
        <f>基础状态预期!L46</f>
        <v>5.3864027363845617</v>
      </c>
      <c r="Z35" s="16">
        <f>基础状态预期!M46</f>
        <v>0</v>
      </c>
      <c r="AA35" s="16">
        <f>基础状态预期!N46</f>
        <v>3</v>
      </c>
      <c r="AB35" s="16">
        <f>基础状态预期!O46</f>
        <v>1.4331592146236485</v>
      </c>
      <c r="AC35" s="16">
        <f>基础状态预期!P46</f>
        <v>0</v>
      </c>
      <c r="AD35" s="16">
        <f>基础状态预期!Q46</f>
        <v>0</v>
      </c>
      <c r="AE35" s="16">
        <f>基础状态预期!R46</f>
        <v>0.66666666666666663</v>
      </c>
      <c r="AF35" s="16">
        <f>基础状态预期!S46</f>
        <v>0.40552653577060804</v>
      </c>
      <c r="AG35" s="101">
        <f>基础状态预期!T46</f>
        <v>0.16666666666666666</v>
      </c>
      <c r="AH35" s="16" cm="1">
        <f t="array" ref="AH35">求节点(万里长城!$Q$13:$Q$172,万里长城!$W$13:$W$172,P35)</f>
        <v>110234.22547351829</v>
      </c>
      <c r="AI35" s="16" cm="1">
        <f t="array" ref="AI35">求节点($C$40:$C$54,$B$40:$B$54,AH35/36)</f>
        <v>8.2000598579581254</v>
      </c>
      <c r="AJ35" s="25" cm="1">
        <f t="array" ref="AJ35">求节点($B$22:$B$36,$I$22:$I$36,AI35)</f>
        <v>8.2000598579581252E-2</v>
      </c>
    </row>
    <row r="36" spans="2:36">
      <c r="B36" s="102">
        <v>15</v>
      </c>
      <c r="C36" s="97">
        <v>90</v>
      </c>
      <c r="D36" s="97">
        <v>90</v>
      </c>
      <c r="E36" s="97">
        <v>90</v>
      </c>
      <c r="F36" s="143">
        <f t="shared" si="5"/>
        <v>7.4999999999999997E-2</v>
      </c>
      <c r="G36" s="147">
        <f t="shared" si="2"/>
        <v>7.4999999999999997E-2</v>
      </c>
      <c r="H36" s="147">
        <f t="shared" si="3"/>
        <v>7.4999999999999997E-2</v>
      </c>
      <c r="I36" s="148">
        <v>0.15</v>
      </c>
      <c r="J36" s="103">
        <f t="shared" si="6"/>
        <v>7500</v>
      </c>
      <c r="O36" s="100">
        <f>基础状态预期!B47</f>
        <v>7</v>
      </c>
      <c r="P36" s="16">
        <f>基础状态预期!C47</f>
        <v>80</v>
      </c>
      <c r="Q36" s="16">
        <f>基础状态预期!D47</f>
        <v>221.08500000000001</v>
      </c>
      <c r="R36" s="16">
        <f>基础状态预期!E47</f>
        <v>0</v>
      </c>
      <c r="S36" s="16">
        <f>基础状态预期!F47</f>
        <v>0</v>
      </c>
      <c r="T36" s="16">
        <f>基础状态预期!G47</f>
        <v>0</v>
      </c>
      <c r="U36" s="16">
        <f>基础状态预期!H47</f>
        <v>6</v>
      </c>
      <c r="V36" s="16">
        <f>基础状态预期!I47</f>
        <v>0</v>
      </c>
      <c r="W36" s="16">
        <f>基础状态预期!J47</f>
        <v>0</v>
      </c>
      <c r="X36" s="16">
        <f>基础状态预期!K47</f>
        <v>0</v>
      </c>
      <c r="Y36" s="16">
        <f>基础状态预期!L47</f>
        <v>6</v>
      </c>
      <c r="Z36" s="16">
        <f>基础状态预期!M47</f>
        <v>0</v>
      </c>
      <c r="AA36" s="16">
        <f>基础状态预期!N47</f>
        <v>3</v>
      </c>
      <c r="AB36" s="16">
        <f>基础状态预期!O47</f>
        <v>2.3127571571022534</v>
      </c>
      <c r="AC36" s="16">
        <f>基础状态预期!P47</f>
        <v>0.20155651426766785</v>
      </c>
      <c r="AD36" s="16">
        <f>基础状态预期!Q47</f>
        <v>0</v>
      </c>
      <c r="AE36" s="16">
        <f>基础状态预期!R47</f>
        <v>0</v>
      </c>
      <c r="AF36" s="16">
        <f>基础状态预期!S47</f>
        <v>0</v>
      </c>
      <c r="AG36" s="101">
        <f>基础状态预期!T47</f>
        <v>0.20025941904461131</v>
      </c>
      <c r="AH36" s="16" cm="1">
        <f t="array" ref="AH36">求节点(万里长城!$Q$13:$Q$172,万里长城!$W$13:$W$172,P36)</f>
        <v>158005.96945996353</v>
      </c>
      <c r="AI36" s="16" cm="1">
        <f t="array" ref="AI36">求节点($C$40:$C$54,$B$40:$B$54,AH36/36)</f>
        <v>8.5034418626477386</v>
      </c>
      <c r="AJ36" s="25" cm="1">
        <f t="array" ref="AJ36">求节点($B$22:$B$36,$I$22:$I$36,AI36)</f>
        <v>8.5034418626477384E-2</v>
      </c>
    </row>
    <row r="37" spans="2:36">
      <c r="O37" s="100">
        <f>基础状态预期!B48</f>
        <v>8</v>
      </c>
      <c r="P37" s="16">
        <f>基础状态预期!C48</f>
        <v>85</v>
      </c>
      <c r="Q37" s="16">
        <f>基础状态预期!D48</f>
        <v>311.72078937675008</v>
      </c>
      <c r="R37" s="16">
        <f>基础状态预期!E48</f>
        <v>0</v>
      </c>
      <c r="S37" s="16">
        <f>基础状态预期!F48</f>
        <v>0</v>
      </c>
      <c r="T37" s="16">
        <f>基础状态预期!G48</f>
        <v>0</v>
      </c>
      <c r="U37" s="16">
        <f>基础状态预期!H48</f>
        <v>6</v>
      </c>
      <c r="V37" s="16">
        <f>基础状态预期!I48</f>
        <v>0</v>
      </c>
      <c r="W37" s="16">
        <f>基础状态预期!J48</f>
        <v>0</v>
      </c>
      <c r="X37" s="16">
        <f>基础状态预期!K48</f>
        <v>0</v>
      </c>
      <c r="Y37" s="16">
        <f>基础状态预期!L48</f>
        <v>6</v>
      </c>
      <c r="Z37" s="16">
        <f>基础状态预期!M48</f>
        <v>0</v>
      </c>
      <c r="AA37" s="16">
        <f>基础状态预期!N48</f>
        <v>3</v>
      </c>
      <c r="AB37" s="16">
        <f>基础状态预期!O48</f>
        <v>3.5049328803873658</v>
      </c>
      <c r="AC37" s="16">
        <f>基础状态预期!P48</f>
        <v>0.61056467211427301</v>
      </c>
      <c r="AD37" s="16">
        <f>基础状态预期!Q48</f>
        <v>0</v>
      </c>
      <c r="AE37" s="16">
        <f>基础状态预期!R48</f>
        <v>0</v>
      </c>
      <c r="AF37" s="16">
        <f>基础状态预期!S48</f>
        <v>0</v>
      </c>
      <c r="AG37" s="101">
        <f>基础状态预期!T48</f>
        <v>0.26842744535237884</v>
      </c>
      <c r="AH37" s="16" cm="1">
        <f t="array" ref="AH37">求节点(万里长城!$Q$13:$Q$172,万里长城!$W$13:$W$172,P37)</f>
        <v>225565.41770380962</v>
      </c>
      <c r="AI37" s="16" cm="1">
        <f t="array" ref="AI37">求节点($C$40:$C$54,$B$40:$B$54,AH37/36)</f>
        <v>8.9324888082597269</v>
      </c>
      <c r="AJ37" s="25" cm="1">
        <f t="array" ref="AJ37">求节点($B$22:$B$36,$I$22:$I$36,AI37)</f>
        <v>8.9324888082597267E-2</v>
      </c>
    </row>
    <row r="38" spans="2:36">
      <c r="O38" s="100">
        <f>基础状态预期!B49</f>
        <v>9</v>
      </c>
      <c r="P38" s="16">
        <f>基础状态预期!C49</f>
        <v>90</v>
      </c>
      <c r="Q38" s="16">
        <f>基础状态预期!D49</f>
        <v>438.13140000000004</v>
      </c>
      <c r="R38" s="16">
        <f>基础状态预期!E49</f>
        <v>0</v>
      </c>
      <c r="S38" s="16">
        <f>基础状态预期!F49</f>
        <v>0</v>
      </c>
      <c r="T38" s="16">
        <f>基础状态预期!G49</f>
        <v>0</v>
      </c>
      <c r="U38" s="16">
        <f>基础状态预期!H49</f>
        <v>6</v>
      </c>
      <c r="V38" s="16">
        <f>基础状态预期!I49</f>
        <v>0</v>
      </c>
      <c r="W38" s="16">
        <f>基础状态预期!J49</f>
        <v>0</v>
      </c>
      <c r="X38" s="16">
        <f>基础状态预期!K49</f>
        <v>0</v>
      </c>
      <c r="Y38" s="16">
        <f>基础状态预期!L49</f>
        <v>6</v>
      </c>
      <c r="Z38" s="16">
        <f>基础状态预期!M49</f>
        <v>0</v>
      </c>
      <c r="AA38" s="16">
        <f>基础状态预期!N49</f>
        <v>3</v>
      </c>
      <c r="AB38" s="16">
        <f>基础状态预期!O49</f>
        <v>5</v>
      </c>
      <c r="AC38" s="16">
        <f>基础状态预期!P49</f>
        <v>1.1580351301500733</v>
      </c>
      <c r="AD38" s="16">
        <f>基础状态预期!Q49</f>
        <v>0</v>
      </c>
      <c r="AE38" s="16">
        <f>基础状态预期!R49</f>
        <v>0</v>
      </c>
      <c r="AF38" s="16">
        <f>基础状态预期!S49</f>
        <v>0</v>
      </c>
      <c r="AG38" s="101">
        <f>基础状态预期!T49</f>
        <v>0.35967252169167885</v>
      </c>
      <c r="AH38" s="16" cm="1">
        <f t="array" ref="AH38">求节点(万里长城!$Q$13:$Q$172,万里长城!$W$13:$W$172,P38)</f>
        <v>321108.90567670006</v>
      </c>
      <c r="AI38" s="16" cm="1">
        <f t="array" ref="AI38">求节点($C$40:$C$54,$B$40:$B$54,AH38/36)</f>
        <v>9.179750939212985</v>
      </c>
      <c r="AJ38" s="25" cm="1">
        <f t="array" ref="AJ38">求节点($B$22:$B$36,$I$22:$I$36,AI38)</f>
        <v>9.1797509392129842E-2</v>
      </c>
    </row>
    <row r="39" spans="2:36">
      <c r="B39" s="98" t="s">
        <v>724</v>
      </c>
      <c r="C39" s="104" t="s">
        <v>601</v>
      </c>
      <c r="D39" s="104" t="s">
        <v>725</v>
      </c>
      <c r="E39" s="104" t="s">
        <v>156</v>
      </c>
      <c r="F39" s="104" t="s">
        <v>726</v>
      </c>
      <c r="G39" s="104" t="s">
        <v>726</v>
      </c>
      <c r="H39" s="104" t="s">
        <v>757</v>
      </c>
      <c r="I39" s="99" t="s">
        <v>758</v>
      </c>
      <c r="O39" s="100">
        <f>基础状态预期!B50</f>
        <v>10</v>
      </c>
      <c r="P39" s="16">
        <f>基础状态预期!C50</f>
        <v>95</v>
      </c>
      <c r="Q39" s="16">
        <f>基础状态预期!D50</f>
        <v>618.15882133005255</v>
      </c>
      <c r="R39" s="16">
        <f>基础状态预期!E50</f>
        <v>0</v>
      </c>
      <c r="S39" s="16">
        <f>基础状态预期!F50</f>
        <v>0</v>
      </c>
      <c r="T39" s="16">
        <f>基础状态预期!G50</f>
        <v>0</v>
      </c>
      <c r="U39" s="16">
        <f>基础状态预期!H50</f>
        <v>6</v>
      </c>
      <c r="V39" s="16">
        <f>基础状态预期!I50</f>
        <v>0</v>
      </c>
      <c r="W39" s="16">
        <f>基础状态预期!J50</f>
        <v>0</v>
      </c>
      <c r="X39" s="16">
        <f>基础状态预期!K50</f>
        <v>0</v>
      </c>
      <c r="Y39" s="16">
        <f>基础状态预期!L50</f>
        <v>6</v>
      </c>
      <c r="Z39" s="16">
        <f>基础状态预期!M50</f>
        <v>0</v>
      </c>
      <c r="AA39" s="16">
        <f>基础状态预期!N50</f>
        <v>3</v>
      </c>
      <c r="AB39" s="16">
        <f>基础状态预期!O50</f>
        <v>5</v>
      </c>
      <c r="AC39" s="16">
        <f>基础状态预期!P50</f>
        <v>1.917493865794361</v>
      </c>
      <c r="AD39" s="16">
        <f>基础状态预期!Q50</f>
        <v>0</v>
      </c>
      <c r="AE39" s="16">
        <f>基础状态预期!R50</f>
        <v>0</v>
      </c>
      <c r="AF39" s="16">
        <f>基础状态预期!S50</f>
        <v>0</v>
      </c>
      <c r="AG39" s="101">
        <f>基础状态预期!T50</f>
        <v>0.4862489776323935</v>
      </c>
      <c r="AH39" s="16" cm="1">
        <f t="array" ref="AH39">求节点(万里长城!$Q$13:$Q$172,万里长城!$W$13:$W$172,P39)</f>
        <v>456227.80216439231</v>
      </c>
      <c r="AI39" s="16" cm="1">
        <f t="array" ref="AI39">求节点($C$40:$C$54,$B$40:$B$54,AH39/36)</f>
        <v>9.4657822362876427</v>
      </c>
      <c r="AJ39" s="25" cm="1">
        <f t="array" ref="AJ39">求节点($B$22:$B$36,$I$22:$I$36,AI39)</f>
        <v>9.4657822362876426E-2</v>
      </c>
    </row>
    <row r="40" spans="2:36">
      <c r="B40" s="100">
        <v>1</v>
      </c>
      <c r="C40" s="16">
        <v>1</v>
      </c>
      <c r="D40" s="16">
        <v>10</v>
      </c>
      <c r="E40" s="16">
        <v>0.1</v>
      </c>
      <c r="F40" s="158">
        <f>D40*E40</f>
        <v>1</v>
      </c>
      <c r="G40" s="16">
        <v>1</v>
      </c>
      <c r="H40" s="159">
        <f>G40/45</f>
        <v>2.2222222222222223E-2</v>
      </c>
      <c r="I40" s="101">
        <f t="shared" ref="I40:I48" si="7">G40/10/H40</f>
        <v>4.5</v>
      </c>
      <c r="J40" s="16" t="e">
        <f t="shared" ref="J40:J54" si="8">F40/F39</f>
        <v>#VALUE!</v>
      </c>
      <c r="O40" s="100">
        <f>基础状态预期!B51</f>
        <v>11</v>
      </c>
      <c r="P40" s="16">
        <f>基础状态预期!C51</f>
        <v>100</v>
      </c>
      <c r="Q40" s="16">
        <f>基础状态预期!D51</f>
        <v>875.38110000000006</v>
      </c>
      <c r="R40" s="16">
        <f>基础状态预期!E51</f>
        <v>0</v>
      </c>
      <c r="S40" s="16">
        <f>基础状态预期!F51</f>
        <v>0</v>
      </c>
      <c r="T40" s="16">
        <f>基础状态预期!G51</f>
        <v>0</v>
      </c>
      <c r="U40" s="16">
        <f>基础状态预期!H51</f>
        <v>6</v>
      </c>
      <c r="V40" s="16">
        <f>基础状态预期!I51</f>
        <v>0</v>
      </c>
      <c r="W40" s="16">
        <f>基础状态预期!J51</f>
        <v>0</v>
      </c>
      <c r="X40" s="16">
        <f>基础状态预期!K51</f>
        <v>0</v>
      </c>
      <c r="Y40" s="16">
        <f>基础状态预期!L51</f>
        <v>6</v>
      </c>
      <c r="Z40" s="16">
        <f>基础状态预期!M51</f>
        <v>0</v>
      </c>
      <c r="AA40" s="16">
        <f>基础状态预期!N51</f>
        <v>3</v>
      </c>
      <c r="AB40" s="16">
        <f>基础状态预期!O51</f>
        <v>5</v>
      </c>
      <c r="AC40" s="16">
        <f>基础状态预期!P51</f>
        <v>2.9676239777031448</v>
      </c>
      <c r="AD40" s="16">
        <f>基础状态预期!Q51</f>
        <v>0</v>
      </c>
      <c r="AE40" s="16">
        <f>基础状态预期!R51</f>
        <v>0</v>
      </c>
      <c r="AF40" s="16">
        <f>基础状态预期!S51</f>
        <v>0</v>
      </c>
      <c r="AG40" s="101">
        <f>基础状态预期!T51</f>
        <v>0.66127066295052406</v>
      </c>
      <c r="AH40" s="16" cm="1">
        <f t="array" ref="AH40">求节点(万里长城!$Q$13:$Q$172,万里长城!$W$13:$W$172,P40)</f>
        <v>647314.77811017307</v>
      </c>
      <c r="AI40" s="16" cm="1">
        <f t="array" ref="AI40">求节点($C$40:$C$54,$B$40:$B$54,AH40/36)</f>
        <v>9.870291575873793</v>
      </c>
      <c r="AJ40" s="25" cm="1">
        <f t="array" ref="AJ40">求节点($B$22:$B$36,$I$22:$I$36,AI40)</f>
        <v>9.8702915758737936E-2</v>
      </c>
    </row>
    <row r="41" spans="2:36">
      <c r="B41" s="100">
        <v>2</v>
      </c>
      <c r="C41" s="16">
        <f>C40*3</f>
        <v>3</v>
      </c>
      <c r="D41" s="16">
        <f>D40*3</f>
        <v>30</v>
      </c>
      <c r="E41" s="16">
        <f>E40+0.1</f>
        <v>0.2</v>
      </c>
      <c r="F41" s="158">
        <f t="shared" ref="F41:F54" si="9">D41*E41</f>
        <v>6</v>
      </c>
      <c r="G41" s="16">
        <v>6</v>
      </c>
      <c r="H41" s="159">
        <f t="shared" ref="H41:H54" si="10">G41/45</f>
        <v>0.13333333333333333</v>
      </c>
      <c r="I41" s="101">
        <f t="shared" si="7"/>
        <v>4.5</v>
      </c>
      <c r="J41" s="16">
        <f t="shared" si="8"/>
        <v>6</v>
      </c>
      <c r="O41" s="100">
        <f>基础状态预期!B52</f>
        <v>12</v>
      </c>
      <c r="P41" s="16">
        <f>基础状态预期!C52</f>
        <v>105</v>
      </c>
      <c r="Q41" s="16">
        <f>基础状态预期!D52</f>
        <v>1234.8570951595132</v>
      </c>
      <c r="R41" s="16">
        <f>基础状态预期!E52</f>
        <v>0</v>
      </c>
      <c r="S41" s="16">
        <f>基础状态预期!F52</f>
        <v>0</v>
      </c>
      <c r="T41" s="16">
        <f>基础状态预期!G52</f>
        <v>0</v>
      </c>
      <c r="U41" s="16">
        <f>基础状态预期!H52</f>
        <v>6</v>
      </c>
      <c r="V41" s="16">
        <f>基础状态预期!I52</f>
        <v>0</v>
      </c>
      <c r="W41" s="16">
        <f>基础状态预期!J52</f>
        <v>0</v>
      </c>
      <c r="X41" s="16">
        <f>基础状态预期!K52</f>
        <v>0</v>
      </c>
      <c r="Y41" s="16">
        <f>基础状态预期!L52</f>
        <v>6</v>
      </c>
      <c r="Z41" s="16">
        <f>基础状态预期!M52</f>
        <v>0</v>
      </c>
      <c r="AA41" s="16">
        <f>基础状态预期!N52</f>
        <v>3</v>
      </c>
      <c r="AB41" s="16">
        <f>基础状态预期!O52</f>
        <v>5</v>
      </c>
      <c r="AC41" s="16">
        <f>基础状态预期!P52</f>
        <v>4.403171212578183</v>
      </c>
      <c r="AD41" s="16">
        <f>基础状态预期!Q52</f>
        <v>0</v>
      </c>
      <c r="AE41" s="16">
        <f>基础状态预期!R52</f>
        <v>0</v>
      </c>
      <c r="AF41" s="16">
        <f>基础状态预期!S52</f>
        <v>0</v>
      </c>
      <c r="AG41" s="101">
        <f>基础状态预期!T52</f>
        <v>0.90052853542969713</v>
      </c>
      <c r="AH41" s="16" cm="1">
        <f t="array" ref="AH41">求节点(万里长城!$Q$13:$Q$172,万里长城!$W$13:$W$172,P41)</f>
        <v>917552.57108555769</v>
      </c>
      <c r="AI41" s="16" cm="1">
        <f t="array" ref="AI41">求节点($C$40:$C$54,$B$40:$B$54,AH41/36)</f>
        <v>10.147451390007705</v>
      </c>
      <c r="AJ41" s="25" cm="1">
        <f t="array" ref="AJ41">求节点($B$22:$B$36,$I$22:$I$36,AI41)</f>
        <v>0.10147451390007706</v>
      </c>
    </row>
    <row r="42" spans="2:36">
      <c r="B42" s="100">
        <v>3</v>
      </c>
      <c r="C42" s="16">
        <f>C41*3</f>
        <v>9</v>
      </c>
      <c r="D42" s="16">
        <f t="shared" ref="D42:D54" si="11">D41*3</f>
        <v>90</v>
      </c>
      <c r="E42" s="16">
        <f t="shared" ref="E42:E48" si="12">E41+0.1</f>
        <v>0.30000000000000004</v>
      </c>
      <c r="F42" s="158">
        <f t="shared" si="9"/>
        <v>27.000000000000004</v>
      </c>
      <c r="G42" s="16">
        <v>27</v>
      </c>
      <c r="H42" s="159">
        <f t="shared" si="10"/>
        <v>0.6</v>
      </c>
      <c r="I42" s="101">
        <f t="shared" si="7"/>
        <v>4.5000000000000009</v>
      </c>
      <c r="J42" s="16">
        <f t="shared" si="8"/>
        <v>4.5000000000000009</v>
      </c>
      <c r="O42" s="100">
        <f>基础状态预期!B53</f>
        <v>13</v>
      </c>
      <c r="P42" s="16">
        <f>基础状态预期!C53</f>
        <v>110</v>
      </c>
      <c r="Q42" s="16">
        <f>基础状态预期!D53</f>
        <v>1741.3829000000001</v>
      </c>
      <c r="R42" s="16">
        <f>基础状态预期!E53</f>
        <v>0</v>
      </c>
      <c r="S42" s="16">
        <f>基础状态预期!F53</f>
        <v>0</v>
      </c>
      <c r="T42" s="16">
        <f>基础状态预期!G53</f>
        <v>0</v>
      </c>
      <c r="U42" s="16">
        <f>基础状态预期!H53</f>
        <v>6</v>
      </c>
      <c r="V42" s="16">
        <f>基础状态预期!I53</f>
        <v>0</v>
      </c>
      <c r="W42" s="16">
        <f>基础状态预期!J53</f>
        <v>0</v>
      </c>
      <c r="X42" s="16">
        <f>基础状态预期!K53</f>
        <v>0</v>
      </c>
      <c r="Y42" s="16">
        <f>基础状态预期!L53</f>
        <v>6</v>
      </c>
      <c r="Z42" s="16">
        <f>基础状态预期!M53</f>
        <v>0</v>
      </c>
      <c r="AA42" s="16">
        <f>基础状态预期!N53</f>
        <v>3</v>
      </c>
      <c r="AB42" s="16">
        <f>基础状态预期!O53</f>
        <v>5</v>
      </c>
      <c r="AC42" s="16">
        <f>基础状态预期!P53</f>
        <v>5</v>
      </c>
      <c r="AD42" s="16">
        <f>基础状态预期!Q53</f>
        <v>0</v>
      </c>
      <c r="AE42" s="16">
        <f>基础状态预期!R53</f>
        <v>0</v>
      </c>
      <c r="AF42" s="16">
        <f>基础状态预期!S53</f>
        <v>0</v>
      </c>
      <c r="AG42" s="101">
        <f>基础状态预期!T53</f>
        <v>1</v>
      </c>
      <c r="AH42" s="16" cm="1">
        <f t="array" ref="AH42">求节点(万里长城!$Q$13:$Q$172,万里长城!$W$13:$W$172,P42)</f>
        <v>1299726.5229771193</v>
      </c>
      <c r="AI42" s="16" cm="1">
        <f t="array" ref="AI42">求节点($C$40:$C$54,$B$40:$B$54,AH42/36)</f>
        <v>10.417124283065137</v>
      </c>
      <c r="AJ42" s="25" cm="1">
        <f t="array" ref="AJ42">求节点($B$22:$B$36,$I$22:$I$36,AI42)</f>
        <v>0.10417124283065138</v>
      </c>
    </row>
    <row r="43" spans="2:36">
      <c r="B43" s="100">
        <v>4</v>
      </c>
      <c r="C43" s="16">
        <f t="shared" ref="C43:C54" si="13">C42*3</f>
        <v>27</v>
      </c>
      <c r="D43" s="16">
        <f t="shared" si="11"/>
        <v>270</v>
      </c>
      <c r="E43" s="16">
        <f t="shared" si="12"/>
        <v>0.4</v>
      </c>
      <c r="F43" s="158">
        <f t="shared" si="9"/>
        <v>108</v>
      </c>
      <c r="G43" s="16">
        <v>100</v>
      </c>
      <c r="H43" s="159">
        <f t="shared" si="10"/>
        <v>2.2222222222222223</v>
      </c>
      <c r="I43" s="101">
        <f t="shared" si="7"/>
        <v>4.5</v>
      </c>
      <c r="J43" s="16">
        <f t="shared" si="8"/>
        <v>3.9999999999999996</v>
      </c>
      <c r="O43" s="100">
        <f>基础状态预期!B54</f>
        <v>14</v>
      </c>
      <c r="P43" s="16">
        <f>基础状态预期!C54</f>
        <v>115</v>
      </c>
      <c r="Q43" s="16">
        <f>基础状态预期!D54</f>
        <v>2463.0396859421021</v>
      </c>
      <c r="R43" s="16">
        <f>基础状态预期!E54</f>
        <v>0</v>
      </c>
      <c r="S43" s="16">
        <f>基础状态预期!F54</f>
        <v>0</v>
      </c>
      <c r="T43" s="16">
        <f>基础状态预期!G54</f>
        <v>0</v>
      </c>
      <c r="U43" s="16">
        <f>基础状态预期!H54</f>
        <v>6</v>
      </c>
      <c r="V43" s="16">
        <f>基础状态预期!I54</f>
        <v>0</v>
      </c>
      <c r="W43" s="16">
        <f>基础状态预期!J54</f>
        <v>0</v>
      </c>
      <c r="X43" s="16">
        <f>基础状态预期!K54</f>
        <v>0</v>
      </c>
      <c r="Y43" s="16">
        <f>基础状态预期!L54</f>
        <v>6</v>
      </c>
      <c r="Z43" s="16">
        <f>基础状态预期!M54</f>
        <v>0</v>
      </c>
      <c r="AA43" s="16">
        <f>基础状态预期!N54</f>
        <v>3</v>
      </c>
      <c r="AB43" s="16">
        <f>基础状态预期!O54</f>
        <v>5</v>
      </c>
      <c r="AC43" s="16">
        <f>基础状态预期!P54</f>
        <v>5</v>
      </c>
      <c r="AD43" s="16">
        <f>基础状态预期!Q54</f>
        <v>0</v>
      </c>
      <c r="AE43" s="16">
        <f>基础状态预期!R54</f>
        <v>0</v>
      </c>
      <c r="AF43" s="16">
        <f>基础状态预期!S54</f>
        <v>0</v>
      </c>
      <c r="AG43" s="101">
        <f>基础状态预期!T54</f>
        <v>1</v>
      </c>
      <c r="AH43" s="16" cm="1">
        <f t="array" ref="AH43">求节点(万里长城!$Q$13:$Q$172,万里长城!$W$13:$W$172,P43)</f>
        <v>1840202.1089278886</v>
      </c>
      <c r="AI43" s="16" cm="1">
        <f t="array" ref="AI43">求节点($C$40:$C$54,$B$40:$B$54,AH43/36)</f>
        <v>10.798499345831349</v>
      </c>
      <c r="AJ43" s="25" cm="1">
        <f t="array" ref="AJ43">求节点($B$22:$B$36,$I$22:$I$36,AI43)</f>
        <v>0.10798499345831349</v>
      </c>
    </row>
    <row r="44" spans="2:36">
      <c r="B44" s="100">
        <v>5</v>
      </c>
      <c r="C44" s="16">
        <f t="shared" si="13"/>
        <v>81</v>
      </c>
      <c r="D44" s="16">
        <f t="shared" si="11"/>
        <v>810</v>
      </c>
      <c r="E44" s="16">
        <f t="shared" si="12"/>
        <v>0.5</v>
      </c>
      <c r="F44" s="158">
        <f t="shared" si="9"/>
        <v>405</v>
      </c>
      <c r="G44" s="16">
        <f>ROUND(F44,-2)</f>
        <v>400</v>
      </c>
      <c r="H44" s="159">
        <f t="shared" si="10"/>
        <v>8.8888888888888893</v>
      </c>
      <c r="I44" s="101">
        <f t="shared" si="7"/>
        <v>4.5</v>
      </c>
      <c r="J44" s="16">
        <f t="shared" si="8"/>
        <v>3.75</v>
      </c>
      <c r="O44" s="100">
        <f>基础状态预期!B55</f>
        <v>15</v>
      </c>
      <c r="P44" s="16">
        <f>基础状态预期!C55</f>
        <v>120</v>
      </c>
      <c r="Q44" s="16">
        <f>基础状态预期!D55</f>
        <v>3486.0735</v>
      </c>
      <c r="R44" s="16">
        <f>基础状态预期!E55</f>
        <v>0</v>
      </c>
      <c r="S44" s="16">
        <f>基础状态预期!F55</f>
        <v>0</v>
      </c>
      <c r="T44" s="16">
        <f>基础状态预期!G55</f>
        <v>0</v>
      </c>
      <c r="U44" s="16">
        <f>基础状态预期!H55</f>
        <v>6</v>
      </c>
      <c r="V44" s="16">
        <f>基础状态预期!I55</f>
        <v>0</v>
      </c>
      <c r="W44" s="16">
        <f>基础状态预期!J55</f>
        <v>0</v>
      </c>
      <c r="X44" s="16">
        <f>基础状态预期!K55</f>
        <v>0</v>
      </c>
      <c r="Y44" s="16">
        <f>基础状态预期!L55</f>
        <v>6</v>
      </c>
      <c r="Z44" s="16">
        <f>基础状态预期!M55</f>
        <v>0</v>
      </c>
      <c r="AA44" s="16">
        <f>基础状态预期!N55</f>
        <v>3</v>
      </c>
      <c r="AB44" s="16">
        <f>基础状态预期!O55</f>
        <v>5</v>
      </c>
      <c r="AC44" s="16">
        <f>基础状态预期!P55</f>
        <v>5</v>
      </c>
      <c r="AD44" s="16">
        <f>基础状态预期!Q55</f>
        <v>0</v>
      </c>
      <c r="AE44" s="16">
        <f>基础状态预期!R55</f>
        <v>0</v>
      </c>
      <c r="AF44" s="16">
        <f>基础状态预期!S55</f>
        <v>0</v>
      </c>
      <c r="AG44" s="101">
        <f>基础状态预期!T55</f>
        <v>1</v>
      </c>
      <c r="AH44" s="16" cm="1">
        <f t="array" ref="AH44">求节点(万里长城!$Q$13:$Q$172,万里长城!$W$13:$W$172,P44)</f>
        <v>2604550.0127110113</v>
      </c>
      <c r="AI44" s="16" cm="1">
        <f t="array" ref="AI44">求节点($C$40:$C$54,$B$40:$B$54,AH44/36)</f>
        <v>11.112615043982073</v>
      </c>
      <c r="AJ44" s="25" cm="1">
        <f t="array" ref="AJ44">求节点($B$22:$B$36,$I$22:$I$36,AI44)</f>
        <v>0.11112615043982073</v>
      </c>
    </row>
    <row r="45" spans="2:36">
      <c r="B45" s="100">
        <v>6</v>
      </c>
      <c r="C45" s="16">
        <f t="shared" si="13"/>
        <v>243</v>
      </c>
      <c r="D45" s="16">
        <f t="shared" si="11"/>
        <v>2430</v>
      </c>
      <c r="E45" s="16">
        <f t="shared" si="12"/>
        <v>0.6</v>
      </c>
      <c r="F45" s="158">
        <f t="shared" si="9"/>
        <v>1458</v>
      </c>
      <c r="G45" s="16">
        <f t="shared" ref="G45" si="14">ROUND(F45,-2)</f>
        <v>1500</v>
      </c>
      <c r="H45" s="159">
        <f t="shared" si="10"/>
        <v>33.333333333333336</v>
      </c>
      <c r="I45" s="101">
        <f t="shared" si="7"/>
        <v>4.5</v>
      </c>
      <c r="J45" s="16">
        <f t="shared" si="8"/>
        <v>3.6</v>
      </c>
      <c r="O45" s="100">
        <f>基础状态预期!B56</f>
        <v>16</v>
      </c>
      <c r="P45" s="16">
        <f>基础状态预期!C56</f>
        <v>125</v>
      </c>
      <c r="Q45" s="16">
        <f>基础状态预期!D56</f>
        <v>4918.821805632133</v>
      </c>
      <c r="R45" s="16">
        <f>基础状态预期!E56</f>
        <v>0</v>
      </c>
      <c r="S45" s="16">
        <f>基础状态预期!F56</f>
        <v>0</v>
      </c>
      <c r="T45" s="16">
        <f>基础状态预期!G56</f>
        <v>0</v>
      </c>
      <c r="U45" s="16">
        <f>基础状态预期!H56</f>
        <v>6</v>
      </c>
      <c r="V45" s="16">
        <f>基础状态预期!I56</f>
        <v>0</v>
      </c>
      <c r="W45" s="16">
        <f>基础状态预期!J56</f>
        <v>0</v>
      </c>
      <c r="X45" s="16">
        <f>基础状态预期!K56</f>
        <v>0</v>
      </c>
      <c r="Y45" s="16">
        <f>基础状态预期!L56</f>
        <v>6</v>
      </c>
      <c r="Z45" s="16">
        <f>基础状态预期!M56</f>
        <v>0</v>
      </c>
      <c r="AA45" s="16">
        <f>基础状态预期!N56</f>
        <v>3</v>
      </c>
      <c r="AB45" s="16">
        <f>基础状态预期!O56</f>
        <v>5</v>
      </c>
      <c r="AC45" s="16">
        <f>基础状态预期!P56</f>
        <v>5</v>
      </c>
      <c r="AD45" s="16">
        <f>基础状态预期!Q56</f>
        <v>0</v>
      </c>
      <c r="AE45" s="16">
        <f>基础状态预期!R56</f>
        <v>0</v>
      </c>
      <c r="AF45" s="16">
        <f>基础状态预期!S56</f>
        <v>0</v>
      </c>
      <c r="AG45" s="101">
        <f>基础状态预期!T56</f>
        <v>1</v>
      </c>
      <c r="AH45" s="16" cm="1">
        <f t="array" ref="AH45">求节点(万里长城!$Q$13:$Q$172,万里长城!$W$13:$W$172,P45)</f>
        <v>3685501.1846125508</v>
      </c>
      <c r="AI45" s="16" cm="1">
        <f t="array" ref="AI45">求节点($C$40:$C$54,$B$40:$B$54,AH45/36)</f>
        <v>11.366865085826214</v>
      </c>
      <c r="AJ45" s="25" cm="1">
        <f t="array" ref="AJ45">求节点($B$22:$B$36,$I$22:$I$36,AI45)</f>
        <v>0.11366865085826214</v>
      </c>
    </row>
    <row r="46" spans="2:36">
      <c r="B46" s="100">
        <v>7</v>
      </c>
      <c r="C46" s="16">
        <f t="shared" si="13"/>
        <v>729</v>
      </c>
      <c r="D46" s="16">
        <f t="shared" si="11"/>
        <v>7290</v>
      </c>
      <c r="E46" s="16">
        <f t="shared" si="12"/>
        <v>0.7</v>
      </c>
      <c r="F46" s="158">
        <f t="shared" si="9"/>
        <v>5103</v>
      </c>
      <c r="G46" s="16">
        <v>5000</v>
      </c>
      <c r="H46" s="159">
        <f t="shared" si="10"/>
        <v>111.11111111111111</v>
      </c>
      <c r="I46" s="101">
        <f t="shared" si="7"/>
        <v>4.5</v>
      </c>
      <c r="J46" s="16">
        <f t="shared" si="8"/>
        <v>3.5</v>
      </c>
      <c r="O46" s="100">
        <f>基础状态预期!B57</f>
        <v>17</v>
      </c>
      <c r="P46" s="16">
        <f>基础状态预期!C57</f>
        <v>130</v>
      </c>
      <c r="Q46" s="16">
        <f>基础状态预期!D57</f>
        <v>6941.8725000000004</v>
      </c>
      <c r="R46" s="16">
        <f>基础状态预期!E57</f>
        <v>0</v>
      </c>
      <c r="S46" s="16">
        <f>基础状态预期!F57</f>
        <v>0</v>
      </c>
      <c r="T46" s="16">
        <f>基础状态预期!G57</f>
        <v>0</v>
      </c>
      <c r="U46" s="16">
        <f>基础状态预期!H57</f>
        <v>6</v>
      </c>
      <c r="V46" s="16">
        <f>基础状态预期!I57</f>
        <v>0</v>
      </c>
      <c r="W46" s="16">
        <f>基础状态预期!J57</f>
        <v>0</v>
      </c>
      <c r="X46" s="16">
        <f>基础状态预期!K57</f>
        <v>0</v>
      </c>
      <c r="Y46" s="16">
        <f>基础状态预期!L57</f>
        <v>6</v>
      </c>
      <c r="Z46" s="16">
        <f>基础状态预期!M57</f>
        <v>0</v>
      </c>
      <c r="AA46" s="16">
        <f>基础状态预期!N57</f>
        <v>3</v>
      </c>
      <c r="AB46" s="16">
        <f>基础状态预期!O57</f>
        <v>5</v>
      </c>
      <c r="AC46" s="16">
        <f>基础状态预期!P57</f>
        <v>5</v>
      </c>
      <c r="AD46" s="16">
        <f>基础状态预期!Q57</f>
        <v>0</v>
      </c>
      <c r="AE46" s="16">
        <f>基础状态预期!R57</f>
        <v>0</v>
      </c>
      <c r="AF46" s="16">
        <f>基础状态预期!S57</f>
        <v>0</v>
      </c>
      <c r="AG46" s="101">
        <f>基础状态预期!T57</f>
        <v>1</v>
      </c>
      <c r="AH46" s="16" cm="1">
        <f t="array" ref="AH46">求节点(万里长城!$Q$13:$Q$172,万里长城!$W$13:$W$172,P46)</f>
        <v>5214196.9921787959</v>
      </c>
      <c r="AI46" s="16" cm="1">
        <f t="array" ref="AI46">求节点($C$40:$C$54,$B$40:$B$54,AH46/36)</f>
        <v>11.726428943236124</v>
      </c>
      <c r="AJ46" s="25" cm="1">
        <f t="array" ref="AJ46">求节点($B$22:$B$36,$I$22:$I$36,AI46)</f>
        <v>0.11726428943236124</v>
      </c>
    </row>
    <row r="47" spans="2:36">
      <c r="B47" s="100">
        <v>8</v>
      </c>
      <c r="C47" s="16">
        <f t="shared" si="13"/>
        <v>2187</v>
      </c>
      <c r="D47" s="16">
        <f t="shared" si="11"/>
        <v>21870</v>
      </c>
      <c r="E47" s="16">
        <f t="shared" si="12"/>
        <v>0.79999999999999993</v>
      </c>
      <c r="F47" s="158">
        <f t="shared" si="9"/>
        <v>17496</v>
      </c>
      <c r="G47" s="16">
        <v>18000</v>
      </c>
      <c r="H47" s="159">
        <f t="shared" si="10"/>
        <v>400</v>
      </c>
      <c r="I47" s="101">
        <f t="shared" si="7"/>
        <v>4.5</v>
      </c>
      <c r="J47" s="16">
        <f t="shared" si="8"/>
        <v>3.4285714285714284</v>
      </c>
      <c r="O47" s="100">
        <f>基础状态预期!B58</f>
        <v>18</v>
      </c>
      <c r="P47" s="16">
        <f>基础状态预期!C58</f>
        <v>135</v>
      </c>
      <c r="Q47" s="16">
        <f>基础状态预期!D58</f>
        <v>9796.789656253608</v>
      </c>
      <c r="R47" s="16">
        <f>基础状态预期!E58</f>
        <v>0</v>
      </c>
      <c r="S47" s="16">
        <f>基础状态预期!F58</f>
        <v>0</v>
      </c>
      <c r="T47" s="16">
        <f>基础状态预期!G58</f>
        <v>0</v>
      </c>
      <c r="U47" s="16">
        <f>基础状态预期!H58</f>
        <v>6</v>
      </c>
      <c r="V47" s="16">
        <f>基础状态预期!I58</f>
        <v>0</v>
      </c>
      <c r="W47" s="16">
        <f>基础状态预期!J58</f>
        <v>0</v>
      </c>
      <c r="X47" s="16">
        <f>基础状态预期!K58</f>
        <v>0</v>
      </c>
      <c r="Y47" s="16">
        <f>基础状态预期!L58</f>
        <v>6</v>
      </c>
      <c r="Z47" s="16">
        <f>基础状态预期!M58</f>
        <v>0</v>
      </c>
      <c r="AA47" s="16">
        <f>基础状态预期!N58</f>
        <v>3</v>
      </c>
      <c r="AB47" s="16">
        <f>基础状态预期!O58</f>
        <v>5</v>
      </c>
      <c r="AC47" s="16">
        <f>基础状态预期!P58</f>
        <v>5</v>
      </c>
      <c r="AD47" s="16">
        <f>基础状态预期!Q58</f>
        <v>0</v>
      </c>
      <c r="AE47" s="16">
        <f>基础状态预期!R58</f>
        <v>0</v>
      </c>
      <c r="AF47" s="16">
        <f>基础状态预期!S58</f>
        <v>0</v>
      </c>
      <c r="AG47" s="101">
        <f>基础状态预期!T58</f>
        <v>1</v>
      </c>
      <c r="AH47" s="16" cm="1">
        <f t="array" ref="AH47">求节点(万里长城!$Q$13:$Q$172,万里长城!$W$13:$W$172,P47)</f>
        <v>7376099.3359818738</v>
      </c>
      <c r="AI47" s="16" cm="1">
        <f t="array" ref="AI47">求节点($C$40:$C$54,$B$40:$B$54,AH47/36)</f>
        <v>12.078309675641469</v>
      </c>
      <c r="AJ47" s="25" cm="1">
        <f t="array" ref="AJ47">求节点($B$22:$B$36,$I$22:$I$36,AI47)</f>
        <v>0.12078309675641469</v>
      </c>
    </row>
    <row r="48" spans="2:36">
      <c r="B48" s="100">
        <v>9</v>
      </c>
      <c r="C48" s="16">
        <f t="shared" si="13"/>
        <v>6561</v>
      </c>
      <c r="D48" s="16">
        <f t="shared" si="11"/>
        <v>65610</v>
      </c>
      <c r="E48" s="16">
        <f t="shared" si="12"/>
        <v>0.89999999999999991</v>
      </c>
      <c r="F48" s="158">
        <f>D48*E48</f>
        <v>59048.999999999993</v>
      </c>
      <c r="G48" s="137">
        <v>60000</v>
      </c>
      <c r="H48" s="159">
        <f t="shared" si="10"/>
        <v>1333.3333333333333</v>
      </c>
      <c r="I48" s="101">
        <f t="shared" si="7"/>
        <v>4.5</v>
      </c>
      <c r="J48" s="16">
        <f t="shared" si="8"/>
        <v>3.3749999999999996</v>
      </c>
      <c r="O48" s="100">
        <f>基础状态预期!B59</f>
        <v>19</v>
      </c>
      <c r="P48" s="16">
        <f>基础状态预期!C59</f>
        <v>140</v>
      </c>
      <c r="Q48" s="16">
        <f>基础状态预期!D59</f>
        <v>13881.315900000001</v>
      </c>
      <c r="R48" s="16">
        <f>基础状态预期!E59</f>
        <v>0</v>
      </c>
      <c r="S48" s="16">
        <f>基础状态预期!F59</f>
        <v>0</v>
      </c>
      <c r="T48" s="16">
        <f>基础状态预期!G59</f>
        <v>0</v>
      </c>
      <c r="U48" s="16">
        <f>基础状态预期!H59</f>
        <v>6</v>
      </c>
      <c r="V48" s="16">
        <f>基础状态预期!I59</f>
        <v>0</v>
      </c>
      <c r="W48" s="16">
        <f>基础状态预期!J59</f>
        <v>0</v>
      </c>
      <c r="X48" s="16">
        <f>基础状态预期!K59</f>
        <v>0</v>
      </c>
      <c r="Y48" s="16">
        <f>基础状态预期!L59</f>
        <v>6</v>
      </c>
      <c r="Z48" s="16">
        <f>基础状态预期!M59</f>
        <v>0</v>
      </c>
      <c r="AA48" s="16">
        <f>基础状态预期!N59</f>
        <v>3</v>
      </c>
      <c r="AB48" s="16">
        <f>基础状态预期!O59</f>
        <v>5</v>
      </c>
      <c r="AC48" s="16">
        <f>基础状态预期!P59</f>
        <v>5</v>
      </c>
      <c r="AD48" s="16">
        <f>基础状态预期!Q59</f>
        <v>0</v>
      </c>
      <c r="AE48" s="16">
        <f>基础状态预期!R59</f>
        <v>0</v>
      </c>
      <c r="AF48" s="16">
        <f>基础状态预期!S59</f>
        <v>0</v>
      </c>
      <c r="AG48" s="101">
        <f>基础状态预期!T59</f>
        <v>1</v>
      </c>
      <c r="AH48" s="16" cm="1">
        <f t="array" ref="AH48">求节点(万里长城!$Q$13:$Q$172,万里长城!$W$13:$W$172,P48)</f>
        <v>10433490.951114366</v>
      </c>
      <c r="AI48" s="16" cm="1">
        <f t="array" ref="AI48">求节点($C$40:$C$54,$B$40:$B$54,AH48/36)</f>
        <v>12.318018913914743</v>
      </c>
      <c r="AJ48" s="25" cm="1">
        <f t="array" ref="AJ48">求节点($B$22:$B$36,$I$22:$I$36,AI48)</f>
        <v>0.12318018913914743</v>
      </c>
    </row>
    <row r="49" spans="2:36">
      <c r="B49" s="144">
        <v>10</v>
      </c>
      <c r="C49" s="137">
        <f t="shared" si="13"/>
        <v>19683</v>
      </c>
      <c r="D49" s="137">
        <f t="shared" si="11"/>
        <v>196830</v>
      </c>
      <c r="E49" s="137">
        <v>1</v>
      </c>
      <c r="F49" s="137">
        <f t="shared" si="9"/>
        <v>196830</v>
      </c>
      <c r="G49" s="137">
        <v>180000</v>
      </c>
      <c r="H49" s="159">
        <f t="shared" si="10"/>
        <v>4000</v>
      </c>
      <c r="I49" s="101">
        <f>G49/10/H49</f>
        <v>4.5</v>
      </c>
      <c r="J49" s="16">
        <f t="shared" si="8"/>
        <v>3.3333333333333339</v>
      </c>
      <c r="O49" s="100">
        <f>基础状态预期!B60</f>
        <v>20</v>
      </c>
      <c r="P49" s="16">
        <f>基础状态预期!C60</f>
        <v>145</v>
      </c>
      <c r="Q49" s="16">
        <f>基础状态预期!D60</f>
        <v>19631.496172516694</v>
      </c>
      <c r="R49" s="16">
        <f>基础状态预期!E60</f>
        <v>0</v>
      </c>
      <c r="S49" s="16">
        <f>基础状态预期!F60</f>
        <v>0</v>
      </c>
      <c r="T49" s="16">
        <f>基础状态预期!G60</f>
        <v>0</v>
      </c>
      <c r="U49" s="16">
        <f>基础状态预期!H60</f>
        <v>6</v>
      </c>
      <c r="V49" s="16">
        <f>基础状态预期!I60</f>
        <v>0</v>
      </c>
      <c r="W49" s="16">
        <f>基础状态预期!J60</f>
        <v>0</v>
      </c>
      <c r="X49" s="16">
        <f>基础状态预期!K60</f>
        <v>0</v>
      </c>
      <c r="Y49" s="16">
        <f>基础状态预期!L60</f>
        <v>6</v>
      </c>
      <c r="Z49" s="16">
        <f>基础状态预期!M60</f>
        <v>0</v>
      </c>
      <c r="AA49" s="16">
        <f>基础状态预期!N60</f>
        <v>3</v>
      </c>
      <c r="AB49" s="16">
        <f>基础状态预期!O60</f>
        <v>5</v>
      </c>
      <c r="AC49" s="16">
        <f>基础状态预期!P60</f>
        <v>5</v>
      </c>
      <c r="AD49" s="16">
        <f>基础状态预期!Q60</f>
        <v>0</v>
      </c>
      <c r="AE49" s="16">
        <f>基础状态预期!R60</f>
        <v>0</v>
      </c>
      <c r="AF49" s="16">
        <f>基础状态预期!S60</f>
        <v>0</v>
      </c>
      <c r="AG49" s="101">
        <f>基础状态预期!T60</f>
        <v>1</v>
      </c>
      <c r="AH49" s="16" cm="1">
        <f t="array" ref="AH49">求节点(万里长城!$Q$13:$Q$172,万里长城!$W$13:$W$172,P49)</f>
        <v>14757295.638720524</v>
      </c>
      <c r="AI49" s="16" cm="1">
        <f t="array" ref="AI49">求节点($C$40:$C$54,$B$40:$B$54,AH49/36)</f>
        <v>12.657018969706932</v>
      </c>
      <c r="AJ49" s="25" cm="1">
        <f t="array" ref="AJ49">求节点($B$22:$B$36,$I$22:$I$36,AI49)</f>
        <v>0.12657018969706932</v>
      </c>
    </row>
    <row r="50" spans="2:36">
      <c r="B50" s="100">
        <v>11</v>
      </c>
      <c r="C50" s="16">
        <f t="shared" si="13"/>
        <v>59049</v>
      </c>
      <c r="D50" s="16">
        <f t="shared" si="11"/>
        <v>590490</v>
      </c>
      <c r="E50" s="16">
        <v>1</v>
      </c>
      <c r="F50" s="158">
        <f t="shared" si="9"/>
        <v>590490</v>
      </c>
      <c r="G50" s="16">
        <f>G49*3</f>
        <v>540000</v>
      </c>
      <c r="H50" s="159">
        <f t="shared" si="10"/>
        <v>12000</v>
      </c>
      <c r="I50" s="101">
        <f t="shared" ref="I50:I54" si="15">G50/10/H50</f>
        <v>4.5</v>
      </c>
      <c r="J50" s="16">
        <f t="shared" si="8"/>
        <v>3</v>
      </c>
      <c r="O50" s="100">
        <f>基础状态预期!B61</f>
        <v>21</v>
      </c>
      <c r="P50" s="16">
        <f>基础状态预期!C61</f>
        <v>150</v>
      </c>
      <c r="Q50" s="16">
        <f>基础状态预期!D61</f>
        <v>27671.731500000002</v>
      </c>
      <c r="R50" s="16">
        <f>基础状态预期!E61</f>
        <v>0</v>
      </c>
      <c r="S50" s="16">
        <f>基础状态预期!F61</f>
        <v>0</v>
      </c>
      <c r="T50" s="16">
        <f>基础状态预期!G61</f>
        <v>0</v>
      </c>
      <c r="U50" s="16">
        <f>基础状态预期!H61</f>
        <v>6</v>
      </c>
      <c r="V50" s="16">
        <f>基础状态预期!I61</f>
        <v>0</v>
      </c>
      <c r="W50" s="16">
        <f>基础状态预期!J61</f>
        <v>0</v>
      </c>
      <c r="X50" s="16">
        <f>基础状态预期!K61</f>
        <v>0</v>
      </c>
      <c r="Y50" s="16">
        <f>基础状态预期!L61</f>
        <v>6</v>
      </c>
      <c r="Z50" s="16">
        <f>基础状态预期!M61</f>
        <v>0</v>
      </c>
      <c r="AA50" s="16">
        <f>基础状态预期!N61</f>
        <v>3</v>
      </c>
      <c r="AB50" s="16">
        <f>基础状态预期!O61</f>
        <v>5</v>
      </c>
      <c r="AC50" s="16">
        <f>基础状态预期!P61</f>
        <v>5</v>
      </c>
      <c r="AD50" s="16">
        <f>基础状态预期!Q61</f>
        <v>0</v>
      </c>
      <c r="AE50" s="16">
        <f>基础状态预期!R61</f>
        <v>0</v>
      </c>
      <c r="AF50" s="16">
        <f>基础状态预期!S61</f>
        <v>0</v>
      </c>
      <c r="AG50" s="101">
        <f>基础状态预期!T61</f>
        <v>1</v>
      </c>
      <c r="AH50" s="16" cm="1">
        <f t="array" ref="AH50">求节点(万里长城!$Q$13:$Q$172,万里长城!$W$13:$W$172,P50)</f>
        <v>20872078.868985504</v>
      </c>
      <c r="AI50" s="16" cm="1">
        <f t="array" ref="AI50">求节点($C$40:$C$54,$B$40:$B$54,AH50/36)</f>
        <v>13.045479148751161</v>
      </c>
      <c r="AJ50" s="25" cm="1">
        <f t="array" ref="AJ50">求节点($B$22:$B$36,$I$22:$I$36,AI50)</f>
        <v>0.1304547914875116</v>
      </c>
    </row>
    <row r="51" spans="2:36">
      <c r="B51" s="100">
        <v>12</v>
      </c>
      <c r="C51" s="16">
        <f t="shared" si="13"/>
        <v>177147</v>
      </c>
      <c r="D51" s="16">
        <f t="shared" si="11"/>
        <v>1771470</v>
      </c>
      <c r="E51" s="16">
        <v>1</v>
      </c>
      <c r="F51" s="158">
        <f t="shared" si="9"/>
        <v>1771470</v>
      </c>
      <c r="G51" s="16">
        <f t="shared" ref="G51:G54" si="16">G50*3</f>
        <v>1620000</v>
      </c>
      <c r="H51" s="159">
        <f t="shared" si="10"/>
        <v>36000</v>
      </c>
      <c r="I51" s="101">
        <f t="shared" si="15"/>
        <v>4.5</v>
      </c>
      <c r="J51" s="16">
        <f t="shared" si="8"/>
        <v>3</v>
      </c>
      <c r="O51" s="100">
        <f>基础状态预期!B62</f>
        <v>22</v>
      </c>
      <c r="P51" s="16">
        <f>基础状态预期!C62</f>
        <v>155</v>
      </c>
      <c r="Q51" s="16">
        <f>基础状态预期!D62</f>
        <v>44078.560451263736</v>
      </c>
      <c r="R51" s="16">
        <f>基础状态预期!E62</f>
        <v>0</v>
      </c>
      <c r="S51" s="16">
        <f>基础状态预期!F62</f>
        <v>0</v>
      </c>
      <c r="T51" s="16">
        <f>基础状态预期!G62</f>
        <v>0</v>
      </c>
      <c r="U51" s="16">
        <f>基础状态预期!H62</f>
        <v>6</v>
      </c>
      <c r="V51" s="16">
        <f>基础状态预期!I62</f>
        <v>0</v>
      </c>
      <c r="W51" s="16">
        <f>基础状态预期!J62</f>
        <v>0</v>
      </c>
      <c r="X51" s="16">
        <f>基础状态预期!K62</f>
        <v>0</v>
      </c>
      <c r="Y51" s="16">
        <f>基础状态预期!L62</f>
        <v>6</v>
      </c>
      <c r="Z51" s="16">
        <f>基础状态预期!M62</f>
        <v>0</v>
      </c>
      <c r="AA51" s="16">
        <f>基础状态预期!N62</f>
        <v>3</v>
      </c>
      <c r="AB51" s="16">
        <f>基础状态预期!O62</f>
        <v>5</v>
      </c>
      <c r="AC51" s="16">
        <f>基础状态预期!P62</f>
        <v>5</v>
      </c>
      <c r="AD51" s="16">
        <f>基础状态预期!Q62</f>
        <v>0</v>
      </c>
      <c r="AE51" s="16">
        <f>基础状态预期!R62</f>
        <v>0</v>
      </c>
      <c r="AF51" s="16">
        <f>基础状态预期!S62</f>
        <v>0</v>
      </c>
      <c r="AG51" s="101">
        <f>基础状态预期!T62</f>
        <v>1</v>
      </c>
      <c r="AH51" s="16" cm="1">
        <f t="array" ref="AH51">求节点(万里长城!$Q$13:$Q$172,万里长城!$W$13:$W$172,P51)</f>
        <v>29519688.244197827</v>
      </c>
      <c r="AI51" s="16" cm="1">
        <f t="array" ref="AI51">求节点($C$40:$C$54,$B$40:$B$54,AH51/36)</f>
        <v>13.271479185945953</v>
      </c>
      <c r="AJ51" s="25" cm="1">
        <f t="array" ref="AJ51">求节点($B$22:$B$36,$I$22:$I$36,AI51)</f>
        <v>0.13271479185945953</v>
      </c>
    </row>
    <row r="52" spans="2:36">
      <c r="B52" s="100">
        <v>13</v>
      </c>
      <c r="C52" s="16">
        <f t="shared" si="13"/>
        <v>531441</v>
      </c>
      <c r="D52" s="16">
        <f t="shared" si="11"/>
        <v>5314410</v>
      </c>
      <c r="E52" s="16">
        <v>1</v>
      </c>
      <c r="F52" s="158">
        <f t="shared" si="9"/>
        <v>5314410</v>
      </c>
      <c r="G52" s="16">
        <f t="shared" si="16"/>
        <v>4860000</v>
      </c>
      <c r="H52" s="159">
        <f t="shared" si="10"/>
        <v>108000</v>
      </c>
      <c r="I52" s="101">
        <f t="shared" si="15"/>
        <v>4.5</v>
      </c>
      <c r="J52" s="16">
        <f t="shared" si="8"/>
        <v>3</v>
      </c>
      <c r="O52" s="102">
        <f>基础状态预期!B63</f>
        <v>23</v>
      </c>
      <c r="P52" s="97">
        <f>基础状态预期!C63</f>
        <v>160</v>
      </c>
      <c r="Q52" s="97">
        <f>基础状态预期!D63</f>
        <v>65535</v>
      </c>
      <c r="R52" s="97">
        <f>基础状态预期!E63</f>
        <v>0</v>
      </c>
      <c r="S52" s="97">
        <f>基础状态预期!F63</f>
        <v>0</v>
      </c>
      <c r="T52" s="97">
        <f>基础状态预期!G63</f>
        <v>0</v>
      </c>
      <c r="U52" s="97">
        <f>基础状态预期!H63</f>
        <v>6</v>
      </c>
      <c r="V52" s="97">
        <f>基础状态预期!I63</f>
        <v>0</v>
      </c>
      <c r="W52" s="97">
        <f>基础状态预期!J63</f>
        <v>0</v>
      </c>
      <c r="X52" s="97">
        <f>基础状态预期!K63</f>
        <v>0</v>
      </c>
      <c r="Y52" s="97">
        <f>基础状态预期!L63</f>
        <v>6</v>
      </c>
      <c r="Z52" s="97">
        <f>基础状态预期!M63</f>
        <v>0</v>
      </c>
      <c r="AA52" s="97">
        <f>基础状态预期!N63</f>
        <v>3</v>
      </c>
      <c r="AB52" s="97">
        <f>基础状态预期!O63</f>
        <v>5</v>
      </c>
      <c r="AC52" s="97">
        <f>基础状态预期!P63</f>
        <v>5</v>
      </c>
      <c r="AD52" s="97">
        <f>基础状态预期!Q63</f>
        <v>0</v>
      </c>
      <c r="AE52" s="97">
        <f>基础状态预期!R63</f>
        <v>0</v>
      </c>
      <c r="AF52" s="97">
        <f>基础状态预期!S63</f>
        <v>0</v>
      </c>
      <c r="AG52" s="103">
        <f>基础状态预期!T63</f>
        <v>1</v>
      </c>
      <c r="AH52" s="16" cm="1">
        <f t="array" ref="AH52">求节点(万里长城!$Q$13:$Q$172,万里长城!$W$13:$W$172,P52)</f>
        <v>41749254.704727776</v>
      </c>
      <c r="AI52" s="16" cm="1">
        <f t="array" ref="AI52">求节点($C$40:$C$54,$B$40:$B$54,AH52/36)</f>
        <v>13.591091503643652</v>
      </c>
      <c r="AJ52" s="25" cm="1">
        <f t="array" ref="AJ52">求节点($B$22:$B$36,$I$22:$I$36,AI52)</f>
        <v>0.13591091503643651</v>
      </c>
    </row>
    <row r="53" spans="2:36">
      <c r="B53" s="100">
        <v>14</v>
      </c>
      <c r="C53" s="16">
        <f t="shared" si="13"/>
        <v>1594323</v>
      </c>
      <c r="D53" s="16">
        <f t="shared" si="11"/>
        <v>15943230</v>
      </c>
      <c r="E53" s="16">
        <v>1</v>
      </c>
      <c r="F53" s="158">
        <f t="shared" si="9"/>
        <v>15943230</v>
      </c>
      <c r="G53" s="16">
        <f t="shared" si="16"/>
        <v>14580000</v>
      </c>
      <c r="H53" s="159">
        <f t="shared" si="10"/>
        <v>324000</v>
      </c>
      <c r="I53" s="101">
        <f t="shared" si="15"/>
        <v>4.5</v>
      </c>
      <c r="J53" s="16">
        <f t="shared" si="8"/>
        <v>3</v>
      </c>
      <c r="O53" s="16">
        <f>基础状态预期!B64</f>
        <v>24</v>
      </c>
    </row>
    <row r="54" spans="2:36">
      <c r="B54" s="102">
        <v>15</v>
      </c>
      <c r="C54" s="97">
        <f t="shared" si="13"/>
        <v>4782969</v>
      </c>
      <c r="D54" s="97">
        <f t="shared" si="11"/>
        <v>47829690</v>
      </c>
      <c r="E54" s="97">
        <v>1</v>
      </c>
      <c r="F54" s="157">
        <f t="shared" si="9"/>
        <v>47829690</v>
      </c>
      <c r="G54" s="97">
        <f t="shared" si="16"/>
        <v>43740000</v>
      </c>
      <c r="H54" s="160">
        <f t="shared" si="10"/>
        <v>972000</v>
      </c>
      <c r="I54" s="103">
        <f t="shared" si="15"/>
        <v>4.5</v>
      </c>
      <c r="J54" s="16">
        <f t="shared" si="8"/>
        <v>3</v>
      </c>
      <c r="O54" s="16">
        <f>基础状态预期!B65</f>
        <v>25</v>
      </c>
    </row>
    <row r="55" spans="2:36">
      <c r="O55" s="16">
        <f>基础状态预期!B66</f>
        <v>26</v>
      </c>
    </row>
    <row r="56" spans="2:36">
      <c r="O56" s="98">
        <f>基础状态预期!B67</f>
        <v>1</v>
      </c>
      <c r="P56" s="180" t="str">
        <f>基础状态预期!C67</f>
        <v>中r</v>
      </c>
      <c r="Q56" s="180">
        <f>基础状态预期!D67</f>
        <v>0</v>
      </c>
      <c r="R56" s="180" t="str">
        <f>基础状态预期!E67</f>
        <v>武将上阵情况（主力队伍）</v>
      </c>
      <c r="S56" s="180">
        <f>基础状态预期!F67</f>
        <v>0</v>
      </c>
      <c r="T56" s="180">
        <f>基础状态预期!G67</f>
        <v>0</v>
      </c>
      <c r="U56" s="180">
        <f>基础状态预期!H67</f>
        <v>0</v>
      </c>
      <c r="V56" s="180" t="str">
        <f>基础状态预期!I67</f>
        <v>主力队伍装备宝物数量</v>
      </c>
      <c r="W56" s="180">
        <f>基础状态预期!J67</f>
        <v>0</v>
      </c>
      <c r="X56" s="180">
        <f>基础状态预期!K67</f>
        <v>0</v>
      </c>
      <c r="Y56" s="180">
        <f>基础状态预期!L67</f>
        <v>0</v>
      </c>
      <c r="Z56" s="180" t="str">
        <f>基础状态预期!M67</f>
        <v>宝物星级</v>
      </c>
      <c r="AA56" s="180">
        <f>基础状态预期!N67</f>
        <v>0</v>
      </c>
      <c r="AB56" s="180">
        <f>基础状态预期!O67</f>
        <v>0</v>
      </c>
      <c r="AC56" s="180">
        <f>基础状态预期!P67</f>
        <v>0</v>
      </c>
      <c r="AD56" s="180" t="str">
        <f>基础状态预期!Q67</f>
        <v>宝物温养进度</v>
      </c>
      <c r="AE56" s="180">
        <f>基础状态预期!R67</f>
        <v>0</v>
      </c>
      <c r="AF56" s="180">
        <f>基础状态预期!S67</f>
        <v>0</v>
      </c>
      <c r="AG56" s="181">
        <f>基础状态预期!T67</f>
        <v>0</v>
      </c>
    </row>
    <row r="57" spans="2:36">
      <c r="O57" s="100">
        <f>基础状态预期!B68</f>
        <v>2</v>
      </c>
      <c r="P57" s="16" t="str">
        <f>基础状态预期!C68</f>
        <v>定义等级</v>
      </c>
      <c r="Q57" s="16" t="str">
        <f>基础状态预期!D68</f>
        <v>天数</v>
      </c>
      <c r="R57" s="16" t="str">
        <f>基础状态预期!E68</f>
        <v>蓝</v>
      </c>
      <c r="S57" s="16" t="str">
        <f>基础状态预期!F68</f>
        <v>紫</v>
      </c>
      <c r="T57" s="16" t="str">
        <f>基础状态预期!G68</f>
        <v>橙</v>
      </c>
      <c r="U57" s="16" t="str">
        <f>基础状态预期!H68</f>
        <v>橙+</v>
      </c>
      <c r="V57" s="16" t="str">
        <f>基础状态预期!I68</f>
        <v>蓝</v>
      </c>
      <c r="W57" s="16" t="str">
        <f>基础状态预期!J68</f>
        <v>紫</v>
      </c>
      <c r="X57" s="16" t="str">
        <f>基础状态预期!K68</f>
        <v>橙</v>
      </c>
      <c r="Y57" s="16" t="str">
        <f>基础状态预期!L68</f>
        <v>橙+</v>
      </c>
      <c r="Z57" s="16" t="str">
        <f>基础状态预期!M68</f>
        <v>蓝</v>
      </c>
      <c r="AA57" s="16" t="str">
        <f>基础状态预期!N68</f>
        <v>紫</v>
      </c>
      <c r="AB57" s="16" t="str">
        <f>基础状态预期!O68</f>
        <v>橙</v>
      </c>
      <c r="AC57" s="16" t="str">
        <f>基础状态预期!P68</f>
        <v>橙+</v>
      </c>
      <c r="AD57" s="16" t="str">
        <f>基础状态预期!Q68</f>
        <v>蓝</v>
      </c>
      <c r="AE57" s="16" t="str">
        <f>基础状态预期!R68</f>
        <v>紫</v>
      </c>
      <c r="AF57" s="16" t="str">
        <f>基础状态预期!S68</f>
        <v>橙</v>
      </c>
      <c r="AG57" s="101" t="str">
        <f>基础状态预期!T68</f>
        <v>橙+</v>
      </c>
      <c r="AH57" s="16" t="s">
        <v>721</v>
      </c>
      <c r="AI57" s="16" t="s">
        <v>722</v>
      </c>
      <c r="AJ57" s="16" t="s">
        <v>749</v>
      </c>
    </row>
    <row r="58" spans="2:36">
      <c r="O58" s="100">
        <f>基础状态预期!B69</f>
        <v>3</v>
      </c>
      <c r="P58" s="16">
        <f>基础状态预期!C69</f>
        <v>50</v>
      </c>
      <c r="Q58" s="16">
        <f>基础状态预期!D69</f>
        <v>22.205300000000001</v>
      </c>
      <c r="R58" s="16">
        <f>基础状态预期!E69</f>
        <v>0</v>
      </c>
      <c r="S58" s="16">
        <f>基础状态预期!F69</f>
        <v>0</v>
      </c>
      <c r="T58" s="16">
        <f>基础状态预期!G69</f>
        <v>5.7984157502765905</v>
      </c>
      <c r="U58" s="16">
        <f>基础状态预期!H69</f>
        <v>0.20158424972340971</v>
      </c>
      <c r="V58" s="16">
        <f>基础状态预期!I69</f>
        <v>0</v>
      </c>
      <c r="W58" s="16">
        <f>基础状态预期!J69</f>
        <v>0</v>
      </c>
      <c r="X58" s="16">
        <f>基础状态预期!K69</f>
        <v>0</v>
      </c>
      <c r="Y58" s="16">
        <f>基础状态预期!L69</f>
        <v>0</v>
      </c>
      <c r="Z58" s="16">
        <f>基础状态预期!M69</f>
        <v>0</v>
      </c>
      <c r="AA58" s="16">
        <f>基础状态预期!N69</f>
        <v>0</v>
      </c>
      <c r="AB58" s="16">
        <f>基础状态预期!O69</f>
        <v>0</v>
      </c>
      <c r="AC58" s="16">
        <f>基础状态预期!P69</f>
        <v>0</v>
      </c>
      <c r="AD58" s="16">
        <f>基础状态预期!Q69</f>
        <v>0</v>
      </c>
      <c r="AE58" s="16">
        <f>基础状态预期!R69</f>
        <v>0</v>
      </c>
      <c r="AF58" s="16">
        <f>基础状态预期!S69</f>
        <v>0</v>
      </c>
      <c r="AG58" s="101">
        <f>基础状态预期!T69</f>
        <v>0</v>
      </c>
      <c r="AH58" s="16" cm="1">
        <f t="array" ref="AH58">求节点(万里长城!$Q$13:$Q$172,万里长城!$W$13:$W$172,P58)</f>
        <v>15290.900270319049</v>
      </c>
      <c r="AI58" s="16" cm="1">
        <f t="array" ref="AI58">求节点($C$40:$C$54,$B$40:$B$54,AH58/36)</f>
        <v>6.373965493273837</v>
      </c>
      <c r="AJ58" s="25" cm="1">
        <f t="array" ref="AJ58">求节点($B$22:$B$36,$I$22:$I$36,AI58)</f>
        <v>6.3739654932738365E-2</v>
      </c>
    </row>
    <row r="59" spans="2:36">
      <c r="O59" s="100">
        <f>基础状态预期!B70</f>
        <v>4</v>
      </c>
      <c r="P59" s="16">
        <f>基础状态预期!C70</f>
        <v>60</v>
      </c>
      <c r="Q59" s="16">
        <f>基础状态预期!D70</f>
        <v>44.717399999999998</v>
      </c>
      <c r="R59" s="16">
        <f>基础状态预期!E70</f>
        <v>0</v>
      </c>
      <c r="S59" s="16">
        <f>基础状态预期!F70</f>
        <v>0</v>
      </c>
      <c r="T59" s="16">
        <f>基础状态预期!G70</f>
        <v>3.8413028458554987</v>
      </c>
      <c r="U59" s="16">
        <f>基础状态预期!H70</f>
        <v>2.1586971541445013</v>
      </c>
      <c r="V59" s="16">
        <f>基础状态预期!I70</f>
        <v>0</v>
      </c>
      <c r="W59" s="16">
        <f>基础状态预期!J70</f>
        <v>0</v>
      </c>
      <c r="X59" s="16">
        <f>基础状态预期!K70</f>
        <v>3.8413028458554987</v>
      </c>
      <c r="Y59" s="16">
        <f>基础状态预期!L70</f>
        <v>2.1586971541445013</v>
      </c>
      <c r="Z59" s="16">
        <f>基础状态预期!M70</f>
        <v>0</v>
      </c>
      <c r="AA59" s="16">
        <f>基础状态预期!N70</f>
        <v>3</v>
      </c>
      <c r="AB59" s="16">
        <f>基础状态预期!O70</f>
        <v>0.17074597950163017</v>
      </c>
      <c r="AC59" s="16">
        <f>基础状态预期!P70</f>
        <v>0.3361068610914304</v>
      </c>
      <c r="AD59" s="16">
        <f>基础状态预期!Q70</f>
        <v>0</v>
      </c>
      <c r="AE59" s="16">
        <f>基础状态预期!R70</f>
        <v>0</v>
      </c>
      <c r="AF59" s="16">
        <f>基础状态预期!S70</f>
        <v>0.19512432991693834</v>
      </c>
      <c r="AG59" s="101">
        <f>基础状态预期!T70</f>
        <v>0.22268447684857173</v>
      </c>
      <c r="AH59" s="16" cm="1">
        <f t="array" ref="AH59">求节点(万里长城!$Q$13:$Q$172,万里长城!$W$13:$W$172,P59)</f>
        <v>35678.767297411119</v>
      </c>
      <c r="AI59" s="16" cm="1">
        <f t="array" ref="AI59">求节点($C$40:$C$54,$B$40:$B$54,AH59/36)</f>
        <v>7.1797509392129841</v>
      </c>
      <c r="AJ59" s="25" cm="1">
        <f t="array" ref="AJ59">求节点($B$22:$B$36,$I$22:$I$36,AI59)</f>
        <v>7.1797509392129852E-2</v>
      </c>
    </row>
    <row r="60" spans="2:36">
      <c r="O60" s="100">
        <f>基础状态预期!B71</f>
        <v>5</v>
      </c>
      <c r="P60" s="16">
        <f>基础状态预期!C71</f>
        <v>70</v>
      </c>
      <c r="Q60" s="16">
        <f>基础状态预期!D71</f>
        <v>90.106499999999997</v>
      </c>
      <c r="R60" s="16">
        <f>基础状态预期!E71</f>
        <v>0</v>
      </c>
      <c r="S60" s="16">
        <f>基础状态预期!F71</f>
        <v>0</v>
      </c>
      <c r="T60" s="16">
        <f>基础状态预期!G71</f>
        <v>1.6941933854729778</v>
      </c>
      <c r="U60" s="16">
        <f>基础状态预期!H71</f>
        <v>4.3058066145270217</v>
      </c>
      <c r="V60" s="16">
        <f>基础状态预期!I71</f>
        <v>0</v>
      </c>
      <c r="W60" s="16">
        <f>基础状态预期!J71</f>
        <v>0</v>
      </c>
      <c r="X60" s="16">
        <f>基础状态预期!K71</f>
        <v>1.6941933854729778</v>
      </c>
      <c r="Y60" s="16">
        <f>基础状态预期!L71</f>
        <v>4.3058066145270217</v>
      </c>
      <c r="Z60" s="16">
        <f>基础状态预期!M71</f>
        <v>0</v>
      </c>
      <c r="AA60" s="16">
        <f>基础状态预期!N71</f>
        <v>3</v>
      </c>
      <c r="AB60" s="16">
        <f>基础状态预期!O71</f>
        <v>1.3488769363288999</v>
      </c>
      <c r="AC60" s="16">
        <f>基础状态预期!P71</f>
        <v>0.3361068610914304</v>
      </c>
      <c r="AD60" s="16">
        <f>基础状态预期!Q71</f>
        <v>0</v>
      </c>
      <c r="AE60" s="16">
        <f>基础状态预期!R71</f>
        <v>0</v>
      </c>
      <c r="AF60" s="16">
        <f>基础状态预期!S71</f>
        <v>0.39147948938814997</v>
      </c>
      <c r="AG60" s="101">
        <f>基础状态预期!T71</f>
        <v>0.22268447684857173</v>
      </c>
      <c r="AH60" s="16" cm="1">
        <f t="array" ref="AH60">求节点(万里长城!$Q$13:$Q$172,万里长城!$W$13:$W$172,P60)</f>
        <v>76454.501351595245</v>
      </c>
      <c r="AI60" s="16" cm="1">
        <f t="array" ref="AI60">求节点($C$40:$C$54,$B$40:$B$54,AH60/36)</f>
        <v>7.9566091554563947</v>
      </c>
      <c r="AJ60" s="25" cm="1">
        <f t="array" ref="AJ60">求节点($B$22:$B$36,$I$22:$I$36,AI60)</f>
        <v>7.9566091554563956E-2</v>
      </c>
    </row>
    <row r="61" spans="2:36" ht="13.5">
      <c r="B61" s="116" t="s">
        <v>632</v>
      </c>
      <c r="O61" s="100">
        <f>基础状态预期!B72</f>
        <v>6</v>
      </c>
      <c r="P61" s="16">
        <f>基础状态预期!C72</f>
        <v>75</v>
      </c>
      <c r="Q61" s="16">
        <f>基础状态预期!D72</f>
        <v>127.38168214210583</v>
      </c>
      <c r="R61" s="16">
        <f>基础状态预期!E72</f>
        <v>0</v>
      </c>
      <c r="S61" s="16">
        <f>基础状态预期!F72</f>
        <v>0</v>
      </c>
      <c r="T61" s="16">
        <f>基础状态预期!G72</f>
        <v>0.47213826570530132</v>
      </c>
      <c r="U61" s="16">
        <f>基础状态预期!H72</f>
        <v>5.5278617342946985</v>
      </c>
      <c r="V61" s="16">
        <f>基础状态预期!I72</f>
        <v>0</v>
      </c>
      <c r="W61" s="16">
        <f>基础状态预期!J72</f>
        <v>0</v>
      </c>
      <c r="X61" s="16">
        <f>基础状态预期!K72</f>
        <v>0.47213826570530132</v>
      </c>
      <c r="Y61" s="16">
        <f>基础状态预期!L72</f>
        <v>5.5278617342946985</v>
      </c>
      <c r="Z61" s="16">
        <f>基础状态预期!M72</f>
        <v>0</v>
      </c>
      <c r="AA61" s="16">
        <f>基础状态预期!N72</f>
        <v>3</v>
      </c>
      <c r="AB61" s="16">
        <f>基础状态预期!O72</f>
        <v>2.1941359293145841</v>
      </c>
      <c r="AC61" s="16">
        <f>基础状态预期!P72</f>
        <v>0.37822592542481059</v>
      </c>
      <c r="AD61" s="16">
        <f>基础状态预期!Q72</f>
        <v>0</v>
      </c>
      <c r="AE61" s="16">
        <f>基础状态预期!R72</f>
        <v>0</v>
      </c>
      <c r="AF61" s="16">
        <f>基础状态预期!S72</f>
        <v>0.53235598821909735</v>
      </c>
      <c r="AG61" s="101">
        <f>基础状态预期!T72</f>
        <v>0.22970432090413509</v>
      </c>
      <c r="AH61" s="16" cm="1">
        <f t="array" ref="AH61">求节点(万里长城!$Q$13:$Q$172,万里长城!$W$13:$W$172,P61)</f>
        <v>110234.22547351829</v>
      </c>
      <c r="AI61" s="16" cm="1">
        <f t="array" ref="AI61">求节点($C$40:$C$54,$B$40:$B$54,AH61/36)</f>
        <v>8.2000598579581254</v>
      </c>
      <c r="AJ61" s="25" cm="1">
        <f t="array" ref="AJ61">求节点($B$22:$B$36,$I$22:$I$36,AI61)</f>
        <v>8.2000598579581252E-2</v>
      </c>
    </row>
    <row r="62" spans="2:36" ht="13.5">
      <c r="B62" s="116" t="s">
        <v>633</v>
      </c>
      <c r="O62" s="100">
        <f>基础状态预期!B73</f>
        <v>7</v>
      </c>
      <c r="P62" s="16">
        <f>基础状态预期!C73</f>
        <v>80</v>
      </c>
      <c r="Q62" s="16">
        <f>基础状态预期!D73</f>
        <v>180.33600000000001</v>
      </c>
      <c r="R62" s="16">
        <f>基础状态预期!E73</f>
        <v>0</v>
      </c>
      <c r="S62" s="16">
        <f>基础状态预期!F73</f>
        <v>0</v>
      </c>
      <c r="T62" s="16">
        <f>基础状态预期!G73</f>
        <v>0</v>
      </c>
      <c r="U62" s="16">
        <f>基础状态预期!H73</f>
        <v>6</v>
      </c>
      <c r="V62" s="16">
        <f>基础状态预期!I73</f>
        <v>0</v>
      </c>
      <c r="W62" s="16">
        <f>基础状态预期!J73</f>
        <v>0</v>
      </c>
      <c r="X62" s="16">
        <f>基础状态预期!K73</f>
        <v>0</v>
      </c>
      <c r="Y62" s="16">
        <f>基础状态预期!L73</f>
        <v>6</v>
      </c>
      <c r="Z62" s="16">
        <f>基础状态预期!M73</f>
        <v>0</v>
      </c>
      <c r="AA62" s="16">
        <f>基础状态预期!N73</f>
        <v>3</v>
      </c>
      <c r="AB62" s="16">
        <f>基础状态预期!O73</f>
        <v>3.3946292405000111</v>
      </c>
      <c r="AC62" s="16">
        <f>基础状态预期!P73</f>
        <v>0.73272055133333791</v>
      </c>
      <c r="AD62" s="16">
        <f>基础状态预期!Q73</f>
        <v>0</v>
      </c>
      <c r="AE62" s="16">
        <f>基础状态预期!R73</f>
        <v>0</v>
      </c>
      <c r="AF62" s="16">
        <f>基础状态预期!S73</f>
        <v>0</v>
      </c>
      <c r="AG62" s="101">
        <f>基础状态预期!T73</f>
        <v>0.2887867585555563</v>
      </c>
      <c r="AH62" s="16" cm="1">
        <f t="array" ref="AH62">求节点(万里长城!$Q$13:$Q$172,万里长城!$W$13:$W$172,P62)</f>
        <v>158005.96945996353</v>
      </c>
      <c r="AI62" s="16" cm="1">
        <f t="array" ref="AI62">求节点($C$40:$C$54,$B$40:$B$54,AH62/36)</f>
        <v>8.5034418626477386</v>
      </c>
      <c r="AJ62" s="25" cm="1">
        <f t="array" ref="AJ62">求节点($B$22:$B$36,$I$22:$I$36,AI62)</f>
        <v>8.5034418626477384E-2</v>
      </c>
    </row>
    <row r="63" spans="2:36" ht="13.5">
      <c r="B63" s="116" t="s">
        <v>576</v>
      </c>
      <c r="O63" s="100">
        <f>基础状态预期!B74</f>
        <v>8</v>
      </c>
      <c r="P63" s="16">
        <f>基础状态预期!C74</f>
        <v>85</v>
      </c>
      <c r="Q63" s="16">
        <f>基础状态预期!D74</f>
        <v>253.91849799475142</v>
      </c>
      <c r="R63" s="16">
        <f>基础状态预期!E74</f>
        <v>0</v>
      </c>
      <c r="S63" s="16">
        <f>基础状态预期!F74</f>
        <v>0</v>
      </c>
      <c r="T63" s="16">
        <f>基础状态预期!G74</f>
        <v>0</v>
      </c>
      <c r="U63" s="16">
        <f>基础状态预期!H74</f>
        <v>6</v>
      </c>
      <c r="V63" s="16">
        <f>基础状态预期!I74</f>
        <v>0</v>
      </c>
      <c r="W63" s="16">
        <f>基础状态预期!J74</f>
        <v>0</v>
      </c>
      <c r="X63" s="16">
        <f>基础状态预期!K74</f>
        <v>0</v>
      </c>
      <c r="Y63" s="16">
        <f>基础状态预期!L74</f>
        <v>6</v>
      </c>
      <c r="Z63" s="16">
        <f>基础状态预期!M74</f>
        <v>0</v>
      </c>
      <c r="AA63" s="16">
        <f>基础状态预期!N74</f>
        <v>3</v>
      </c>
      <c r="AB63" s="16">
        <f>基础状态预期!O74</f>
        <v>4.9955975330250242</v>
      </c>
      <c r="AC63" s="16">
        <f>基础状态预期!P74</f>
        <v>1.3461520173514527</v>
      </c>
      <c r="AD63" s="16">
        <f>基础状态预期!Q74</f>
        <v>0</v>
      </c>
      <c r="AE63" s="16">
        <f>基础状态预期!R74</f>
        <v>0</v>
      </c>
      <c r="AF63" s="16">
        <f>基础状态预期!S74</f>
        <v>0</v>
      </c>
      <c r="AG63" s="101">
        <f>基础状态预期!T74</f>
        <v>0.3910253362252421</v>
      </c>
      <c r="AH63" s="16" cm="1">
        <f t="array" ref="AH63">求节点(万里长城!$Q$13:$Q$172,万里长城!$W$13:$W$172,P63)</f>
        <v>225565.41770380962</v>
      </c>
      <c r="AI63" s="16" cm="1">
        <f t="array" ref="AI63">求节点($C$40:$C$54,$B$40:$B$54,AH63/36)</f>
        <v>8.9324888082597269</v>
      </c>
      <c r="AJ63" s="25" cm="1">
        <f t="array" ref="AJ63">求节点($B$22:$B$36,$I$22:$I$36,AI63)</f>
        <v>8.9324888082597267E-2</v>
      </c>
    </row>
    <row r="64" spans="2:36" ht="13.5">
      <c r="B64" s="116" t="s">
        <v>634</v>
      </c>
      <c r="O64" s="100">
        <f>基础状态预期!B75</f>
        <v>9</v>
      </c>
      <c r="P64" s="16">
        <f>基础状态预期!C75</f>
        <v>90</v>
      </c>
      <c r="Q64" s="16">
        <f>基础状态预期!D75</f>
        <v>354.12299999999999</v>
      </c>
      <c r="R64" s="16">
        <f>基础状态预期!E75</f>
        <v>0</v>
      </c>
      <c r="S64" s="16">
        <f>基础状态预期!F75</f>
        <v>0</v>
      </c>
      <c r="T64" s="16">
        <f>基础状态预期!G75</f>
        <v>0</v>
      </c>
      <c r="U64" s="16">
        <f>基础状态预期!H75</f>
        <v>6</v>
      </c>
      <c r="V64" s="16">
        <f>基础状态预期!I75</f>
        <v>0</v>
      </c>
      <c r="W64" s="16">
        <f>基础状态预期!J75</f>
        <v>0</v>
      </c>
      <c r="X64" s="16">
        <f>基础状态预期!K75</f>
        <v>0</v>
      </c>
      <c r="Y64" s="16">
        <f>基础状态预期!L75</f>
        <v>6</v>
      </c>
      <c r="Z64" s="16">
        <f>基础状态预期!M75</f>
        <v>0</v>
      </c>
      <c r="AA64" s="16">
        <f>基础状态预期!N75</f>
        <v>3</v>
      </c>
      <c r="AB64" s="16">
        <f>基础状态预期!O75</f>
        <v>5</v>
      </c>
      <c r="AC64" s="16">
        <f>基础状态预期!P75</f>
        <v>2.1815217892648682</v>
      </c>
      <c r="AD64" s="16">
        <f>基础状态预期!Q75</f>
        <v>0</v>
      </c>
      <c r="AE64" s="16">
        <f>基础状态预期!R75</f>
        <v>0</v>
      </c>
      <c r="AF64" s="16">
        <f>基础状态预期!S75</f>
        <v>0</v>
      </c>
      <c r="AG64" s="101">
        <f>基础状态预期!T75</f>
        <v>0.53025363154414473</v>
      </c>
      <c r="AH64" s="16" cm="1">
        <f t="array" ref="AH64">求节点(万里长城!$Q$13:$Q$172,万里长城!$W$13:$W$172,P64)</f>
        <v>321108.90567670006</v>
      </c>
      <c r="AI64" s="16" cm="1">
        <f t="array" ref="AI64">求节点($C$40:$C$54,$B$40:$B$54,AH64/36)</f>
        <v>9.179750939212985</v>
      </c>
      <c r="AJ64" s="25" cm="1">
        <f t="array" ref="AJ64">求节点($B$22:$B$36,$I$22:$I$36,AI64)</f>
        <v>9.1797509392129842E-2</v>
      </c>
    </row>
    <row r="65" spans="2:36" ht="13.5">
      <c r="B65" s="116" t="s">
        <v>578</v>
      </c>
      <c r="O65" s="100">
        <f>基础状态预期!B76</f>
        <v>10</v>
      </c>
      <c r="P65" s="16">
        <f>基础状态预期!C76</f>
        <v>95</v>
      </c>
      <c r="Q65" s="16">
        <f>基础状态预期!D76</f>
        <v>495.95875020503337</v>
      </c>
      <c r="R65" s="16">
        <f>基础状态预期!E76</f>
        <v>0</v>
      </c>
      <c r="S65" s="16">
        <f>基础状态预期!F76</f>
        <v>0</v>
      </c>
      <c r="T65" s="16">
        <f>基础状态预期!G76</f>
        <v>0</v>
      </c>
      <c r="U65" s="16">
        <f>基础状态预期!H76</f>
        <v>6</v>
      </c>
      <c r="V65" s="16">
        <f>基础状态预期!I76</f>
        <v>0</v>
      </c>
      <c r="W65" s="16">
        <f>基础状态预期!J76</f>
        <v>0</v>
      </c>
      <c r="X65" s="16">
        <f>基础状态预期!K76</f>
        <v>0</v>
      </c>
      <c r="Y65" s="16">
        <f>基础状态预期!L76</f>
        <v>6</v>
      </c>
      <c r="Z65" s="16">
        <f>基础状态预期!M76</f>
        <v>0</v>
      </c>
      <c r="AA65" s="16">
        <f>基础状态预期!N76</f>
        <v>3</v>
      </c>
      <c r="AB65" s="16">
        <f>基础状态预期!O76</f>
        <v>5</v>
      </c>
      <c r="AC65" s="16">
        <f>基础状态预期!P76</f>
        <v>3.3199750956875214</v>
      </c>
      <c r="AD65" s="16">
        <f>基础状态预期!Q76</f>
        <v>0</v>
      </c>
      <c r="AE65" s="16">
        <f>基础状态预期!R76</f>
        <v>0</v>
      </c>
      <c r="AF65" s="16">
        <f>基础状态预期!S76</f>
        <v>0</v>
      </c>
      <c r="AG65" s="101">
        <f>基础状态预期!T76</f>
        <v>0.71999584928125349</v>
      </c>
      <c r="AH65" s="16" cm="1">
        <f t="array" ref="AH65">求节点(万里长城!$Q$13:$Q$172,万里长城!$W$13:$W$172,P65)</f>
        <v>456227.80216439231</v>
      </c>
      <c r="AI65" s="16" cm="1">
        <f t="array" ref="AI65">求节点($C$40:$C$54,$B$40:$B$54,AH65/36)</f>
        <v>9.4657822362876427</v>
      </c>
      <c r="AJ65" s="25" cm="1">
        <f t="array" ref="AJ65">求节点($B$22:$B$36,$I$22:$I$36,AI65)</f>
        <v>9.4657822362876426E-2</v>
      </c>
    </row>
    <row r="66" spans="2:36" ht="13.5">
      <c r="B66" s="116" t="s">
        <v>635</v>
      </c>
      <c r="O66" s="100">
        <f>基础状态预期!B77</f>
        <v>11</v>
      </c>
      <c r="P66" s="16">
        <f>基础状态预期!C77</f>
        <v>100</v>
      </c>
      <c r="Q66" s="16">
        <f>基础状态预期!D77</f>
        <v>706.6884</v>
      </c>
      <c r="R66" s="16">
        <f>基础状态预期!E77</f>
        <v>0</v>
      </c>
      <c r="S66" s="16">
        <f>基础状态预期!F77</f>
        <v>0</v>
      </c>
      <c r="T66" s="16">
        <f>基础状态预期!G77</f>
        <v>0</v>
      </c>
      <c r="U66" s="16">
        <f>基础状态预期!H77</f>
        <v>6</v>
      </c>
      <c r="V66" s="16">
        <f>基础状态预期!I77</f>
        <v>0</v>
      </c>
      <c r="W66" s="16">
        <f>基础状态预期!J77</f>
        <v>0</v>
      </c>
      <c r="X66" s="16">
        <f>基础状态预期!K77</f>
        <v>0</v>
      </c>
      <c r="Y66" s="16">
        <f>基础状态预期!L77</f>
        <v>6</v>
      </c>
      <c r="Z66" s="16">
        <f>基础状态预期!M77</f>
        <v>0</v>
      </c>
      <c r="AA66" s="16">
        <f>基础状态预期!N77</f>
        <v>3</v>
      </c>
      <c r="AB66" s="16">
        <f>基础状态预期!O77</f>
        <v>5</v>
      </c>
      <c r="AC66" s="16">
        <f>基础状态预期!P77</f>
        <v>5</v>
      </c>
      <c r="AD66" s="16">
        <f>基础状态预期!Q77</f>
        <v>0</v>
      </c>
      <c r="AE66" s="16">
        <f>基础状态预期!R77</f>
        <v>0</v>
      </c>
      <c r="AF66" s="16">
        <f>基础状态预期!S77</f>
        <v>0</v>
      </c>
      <c r="AG66" s="101">
        <f>基础状态预期!T77</f>
        <v>1</v>
      </c>
      <c r="AH66" s="16" cm="1">
        <f t="array" ref="AH66">求节点(万里长城!$Q$13:$Q$172,万里长城!$W$13:$W$172,P66)</f>
        <v>647314.77811017307</v>
      </c>
      <c r="AI66" s="16" cm="1">
        <f t="array" ref="AI66">求节点($C$40:$C$54,$B$40:$B$54,AH66/36)</f>
        <v>9.870291575873793</v>
      </c>
      <c r="AJ66" s="25" cm="1">
        <f t="array" ref="AJ66">求节点($B$22:$B$36,$I$22:$I$36,AI66)</f>
        <v>9.8702915758737936E-2</v>
      </c>
    </row>
    <row r="67" spans="2:36" ht="13.5">
      <c r="B67" s="117" t="s">
        <v>260</v>
      </c>
      <c r="O67" s="100">
        <f>基础状态预期!B78</f>
        <v>12</v>
      </c>
      <c r="P67" s="16">
        <f>基础状态预期!C78</f>
        <v>105</v>
      </c>
      <c r="Q67" s="16">
        <f>基础状态预期!D78</f>
        <v>993.18226228521496</v>
      </c>
      <c r="R67" s="16">
        <f>基础状态预期!E78</f>
        <v>0</v>
      </c>
      <c r="S67" s="16">
        <f>基础状态预期!F78</f>
        <v>0</v>
      </c>
      <c r="T67" s="16">
        <f>基础状态预期!G78</f>
        <v>0</v>
      </c>
      <c r="U67" s="16">
        <f>基础状态预期!H78</f>
        <v>6</v>
      </c>
      <c r="V67" s="16">
        <f>基础状态预期!I78</f>
        <v>0</v>
      </c>
      <c r="W67" s="16">
        <f>基础状态预期!J78</f>
        <v>0</v>
      </c>
      <c r="X67" s="16">
        <f>基础状态预期!K78</f>
        <v>0</v>
      </c>
      <c r="Y67" s="16">
        <f>基础状态预期!L78</f>
        <v>6</v>
      </c>
      <c r="Z67" s="16">
        <f>基础状态预期!M78</f>
        <v>0</v>
      </c>
      <c r="AA67" s="16">
        <f>基础状态预期!N78</f>
        <v>3</v>
      </c>
      <c r="AB67" s="16">
        <f>基础状态预期!O78</f>
        <v>5</v>
      </c>
      <c r="AC67" s="16">
        <f>基础状态预期!P78</f>
        <v>5</v>
      </c>
      <c r="AD67" s="16">
        <f>基础状态预期!Q78</f>
        <v>0</v>
      </c>
      <c r="AE67" s="16">
        <f>基础状态预期!R78</f>
        <v>0</v>
      </c>
      <c r="AF67" s="16">
        <f>基础状态预期!S78</f>
        <v>0</v>
      </c>
      <c r="AG67" s="101">
        <f>基础状态预期!T78</f>
        <v>1</v>
      </c>
      <c r="AH67" s="16" cm="1">
        <f t="array" ref="AH67">求节点(万里长城!$Q$13:$Q$172,万里长城!$W$13:$W$172,P67)</f>
        <v>917552.57108555769</v>
      </c>
      <c r="AI67" s="16" cm="1">
        <f t="array" ref="AI67">求节点($C$40:$C$54,$B$40:$B$54,AH67/36)</f>
        <v>10.147451390007705</v>
      </c>
      <c r="AJ67" s="25" cm="1">
        <f t="array" ref="AJ67">求节点($B$22:$B$36,$I$22:$I$36,AI67)</f>
        <v>0.10147451390007706</v>
      </c>
    </row>
    <row r="68" spans="2:36" ht="13.5">
      <c r="B68" s="117" t="s">
        <v>636</v>
      </c>
      <c r="O68" s="100">
        <f>基础状态预期!B79</f>
        <v>13</v>
      </c>
      <c r="P68" s="16">
        <f>基础状态预期!C79</f>
        <v>110</v>
      </c>
      <c r="Q68" s="16">
        <f>基础状态预期!D79</f>
        <v>1397.2821999999999</v>
      </c>
      <c r="R68" s="16">
        <f>基础状态预期!E79</f>
        <v>0</v>
      </c>
      <c r="S68" s="16">
        <f>基础状态预期!F79</f>
        <v>0</v>
      </c>
      <c r="T68" s="16">
        <f>基础状态预期!G79</f>
        <v>0</v>
      </c>
      <c r="U68" s="16">
        <f>基础状态预期!H79</f>
        <v>6</v>
      </c>
      <c r="V68" s="16">
        <f>基础状态预期!I79</f>
        <v>0</v>
      </c>
      <c r="W68" s="16">
        <f>基础状态预期!J79</f>
        <v>0</v>
      </c>
      <c r="X68" s="16">
        <f>基础状态预期!K79</f>
        <v>0</v>
      </c>
      <c r="Y68" s="16">
        <f>基础状态预期!L79</f>
        <v>6</v>
      </c>
      <c r="Z68" s="16">
        <f>基础状态预期!M79</f>
        <v>0</v>
      </c>
      <c r="AA68" s="16">
        <f>基础状态预期!N79</f>
        <v>3</v>
      </c>
      <c r="AB68" s="16">
        <f>基础状态预期!O79</f>
        <v>5</v>
      </c>
      <c r="AC68" s="16">
        <f>基础状态预期!P79</f>
        <v>5</v>
      </c>
      <c r="AD68" s="16">
        <f>基础状态预期!Q79</f>
        <v>0</v>
      </c>
      <c r="AE68" s="16">
        <f>基础状态预期!R79</f>
        <v>0</v>
      </c>
      <c r="AF68" s="16">
        <f>基础状态预期!S79</f>
        <v>0</v>
      </c>
      <c r="AG68" s="101">
        <f>基础状态预期!T79</f>
        <v>1</v>
      </c>
      <c r="AH68" s="16" cm="1">
        <f t="array" ref="AH68">求节点(万里长城!$Q$13:$Q$172,万里长城!$W$13:$W$172,P68)</f>
        <v>1299726.5229771193</v>
      </c>
      <c r="AI68" s="16" cm="1">
        <f t="array" ref="AI68">求节点($C$40:$C$54,$B$40:$B$54,AH68/36)</f>
        <v>10.417124283065137</v>
      </c>
      <c r="AJ68" s="25" cm="1">
        <f t="array" ref="AJ68">求节点($B$22:$B$36,$I$22:$I$36,AI68)</f>
        <v>0.10417124283065138</v>
      </c>
    </row>
    <row r="69" spans="2:36" ht="13.5">
      <c r="B69" s="117" t="s">
        <v>637</v>
      </c>
      <c r="O69" s="100">
        <f>基础状态预期!B80</f>
        <v>14</v>
      </c>
      <c r="P69" s="16">
        <f>基础状态预期!C80</f>
        <v>115</v>
      </c>
      <c r="Q69" s="16">
        <f>基础状态预期!D80</f>
        <v>1969.9684992535633</v>
      </c>
      <c r="R69" s="16">
        <f>基础状态预期!E80</f>
        <v>0</v>
      </c>
      <c r="S69" s="16">
        <f>基础状态预期!F80</f>
        <v>0</v>
      </c>
      <c r="T69" s="16">
        <f>基础状态预期!G80</f>
        <v>0</v>
      </c>
      <c r="U69" s="16">
        <f>基础状态预期!H80</f>
        <v>6</v>
      </c>
      <c r="V69" s="16">
        <f>基础状态预期!I80</f>
        <v>0</v>
      </c>
      <c r="W69" s="16">
        <f>基础状态预期!J80</f>
        <v>0</v>
      </c>
      <c r="X69" s="16">
        <f>基础状态预期!K80</f>
        <v>0</v>
      </c>
      <c r="Y69" s="16">
        <f>基础状态预期!L80</f>
        <v>6</v>
      </c>
      <c r="Z69" s="16">
        <f>基础状态预期!M80</f>
        <v>0</v>
      </c>
      <c r="AA69" s="16">
        <f>基础状态预期!N80</f>
        <v>3</v>
      </c>
      <c r="AB69" s="16">
        <f>基础状态预期!O80</f>
        <v>5</v>
      </c>
      <c r="AC69" s="16">
        <f>基础状态预期!P80</f>
        <v>5</v>
      </c>
      <c r="AD69" s="16">
        <f>基础状态预期!Q80</f>
        <v>0</v>
      </c>
      <c r="AE69" s="16">
        <f>基础状态预期!R80</f>
        <v>0</v>
      </c>
      <c r="AF69" s="16">
        <f>基础状态预期!S80</f>
        <v>0</v>
      </c>
      <c r="AG69" s="101">
        <f>基础状态预期!T80</f>
        <v>1</v>
      </c>
      <c r="AH69" s="16" cm="1">
        <f t="array" ref="AH69">求节点(万里长城!$Q$13:$Q$172,万里长城!$W$13:$W$172,P69)</f>
        <v>1840202.1089278886</v>
      </c>
      <c r="AI69" s="16" cm="1">
        <f t="array" ref="AI69">求节点($C$40:$C$54,$B$40:$B$54,AH69/36)</f>
        <v>10.798499345831349</v>
      </c>
      <c r="AJ69" s="25" cm="1">
        <f t="array" ref="AJ69">求节点($B$22:$B$36,$I$22:$I$36,AI69)</f>
        <v>0.10798499345831349</v>
      </c>
    </row>
    <row r="70" spans="2:36" ht="13.5">
      <c r="B70" s="117" t="s">
        <v>638</v>
      </c>
      <c r="O70" s="100">
        <f>基础状态预期!B81</f>
        <v>15</v>
      </c>
      <c r="P70" s="16">
        <f>基础状态预期!C81</f>
        <v>120</v>
      </c>
      <c r="Q70" s="16">
        <f>基础状态预期!D81</f>
        <v>2791.971</v>
      </c>
      <c r="R70" s="16">
        <f>基础状态预期!E81</f>
        <v>0</v>
      </c>
      <c r="S70" s="16">
        <f>基础状态预期!F81</f>
        <v>0</v>
      </c>
      <c r="T70" s="16">
        <f>基础状态预期!G81</f>
        <v>0</v>
      </c>
      <c r="U70" s="16">
        <f>基础状态预期!H81</f>
        <v>6</v>
      </c>
      <c r="V70" s="16">
        <f>基础状态预期!I81</f>
        <v>0</v>
      </c>
      <c r="W70" s="16">
        <f>基础状态预期!J81</f>
        <v>0</v>
      </c>
      <c r="X70" s="16">
        <f>基础状态预期!K81</f>
        <v>0</v>
      </c>
      <c r="Y70" s="16">
        <f>基础状态预期!L81</f>
        <v>6</v>
      </c>
      <c r="Z70" s="16">
        <f>基础状态预期!M81</f>
        <v>0</v>
      </c>
      <c r="AA70" s="16">
        <f>基础状态预期!N81</f>
        <v>3</v>
      </c>
      <c r="AB70" s="16">
        <f>基础状态预期!O81</f>
        <v>5</v>
      </c>
      <c r="AC70" s="16">
        <f>基础状态预期!P81</f>
        <v>5</v>
      </c>
      <c r="AD70" s="16">
        <f>基础状态预期!Q81</f>
        <v>0</v>
      </c>
      <c r="AE70" s="16">
        <f>基础状态预期!R81</f>
        <v>0</v>
      </c>
      <c r="AF70" s="16">
        <f>基础状态预期!S81</f>
        <v>0</v>
      </c>
      <c r="AG70" s="101">
        <f>基础状态预期!T81</f>
        <v>1</v>
      </c>
      <c r="AH70" s="16" cm="1">
        <f t="array" ref="AH70">求节点(万里长城!$Q$13:$Q$172,万里长城!$W$13:$W$172,P70)</f>
        <v>2604550.0127110113</v>
      </c>
      <c r="AI70" s="16" cm="1">
        <f t="array" ref="AI70">求节点($C$40:$C$54,$B$40:$B$54,AH70/36)</f>
        <v>11.112615043982073</v>
      </c>
      <c r="AJ70" s="25" cm="1">
        <f t="array" ref="AJ70">求节点($B$22:$B$36,$I$22:$I$36,AI70)</f>
        <v>0.11112615043982073</v>
      </c>
    </row>
    <row r="71" spans="2:36" ht="13.5">
      <c r="B71" s="117" t="s">
        <v>261</v>
      </c>
      <c r="O71" s="100">
        <f>基础状态预期!B82</f>
        <v>16</v>
      </c>
      <c r="P71" s="16">
        <f>基础状态预期!C82</f>
        <v>125</v>
      </c>
      <c r="Q71" s="16">
        <f>基础状态预期!D82</f>
        <v>3940.0382366319791</v>
      </c>
      <c r="R71" s="16">
        <f>基础状态预期!E82</f>
        <v>0</v>
      </c>
      <c r="S71" s="16">
        <f>基础状态预期!F82</f>
        <v>0</v>
      </c>
      <c r="T71" s="16">
        <f>基础状态预期!G82</f>
        <v>0</v>
      </c>
      <c r="U71" s="16">
        <f>基础状态预期!H82</f>
        <v>6</v>
      </c>
      <c r="V71" s="16">
        <f>基础状态预期!I82</f>
        <v>0</v>
      </c>
      <c r="W71" s="16">
        <f>基础状态预期!J82</f>
        <v>0</v>
      </c>
      <c r="X71" s="16">
        <f>基础状态预期!K82</f>
        <v>0</v>
      </c>
      <c r="Y71" s="16">
        <f>基础状态预期!L82</f>
        <v>6</v>
      </c>
      <c r="Z71" s="16">
        <f>基础状态预期!M82</f>
        <v>0</v>
      </c>
      <c r="AA71" s="16">
        <f>基础状态预期!N82</f>
        <v>3</v>
      </c>
      <c r="AB71" s="16">
        <f>基础状态预期!O82</f>
        <v>5</v>
      </c>
      <c r="AC71" s="16">
        <f>基础状态预期!P82</f>
        <v>5</v>
      </c>
      <c r="AD71" s="16">
        <f>基础状态预期!Q82</f>
        <v>0</v>
      </c>
      <c r="AE71" s="16">
        <f>基础状态预期!R82</f>
        <v>0</v>
      </c>
      <c r="AF71" s="16">
        <f>基础状态预期!S82</f>
        <v>0</v>
      </c>
      <c r="AG71" s="101">
        <f>基础状态预期!T82</f>
        <v>1</v>
      </c>
      <c r="AH71" s="16" cm="1">
        <f t="array" ref="AH71">求节点(万里长城!$Q$13:$Q$172,万里长城!$W$13:$W$172,P71)</f>
        <v>3685501.1846125508</v>
      </c>
      <c r="AI71" s="16" cm="1">
        <f t="array" ref="AI71">求节点($C$40:$C$54,$B$40:$B$54,AH71/36)</f>
        <v>11.366865085826214</v>
      </c>
      <c r="AJ71" s="25" cm="1">
        <f t="array" ref="AJ71">求节点($B$22:$B$36,$I$22:$I$36,AI71)</f>
        <v>0.11366865085826214</v>
      </c>
    </row>
    <row r="72" spans="2:36" ht="13.5">
      <c r="B72" s="117" t="s">
        <v>639</v>
      </c>
      <c r="O72" s="100">
        <f>基础状态预期!B83</f>
        <v>17</v>
      </c>
      <c r="P72" s="16">
        <f>基础状态预期!C83</f>
        <v>130</v>
      </c>
      <c r="Q72" s="16">
        <f>基础状态预期!D83</f>
        <v>5542.0306</v>
      </c>
      <c r="R72" s="16">
        <f>基础状态预期!E83</f>
        <v>0</v>
      </c>
      <c r="S72" s="16">
        <f>基础状态预期!F83</f>
        <v>0</v>
      </c>
      <c r="T72" s="16">
        <f>基础状态预期!G83</f>
        <v>0</v>
      </c>
      <c r="U72" s="16">
        <f>基础状态预期!H83</f>
        <v>6</v>
      </c>
      <c r="V72" s="16">
        <f>基础状态预期!I83</f>
        <v>0</v>
      </c>
      <c r="W72" s="16">
        <f>基础状态预期!J83</f>
        <v>0</v>
      </c>
      <c r="X72" s="16">
        <f>基础状态预期!K83</f>
        <v>0</v>
      </c>
      <c r="Y72" s="16">
        <f>基础状态预期!L83</f>
        <v>6</v>
      </c>
      <c r="Z72" s="16">
        <f>基础状态预期!M83</f>
        <v>0</v>
      </c>
      <c r="AA72" s="16">
        <f>基础状态预期!N83</f>
        <v>3</v>
      </c>
      <c r="AB72" s="16">
        <f>基础状态预期!O83</f>
        <v>5</v>
      </c>
      <c r="AC72" s="16">
        <f>基础状态预期!P83</f>
        <v>5</v>
      </c>
      <c r="AD72" s="16">
        <f>基础状态预期!Q83</f>
        <v>0</v>
      </c>
      <c r="AE72" s="16">
        <f>基础状态预期!R83</f>
        <v>0</v>
      </c>
      <c r="AF72" s="16">
        <f>基础状态预期!S83</f>
        <v>0</v>
      </c>
      <c r="AG72" s="101">
        <f>基础状态预期!T83</f>
        <v>1</v>
      </c>
      <c r="AH72" s="16" cm="1">
        <f t="array" ref="AH72">求节点(万里长城!$Q$13:$Q$172,万里长城!$W$13:$W$172,P72)</f>
        <v>5214196.9921787959</v>
      </c>
      <c r="AI72" s="16" cm="1">
        <f t="array" ref="AI72">求节点($C$40:$C$54,$B$40:$B$54,AH72/36)</f>
        <v>11.726428943236124</v>
      </c>
      <c r="AJ72" s="25" cm="1">
        <f t="array" ref="AJ72">求节点($B$22:$B$36,$I$22:$I$36,AI72)</f>
        <v>0.11726428943236124</v>
      </c>
    </row>
    <row r="73" spans="2:36" ht="13.5">
      <c r="B73" s="118" t="s">
        <v>640</v>
      </c>
      <c r="O73" s="100">
        <f>基础状态预期!B84</f>
        <v>18</v>
      </c>
      <c r="P73" s="16">
        <f>基础状态预期!C84</f>
        <v>135</v>
      </c>
      <c r="Q73" s="16">
        <f>基础状态预期!D84</f>
        <v>7796.1918394923478</v>
      </c>
      <c r="R73" s="16">
        <f>基础状态预期!E84</f>
        <v>0</v>
      </c>
      <c r="S73" s="16">
        <f>基础状态预期!F84</f>
        <v>0</v>
      </c>
      <c r="T73" s="16">
        <f>基础状态预期!G84</f>
        <v>0</v>
      </c>
      <c r="U73" s="16">
        <f>基础状态预期!H84</f>
        <v>6</v>
      </c>
      <c r="V73" s="16">
        <f>基础状态预期!I84</f>
        <v>0</v>
      </c>
      <c r="W73" s="16">
        <f>基础状态预期!J84</f>
        <v>0</v>
      </c>
      <c r="X73" s="16">
        <f>基础状态预期!K84</f>
        <v>0</v>
      </c>
      <c r="Y73" s="16">
        <f>基础状态预期!L84</f>
        <v>6</v>
      </c>
      <c r="Z73" s="16">
        <f>基础状态预期!M84</f>
        <v>0</v>
      </c>
      <c r="AA73" s="16">
        <f>基础状态预期!N84</f>
        <v>3</v>
      </c>
      <c r="AB73" s="16">
        <f>基础状态预期!O84</f>
        <v>5</v>
      </c>
      <c r="AC73" s="16">
        <f>基础状态预期!P84</f>
        <v>5</v>
      </c>
      <c r="AD73" s="16">
        <f>基础状态预期!Q84</f>
        <v>0</v>
      </c>
      <c r="AE73" s="16">
        <f>基础状态预期!R84</f>
        <v>0</v>
      </c>
      <c r="AF73" s="16">
        <f>基础状态预期!S84</f>
        <v>0</v>
      </c>
      <c r="AG73" s="101">
        <f>基础状态预期!T84</f>
        <v>1</v>
      </c>
      <c r="AH73" s="16" cm="1">
        <f t="array" ref="AH73">求节点(万里长城!$Q$13:$Q$172,万里长城!$W$13:$W$172,P73)</f>
        <v>7376099.3359818738</v>
      </c>
      <c r="AI73" s="16" cm="1">
        <f t="array" ref="AI73">求节点($C$40:$C$54,$B$40:$B$54,AH73/36)</f>
        <v>12.078309675641469</v>
      </c>
      <c r="AJ73" s="25" cm="1">
        <f t="array" ref="AJ73">求节点($B$22:$B$36,$I$22:$I$36,AI73)</f>
        <v>0.12078309675641469</v>
      </c>
    </row>
    <row r="74" spans="2:36" ht="13.5">
      <c r="B74" s="118" t="s">
        <v>641</v>
      </c>
      <c r="O74" s="100">
        <f>基础状态预期!B85</f>
        <v>19</v>
      </c>
      <c r="P74" s="16">
        <f>基础状态预期!C85</f>
        <v>140</v>
      </c>
      <c r="Q74" s="16">
        <f>基础状态预期!D85</f>
        <v>11037.2271</v>
      </c>
      <c r="R74" s="16">
        <f>基础状态预期!E85</f>
        <v>0</v>
      </c>
      <c r="S74" s="16">
        <f>基础状态预期!F85</f>
        <v>0</v>
      </c>
      <c r="T74" s="16">
        <f>基础状态预期!G85</f>
        <v>0</v>
      </c>
      <c r="U74" s="16">
        <f>基础状态预期!H85</f>
        <v>6</v>
      </c>
      <c r="V74" s="16">
        <f>基础状态预期!I85</f>
        <v>0</v>
      </c>
      <c r="W74" s="16">
        <f>基础状态预期!J85</f>
        <v>0</v>
      </c>
      <c r="X74" s="16">
        <f>基础状态预期!K85</f>
        <v>0</v>
      </c>
      <c r="Y74" s="16">
        <f>基础状态预期!L85</f>
        <v>6</v>
      </c>
      <c r="Z74" s="16">
        <f>基础状态预期!M85</f>
        <v>0</v>
      </c>
      <c r="AA74" s="16">
        <f>基础状态预期!N85</f>
        <v>3</v>
      </c>
      <c r="AB74" s="16">
        <f>基础状态预期!O85</f>
        <v>5</v>
      </c>
      <c r="AC74" s="16">
        <f>基础状态预期!P85</f>
        <v>5</v>
      </c>
      <c r="AD74" s="16">
        <f>基础状态预期!Q85</f>
        <v>0</v>
      </c>
      <c r="AE74" s="16">
        <f>基础状态预期!R85</f>
        <v>0</v>
      </c>
      <c r="AF74" s="16">
        <f>基础状态预期!S85</f>
        <v>0</v>
      </c>
      <c r="AG74" s="101">
        <f>基础状态预期!T85</f>
        <v>1</v>
      </c>
      <c r="AH74" s="16" cm="1">
        <f t="array" ref="AH74">求节点(万里长城!$Q$13:$Q$172,万里长城!$W$13:$W$172,P74)</f>
        <v>10433490.951114366</v>
      </c>
      <c r="AI74" s="16" cm="1">
        <f t="array" ref="AI74">求节点($C$40:$C$54,$B$40:$B$54,AH74/36)</f>
        <v>12.318018913914743</v>
      </c>
      <c r="AJ74" s="25" cm="1">
        <f t="array" ref="AJ74">求节点($B$22:$B$36,$I$22:$I$36,AI74)</f>
        <v>0.12318018913914743</v>
      </c>
    </row>
    <row r="75" spans="2:36" ht="13.5">
      <c r="B75" s="119" t="s">
        <v>642</v>
      </c>
      <c r="O75" s="100">
        <f>基础状态预期!B86</f>
        <v>20</v>
      </c>
      <c r="P75" s="16">
        <f>基础状态预期!C86</f>
        <v>145</v>
      </c>
      <c r="Q75" s="16">
        <f>基础状态预期!D86</f>
        <v>15650.9803664995</v>
      </c>
      <c r="R75" s="16">
        <f>基础状态预期!E86</f>
        <v>0</v>
      </c>
      <c r="S75" s="16">
        <f>基础状态预期!F86</f>
        <v>0</v>
      </c>
      <c r="T75" s="16">
        <f>基础状态预期!G86</f>
        <v>0</v>
      </c>
      <c r="U75" s="16">
        <f>基础状态预期!H86</f>
        <v>6</v>
      </c>
      <c r="V75" s="16">
        <f>基础状态预期!I86</f>
        <v>0</v>
      </c>
      <c r="W75" s="16">
        <f>基础状态预期!J86</f>
        <v>0</v>
      </c>
      <c r="X75" s="16">
        <f>基础状态预期!K86</f>
        <v>0</v>
      </c>
      <c r="Y75" s="16">
        <f>基础状态预期!L86</f>
        <v>6</v>
      </c>
      <c r="Z75" s="16">
        <f>基础状态预期!M86</f>
        <v>0</v>
      </c>
      <c r="AA75" s="16">
        <f>基础状态预期!N86</f>
        <v>3</v>
      </c>
      <c r="AB75" s="16">
        <f>基础状态预期!O86</f>
        <v>5</v>
      </c>
      <c r="AC75" s="16">
        <f>基础状态预期!P86</f>
        <v>5</v>
      </c>
      <c r="AD75" s="16">
        <f>基础状态预期!Q86</f>
        <v>0</v>
      </c>
      <c r="AE75" s="16">
        <f>基础状态预期!R86</f>
        <v>0</v>
      </c>
      <c r="AF75" s="16">
        <f>基础状态预期!S86</f>
        <v>0</v>
      </c>
      <c r="AG75" s="101">
        <f>基础状态预期!T86</f>
        <v>1</v>
      </c>
      <c r="AH75" s="16" cm="1">
        <f t="array" ref="AH75">求节点(万里长城!$Q$13:$Q$172,万里长城!$W$13:$W$172,P75)</f>
        <v>14757295.638720524</v>
      </c>
      <c r="AI75" s="16" cm="1">
        <f t="array" ref="AI75">求节点($C$40:$C$54,$B$40:$B$54,AH75/36)</f>
        <v>12.657018969706932</v>
      </c>
      <c r="AJ75" s="25" cm="1">
        <f t="array" ref="AJ75">求节点($B$22:$B$36,$I$22:$I$36,AI75)</f>
        <v>0.12657018969706932</v>
      </c>
    </row>
    <row r="76" spans="2:36" ht="13.5">
      <c r="B76" s="119" t="s">
        <v>643</v>
      </c>
      <c r="O76" s="100">
        <f>基础状态预期!B87</f>
        <v>21</v>
      </c>
      <c r="P76" s="16">
        <f>基础状态预期!C87</f>
        <v>150</v>
      </c>
      <c r="Q76" s="16">
        <f>基础状态预期!D87</f>
        <v>21996.487099999998</v>
      </c>
      <c r="R76" s="16">
        <f>基础状态预期!E87</f>
        <v>0</v>
      </c>
      <c r="S76" s="16">
        <f>基础状态预期!F87</f>
        <v>0</v>
      </c>
      <c r="T76" s="16">
        <f>基础状态预期!G87</f>
        <v>0</v>
      </c>
      <c r="U76" s="16">
        <f>基础状态预期!H87</f>
        <v>6</v>
      </c>
      <c r="V76" s="16">
        <f>基础状态预期!I87</f>
        <v>0</v>
      </c>
      <c r="W76" s="16">
        <f>基础状态预期!J87</f>
        <v>0</v>
      </c>
      <c r="X76" s="16">
        <f>基础状态预期!K87</f>
        <v>0</v>
      </c>
      <c r="Y76" s="16">
        <f>基础状态预期!L87</f>
        <v>6</v>
      </c>
      <c r="Z76" s="16">
        <f>基础状态预期!M87</f>
        <v>0</v>
      </c>
      <c r="AA76" s="16">
        <f>基础状态预期!N87</f>
        <v>3</v>
      </c>
      <c r="AB76" s="16">
        <f>基础状态预期!O87</f>
        <v>5</v>
      </c>
      <c r="AC76" s="16">
        <f>基础状态预期!P87</f>
        <v>5</v>
      </c>
      <c r="AD76" s="16">
        <f>基础状态预期!Q87</f>
        <v>0</v>
      </c>
      <c r="AE76" s="16">
        <f>基础状态预期!R87</f>
        <v>0</v>
      </c>
      <c r="AF76" s="16">
        <f>基础状态预期!S87</f>
        <v>0</v>
      </c>
      <c r="AG76" s="101">
        <f>基础状态预期!T87</f>
        <v>1</v>
      </c>
      <c r="AH76" s="16" cm="1">
        <f t="array" ref="AH76">求节点(万里长城!$Q$13:$Q$172,万里长城!$W$13:$W$172,P76)</f>
        <v>20872078.868985504</v>
      </c>
      <c r="AI76" s="16" cm="1">
        <f t="array" ref="AI76">求节点($C$40:$C$54,$B$40:$B$54,AH76/36)</f>
        <v>13.045479148751161</v>
      </c>
      <c r="AJ76" s="25" cm="1">
        <f t="array" ref="AJ76">求节点($B$22:$B$36,$I$22:$I$36,AI76)</f>
        <v>0.1304547914875116</v>
      </c>
    </row>
    <row r="77" spans="2:36" ht="13.5">
      <c r="B77" s="120" t="s">
        <v>644</v>
      </c>
      <c r="O77" s="100">
        <f>基础状态预期!B88</f>
        <v>22</v>
      </c>
      <c r="P77" s="16">
        <f>基础状态预期!C88</f>
        <v>155</v>
      </c>
      <c r="Q77" s="16">
        <f>基础状态预期!D88</f>
        <v>44402.940101346627</v>
      </c>
      <c r="R77" s="16">
        <f>基础状态预期!E88</f>
        <v>0</v>
      </c>
      <c r="S77" s="16">
        <f>基础状态预期!F88</f>
        <v>0</v>
      </c>
      <c r="T77" s="16">
        <f>基础状态预期!G88</f>
        <v>0</v>
      </c>
      <c r="U77" s="16">
        <f>基础状态预期!H88</f>
        <v>6</v>
      </c>
      <c r="V77" s="16">
        <f>基础状态预期!I88</f>
        <v>0</v>
      </c>
      <c r="W77" s="16">
        <f>基础状态预期!J88</f>
        <v>0</v>
      </c>
      <c r="X77" s="16">
        <f>基础状态预期!K88</f>
        <v>0</v>
      </c>
      <c r="Y77" s="16">
        <f>基础状态预期!L88</f>
        <v>6</v>
      </c>
      <c r="Z77" s="16">
        <f>基础状态预期!M88</f>
        <v>0</v>
      </c>
      <c r="AA77" s="16">
        <f>基础状态预期!N88</f>
        <v>3</v>
      </c>
      <c r="AB77" s="16">
        <f>基础状态预期!O88</f>
        <v>5</v>
      </c>
      <c r="AC77" s="16">
        <f>基础状态预期!P88</f>
        <v>5</v>
      </c>
      <c r="AD77" s="16">
        <f>基础状态预期!Q88</f>
        <v>0</v>
      </c>
      <c r="AE77" s="16">
        <f>基础状态预期!R88</f>
        <v>0</v>
      </c>
      <c r="AF77" s="16">
        <f>基础状态预期!S88</f>
        <v>0</v>
      </c>
      <c r="AG77" s="101">
        <f>基础状态预期!T88</f>
        <v>1</v>
      </c>
      <c r="AH77" s="16" cm="1">
        <f t="array" ref="AH77">求节点(万里长城!$Q$13:$Q$172,万里长城!$W$13:$W$172,P77)</f>
        <v>29519688.244197827</v>
      </c>
      <c r="AI77" s="16" cm="1">
        <f t="array" ref="AI77">求节点($C$40:$C$54,$B$40:$B$54,AH77/36)</f>
        <v>13.271479185945953</v>
      </c>
      <c r="AJ77" s="25" cm="1">
        <f t="array" ref="AJ77">求节点($B$22:$B$36,$I$22:$I$36,AI77)</f>
        <v>0.13271479185945953</v>
      </c>
    </row>
    <row r="78" spans="2:36" ht="13.5">
      <c r="B78" s="120" t="s">
        <v>645</v>
      </c>
      <c r="O78" s="102">
        <f>基础状态预期!B89</f>
        <v>23</v>
      </c>
      <c r="P78" s="97">
        <f>基础状态预期!C89</f>
        <v>160</v>
      </c>
      <c r="Q78" s="97">
        <f>基础状态预期!D89</f>
        <v>66190.350000000006</v>
      </c>
      <c r="R78" s="97">
        <f>基础状态预期!E89</f>
        <v>0</v>
      </c>
      <c r="S78" s="97">
        <f>基础状态预期!F89</f>
        <v>0</v>
      </c>
      <c r="T78" s="97">
        <f>基础状态预期!G89</f>
        <v>0</v>
      </c>
      <c r="U78" s="97">
        <f>基础状态预期!H89</f>
        <v>6</v>
      </c>
      <c r="V78" s="97">
        <f>基础状态预期!I89</f>
        <v>0</v>
      </c>
      <c r="W78" s="97">
        <f>基础状态预期!J89</f>
        <v>0</v>
      </c>
      <c r="X78" s="97">
        <f>基础状态预期!K89</f>
        <v>0</v>
      </c>
      <c r="Y78" s="97">
        <f>基础状态预期!L89</f>
        <v>6</v>
      </c>
      <c r="Z78" s="97">
        <f>基础状态预期!M89</f>
        <v>0</v>
      </c>
      <c r="AA78" s="97">
        <f>基础状态预期!N89</f>
        <v>3</v>
      </c>
      <c r="AB78" s="97">
        <f>基础状态预期!O89</f>
        <v>5</v>
      </c>
      <c r="AC78" s="97">
        <f>基础状态预期!P89</f>
        <v>5</v>
      </c>
      <c r="AD78" s="97">
        <f>基础状态预期!Q89</f>
        <v>0</v>
      </c>
      <c r="AE78" s="97">
        <f>基础状态预期!R89</f>
        <v>0</v>
      </c>
      <c r="AF78" s="97">
        <f>基础状态预期!S89</f>
        <v>0</v>
      </c>
      <c r="AG78" s="103">
        <f>基础状态预期!T89</f>
        <v>1</v>
      </c>
      <c r="AH78" s="16" cm="1">
        <f t="array" ref="AH78">求节点(万里长城!$Q$13:$Q$172,万里长城!$W$13:$W$172,P78)</f>
        <v>41749254.704727776</v>
      </c>
      <c r="AI78" s="16" cm="1">
        <f t="array" ref="AI78">求节点($C$40:$C$54,$B$40:$B$54,AH78/36)</f>
        <v>13.591091503643652</v>
      </c>
      <c r="AJ78" s="25" cm="1">
        <f t="array" ref="AJ78">求节点($B$22:$B$36,$I$22:$I$36,AI78)</f>
        <v>0.13591091503643651</v>
      </c>
    </row>
    <row r="79" spans="2:36" ht="13.5">
      <c r="B79" s="120" t="s">
        <v>475</v>
      </c>
      <c r="O79" s="16">
        <f>基础状态预期!B90</f>
        <v>24</v>
      </c>
    </row>
    <row r="80" spans="2:36" ht="13.5">
      <c r="B80" s="120" t="s">
        <v>646</v>
      </c>
      <c r="O80" s="16">
        <f>基础状态预期!B91</f>
        <v>25</v>
      </c>
    </row>
    <row r="81" spans="2:36" ht="13.5">
      <c r="B81" s="120" t="s">
        <v>474</v>
      </c>
      <c r="O81" s="16">
        <f>基础状态预期!B92</f>
        <v>26</v>
      </c>
    </row>
    <row r="82" spans="2:36" ht="13.5">
      <c r="B82" s="120" t="s">
        <v>647</v>
      </c>
      <c r="O82" s="98">
        <f>基础状态预期!B93</f>
        <v>1</v>
      </c>
      <c r="P82" s="180" t="str">
        <f>基础状态预期!C93</f>
        <v>大r</v>
      </c>
      <c r="Q82" s="180">
        <f>基础状态预期!D93</f>
        <v>0</v>
      </c>
      <c r="R82" s="180" t="str">
        <f>基础状态预期!E93</f>
        <v>武将上阵情况（主力队伍）</v>
      </c>
      <c r="S82" s="180">
        <f>基础状态预期!F93</f>
        <v>0</v>
      </c>
      <c r="T82" s="180">
        <f>基础状态预期!G93</f>
        <v>0</v>
      </c>
      <c r="U82" s="180">
        <f>基础状态预期!H93</f>
        <v>0</v>
      </c>
      <c r="V82" s="180" t="str">
        <f>基础状态预期!I93</f>
        <v>主力队伍装备宝物数量</v>
      </c>
      <c r="W82" s="180">
        <f>基础状态预期!J93</f>
        <v>0</v>
      </c>
      <c r="X82" s="180">
        <f>基础状态预期!K93</f>
        <v>0</v>
      </c>
      <c r="Y82" s="180">
        <f>基础状态预期!L93</f>
        <v>0</v>
      </c>
      <c r="Z82" s="180" t="str">
        <f>基础状态预期!M93</f>
        <v>宝物星级</v>
      </c>
      <c r="AA82" s="180">
        <f>基础状态预期!N93</f>
        <v>0</v>
      </c>
      <c r="AB82" s="180">
        <f>基础状态预期!O93</f>
        <v>0</v>
      </c>
      <c r="AC82" s="180">
        <f>基础状态预期!P93</f>
        <v>0</v>
      </c>
      <c r="AD82" s="180" t="str">
        <f>基础状态预期!Q93</f>
        <v>宝物温养进度</v>
      </c>
      <c r="AE82" s="180">
        <f>基础状态预期!R93</f>
        <v>0</v>
      </c>
      <c r="AF82" s="180">
        <f>基础状态预期!S93</f>
        <v>0</v>
      </c>
      <c r="AG82" s="181">
        <f>基础状态预期!T93</f>
        <v>0</v>
      </c>
    </row>
    <row r="83" spans="2:36" ht="13.5">
      <c r="B83" s="120" t="s">
        <v>648</v>
      </c>
      <c r="O83" s="100">
        <f>基础状态预期!B94</f>
        <v>2</v>
      </c>
      <c r="P83" s="16" t="str">
        <f>基础状态预期!C94</f>
        <v>定义等级</v>
      </c>
      <c r="Q83" s="16" t="str">
        <f>基础状态预期!D94</f>
        <v>天数</v>
      </c>
      <c r="R83" s="16" t="str">
        <f>基础状态预期!E94</f>
        <v>蓝</v>
      </c>
      <c r="S83" s="16" t="str">
        <f>基础状态预期!F94</f>
        <v>紫</v>
      </c>
      <c r="T83" s="16" t="str">
        <f>基础状态预期!G94</f>
        <v>橙</v>
      </c>
      <c r="U83" s="16" t="str">
        <f>基础状态预期!H94</f>
        <v>橙+</v>
      </c>
      <c r="V83" s="16" t="str">
        <f>基础状态预期!I94</f>
        <v>蓝</v>
      </c>
      <c r="W83" s="16" t="str">
        <f>基础状态预期!J94</f>
        <v>紫</v>
      </c>
      <c r="X83" s="16" t="str">
        <f>基础状态预期!K94</f>
        <v>橙</v>
      </c>
      <c r="Y83" s="16" t="str">
        <f>基础状态预期!L94</f>
        <v>橙+</v>
      </c>
      <c r="Z83" s="16" t="str">
        <f>基础状态预期!M94</f>
        <v>蓝</v>
      </c>
      <c r="AA83" s="16" t="str">
        <f>基础状态预期!N94</f>
        <v>紫</v>
      </c>
      <c r="AB83" s="16" t="str">
        <f>基础状态预期!O94</f>
        <v>橙</v>
      </c>
      <c r="AC83" s="16" t="str">
        <f>基础状态预期!P94</f>
        <v>橙+</v>
      </c>
      <c r="AD83" s="16" t="str">
        <f>基础状态预期!Q94</f>
        <v>蓝</v>
      </c>
      <c r="AE83" s="16" t="str">
        <f>基础状态预期!R94</f>
        <v>紫</v>
      </c>
      <c r="AF83" s="16" t="str">
        <f>基础状态预期!S94</f>
        <v>橙</v>
      </c>
      <c r="AG83" s="101" t="str">
        <f>基础状态预期!T94</f>
        <v>橙+</v>
      </c>
      <c r="AH83" s="16" t="s">
        <v>721</v>
      </c>
      <c r="AI83" s="16" t="s">
        <v>722</v>
      </c>
      <c r="AJ83" s="16" t="s">
        <v>749</v>
      </c>
    </row>
    <row r="84" spans="2:36" ht="13.5">
      <c r="B84" s="120" t="s">
        <v>649</v>
      </c>
      <c r="O84" s="100">
        <f>基础状态预期!B95</f>
        <v>3</v>
      </c>
      <c r="P84" s="16">
        <f>基础状态预期!C95</f>
        <v>50</v>
      </c>
      <c r="Q84" s="16">
        <f>基础状态预期!D95</f>
        <v>16.386599999999998</v>
      </c>
      <c r="R84" s="16">
        <f>基础状态预期!E95</f>
        <v>0</v>
      </c>
      <c r="S84" s="16">
        <f>基础状态预期!F95</f>
        <v>0</v>
      </c>
      <c r="T84" s="16">
        <f>基础状态预期!G95</f>
        <v>5.6858826437339172</v>
      </c>
      <c r="U84" s="16">
        <f>基础状态预期!H95</f>
        <v>0.31411735626608261</v>
      </c>
      <c r="V84" s="16">
        <f>基础状态预期!I95</f>
        <v>0</v>
      </c>
      <c r="W84" s="16">
        <f>基础状态预期!J95</f>
        <v>0</v>
      </c>
      <c r="X84" s="16">
        <f>基础状态预期!K95</f>
        <v>0</v>
      </c>
      <c r="Y84" s="16">
        <f>基础状态预期!L95</f>
        <v>0</v>
      </c>
      <c r="Z84" s="16">
        <f>基础状态预期!M95</f>
        <v>0</v>
      </c>
      <c r="AA84" s="16">
        <f>基础状态预期!N95</f>
        <v>0</v>
      </c>
      <c r="AB84" s="16">
        <f>基础状态预期!O95</f>
        <v>0</v>
      </c>
      <c r="AC84" s="16">
        <f>基础状态预期!P95</f>
        <v>0</v>
      </c>
      <c r="AD84" s="16">
        <f>基础状态预期!Q95</f>
        <v>0</v>
      </c>
      <c r="AE84" s="16">
        <f>基础状态预期!R95</f>
        <v>0</v>
      </c>
      <c r="AF84" s="16">
        <f>基础状态预期!S95</f>
        <v>0</v>
      </c>
      <c r="AG84" s="101">
        <f>基础状态预期!T95</f>
        <v>0</v>
      </c>
      <c r="AH84" s="16" cm="1">
        <f t="array" ref="AH84">求节点(万里长城!$Q$13:$Q$172,万里长城!$W$13:$W$172,P84)</f>
        <v>15290.900270319049</v>
      </c>
      <c r="AI84" s="16" cm="1">
        <f t="array" ref="AI84">求节点($C$40:$C$54,$B$40:$B$54,AH84/36)</f>
        <v>6.373965493273837</v>
      </c>
      <c r="AJ84" s="25" cm="1">
        <f t="array" ref="AJ84">求节点($B$22:$B$36,$I$22:$I$36,AI84)</f>
        <v>6.3739654932738365E-2</v>
      </c>
    </row>
    <row r="85" spans="2:36" ht="13.5">
      <c r="B85" s="121" t="s">
        <v>650</v>
      </c>
      <c r="O85" s="100">
        <f>基础状态预期!B96</f>
        <v>4</v>
      </c>
      <c r="P85" s="16">
        <f>基础状态预期!C96</f>
        <v>60</v>
      </c>
      <c r="Q85" s="16">
        <f>基础状态预期!D96</f>
        <v>32.810400000000001</v>
      </c>
      <c r="R85" s="16">
        <f>基础状态预期!E96</f>
        <v>0</v>
      </c>
      <c r="S85" s="16">
        <f>基础状态预期!F96</f>
        <v>0</v>
      </c>
      <c r="T85" s="16">
        <f>基础状态预期!G96</f>
        <v>3.772086310474251</v>
      </c>
      <c r="U85" s="16">
        <f>基础状态预期!H96</f>
        <v>2.227913689525749</v>
      </c>
      <c r="V85" s="16">
        <f>基础状态预期!I96</f>
        <v>0</v>
      </c>
      <c r="W85" s="16">
        <f>基础状态预期!J96</f>
        <v>0</v>
      </c>
      <c r="X85" s="16">
        <f>基础状态预期!K96</f>
        <v>3.772086310474251</v>
      </c>
      <c r="Y85" s="16">
        <f>基础状态预期!L96</f>
        <v>2.227913689525749</v>
      </c>
      <c r="Z85" s="16">
        <f>基础状态预期!M96</f>
        <v>0</v>
      </c>
      <c r="AA85" s="16">
        <f>基础状态预期!N96</f>
        <v>3</v>
      </c>
      <c r="AB85" s="16">
        <f>基础状态预期!O96</f>
        <v>1.1252516037348101</v>
      </c>
      <c r="AC85" s="16">
        <f>基础状态预期!P96</f>
        <v>1.4654700205772984</v>
      </c>
      <c r="AD85" s="16">
        <f>基础状态预期!Q96</f>
        <v>0</v>
      </c>
      <c r="AE85" s="16">
        <f>基础状态预期!R96</f>
        <v>0</v>
      </c>
      <c r="AF85" s="16">
        <f>基础状态预期!S96</f>
        <v>0.35420860062246834</v>
      </c>
      <c r="AG85" s="101">
        <f>基础状态预期!T96</f>
        <v>0.41091167009621637</v>
      </c>
      <c r="AH85" s="16" cm="1">
        <f t="array" ref="AH85">求节点(万里长城!$Q$13:$Q$172,万里长城!$W$13:$W$172,P85)</f>
        <v>35678.767297411119</v>
      </c>
      <c r="AI85" s="16" cm="1">
        <f t="array" ref="AI85">求节点($C$40:$C$54,$B$40:$B$54,AH85/36)</f>
        <v>7.1797509392129841</v>
      </c>
      <c r="AJ85" s="25" cm="1">
        <f t="array" ref="AJ85">求节点($B$22:$B$36,$I$22:$I$36,AI85)</f>
        <v>7.1797509392129852E-2</v>
      </c>
    </row>
    <row r="86" spans="2:36" ht="13.5">
      <c r="B86" s="121" t="s">
        <v>651</v>
      </c>
      <c r="O86" s="100">
        <f>基础状态预期!B97</f>
        <v>5</v>
      </c>
      <c r="P86" s="16">
        <f>基础状态预期!C97</f>
        <v>70</v>
      </c>
      <c r="Q86" s="16">
        <f>基础状态预期!D97</f>
        <v>65.925700000000006</v>
      </c>
      <c r="R86" s="16">
        <f>基础状态预期!E97</f>
        <v>0</v>
      </c>
      <c r="S86" s="16">
        <f>基础状态预期!F97</f>
        <v>0</v>
      </c>
      <c r="T86" s="16">
        <f>基础状态预期!G97</f>
        <v>1.5782913967791621</v>
      </c>
      <c r="U86" s="16">
        <f>基础状态预期!H97</f>
        <v>4.4217086032208375</v>
      </c>
      <c r="V86" s="16">
        <f>基础状态预期!I97</f>
        <v>0</v>
      </c>
      <c r="W86" s="16">
        <f>基础状态预期!J97</f>
        <v>0</v>
      </c>
      <c r="X86" s="16">
        <f>基础状态预期!K97</f>
        <v>1.5782913967791621</v>
      </c>
      <c r="Y86" s="16">
        <f>基础状态预期!L97</f>
        <v>4.4217086032208375</v>
      </c>
      <c r="Z86" s="16">
        <f>基础状态预期!M97</f>
        <v>0</v>
      </c>
      <c r="AA86" s="16">
        <f>基础状态预期!N97</f>
        <v>3</v>
      </c>
      <c r="AB86" s="16">
        <f>基础状态预期!O97</f>
        <v>3.1911616470052833</v>
      </c>
      <c r="AC86" s="16">
        <f>基础状态预期!P97</f>
        <v>1.4654700205772984</v>
      </c>
      <c r="AD86" s="16">
        <f>基础状态预期!Q97</f>
        <v>0</v>
      </c>
      <c r="AE86" s="16">
        <f>基础状态预期!R97</f>
        <v>0</v>
      </c>
      <c r="AF86" s="16">
        <f>基础状态预期!S97</f>
        <v>0.69852694116754721</v>
      </c>
      <c r="AG86" s="101">
        <f>基础状态预期!T97</f>
        <v>0.41091167009621637</v>
      </c>
      <c r="AH86" s="16" cm="1">
        <f t="array" ref="AH86">求节点(万里长城!$Q$13:$Q$172,万里长城!$W$13:$W$172,P86)</f>
        <v>76454.501351595245</v>
      </c>
      <c r="AI86" s="16" cm="1">
        <f t="array" ref="AI86">求节点($C$40:$C$54,$B$40:$B$54,AH86/36)</f>
        <v>7.9566091554563947</v>
      </c>
      <c r="AJ86" s="25" cm="1">
        <f t="array" ref="AJ86">求节点($B$22:$B$36,$I$22:$I$36,AI86)</f>
        <v>7.9566091554563956E-2</v>
      </c>
    </row>
    <row r="87" spans="2:36" ht="13.5">
      <c r="B87" s="122" t="s">
        <v>652</v>
      </c>
      <c r="O87" s="100">
        <f>基础状态预期!B98</f>
        <v>6</v>
      </c>
      <c r="P87" s="16">
        <f>基础状态预期!C98</f>
        <v>75</v>
      </c>
      <c r="Q87" s="16">
        <f>基础状态预期!D98</f>
        <v>93.214012172388934</v>
      </c>
      <c r="R87" s="16">
        <f>基础状态预期!E98</f>
        <v>0</v>
      </c>
      <c r="S87" s="16">
        <f>基础状态预期!F98</f>
        <v>0</v>
      </c>
      <c r="T87" s="16">
        <f>基础状态预期!G98</f>
        <v>0.4107926775518787</v>
      </c>
      <c r="U87" s="16">
        <f>基础状态预期!H98</f>
        <v>5.5892073224481216</v>
      </c>
      <c r="V87" s="16">
        <f>基础状态预期!I98</f>
        <v>0</v>
      </c>
      <c r="W87" s="16">
        <f>基础状态预期!J98</f>
        <v>0</v>
      </c>
      <c r="X87" s="16">
        <f>基础状态预期!K98</f>
        <v>0.41079267755187843</v>
      </c>
      <c r="Y87" s="16">
        <f>基础状态预期!L98</f>
        <v>5.5892073224481216</v>
      </c>
      <c r="Z87" s="16">
        <f>基础状态预期!M98</f>
        <v>0</v>
      </c>
      <c r="AA87" s="16">
        <f>基础状态预期!N98</f>
        <v>3</v>
      </c>
      <c r="AB87" s="16">
        <f>基础状态预期!O98</f>
        <v>4.8819292708226376</v>
      </c>
      <c r="AC87" s="16">
        <f>基础状态预期!P98</f>
        <v>1.6886518530918333</v>
      </c>
      <c r="AD87" s="16">
        <f>基础状态预期!Q98</f>
        <v>0</v>
      </c>
      <c r="AE87" s="16">
        <f>基础状态预期!R98</f>
        <v>0</v>
      </c>
      <c r="AF87" s="16">
        <f>基础状态预期!S98</f>
        <v>0.98032154513710623</v>
      </c>
      <c r="AG87" s="101">
        <f>基础状态预期!T98</f>
        <v>0.44810864218197222</v>
      </c>
      <c r="AH87" s="16" cm="1">
        <f t="array" ref="AH87">求节点(万里长城!$Q$13:$Q$172,万里长城!$W$13:$W$172,P87)</f>
        <v>110234.22547351829</v>
      </c>
      <c r="AI87" s="16" cm="1">
        <f t="array" ref="AI87">求节点($C$40:$C$54,$B$40:$B$54,AH87/36)</f>
        <v>8.2000598579581254</v>
      </c>
      <c r="AJ87" s="25" cm="1">
        <f t="array" ref="AJ87">求节点($B$22:$B$36,$I$22:$I$36,AI87)</f>
        <v>8.2000598579581252E-2</v>
      </c>
    </row>
    <row r="88" spans="2:36" ht="13.5">
      <c r="B88" s="122" t="s">
        <v>653</v>
      </c>
      <c r="O88" s="100">
        <f>基础状态预期!B99</f>
        <v>7</v>
      </c>
      <c r="P88" s="16">
        <f>基础状态预期!C99</f>
        <v>80</v>
      </c>
      <c r="Q88" s="16">
        <f>基础状态预期!D99</f>
        <v>131.58000000000001</v>
      </c>
      <c r="R88" s="16">
        <f>基础状态预期!E99</f>
        <v>0</v>
      </c>
      <c r="S88" s="16">
        <f>基础状态预期!F99</f>
        <v>0</v>
      </c>
      <c r="T88" s="16">
        <f>基础状态预期!G99</f>
        <v>0</v>
      </c>
      <c r="U88" s="16">
        <f>基础状态预期!H99</f>
        <v>6</v>
      </c>
      <c r="V88" s="16">
        <f>基础状态预期!I99</f>
        <v>0</v>
      </c>
      <c r="W88" s="16">
        <f>基础状态预期!J99</f>
        <v>0</v>
      </c>
      <c r="X88" s="16">
        <f>基础状态预期!K99</f>
        <v>0</v>
      </c>
      <c r="Y88" s="16">
        <f>基础状态预期!L99</f>
        <v>6</v>
      </c>
      <c r="Z88" s="16">
        <f>基础状态预期!M99</f>
        <v>0</v>
      </c>
      <c r="AA88" s="16">
        <f>基础状态预期!N99</f>
        <v>3</v>
      </c>
      <c r="AB88" s="16">
        <f>基础状态预期!O99</f>
        <v>5</v>
      </c>
      <c r="AC88" s="16">
        <f>基础状态预期!P99</f>
        <v>2.4555166872012335</v>
      </c>
      <c r="AD88" s="16">
        <f>基础状态预期!Q99</f>
        <v>0</v>
      </c>
      <c r="AE88" s="16">
        <f>基础状态预期!R99</f>
        <v>0</v>
      </c>
      <c r="AF88" s="16">
        <f>基础状态预期!S99</f>
        <v>0</v>
      </c>
      <c r="AG88" s="101">
        <f>基础状态预期!T99</f>
        <v>0.57591944786687221</v>
      </c>
      <c r="AH88" s="16" cm="1">
        <f t="array" ref="AH88">求节点(万里长城!$Q$13:$Q$172,万里长城!$W$13:$W$172,P88)</f>
        <v>158005.96945996353</v>
      </c>
      <c r="AI88" s="16" cm="1">
        <f t="array" ref="AI88">求节点($C$40:$C$54,$B$40:$B$54,AH88/36)</f>
        <v>8.5034418626477386</v>
      </c>
      <c r="AJ88" s="25" cm="1">
        <f t="array" ref="AJ88">求节点($B$22:$B$36,$I$22:$I$36,AI88)</f>
        <v>8.5034418626477384E-2</v>
      </c>
    </row>
    <row r="89" spans="2:36">
      <c r="O89" s="100">
        <f>基础状态预期!B100</f>
        <v>8</v>
      </c>
      <c r="P89" s="16">
        <f>基础状态预期!C100</f>
        <v>85</v>
      </c>
      <c r="Q89" s="16">
        <f>基础状态预期!D100</f>
        <v>185.57387739130132</v>
      </c>
      <c r="R89" s="16">
        <f>基础状态预期!E100</f>
        <v>0</v>
      </c>
      <c r="S89" s="16">
        <f>基础状态预期!F100</f>
        <v>0</v>
      </c>
      <c r="T89" s="16">
        <f>基础状态预期!G100</f>
        <v>0</v>
      </c>
      <c r="U89" s="16">
        <f>基础状态预期!H100</f>
        <v>6</v>
      </c>
      <c r="V89" s="16">
        <f>基础状态预期!I100</f>
        <v>0</v>
      </c>
      <c r="W89" s="16">
        <f>基础状态预期!J100</f>
        <v>0</v>
      </c>
      <c r="X89" s="16">
        <f>基础状态预期!K100</f>
        <v>0</v>
      </c>
      <c r="Y89" s="16">
        <f>基础状态预期!L100</f>
        <v>6</v>
      </c>
      <c r="Z89" s="16">
        <f>基础状态预期!M100</f>
        <v>0</v>
      </c>
      <c r="AA89" s="16">
        <f>基础状态预期!N100</f>
        <v>3</v>
      </c>
      <c r="AB89" s="16">
        <f>基础状态预期!O100</f>
        <v>5</v>
      </c>
      <c r="AC89" s="16">
        <f>基础状态预期!P100</f>
        <v>3.7913127273517064</v>
      </c>
      <c r="AD89" s="16">
        <f>基础状态预期!Q100</f>
        <v>0</v>
      </c>
      <c r="AE89" s="16">
        <f>基础状态预期!R100</f>
        <v>0</v>
      </c>
      <c r="AF89" s="16">
        <f>基础状态预期!S100</f>
        <v>0</v>
      </c>
      <c r="AG89" s="101">
        <f>基础状态预期!T100</f>
        <v>0.79855212122528441</v>
      </c>
      <c r="AH89" s="16" cm="1">
        <f t="array" ref="AH89">求节点(万里长城!$Q$13:$Q$172,万里长城!$W$13:$W$172,P89)</f>
        <v>225565.41770380962</v>
      </c>
      <c r="AI89" s="16" cm="1">
        <f t="array" ref="AI89">求节点($C$40:$C$54,$B$40:$B$54,AH89/36)</f>
        <v>8.9324888082597269</v>
      </c>
      <c r="AJ89" s="25" cm="1">
        <f t="array" ref="AJ89">求节点($B$22:$B$36,$I$22:$I$36,AI89)</f>
        <v>8.9324888082597267E-2</v>
      </c>
    </row>
    <row r="90" spans="2:36">
      <c r="O90" s="100">
        <f>基础状态预期!B101</f>
        <v>9</v>
      </c>
      <c r="P90" s="16">
        <f>基础状态预期!C101</f>
        <v>90</v>
      </c>
      <c r="Q90" s="16">
        <f>基础状态预期!D101</f>
        <v>254.88680000000002</v>
      </c>
      <c r="R90" s="16">
        <f>基础状态预期!E101</f>
        <v>0</v>
      </c>
      <c r="S90" s="16">
        <f>基础状态预期!F101</f>
        <v>0</v>
      </c>
      <c r="T90" s="16">
        <f>基础状态预期!G101</f>
        <v>0</v>
      </c>
      <c r="U90" s="16">
        <f>基础状态预期!H101</f>
        <v>6</v>
      </c>
      <c r="V90" s="16">
        <f>基础状态预期!I101</f>
        <v>0</v>
      </c>
      <c r="W90" s="16">
        <f>基础状态预期!J101</f>
        <v>0</v>
      </c>
      <c r="X90" s="16">
        <f>基础状态预期!K101</f>
        <v>0</v>
      </c>
      <c r="Y90" s="16">
        <f>基础状态预期!L101</f>
        <v>6</v>
      </c>
      <c r="Z90" s="16">
        <f>基础状态预期!M101</f>
        <v>0</v>
      </c>
      <c r="AA90" s="16">
        <f>基础状态预期!N101</f>
        <v>3</v>
      </c>
      <c r="AB90" s="16">
        <f>基础状态预期!O101</f>
        <v>5</v>
      </c>
      <c r="AC90" s="16">
        <f>基础状态预期!P101</f>
        <v>5</v>
      </c>
      <c r="AD90" s="16">
        <f>基础状态预期!Q101</f>
        <v>0</v>
      </c>
      <c r="AE90" s="16">
        <f>基础状态预期!R101</f>
        <v>0</v>
      </c>
      <c r="AF90" s="16">
        <f>基础状态预期!S101</f>
        <v>0</v>
      </c>
      <c r="AG90" s="101">
        <f>基础状态预期!T101</f>
        <v>1</v>
      </c>
      <c r="AH90" s="16" cm="1">
        <f t="array" ref="AH90">求节点(万里长城!$Q$13:$Q$172,万里长城!$W$13:$W$172,P90)</f>
        <v>321108.90567670006</v>
      </c>
      <c r="AI90" s="16" cm="1">
        <f t="array" ref="AI90">求节点($C$40:$C$54,$B$40:$B$54,AH90/36)</f>
        <v>9.179750939212985</v>
      </c>
      <c r="AJ90" s="25" cm="1">
        <f t="array" ref="AJ90">求节点($B$22:$B$36,$I$22:$I$36,AI90)</f>
        <v>9.1797509392129842E-2</v>
      </c>
    </row>
    <row r="91" spans="2:36">
      <c r="O91" s="100">
        <f>基础状态预期!B102</f>
        <v>10</v>
      </c>
      <c r="P91" s="16">
        <f>基础状态预期!C102</f>
        <v>95</v>
      </c>
      <c r="Q91" s="16">
        <f>基础状态预期!D102</f>
        <v>355.39251454406457</v>
      </c>
      <c r="R91" s="16">
        <f>基础状态预期!E102</f>
        <v>0</v>
      </c>
      <c r="S91" s="16">
        <f>基础状态预期!F102</f>
        <v>0</v>
      </c>
      <c r="T91" s="16">
        <f>基础状态预期!G102</f>
        <v>0</v>
      </c>
      <c r="U91" s="16">
        <f>基础状态预期!H102</f>
        <v>6</v>
      </c>
      <c r="V91" s="16">
        <f>基础状态预期!I102</f>
        <v>0</v>
      </c>
      <c r="W91" s="16">
        <f>基础状态预期!J102</f>
        <v>0</v>
      </c>
      <c r="X91" s="16">
        <f>基础状态预期!K102</f>
        <v>0</v>
      </c>
      <c r="Y91" s="16">
        <f>基础状态预期!L102</f>
        <v>6</v>
      </c>
      <c r="Z91" s="16">
        <f>基础状态预期!M102</f>
        <v>0</v>
      </c>
      <c r="AA91" s="16">
        <f>基础状态预期!N102</f>
        <v>3</v>
      </c>
      <c r="AB91" s="16">
        <f>基础状态预期!O102</f>
        <v>5</v>
      </c>
      <c r="AC91" s="16">
        <f>基础状态预期!P102</f>
        <v>5</v>
      </c>
      <c r="AD91" s="16">
        <f>基础状态预期!Q102</f>
        <v>0</v>
      </c>
      <c r="AE91" s="16">
        <f>基础状态预期!R102</f>
        <v>0</v>
      </c>
      <c r="AF91" s="16">
        <f>基础状态预期!S102</f>
        <v>0</v>
      </c>
      <c r="AG91" s="101">
        <f>基础状态预期!T102</f>
        <v>1</v>
      </c>
      <c r="AH91" s="16" cm="1">
        <f t="array" ref="AH91">求节点(万里长城!$Q$13:$Q$172,万里长城!$W$13:$W$172,P91)</f>
        <v>456227.80216439231</v>
      </c>
      <c r="AI91" s="16" cm="1">
        <f t="array" ref="AI91">求节点($C$40:$C$54,$B$40:$B$54,AH91/36)</f>
        <v>9.4657822362876427</v>
      </c>
      <c r="AJ91" s="25" cm="1">
        <f t="array" ref="AJ91">求节点($B$22:$B$36,$I$22:$I$36,AI91)</f>
        <v>9.4657822362876426E-2</v>
      </c>
    </row>
    <row r="92" spans="2:36">
      <c r="O92" s="100">
        <f>基础状态预期!B103</f>
        <v>11</v>
      </c>
      <c r="P92" s="16">
        <f>基础状态预期!C103</f>
        <v>100</v>
      </c>
      <c r="Q92" s="16">
        <f>基础状态预期!D103</f>
        <v>508.22640000000001</v>
      </c>
      <c r="R92" s="16">
        <f>基础状态预期!E103</f>
        <v>0</v>
      </c>
      <c r="S92" s="16">
        <f>基础状态预期!F103</f>
        <v>0</v>
      </c>
      <c r="T92" s="16">
        <f>基础状态预期!G103</f>
        <v>0</v>
      </c>
      <c r="U92" s="16">
        <f>基础状态预期!H103</f>
        <v>6</v>
      </c>
      <c r="V92" s="16">
        <f>基础状态预期!I103</f>
        <v>0</v>
      </c>
      <c r="W92" s="16">
        <f>基础状态预期!J103</f>
        <v>0</v>
      </c>
      <c r="X92" s="16">
        <f>基础状态预期!K103</f>
        <v>0</v>
      </c>
      <c r="Y92" s="16">
        <f>基础状态预期!L103</f>
        <v>6</v>
      </c>
      <c r="Z92" s="16">
        <f>基础状态预期!M103</f>
        <v>0</v>
      </c>
      <c r="AA92" s="16">
        <f>基础状态预期!N103</f>
        <v>3</v>
      </c>
      <c r="AB92" s="16">
        <f>基础状态预期!O103</f>
        <v>5</v>
      </c>
      <c r="AC92" s="16">
        <f>基础状态预期!P103</f>
        <v>5</v>
      </c>
      <c r="AD92" s="16">
        <f>基础状态预期!Q103</f>
        <v>0</v>
      </c>
      <c r="AE92" s="16">
        <f>基础状态预期!R103</f>
        <v>0</v>
      </c>
      <c r="AF92" s="16">
        <f>基础状态预期!S103</f>
        <v>0</v>
      </c>
      <c r="AG92" s="101">
        <f>基础状态预期!T103</f>
        <v>1</v>
      </c>
      <c r="AH92" s="16" cm="1">
        <f t="array" ref="AH92">求节点(万里长城!$Q$13:$Q$172,万里长城!$W$13:$W$172,P92)</f>
        <v>647314.77811017307</v>
      </c>
      <c r="AI92" s="16" cm="1">
        <f t="array" ref="AI92">求节点($C$40:$C$54,$B$40:$B$54,AH92/36)</f>
        <v>9.870291575873793</v>
      </c>
      <c r="AJ92" s="25" cm="1">
        <f t="array" ref="AJ92">求节点($B$22:$B$36,$I$22:$I$36,AI92)</f>
        <v>9.8702915758737936E-2</v>
      </c>
    </row>
    <row r="93" spans="2:36">
      <c r="O93" s="100">
        <f>基础状态预期!B104</f>
        <v>12</v>
      </c>
      <c r="P93" s="16">
        <f>基础状态预期!C104</f>
        <v>105</v>
      </c>
      <c r="Q93" s="16">
        <f>基础状态预期!D104</f>
        <v>713.59197658872131</v>
      </c>
      <c r="R93" s="16">
        <f>基础状态预期!E104</f>
        <v>0</v>
      </c>
      <c r="S93" s="16">
        <f>基础状态预期!F104</f>
        <v>0</v>
      </c>
      <c r="T93" s="16">
        <f>基础状态预期!G104</f>
        <v>0</v>
      </c>
      <c r="U93" s="16">
        <f>基础状态预期!H104</f>
        <v>6</v>
      </c>
      <c r="V93" s="16">
        <f>基础状态预期!I104</f>
        <v>0</v>
      </c>
      <c r="W93" s="16">
        <f>基础状态预期!J104</f>
        <v>0</v>
      </c>
      <c r="X93" s="16">
        <f>基础状态预期!K104</f>
        <v>0</v>
      </c>
      <c r="Y93" s="16">
        <f>基础状态预期!L104</f>
        <v>6</v>
      </c>
      <c r="Z93" s="16">
        <f>基础状态预期!M104</f>
        <v>0</v>
      </c>
      <c r="AA93" s="16">
        <f>基础状态预期!N104</f>
        <v>3</v>
      </c>
      <c r="AB93" s="16">
        <f>基础状态预期!O104</f>
        <v>5</v>
      </c>
      <c r="AC93" s="16">
        <f>基础状态预期!P104</f>
        <v>5</v>
      </c>
      <c r="AD93" s="16">
        <f>基础状态预期!Q104</f>
        <v>0</v>
      </c>
      <c r="AE93" s="16">
        <f>基础状态预期!R104</f>
        <v>0</v>
      </c>
      <c r="AF93" s="16">
        <f>基础状态预期!S104</f>
        <v>0</v>
      </c>
      <c r="AG93" s="101">
        <f>基础状态预期!T104</f>
        <v>1</v>
      </c>
      <c r="AH93" s="16" cm="1">
        <f t="array" ref="AH93">求节点(万里长城!$Q$13:$Q$172,万里长城!$W$13:$W$172,P93)</f>
        <v>917552.57108555769</v>
      </c>
      <c r="AI93" s="16" cm="1">
        <f t="array" ref="AI93">求节点($C$40:$C$54,$B$40:$B$54,AH93/36)</f>
        <v>10.147451390007705</v>
      </c>
      <c r="AJ93" s="25" cm="1">
        <f t="array" ref="AJ93">求节点($B$22:$B$36,$I$22:$I$36,AI93)</f>
        <v>0.10147451390007706</v>
      </c>
    </row>
    <row r="94" spans="2:36">
      <c r="O94" s="100">
        <f>基础状态预期!B105</f>
        <v>13</v>
      </c>
      <c r="P94" s="16">
        <f>基础状态预期!C105</f>
        <v>110</v>
      </c>
      <c r="Q94" s="16">
        <f>基础状态预期!D105</f>
        <v>1001.3924000000001</v>
      </c>
      <c r="R94" s="16">
        <f>基础状态预期!E105</f>
        <v>0</v>
      </c>
      <c r="S94" s="16">
        <f>基础状态预期!F105</f>
        <v>0</v>
      </c>
      <c r="T94" s="16">
        <f>基础状态预期!G105</f>
        <v>0</v>
      </c>
      <c r="U94" s="16">
        <f>基础状态预期!H105</f>
        <v>6</v>
      </c>
      <c r="V94" s="16">
        <f>基础状态预期!I105</f>
        <v>0</v>
      </c>
      <c r="W94" s="16">
        <f>基础状态预期!J105</f>
        <v>0</v>
      </c>
      <c r="X94" s="16">
        <f>基础状态预期!K105</f>
        <v>0</v>
      </c>
      <c r="Y94" s="16">
        <f>基础状态预期!L105</f>
        <v>6</v>
      </c>
      <c r="Z94" s="16">
        <f>基础状态预期!M105</f>
        <v>0</v>
      </c>
      <c r="AA94" s="16">
        <f>基础状态预期!N105</f>
        <v>3</v>
      </c>
      <c r="AB94" s="16">
        <f>基础状态预期!O105</f>
        <v>5</v>
      </c>
      <c r="AC94" s="16">
        <f>基础状态预期!P105</f>
        <v>5</v>
      </c>
      <c r="AD94" s="16">
        <f>基础状态预期!Q105</f>
        <v>0</v>
      </c>
      <c r="AE94" s="16">
        <f>基础状态预期!R105</f>
        <v>0</v>
      </c>
      <c r="AF94" s="16">
        <f>基础状态预期!S105</f>
        <v>0</v>
      </c>
      <c r="AG94" s="101">
        <f>基础状态预期!T105</f>
        <v>1</v>
      </c>
      <c r="AH94" s="16" cm="1">
        <f t="array" ref="AH94">求节点(万里长城!$Q$13:$Q$172,万里长城!$W$13:$W$172,P94)</f>
        <v>1299726.5229771193</v>
      </c>
      <c r="AI94" s="16" cm="1">
        <f t="array" ref="AI94">求节点($C$40:$C$54,$B$40:$B$54,AH94/36)</f>
        <v>10.417124283065137</v>
      </c>
      <c r="AJ94" s="25" cm="1">
        <f t="array" ref="AJ94">求节点($B$22:$B$36,$I$22:$I$36,AI94)</f>
        <v>0.10417124283065138</v>
      </c>
    </row>
    <row r="95" spans="2:36">
      <c r="O95" s="100">
        <f>基础状态预期!B106</f>
        <v>14</v>
      </c>
      <c r="P95" s="16">
        <f>基础状态预期!C106</f>
        <v>115</v>
      </c>
      <c r="Q95" s="16">
        <f>基础状态预期!D106</f>
        <v>1407.1203566096881</v>
      </c>
      <c r="R95" s="16">
        <f>基础状态预期!E106</f>
        <v>0</v>
      </c>
      <c r="S95" s="16">
        <f>基础状态预期!F106</f>
        <v>0</v>
      </c>
      <c r="T95" s="16">
        <f>基础状态预期!G106</f>
        <v>0</v>
      </c>
      <c r="U95" s="16">
        <f>基础状态预期!H106</f>
        <v>6</v>
      </c>
      <c r="V95" s="16">
        <f>基础状态预期!I106</f>
        <v>0</v>
      </c>
      <c r="W95" s="16">
        <f>基础状态预期!J106</f>
        <v>0</v>
      </c>
      <c r="X95" s="16">
        <f>基础状态预期!K106</f>
        <v>0</v>
      </c>
      <c r="Y95" s="16">
        <f>基础状态预期!L106</f>
        <v>6</v>
      </c>
      <c r="Z95" s="16">
        <f>基础状态预期!M106</f>
        <v>0</v>
      </c>
      <c r="AA95" s="16">
        <f>基础状态预期!N106</f>
        <v>3</v>
      </c>
      <c r="AB95" s="16">
        <f>基础状态预期!O106</f>
        <v>5</v>
      </c>
      <c r="AC95" s="16">
        <f>基础状态预期!P106</f>
        <v>5</v>
      </c>
      <c r="AD95" s="16">
        <f>基础状态预期!Q106</f>
        <v>0</v>
      </c>
      <c r="AE95" s="16">
        <f>基础状态预期!R106</f>
        <v>0</v>
      </c>
      <c r="AF95" s="16">
        <f>基础状态预期!S106</f>
        <v>0</v>
      </c>
      <c r="AG95" s="101">
        <f>基础状态预期!T106</f>
        <v>1</v>
      </c>
      <c r="AH95" s="16" cm="1">
        <f t="array" ref="AH95">求节点(万里长城!$Q$13:$Q$172,万里长城!$W$13:$W$172,P95)</f>
        <v>1840202.1089278886</v>
      </c>
      <c r="AI95" s="16" cm="1">
        <f t="array" ref="AI95">求节点($C$40:$C$54,$B$40:$B$54,AH95/36)</f>
        <v>10.798499345831349</v>
      </c>
      <c r="AJ95" s="25" cm="1">
        <f t="array" ref="AJ95">求节点($B$22:$B$36,$I$22:$I$36,AI95)</f>
        <v>0.10798499345831349</v>
      </c>
    </row>
    <row r="96" spans="2:36">
      <c r="O96" s="100">
        <f>基础状态预期!B107</f>
        <v>15</v>
      </c>
      <c r="P96" s="16">
        <f>基础状态预期!C107</f>
        <v>120</v>
      </c>
      <c r="Q96" s="16">
        <f>基础状态预期!D107</f>
        <v>1988.5319999999999</v>
      </c>
      <c r="R96" s="16">
        <f>基础状态预期!E107</f>
        <v>0</v>
      </c>
      <c r="S96" s="16">
        <f>基础状态预期!F107</f>
        <v>0</v>
      </c>
      <c r="T96" s="16">
        <f>基础状态预期!G107</f>
        <v>0</v>
      </c>
      <c r="U96" s="16">
        <f>基础状态预期!H107</f>
        <v>6</v>
      </c>
      <c r="V96" s="16">
        <f>基础状态预期!I107</f>
        <v>0</v>
      </c>
      <c r="W96" s="16">
        <f>基础状态预期!J107</f>
        <v>0</v>
      </c>
      <c r="X96" s="16">
        <f>基础状态预期!K107</f>
        <v>0</v>
      </c>
      <c r="Y96" s="16">
        <f>基础状态预期!L107</f>
        <v>6</v>
      </c>
      <c r="Z96" s="16">
        <f>基础状态预期!M107</f>
        <v>0</v>
      </c>
      <c r="AA96" s="16">
        <f>基础状态预期!N107</f>
        <v>3</v>
      </c>
      <c r="AB96" s="16">
        <f>基础状态预期!O107</f>
        <v>5</v>
      </c>
      <c r="AC96" s="16">
        <f>基础状态预期!P107</f>
        <v>5</v>
      </c>
      <c r="AD96" s="16">
        <f>基础状态预期!Q107</f>
        <v>0</v>
      </c>
      <c r="AE96" s="16">
        <f>基础状态预期!R107</f>
        <v>0</v>
      </c>
      <c r="AF96" s="16">
        <f>基础状态预期!S107</f>
        <v>0</v>
      </c>
      <c r="AG96" s="101">
        <f>基础状态预期!T107</f>
        <v>1</v>
      </c>
      <c r="AH96" s="16" cm="1">
        <f t="array" ref="AH96">求节点(万里长城!$Q$13:$Q$172,万里长城!$W$13:$W$172,P96)</f>
        <v>2604550.0127110113</v>
      </c>
      <c r="AI96" s="16" cm="1">
        <f t="array" ref="AI96">求节点($C$40:$C$54,$B$40:$B$54,AH96/36)</f>
        <v>11.112615043982073</v>
      </c>
      <c r="AJ96" s="25" cm="1">
        <f t="array" ref="AJ96">求节点($B$22:$B$36,$I$22:$I$36,AI96)</f>
        <v>0.11112615043982073</v>
      </c>
    </row>
    <row r="97" spans="15:36">
      <c r="O97" s="100">
        <f>基础状态预期!B108</f>
        <v>16</v>
      </c>
      <c r="P97" s="16">
        <f>基础状态预期!C108</f>
        <v>125</v>
      </c>
      <c r="Q97" s="16">
        <f>基础状态预期!D108</f>
        <v>2816.4641988448207</v>
      </c>
      <c r="R97" s="16">
        <f>基础状态预期!E108</f>
        <v>0</v>
      </c>
      <c r="S97" s="16">
        <f>基础状态预期!F108</f>
        <v>0</v>
      </c>
      <c r="T97" s="16">
        <f>基础状态预期!G108</f>
        <v>0</v>
      </c>
      <c r="U97" s="16">
        <f>基础状态预期!H108</f>
        <v>6</v>
      </c>
      <c r="V97" s="16">
        <f>基础状态预期!I108</f>
        <v>0</v>
      </c>
      <c r="W97" s="16">
        <f>基础状态预期!J108</f>
        <v>0</v>
      </c>
      <c r="X97" s="16">
        <f>基础状态预期!K108</f>
        <v>0</v>
      </c>
      <c r="Y97" s="16">
        <f>基础状态预期!L108</f>
        <v>6</v>
      </c>
      <c r="Z97" s="16">
        <f>基础状态预期!M108</f>
        <v>0</v>
      </c>
      <c r="AA97" s="16">
        <f>基础状态预期!N108</f>
        <v>3</v>
      </c>
      <c r="AB97" s="16">
        <f>基础状态预期!O108</f>
        <v>5</v>
      </c>
      <c r="AC97" s="16">
        <f>基础状态预期!P108</f>
        <v>5</v>
      </c>
      <c r="AD97" s="16">
        <f>基础状态预期!Q108</f>
        <v>0</v>
      </c>
      <c r="AE97" s="16">
        <f>基础状态预期!R108</f>
        <v>0</v>
      </c>
      <c r="AF97" s="16">
        <f>基础状态预期!S108</f>
        <v>0</v>
      </c>
      <c r="AG97" s="101">
        <f>基础状态预期!T108</f>
        <v>1</v>
      </c>
      <c r="AH97" s="16" cm="1">
        <f t="array" ref="AH97">求节点(万里长城!$Q$13:$Q$172,万里长城!$W$13:$W$172,P97)</f>
        <v>3685501.1846125508</v>
      </c>
      <c r="AI97" s="16" cm="1">
        <f t="array" ref="AI97">求节点($C$40:$C$54,$B$40:$B$54,AH97/36)</f>
        <v>11.366865085826214</v>
      </c>
      <c r="AJ97" s="25" cm="1">
        <f t="array" ref="AJ97">求节点($B$22:$B$36,$I$22:$I$36,AI97)</f>
        <v>0.11366865085826214</v>
      </c>
    </row>
    <row r="98" spans="15:36">
      <c r="O98" s="100">
        <f>基础状态预期!B109</f>
        <v>17</v>
      </c>
      <c r="P98" s="16">
        <f>基础状态预期!C109</f>
        <v>130</v>
      </c>
      <c r="Q98" s="16">
        <f>基础状态预期!D109</f>
        <v>3951.3384000000001</v>
      </c>
      <c r="R98" s="16">
        <f>基础状态预期!E109</f>
        <v>0</v>
      </c>
      <c r="S98" s="16">
        <f>基础状态预期!F109</f>
        <v>0</v>
      </c>
      <c r="T98" s="16">
        <f>基础状态预期!G109</f>
        <v>0</v>
      </c>
      <c r="U98" s="16">
        <f>基础状态预期!H109</f>
        <v>6</v>
      </c>
      <c r="V98" s="16">
        <f>基础状态预期!I109</f>
        <v>0</v>
      </c>
      <c r="W98" s="16">
        <f>基础状态预期!J109</f>
        <v>0</v>
      </c>
      <c r="X98" s="16">
        <f>基础状态预期!K109</f>
        <v>0</v>
      </c>
      <c r="Y98" s="16">
        <f>基础状态预期!L109</f>
        <v>6</v>
      </c>
      <c r="Z98" s="16">
        <f>基础状态预期!M109</f>
        <v>0</v>
      </c>
      <c r="AA98" s="16">
        <f>基础状态预期!N109</f>
        <v>3</v>
      </c>
      <c r="AB98" s="16">
        <f>基础状态预期!O109</f>
        <v>5</v>
      </c>
      <c r="AC98" s="16">
        <f>基础状态预期!P109</f>
        <v>5</v>
      </c>
      <c r="AD98" s="16">
        <f>基础状态预期!Q109</f>
        <v>0</v>
      </c>
      <c r="AE98" s="16">
        <f>基础状态预期!R109</f>
        <v>0</v>
      </c>
      <c r="AF98" s="16">
        <f>基础状态预期!S109</f>
        <v>0</v>
      </c>
      <c r="AG98" s="101">
        <f>基础状态预期!T109</f>
        <v>1</v>
      </c>
      <c r="AH98" s="16" cm="1">
        <f t="array" ref="AH98">求节点(万里长城!$Q$13:$Q$172,万里长城!$W$13:$W$172,P98)</f>
        <v>5214196.9921787959</v>
      </c>
      <c r="AI98" s="16" cm="1">
        <f t="array" ref="AI98">求节点($C$40:$C$54,$B$40:$B$54,AH98/36)</f>
        <v>11.726428943236124</v>
      </c>
      <c r="AJ98" s="25" cm="1">
        <f t="array" ref="AJ98">求节点($B$22:$B$36,$I$22:$I$36,AI98)</f>
        <v>0.11726428943236124</v>
      </c>
    </row>
    <row r="99" spans="15:36">
      <c r="O99" s="100">
        <f>基础状态预期!B110</f>
        <v>18</v>
      </c>
      <c r="P99" s="16">
        <f>基础状态预期!C110</f>
        <v>135</v>
      </c>
      <c r="Q99" s="16">
        <f>基础状态预期!D110</f>
        <v>5548.8497639180305</v>
      </c>
      <c r="R99" s="16">
        <f>基础状态预期!E110</f>
        <v>0</v>
      </c>
      <c r="S99" s="16">
        <f>基础状态预期!F110</f>
        <v>0</v>
      </c>
      <c r="T99" s="16">
        <f>基础状态预期!G110</f>
        <v>0</v>
      </c>
      <c r="U99" s="16">
        <f>基础状态预期!H110</f>
        <v>6</v>
      </c>
      <c r="V99" s="16">
        <f>基础状态预期!I110</f>
        <v>0</v>
      </c>
      <c r="W99" s="16">
        <f>基础状态预期!J110</f>
        <v>0</v>
      </c>
      <c r="X99" s="16">
        <f>基础状态预期!K110</f>
        <v>0</v>
      </c>
      <c r="Y99" s="16">
        <f>基础状态预期!L110</f>
        <v>6</v>
      </c>
      <c r="Z99" s="16">
        <f>基础状态预期!M110</f>
        <v>0</v>
      </c>
      <c r="AA99" s="16">
        <f>基础状态预期!N110</f>
        <v>3</v>
      </c>
      <c r="AB99" s="16">
        <f>基础状态预期!O110</f>
        <v>5</v>
      </c>
      <c r="AC99" s="16">
        <f>基础状态预期!P110</f>
        <v>5</v>
      </c>
      <c r="AD99" s="16">
        <f>基础状态预期!Q110</f>
        <v>0</v>
      </c>
      <c r="AE99" s="16">
        <f>基础状态预期!R110</f>
        <v>0</v>
      </c>
      <c r="AF99" s="16">
        <f>基础状态预期!S110</f>
        <v>0</v>
      </c>
      <c r="AG99" s="101">
        <f>基础状态预期!T110</f>
        <v>1</v>
      </c>
      <c r="AH99" s="16" cm="1">
        <f t="array" ref="AH99">求节点(万里长城!$Q$13:$Q$172,万里长城!$W$13:$W$172,P99)</f>
        <v>7376099.3359818738</v>
      </c>
      <c r="AI99" s="16" cm="1">
        <f t="array" ref="AI99">求节点($C$40:$C$54,$B$40:$B$54,AH99/36)</f>
        <v>12.078309675641469</v>
      </c>
      <c r="AJ99" s="25" cm="1">
        <f t="array" ref="AJ99">求节点($B$22:$B$36,$I$22:$I$36,AI99)</f>
        <v>0.12078309675641469</v>
      </c>
    </row>
    <row r="100" spans="15:36">
      <c r="O100" s="100">
        <f>基础状态预期!B111</f>
        <v>19</v>
      </c>
      <c r="P100" s="16">
        <f>基础状态预期!C111</f>
        <v>140</v>
      </c>
      <c r="Q100" s="16">
        <f>基础状态预期!D111</f>
        <v>7827.7974000000004</v>
      </c>
      <c r="R100" s="16">
        <f>基础状态预期!E111</f>
        <v>0</v>
      </c>
      <c r="S100" s="16">
        <f>基础状态预期!F111</f>
        <v>0</v>
      </c>
      <c r="T100" s="16">
        <f>基础状态预期!G111</f>
        <v>0</v>
      </c>
      <c r="U100" s="16">
        <f>基础状态预期!H111</f>
        <v>6</v>
      </c>
      <c r="V100" s="16">
        <f>基础状态预期!I111</f>
        <v>0</v>
      </c>
      <c r="W100" s="16">
        <f>基础状态预期!J111</f>
        <v>0</v>
      </c>
      <c r="X100" s="16">
        <f>基础状态预期!K111</f>
        <v>0</v>
      </c>
      <c r="Y100" s="16">
        <f>基础状态预期!L111</f>
        <v>6</v>
      </c>
      <c r="Z100" s="16">
        <f>基础状态预期!M111</f>
        <v>0</v>
      </c>
      <c r="AA100" s="16">
        <f>基础状态预期!N111</f>
        <v>3</v>
      </c>
      <c r="AB100" s="16">
        <f>基础状态预期!O111</f>
        <v>5</v>
      </c>
      <c r="AC100" s="16">
        <f>基础状态预期!P111</f>
        <v>5</v>
      </c>
      <c r="AD100" s="16">
        <f>基础状态预期!Q111</f>
        <v>0</v>
      </c>
      <c r="AE100" s="16">
        <f>基础状态预期!R111</f>
        <v>0</v>
      </c>
      <c r="AF100" s="16">
        <f>基础状态预期!S111</f>
        <v>0</v>
      </c>
      <c r="AG100" s="101">
        <f>基础状态预期!T111</f>
        <v>1</v>
      </c>
      <c r="AH100" s="16" cm="1">
        <f t="array" ref="AH100">求节点(万里长城!$Q$13:$Q$172,万里长城!$W$13:$W$172,P100)</f>
        <v>10433490.951114366</v>
      </c>
      <c r="AI100" s="16" cm="1">
        <f t="array" ref="AI100">求节点($C$40:$C$54,$B$40:$B$54,AH100/36)</f>
        <v>12.318018913914743</v>
      </c>
      <c r="AJ100" s="25" cm="1">
        <f t="array" ref="AJ100">求节点($B$22:$B$36,$I$22:$I$36,AI100)</f>
        <v>0.12318018913914743</v>
      </c>
    </row>
    <row r="101" spans="15:36">
      <c r="O101" s="100">
        <f>基础状态预期!B112</f>
        <v>20</v>
      </c>
      <c r="P101" s="16">
        <f>基础状态预期!C112</f>
        <v>145</v>
      </c>
      <c r="Q101" s="16">
        <f>基础状态预期!D112</f>
        <v>11105.129370337838</v>
      </c>
      <c r="R101" s="16">
        <f>基础状态预期!E112</f>
        <v>0</v>
      </c>
      <c r="S101" s="16">
        <f>基础状态预期!F112</f>
        <v>0</v>
      </c>
      <c r="T101" s="16">
        <f>基础状态预期!G112</f>
        <v>0</v>
      </c>
      <c r="U101" s="16">
        <f>基础状态预期!H112</f>
        <v>6</v>
      </c>
      <c r="V101" s="16">
        <f>基础状态预期!I112</f>
        <v>0</v>
      </c>
      <c r="W101" s="16">
        <f>基础状态预期!J112</f>
        <v>0</v>
      </c>
      <c r="X101" s="16">
        <f>基础状态预期!K112</f>
        <v>0</v>
      </c>
      <c r="Y101" s="16">
        <f>基础状态预期!L112</f>
        <v>6</v>
      </c>
      <c r="Z101" s="16">
        <f>基础状态预期!M112</f>
        <v>0</v>
      </c>
      <c r="AA101" s="16">
        <f>基础状态预期!N112</f>
        <v>3</v>
      </c>
      <c r="AB101" s="16">
        <f>基础状态预期!O112</f>
        <v>5</v>
      </c>
      <c r="AC101" s="16">
        <f>基础状态预期!P112</f>
        <v>5</v>
      </c>
      <c r="AD101" s="16">
        <f>基础状态预期!Q112</f>
        <v>0</v>
      </c>
      <c r="AE101" s="16">
        <f>基础状态预期!R112</f>
        <v>0</v>
      </c>
      <c r="AF101" s="16">
        <f>基础状态预期!S112</f>
        <v>0</v>
      </c>
      <c r="AG101" s="101">
        <f>基础状态预期!T112</f>
        <v>1</v>
      </c>
      <c r="AH101" s="16" cm="1">
        <f t="array" ref="AH101">求节点(万里长城!$Q$13:$Q$172,万里长城!$W$13:$W$172,P101)</f>
        <v>14757295.638720524</v>
      </c>
      <c r="AI101" s="16" cm="1">
        <f t="array" ref="AI101">求节点($C$40:$C$54,$B$40:$B$54,AH101/36)</f>
        <v>12.657018969706932</v>
      </c>
      <c r="AJ101" s="25" cm="1">
        <f t="array" ref="AJ101">求节点($B$22:$B$36,$I$22:$I$36,AI101)</f>
        <v>0.12657018969706932</v>
      </c>
    </row>
    <row r="102" spans="15:36">
      <c r="O102" s="100">
        <f>基础状态预期!B113</f>
        <v>21</v>
      </c>
      <c r="P102" s="16">
        <f>基础状态预期!C113</f>
        <v>150</v>
      </c>
      <c r="Q102" s="16">
        <f>基础状态预期!D113</f>
        <v>15603.645400000001</v>
      </c>
      <c r="R102" s="16">
        <f>基础状态预期!E113</f>
        <v>0</v>
      </c>
      <c r="S102" s="16">
        <f>基础状态预期!F113</f>
        <v>0</v>
      </c>
      <c r="T102" s="16">
        <f>基础状态预期!G113</f>
        <v>0</v>
      </c>
      <c r="U102" s="16">
        <f>基础状态预期!H113</f>
        <v>6</v>
      </c>
      <c r="V102" s="16">
        <f>基础状态预期!I113</f>
        <v>0</v>
      </c>
      <c r="W102" s="16">
        <f>基础状态预期!J113</f>
        <v>0</v>
      </c>
      <c r="X102" s="16">
        <f>基础状态预期!K113</f>
        <v>0</v>
      </c>
      <c r="Y102" s="16">
        <f>基础状态预期!L113</f>
        <v>6</v>
      </c>
      <c r="Z102" s="16">
        <f>基础状态预期!M113</f>
        <v>0</v>
      </c>
      <c r="AA102" s="16">
        <f>基础状态预期!N113</f>
        <v>3</v>
      </c>
      <c r="AB102" s="16">
        <f>基础状态预期!O113</f>
        <v>5</v>
      </c>
      <c r="AC102" s="16">
        <f>基础状态预期!P113</f>
        <v>5</v>
      </c>
      <c r="AD102" s="16">
        <f>基础状态预期!Q113</f>
        <v>0</v>
      </c>
      <c r="AE102" s="16">
        <f>基础状态预期!R113</f>
        <v>0</v>
      </c>
      <c r="AF102" s="16">
        <f>基础状态预期!S113</f>
        <v>0</v>
      </c>
      <c r="AG102" s="101">
        <f>基础状态预期!T113</f>
        <v>1</v>
      </c>
      <c r="AH102" s="16" cm="1">
        <f t="array" ref="AH102">求节点(万里长城!$Q$13:$Q$172,万里长城!$W$13:$W$172,P102)</f>
        <v>20872078.868985504</v>
      </c>
      <c r="AI102" s="16" cm="1">
        <f t="array" ref="AI102">求节点($C$40:$C$54,$B$40:$B$54,AH102/36)</f>
        <v>13.045479148751161</v>
      </c>
      <c r="AJ102" s="25" cm="1">
        <f t="array" ref="AJ102">求节点($B$22:$B$36,$I$22:$I$36,AI102)</f>
        <v>0.1304547914875116</v>
      </c>
    </row>
    <row r="103" spans="15:36">
      <c r="O103" s="100">
        <f>基础状态预期!B114</f>
        <v>22</v>
      </c>
      <c r="P103" s="16">
        <f>基础状态预期!C114</f>
        <v>155</v>
      </c>
      <c r="Q103" s="16">
        <f>基础状态预期!D114</f>
        <v>44402.940101346627</v>
      </c>
      <c r="R103" s="16">
        <f>基础状态预期!E114</f>
        <v>0</v>
      </c>
      <c r="S103" s="16">
        <f>基础状态预期!F114</f>
        <v>0</v>
      </c>
      <c r="T103" s="16">
        <f>基础状态预期!G114</f>
        <v>0</v>
      </c>
      <c r="U103" s="16">
        <f>基础状态预期!H114</f>
        <v>6</v>
      </c>
      <c r="V103" s="16">
        <f>基础状态预期!I114</f>
        <v>0</v>
      </c>
      <c r="W103" s="16">
        <f>基础状态预期!J114</f>
        <v>0</v>
      </c>
      <c r="X103" s="16">
        <f>基础状态预期!K114</f>
        <v>0</v>
      </c>
      <c r="Y103" s="16">
        <f>基础状态预期!L114</f>
        <v>6</v>
      </c>
      <c r="Z103" s="16">
        <f>基础状态预期!M114</f>
        <v>0</v>
      </c>
      <c r="AA103" s="16">
        <f>基础状态预期!N114</f>
        <v>3</v>
      </c>
      <c r="AB103" s="16">
        <f>基础状态预期!O114</f>
        <v>5</v>
      </c>
      <c r="AC103" s="16">
        <f>基础状态预期!P114</f>
        <v>5</v>
      </c>
      <c r="AD103" s="16">
        <f>基础状态预期!Q114</f>
        <v>0</v>
      </c>
      <c r="AE103" s="16">
        <f>基础状态预期!R114</f>
        <v>0</v>
      </c>
      <c r="AF103" s="16">
        <f>基础状态预期!S114</f>
        <v>0</v>
      </c>
      <c r="AG103" s="101">
        <f>基础状态预期!T114</f>
        <v>1</v>
      </c>
      <c r="AH103" s="16" cm="1">
        <f t="array" ref="AH103">求节点(万里长城!$Q$13:$Q$172,万里长城!$W$13:$W$172,P103)</f>
        <v>29519688.244197827</v>
      </c>
      <c r="AI103" s="16" cm="1">
        <f t="array" ref="AI103">求节点($C$40:$C$54,$B$40:$B$54,AH103/36)</f>
        <v>13.271479185945953</v>
      </c>
      <c r="AJ103" s="25" cm="1">
        <f t="array" ref="AJ103">求节点($B$22:$B$36,$I$22:$I$36,AI103)</f>
        <v>0.13271479185945953</v>
      </c>
    </row>
    <row r="104" spans="15:36">
      <c r="O104" s="102">
        <f>基础状态预期!B115</f>
        <v>23</v>
      </c>
      <c r="P104" s="97">
        <f>基础状态预期!C115</f>
        <v>160</v>
      </c>
      <c r="Q104" s="97">
        <f>基础状态预期!D115</f>
        <v>66190.350000000006</v>
      </c>
      <c r="R104" s="97">
        <f>基础状态预期!E115</f>
        <v>0</v>
      </c>
      <c r="S104" s="97">
        <f>基础状态预期!F115</f>
        <v>0</v>
      </c>
      <c r="T104" s="97">
        <f>基础状态预期!G115</f>
        <v>0</v>
      </c>
      <c r="U104" s="97">
        <f>基础状态预期!H115</f>
        <v>6</v>
      </c>
      <c r="V104" s="97">
        <f>基础状态预期!I115</f>
        <v>0</v>
      </c>
      <c r="W104" s="97">
        <f>基础状态预期!J115</f>
        <v>0</v>
      </c>
      <c r="X104" s="97">
        <f>基础状态预期!K115</f>
        <v>0</v>
      </c>
      <c r="Y104" s="97">
        <f>基础状态预期!L115</f>
        <v>6</v>
      </c>
      <c r="Z104" s="97">
        <f>基础状态预期!M115</f>
        <v>0</v>
      </c>
      <c r="AA104" s="97">
        <f>基础状态预期!N115</f>
        <v>3</v>
      </c>
      <c r="AB104" s="97">
        <f>基础状态预期!O115</f>
        <v>5</v>
      </c>
      <c r="AC104" s="97">
        <f>基础状态预期!P115</f>
        <v>5</v>
      </c>
      <c r="AD104" s="97">
        <f>基础状态预期!Q115</f>
        <v>0</v>
      </c>
      <c r="AE104" s="97">
        <f>基础状态预期!R115</f>
        <v>0</v>
      </c>
      <c r="AF104" s="97">
        <f>基础状态预期!S115</f>
        <v>0</v>
      </c>
      <c r="AG104" s="103">
        <f>基础状态预期!T115</f>
        <v>1</v>
      </c>
      <c r="AH104" s="16" cm="1">
        <f t="array" ref="AH104">求节点(万里长城!$Q$13:$Q$172,万里长城!$W$13:$W$172,P104)</f>
        <v>41749254.704727776</v>
      </c>
      <c r="AI104" s="16" cm="1">
        <f t="array" ref="AI104">求节点($C$40:$C$54,$B$40:$B$54,AH104/36)</f>
        <v>13.591091503643652</v>
      </c>
      <c r="AJ104" s="25" cm="1">
        <f t="array" ref="AJ104">求节点($B$22:$B$36,$I$22:$I$36,AI104)</f>
        <v>0.13591091503643651</v>
      </c>
    </row>
    <row r="105" spans="15:36">
      <c r="O105" s="16">
        <f>基础状态预期!B116</f>
        <v>24</v>
      </c>
    </row>
    <row r="106" spans="15:36">
      <c r="O106" s="16">
        <f>基础状态预期!B117</f>
        <v>25</v>
      </c>
    </row>
    <row r="107" spans="15:36">
      <c r="O107" s="16">
        <f>基础状态预期!B118</f>
        <v>26</v>
      </c>
    </row>
    <row r="108" spans="15:36">
      <c r="O108" s="98">
        <f>基础状态预期!B119</f>
        <v>1</v>
      </c>
      <c r="P108" s="180" t="str">
        <f>基础状态预期!C119</f>
        <v>超r</v>
      </c>
      <c r="Q108" s="180">
        <f>基础状态预期!D119</f>
        <v>0</v>
      </c>
      <c r="R108" s="180" t="str">
        <f>基础状态预期!E119</f>
        <v>武将上阵情况（主力队伍）</v>
      </c>
      <c r="S108" s="180">
        <f>基础状态预期!F119</f>
        <v>0</v>
      </c>
      <c r="T108" s="180">
        <f>基础状态预期!G119</f>
        <v>0</v>
      </c>
      <c r="U108" s="180">
        <f>基础状态预期!H119</f>
        <v>0</v>
      </c>
      <c r="V108" s="180" t="str">
        <f>基础状态预期!I119</f>
        <v>主力队伍装备宝物数量</v>
      </c>
      <c r="W108" s="180">
        <f>基础状态预期!J119</f>
        <v>0</v>
      </c>
      <c r="X108" s="180">
        <f>基础状态预期!K119</f>
        <v>0</v>
      </c>
      <c r="Y108" s="180">
        <f>基础状态预期!L119</f>
        <v>0</v>
      </c>
      <c r="Z108" s="180" t="str">
        <f>基础状态预期!M119</f>
        <v>宝物星级</v>
      </c>
      <c r="AA108" s="180">
        <f>基础状态预期!N119</f>
        <v>0</v>
      </c>
      <c r="AB108" s="180">
        <f>基础状态预期!O119</f>
        <v>0</v>
      </c>
      <c r="AC108" s="180">
        <f>基础状态预期!P119</f>
        <v>0</v>
      </c>
      <c r="AD108" s="180" t="str">
        <f>基础状态预期!Q119</f>
        <v>宝物温养进度</v>
      </c>
      <c r="AE108" s="180">
        <f>基础状态预期!R119</f>
        <v>0</v>
      </c>
      <c r="AF108" s="180">
        <f>基础状态预期!S119</f>
        <v>0</v>
      </c>
      <c r="AG108" s="181">
        <f>基础状态预期!T119</f>
        <v>0</v>
      </c>
    </row>
    <row r="109" spans="15:36">
      <c r="O109" s="100">
        <f>基础状态预期!B120</f>
        <v>2</v>
      </c>
      <c r="P109" s="16" t="str">
        <f>基础状态预期!C120</f>
        <v>定义等级</v>
      </c>
      <c r="Q109" s="16" t="str">
        <f>基础状态预期!D120</f>
        <v>天数</v>
      </c>
      <c r="R109" s="16" t="str">
        <f>基础状态预期!E120</f>
        <v>蓝</v>
      </c>
      <c r="S109" s="16" t="str">
        <f>基础状态预期!F120</f>
        <v>紫</v>
      </c>
      <c r="T109" s="16" t="str">
        <f>基础状态预期!G120</f>
        <v>橙</v>
      </c>
      <c r="U109" s="16" t="str">
        <f>基础状态预期!H120</f>
        <v>橙+</v>
      </c>
      <c r="V109" s="16" t="str">
        <f>基础状态预期!I120</f>
        <v>蓝</v>
      </c>
      <c r="W109" s="16" t="str">
        <f>基础状态预期!J120</f>
        <v>紫</v>
      </c>
      <c r="X109" s="16" t="str">
        <f>基础状态预期!K120</f>
        <v>橙</v>
      </c>
      <c r="Y109" s="16" t="str">
        <f>基础状态预期!L120</f>
        <v>橙+</v>
      </c>
      <c r="Z109" s="16" t="str">
        <f>基础状态预期!M120</f>
        <v>蓝</v>
      </c>
      <c r="AA109" s="16" t="str">
        <f>基础状态预期!N120</f>
        <v>紫</v>
      </c>
      <c r="AB109" s="16" t="str">
        <f>基础状态预期!O120</f>
        <v>橙</v>
      </c>
      <c r="AC109" s="16" t="str">
        <f>基础状态预期!P120</f>
        <v>橙+</v>
      </c>
      <c r="AD109" s="16" t="str">
        <f>基础状态预期!Q120</f>
        <v>蓝</v>
      </c>
      <c r="AE109" s="16" t="str">
        <f>基础状态预期!R120</f>
        <v>紫</v>
      </c>
      <c r="AF109" s="16" t="str">
        <f>基础状态预期!S120</f>
        <v>橙</v>
      </c>
      <c r="AG109" s="101" t="str">
        <f>基础状态预期!T120</f>
        <v>橙+</v>
      </c>
      <c r="AH109" s="16" t="s">
        <v>721</v>
      </c>
      <c r="AI109" s="16" t="s">
        <v>722</v>
      </c>
      <c r="AJ109" s="16" t="s">
        <v>749</v>
      </c>
    </row>
    <row r="110" spans="15:36">
      <c r="O110" s="100">
        <f>基础状态预期!B121</f>
        <v>3</v>
      </c>
      <c r="P110" s="16">
        <f>基础状态预期!C121</f>
        <v>50</v>
      </c>
      <c r="Q110" s="16">
        <f>基础状态预期!D121</f>
        <v>9.1883999999999997</v>
      </c>
      <c r="R110" s="16">
        <f>基础状态预期!E121</f>
        <v>0</v>
      </c>
      <c r="S110" s="16">
        <f>基础状态预期!F121</f>
        <v>0</v>
      </c>
      <c r="T110" s="16">
        <f>基础状态预期!G121</f>
        <v>5.6294245506690483</v>
      </c>
      <c r="U110" s="16">
        <f>基础状态预期!H121</f>
        <v>0.3705754493309521</v>
      </c>
      <c r="V110" s="16">
        <f>基础状态预期!I121</f>
        <v>0</v>
      </c>
      <c r="W110" s="16">
        <f>基础状态预期!J121</f>
        <v>0</v>
      </c>
      <c r="X110" s="16">
        <f>基础状态预期!K121</f>
        <v>0</v>
      </c>
      <c r="Y110" s="16">
        <f>基础状态预期!L121</f>
        <v>0</v>
      </c>
      <c r="Z110" s="16">
        <f>基础状态预期!M121</f>
        <v>0</v>
      </c>
      <c r="AA110" s="16">
        <f>基础状态预期!N121</f>
        <v>0</v>
      </c>
      <c r="AB110" s="16">
        <f>基础状态预期!O121</f>
        <v>0</v>
      </c>
      <c r="AC110" s="16">
        <f>基础状态预期!P121</f>
        <v>0</v>
      </c>
      <c r="AD110" s="16">
        <f>基础状态预期!Q121</f>
        <v>0</v>
      </c>
      <c r="AE110" s="16">
        <f>基础状态预期!R121</f>
        <v>0</v>
      </c>
      <c r="AF110" s="16">
        <f>基础状态预期!S121</f>
        <v>0</v>
      </c>
      <c r="AG110" s="101">
        <f>基础状态预期!T121</f>
        <v>0</v>
      </c>
      <c r="AH110" s="16" cm="1">
        <f t="array" ref="AH110">求节点(万里长城!$Q$13:$Q$172,万里长城!$W$13:$W$172,P110)</f>
        <v>15290.900270319049</v>
      </c>
      <c r="AI110" s="16" cm="1">
        <f t="array" ref="AI110">求节点($C$40:$C$54,$B$40:$B$54,AH110/36)</f>
        <v>6.373965493273837</v>
      </c>
      <c r="AJ110" s="25" cm="1">
        <f t="array" ref="AJ110">求节点($B$22:$B$36,$I$22:$I$36,AI110)</f>
        <v>6.3739654932738365E-2</v>
      </c>
    </row>
    <row r="111" spans="15:36">
      <c r="O111" s="100">
        <f>基础状态预期!B122</f>
        <v>4</v>
      </c>
      <c r="P111" s="16">
        <f>基础状态预期!C122</f>
        <v>60</v>
      </c>
      <c r="Q111" s="16">
        <f>基础状态预期!D122</f>
        <v>18.276300000000003</v>
      </c>
      <c r="R111" s="16">
        <f>基础状态预期!E122</f>
        <v>0</v>
      </c>
      <c r="S111" s="16">
        <f>基础状态预期!F122</f>
        <v>0</v>
      </c>
      <c r="T111" s="16">
        <f>基础状态预期!G122</f>
        <v>3.7469232883857595</v>
      </c>
      <c r="U111" s="16">
        <f>基础状态预期!H122</f>
        <v>2.2530767116142405</v>
      </c>
      <c r="V111" s="16">
        <f>基础状态预期!I122</f>
        <v>0</v>
      </c>
      <c r="W111" s="16">
        <f>基础状态预期!J122</f>
        <v>0</v>
      </c>
      <c r="X111" s="16">
        <f>基础状态预期!K122</f>
        <v>3.7469232883857595</v>
      </c>
      <c r="Y111" s="16">
        <f>基础状态预期!L122</f>
        <v>2.2530767116142405</v>
      </c>
      <c r="Z111" s="16">
        <f>基础状态预期!M122</f>
        <v>0</v>
      </c>
      <c r="AA111" s="16">
        <f>基础状态预期!N122</f>
        <v>3</v>
      </c>
      <c r="AB111" s="16">
        <f>基础状态预期!O122</f>
        <v>1.9303061343665813</v>
      </c>
      <c r="AC111" s="16">
        <f>基础状态预期!P122</f>
        <v>2.4246234279861913</v>
      </c>
      <c r="AD111" s="16">
        <f>基础状态预期!Q122</f>
        <v>0</v>
      </c>
      <c r="AE111" s="16">
        <f>基础状态预期!R122</f>
        <v>0</v>
      </c>
      <c r="AF111" s="16">
        <f>基础状态预期!S122</f>
        <v>0.48838435572776351</v>
      </c>
      <c r="AG111" s="101">
        <f>基础状态预期!T122</f>
        <v>0.57077057133103182</v>
      </c>
      <c r="AH111" s="16" cm="1">
        <f t="array" ref="AH111">求节点(万里长城!$Q$13:$Q$172,万里长城!$W$13:$W$172,P111)</f>
        <v>35678.767297411119</v>
      </c>
      <c r="AI111" s="16" cm="1">
        <f t="array" ref="AI111">求节点($C$40:$C$54,$B$40:$B$54,AH111/36)</f>
        <v>7.1797509392129841</v>
      </c>
      <c r="AJ111" s="25" cm="1">
        <f t="array" ref="AJ111">求节点($B$22:$B$36,$I$22:$I$36,AI111)</f>
        <v>7.1797509392129852E-2</v>
      </c>
    </row>
    <row r="112" spans="15:36">
      <c r="O112" s="100">
        <f>基础状态预期!B123</f>
        <v>5</v>
      </c>
      <c r="P112" s="16">
        <f>基础状态预期!C123</f>
        <v>70</v>
      </c>
      <c r="Q112" s="16">
        <f>基础状态预期!D123</f>
        <v>36.4998</v>
      </c>
      <c r="R112" s="16">
        <f>基础状态预期!E123</f>
        <v>0</v>
      </c>
      <c r="S112" s="16">
        <f>基础状态预期!F123</f>
        <v>0</v>
      </c>
      <c r="T112" s="16">
        <f>基础状态预期!G123</f>
        <v>1.5438472416061884</v>
      </c>
      <c r="U112" s="16">
        <f>基础状态预期!H123</f>
        <v>4.4561527583938112</v>
      </c>
      <c r="V112" s="16">
        <f>基础状态预期!I123</f>
        <v>0</v>
      </c>
      <c r="W112" s="16">
        <f>基础状态预期!J123</f>
        <v>0</v>
      </c>
      <c r="X112" s="16">
        <f>基础状态预期!K123</f>
        <v>1.5438472416061884</v>
      </c>
      <c r="Y112" s="16">
        <f>基础状态预期!L123</f>
        <v>4.4561527583938112</v>
      </c>
      <c r="Z112" s="16">
        <f>基础状态预期!M123</f>
        <v>0</v>
      </c>
      <c r="AA112" s="16">
        <f>基础状态预期!N123</f>
        <v>3</v>
      </c>
      <c r="AB112" s="16">
        <f>基础状态预期!O123</f>
        <v>4.4389008460744188</v>
      </c>
      <c r="AC112" s="16">
        <f>基础状态预期!P123</f>
        <v>2.4246234279861913</v>
      </c>
      <c r="AD112" s="16">
        <f>基础状态预期!Q123</f>
        <v>0</v>
      </c>
      <c r="AE112" s="16">
        <f>基础状态预期!R123</f>
        <v>0</v>
      </c>
      <c r="AF112" s="16">
        <f>基础状态预期!S123</f>
        <v>0.9064834743457364</v>
      </c>
      <c r="AG112" s="101">
        <f>基础状态预期!T123</f>
        <v>0.57077057133103182</v>
      </c>
      <c r="AH112" s="16" cm="1">
        <f t="array" ref="AH112">求节点(万里长城!$Q$13:$Q$172,万里长城!$W$13:$W$172,P112)</f>
        <v>76454.501351595245</v>
      </c>
      <c r="AI112" s="16" cm="1">
        <f t="array" ref="AI112">求节点($C$40:$C$54,$B$40:$B$54,AH112/36)</f>
        <v>7.9566091554563947</v>
      </c>
      <c r="AJ112" s="25" cm="1">
        <f t="array" ref="AJ112">求节点($B$22:$B$36,$I$22:$I$36,AI112)</f>
        <v>7.9566091554563956E-2</v>
      </c>
    </row>
    <row r="113" spans="15:36">
      <c r="O113" s="100">
        <f>基础状态预期!B124</f>
        <v>6</v>
      </c>
      <c r="P113" s="16">
        <f>基础状态预期!C124</f>
        <v>75</v>
      </c>
      <c r="Q113" s="16">
        <f>基础状态预期!D124</f>
        <v>51.755559095329879</v>
      </c>
      <c r="R113" s="16">
        <f>基础状态预期!E124</f>
        <v>0</v>
      </c>
      <c r="S113" s="16">
        <f>基础状态预期!F124</f>
        <v>0</v>
      </c>
      <c r="T113" s="16">
        <f>基础状态预期!G124</f>
        <v>0.3901598628947866</v>
      </c>
      <c r="U113" s="16">
        <f>基础状态预期!H124</f>
        <v>5.6098401371052136</v>
      </c>
      <c r="V113" s="16">
        <f>基础状态预期!I124</f>
        <v>0</v>
      </c>
      <c r="W113" s="16">
        <f>基础状态预期!J124</f>
        <v>0</v>
      </c>
      <c r="X113" s="16">
        <f>基础状态预期!K124</f>
        <v>0.39015986289478644</v>
      </c>
      <c r="Y113" s="16">
        <f>基础状态预期!L124</f>
        <v>5.6098401371052136</v>
      </c>
      <c r="Z113" s="16">
        <f>基础状态预期!M124</f>
        <v>0</v>
      </c>
      <c r="AA113" s="16">
        <f>基础状态预期!N124</f>
        <v>3</v>
      </c>
      <c r="AB113" s="16">
        <f>基础状态预期!O124</f>
        <v>5</v>
      </c>
      <c r="AC113" s="16">
        <f>基础状态预期!P124</f>
        <v>2.5577382042117049</v>
      </c>
      <c r="AD113" s="16">
        <f>基础状态预期!Q124</f>
        <v>0</v>
      </c>
      <c r="AE113" s="16">
        <f>基础状态预期!R124</f>
        <v>0</v>
      </c>
      <c r="AF113" s="16">
        <f>基础状态预期!S124</f>
        <v>1</v>
      </c>
      <c r="AG113" s="101">
        <f>基础状态预期!T124</f>
        <v>0.59295636736861745</v>
      </c>
      <c r="AH113" s="16" cm="1">
        <f t="array" ref="AH113">求节点(万里长城!$Q$13:$Q$172,万里长城!$W$13:$W$172,P113)</f>
        <v>110234.22547351829</v>
      </c>
      <c r="AI113" s="16" cm="1">
        <f t="array" ref="AI113">求节点($C$40:$C$54,$B$40:$B$54,AH113/36)</f>
        <v>8.2000598579581254</v>
      </c>
      <c r="AJ113" s="25" cm="1">
        <f t="array" ref="AJ113">求节点($B$22:$B$36,$I$22:$I$36,AI113)</f>
        <v>8.2000598579581252E-2</v>
      </c>
    </row>
    <row r="114" spans="15:36">
      <c r="O114" s="100">
        <f>基础状态预期!B125</f>
        <v>7</v>
      </c>
      <c r="P114" s="16">
        <f>基础状态预期!C125</f>
        <v>80</v>
      </c>
      <c r="Q114" s="16">
        <f>基础状态预期!D125</f>
        <v>72.777000000000001</v>
      </c>
      <c r="R114" s="16">
        <f>基础状态预期!E125</f>
        <v>0</v>
      </c>
      <c r="S114" s="16">
        <f>基础状态预期!F125</f>
        <v>0</v>
      </c>
      <c r="T114" s="16">
        <f>基础状态预期!G125</f>
        <v>0</v>
      </c>
      <c r="U114" s="16">
        <f>基础状态预期!H125</f>
        <v>6</v>
      </c>
      <c r="V114" s="16">
        <f>基础状态预期!I125</f>
        <v>0</v>
      </c>
      <c r="W114" s="16">
        <f>基础状态预期!J125</f>
        <v>0</v>
      </c>
      <c r="X114" s="16">
        <f>基础状态预期!K125</f>
        <v>0</v>
      </c>
      <c r="Y114" s="16">
        <f>基础状态预期!L125</f>
        <v>6</v>
      </c>
      <c r="Z114" s="16">
        <f>基础状态预期!M125</f>
        <v>0</v>
      </c>
      <c r="AA114" s="16">
        <f>基础状态预期!N125</f>
        <v>3</v>
      </c>
      <c r="AB114" s="16">
        <f>基础状态预期!O125</f>
        <v>5</v>
      </c>
      <c r="AC114" s="16">
        <f>基础状态预期!P125</f>
        <v>3.6351081797546971</v>
      </c>
      <c r="AD114" s="16">
        <f>基础状态预期!Q125</f>
        <v>0</v>
      </c>
      <c r="AE114" s="16">
        <f>基础状态预期!R125</f>
        <v>0</v>
      </c>
      <c r="AF114" s="16">
        <f>基础状态预期!S125</f>
        <v>0</v>
      </c>
      <c r="AG114" s="101">
        <f>基础状态预期!T125</f>
        <v>0.77251802995911611</v>
      </c>
      <c r="AH114" s="16" cm="1">
        <f t="array" ref="AH114">求节点(万里长城!$Q$13:$Q$172,万里长城!$W$13:$W$172,P114)</f>
        <v>158005.96945996353</v>
      </c>
      <c r="AI114" s="16" cm="1">
        <f t="array" ref="AI114">求节点($C$40:$C$54,$B$40:$B$54,AH114/36)</f>
        <v>8.5034418626477386</v>
      </c>
      <c r="AJ114" s="25" cm="1">
        <f t="array" ref="AJ114">求节点($B$22:$B$36,$I$22:$I$36,AI114)</f>
        <v>8.5034418626477384E-2</v>
      </c>
    </row>
    <row r="115" spans="15:36">
      <c r="O115" s="100">
        <f>基础状态预期!B126</f>
        <v>8</v>
      </c>
      <c r="P115" s="16">
        <f>基础状态预期!C126</f>
        <v>85</v>
      </c>
      <c r="Q115" s="16">
        <f>基础状态预期!D126</f>
        <v>102.53498283877349</v>
      </c>
      <c r="R115" s="16">
        <f>基础状态预期!E126</f>
        <v>0</v>
      </c>
      <c r="S115" s="16">
        <f>基础状态预期!F126</f>
        <v>0</v>
      </c>
      <c r="T115" s="16">
        <f>基础状态预期!G126</f>
        <v>0</v>
      </c>
      <c r="U115" s="16">
        <f>基础状态预期!H126</f>
        <v>6</v>
      </c>
      <c r="V115" s="16">
        <f>基础状态预期!I126</f>
        <v>0</v>
      </c>
      <c r="W115" s="16">
        <f>基础状态预期!J126</f>
        <v>0</v>
      </c>
      <c r="X115" s="16">
        <f>基础状态预期!K126</f>
        <v>0</v>
      </c>
      <c r="Y115" s="16">
        <f>基础状态预期!L126</f>
        <v>6</v>
      </c>
      <c r="Z115" s="16">
        <f>基础状态预期!M126</f>
        <v>0</v>
      </c>
      <c r="AA115" s="16">
        <f>基础状态预期!N126</f>
        <v>3</v>
      </c>
      <c r="AB115" s="16">
        <f>基础状态预期!O126</f>
        <v>5</v>
      </c>
      <c r="AC115" s="16">
        <f>基础状态预期!P126</f>
        <v>5</v>
      </c>
      <c r="AD115" s="16">
        <f>基础状态预期!Q126</f>
        <v>0</v>
      </c>
      <c r="AE115" s="16">
        <f>基础状态预期!R126</f>
        <v>0</v>
      </c>
      <c r="AF115" s="16">
        <f>基础状态预期!S126</f>
        <v>0</v>
      </c>
      <c r="AG115" s="101">
        <f>基础状态预期!T126</f>
        <v>1</v>
      </c>
      <c r="AH115" s="16" cm="1">
        <f t="array" ref="AH115">求节点(万里长城!$Q$13:$Q$172,万里长城!$W$13:$W$172,P115)</f>
        <v>225565.41770380962</v>
      </c>
      <c r="AI115" s="16" cm="1">
        <f t="array" ref="AI115">求节点($C$40:$C$54,$B$40:$B$54,AH115/36)</f>
        <v>8.9324888082597269</v>
      </c>
      <c r="AJ115" s="25" cm="1">
        <f t="array" ref="AJ115">求节点($B$22:$B$36,$I$22:$I$36,AI115)</f>
        <v>8.9324888082597267E-2</v>
      </c>
    </row>
    <row r="116" spans="15:36">
      <c r="O116" s="100">
        <f>基础状态预期!B127</f>
        <v>9</v>
      </c>
      <c r="P116" s="16">
        <f>基础状态预期!C127</f>
        <v>90</v>
      </c>
      <c r="Q116" s="16">
        <f>基础状态预期!D127</f>
        <v>138.48100000000002</v>
      </c>
      <c r="R116" s="16">
        <f>基础状态预期!E127</f>
        <v>0</v>
      </c>
      <c r="S116" s="16">
        <f>基础状态预期!F127</f>
        <v>0</v>
      </c>
      <c r="T116" s="16">
        <f>基础状态预期!G127</f>
        <v>0</v>
      </c>
      <c r="U116" s="16">
        <f>基础状态预期!H127</f>
        <v>6</v>
      </c>
      <c r="V116" s="16">
        <f>基础状态预期!I127</f>
        <v>0</v>
      </c>
      <c r="W116" s="16">
        <f>基础状态预期!J127</f>
        <v>0</v>
      </c>
      <c r="X116" s="16">
        <f>基础状态预期!K127</f>
        <v>0</v>
      </c>
      <c r="Y116" s="16">
        <f>基础状态预期!L127</f>
        <v>6</v>
      </c>
      <c r="Z116" s="16">
        <f>基础状态预期!M127</f>
        <v>0</v>
      </c>
      <c r="AA116" s="16">
        <f>基础状态预期!N127</f>
        <v>3</v>
      </c>
      <c r="AB116" s="16">
        <f>基础状态预期!O127</f>
        <v>5</v>
      </c>
      <c r="AC116" s="16">
        <f>基础状态预期!P127</f>
        <v>5</v>
      </c>
      <c r="AD116" s="16">
        <f>基础状态预期!Q127</f>
        <v>0</v>
      </c>
      <c r="AE116" s="16">
        <f>基础状态预期!R127</f>
        <v>0</v>
      </c>
      <c r="AF116" s="16">
        <f>基础状态预期!S127</f>
        <v>0</v>
      </c>
      <c r="AG116" s="101">
        <f>基础状态预期!T127</f>
        <v>1</v>
      </c>
      <c r="AH116" s="16" cm="1">
        <f t="array" ref="AH116">求节点(万里长城!$Q$13:$Q$172,万里长城!$W$13:$W$172,P116)</f>
        <v>321108.90567670006</v>
      </c>
      <c r="AI116" s="16" cm="1">
        <f t="array" ref="AI116">求节点($C$40:$C$54,$B$40:$B$54,AH116/36)</f>
        <v>9.179750939212985</v>
      </c>
      <c r="AJ116" s="25" cm="1">
        <f t="array" ref="AJ116">求节点($B$22:$B$36,$I$22:$I$36,AI116)</f>
        <v>9.1797509392129842E-2</v>
      </c>
    </row>
    <row r="117" spans="15:36">
      <c r="O117" s="100">
        <f>基础状态预期!B128</f>
        <v>10</v>
      </c>
      <c r="P117" s="16">
        <f>基础状态预期!C128</f>
        <v>95</v>
      </c>
      <c r="Q117" s="16">
        <f>基础状态预期!D128</f>
        <v>192.84472762747106</v>
      </c>
      <c r="R117" s="16">
        <f>基础状态预期!E128</f>
        <v>0</v>
      </c>
      <c r="S117" s="16">
        <f>基础状态预期!F128</f>
        <v>0</v>
      </c>
      <c r="T117" s="16">
        <f>基础状态预期!G128</f>
        <v>0</v>
      </c>
      <c r="U117" s="16">
        <f>基础状态预期!H128</f>
        <v>6</v>
      </c>
      <c r="V117" s="16">
        <f>基础状态预期!I128</f>
        <v>0</v>
      </c>
      <c r="W117" s="16">
        <f>基础状态预期!J128</f>
        <v>0</v>
      </c>
      <c r="X117" s="16">
        <f>基础状态预期!K128</f>
        <v>0</v>
      </c>
      <c r="Y117" s="16">
        <f>基础状态预期!L128</f>
        <v>6</v>
      </c>
      <c r="Z117" s="16">
        <f>基础状态预期!M128</f>
        <v>0</v>
      </c>
      <c r="AA117" s="16">
        <f>基础状态预期!N128</f>
        <v>3</v>
      </c>
      <c r="AB117" s="16">
        <f>基础状态预期!O128</f>
        <v>5</v>
      </c>
      <c r="AC117" s="16">
        <f>基础状态预期!P128</f>
        <v>5</v>
      </c>
      <c r="AD117" s="16">
        <f>基础状态预期!Q128</f>
        <v>0</v>
      </c>
      <c r="AE117" s="16">
        <f>基础状态预期!R128</f>
        <v>0</v>
      </c>
      <c r="AF117" s="16">
        <f>基础状态预期!S128</f>
        <v>0</v>
      </c>
      <c r="AG117" s="101">
        <f>基础状态预期!T128</f>
        <v>1</v>
      </c>
      <c r="AH117" s="16" cm="1">
        <f t="array" ref="AH117">求节点(万里长城!$Q$13:$Q$172,万里长城!$W$13:$W$172,P117)</f>
        <v>456227.80216439231</v>
      </c>
      <c r="AI117" s="16" cm="1">
        <f t="array" ref="AI117">求节点($C$40:$C$54,$B$40:$B$54,AH117/36)</f>
        <v>9.4657822362876427</v>
      </c>
      <c r="AJ117" s="25" cm="1">
        <f t="array" ref="AJ117">求节点($B$22:$B$36,$I$22:$I$36,AI117)</f>
        <v>9.4657822362876426E-2</v>
      </c>
    </row>
    <row r="118" spans="15:36">
      <c r="O118" s="100">
        <f>基础状态预期!B129</f>
        <v>11</v>
      </c>
      <c r="P118" s="16">
        <f>基础状态预期!C129</f>
        <v>100</v>
      </c>
      <c r="Q118" s="16">
        <f>基础状态预期!D129</f>
        <v>274.77780000000001</v>
      </c>
      <c r="R118" s="16">
        <f>基础状态预期!E129</f>
        <v>0</v>
      </c>
      <c r="S118" s="16">
        <f>基础状态预期!F129</f>
        <v>0</v>
      </c>
      <c r="T118" s="16">
        <f>基础状态预期!G129</f>
        <v>0</v>
      </c>
      <c r="U118" s="16">
        <f>基础状态预期!H129</f>
        <v>6</v>
      </c>
      <c r="V118" s="16">
        <f>基础状态预期!I129</f>
        <v>0</v>
      </c>
      <c r="W118" s="16">
        <f>基础状态预期!J129</f>
        <v>0</v>
      </c>
      <c r="X118" s="16">
        <f>基础状态预期!K129</f>
        <v>0</v>
      </c>
      <c r="Y118" s="16">
        <f>基础状态预期!L129</f>
        <v>6</v>
      </c>
      <c r="Z118" s="16">
        <f>基础状态预期!M129</f>
        <v>0</v>
      </c>
      <c r="AA118" s="16">
        <f>基础状态预期!N129</f>
        <v>3</v>
      </c>
      <c r="AB118" s="16">
        <f>基础状态预期!O129</f>
        <v>5</v>
      </c>
      <c r="AC118" s="16">
        <f>基础状态预期!P129</f>
        <v>5</v>
      </c>
      <c r="AD118" s="16">
        <f>基础状态预期!Q129</f>
        <v>0</v>
      </c>
      <c r="AE118" s="16">
        <f>基础状态预期!R129</f>
        <v>0</v>
      </c>
      <c r="AF118" s="16">
        <f>基础状态预期!S129</f>
        <v>0</v>
      </c>
      <c r="AG118" s="101">
        <f>基础状态预期!T129</f>
        <v>1</v>
      </c>
      <c r="AH118" s="16" cm="1">
        <f t="array" ref="AH118">求节点(万里长城!$Q$13:$Q$172,万里长城!$W$13:$W$172,P118)</f>
        <v>647314.77811017307</v>
      </c>
      <c r="AI118" s="16" cm="1">
        <f t="array" ref="AI118">求节点($C$40:$C$54,$B$40:$B$54,AH118/36)</f>
        <v>9.870291575873793</v>
      </c>
      <c r="AJ118" s="25" cm="1">
        <f t="array" ref="AJ118">求节点($B$22:$B$36,$I$22:$I$36,AI118)</f>
        <v>9.8702915758737936E-2</v>
      </c>
    </row>
    <row r="119" spans="15:36">
      <c r="O119" s="100">
        <f>基础状态预期!B130</f>
        <v>12</v>
      </c>
      <c r="P119" s="16">
        <f>基础状态预期!C130</f>
        <v>105</v>
      </c>
      <c r="Q119" s="16">
        <f>基础状态预期!D130</f>
        <v>386.39030166130323</v>
      </c>
      <c r="R119" s="16">
        <f>基础状态预期!E130</f>
        <v>0</v>
      </c>
      <c r="S119" s="16">
        <f>基础状态预期!F130</f>
        <v>0</v>
      </c>
      <c r="T119" s="16">
        <f>基础状态预期!G130</f>
        <v>0</v>
      </c>
      <c r="U119" s="16">
        <f>基础状态预期!H130</f>
        <v>6</v>
      </c>
      <c r="V119" s="16">
        <f>基础状态预期!I130</f>
        <v>0</v>
      </c>
      <c r="W119" s="16">
        <f>基础状态预期!J130</f>
        <v>0</v>
      </c>
      <c r="X119" s="16">
        <f>基础状态预期!K130</f>
        <v>0</v>
      </c>
      <c r="Y119" s="16">
        <f>基础状态预期!L130</f>
        <v>6</v>
      </c>
      <c r="Z119" s="16">
        <f>基础状态预期!M130</f>
        <v>0</v>
      </c>
      <c r="AA119" s="16">
        <f>基础状态预期!N130</f>
        <v>3</v>
      </c>
      <c r="AB119" s="16">
        <f>基础状态预期!O130</f>
        <v>5</v>
      </c>
      <c r="AC119" s="16">
        <f>基础状态预期!P130</f>
        <v>5</v>
      </c>
      <c r="AD119" s="16">
        <f>基础状态预期!Q130</f>
        <v>0</v>
      </c>
      <c r="AE119" s="16">
        <f>基础状态预期!R130</f>
        <v>0</v>
      </c>
      <c r="AF119" s="16">
        <f>基础状态预期!S130</f>
        <v>0</v>
      </c>
      <c r="AG119" s="101">
        <f>基础状态预期!T130</f>
        <v>1</v>
      </c>
      <c r="AH119" s="16" cm="1">
        <f t="array" ref="AH119">求节点(万里长城!$Q$13:$Q$172,万里长城!$W$13:$W$172,P119)</f>
        <v>917552.57108555769</v>
      </c>
      <c r="AI119" s="16" cm="1">
        <f t="array" ref="AI119">求节点($C$40:$C$54,$B$40:$B$54,AH119/36)</f>
        <v>10.147451390007705</v>
      </c>
      <c r="AJ119" s="25" cm="1">
        <f t="array" ref="AJ119">求节点($B$22:$B$36,$I$22:$I$36,AI119)</f>
        <v>0.10147451390007706</v>
      </c>
    </row>
    <row r="120" spans="15:36">
      <c r="O120" s="100">
        <f>基础状态预期!B131</f>
        <v>13</v>
      </c>
      <c r="P120" s="16">
        <f>基础状态预期!C131</f>
        <v>110</v>
      </c>
      <c r="Q120" s="16">
        <f>基础状态预期!D131</f>
        <v>542.04559999999992</v>
      </c>
      <c r="R120" s="16">
        <f>基础状态预期!E131</f>
        <v>0</v>
      </c>
      <c r="S120" s="16">
        <f>基础状态预期!F131</f>
        <v>0</v>
      </c>
      <c r="T120" s="16">
        <f>基础状态预期!G131</f>
        <v>0</v>
      </c>
      <c r="U120" s="16">
        <f>基础状态预期!H131</f>
        <v>6</v>
      </c>
      <c r="V120" s="16">
        <f>基础状态预期!I131</f>
        <v>0</v>
      </c>
      <c r="W120" s="16">
        <f>基础状态预期!J131</f>
        <v>0</v>
      </c>
      <c r="X120" s="16">
        <f>基础状态预期!K131</f>
        <v>0</v>
      </c>
      <c r="Y120" s="16">
        <f>基础状态预期!L131</f>
        <v>6</v>
      </c>
      <c r="Z120" s="16">
        <f>基础状态预期!M131</f>
        <v>0</v>
      </c>
      <c r="AA120" s="16">
        <f>基础状态预期!N131</f>
        <v>3</v>
      </c>
      <c r="AB120" s="16">
        <f>基础状态预期!O131</f>
        <v>5</v>
      </c>
      <c r="AC120" s="16">
        <f>基础状态预期!P131</f>
        <v>5</v>
      </c>
      <c r="AD120" s="16">
        <f>基础状态预期!Q131</f>
        <v>0</v>
      </c>
      <c r="AE120" s="16">
        <f>基础状态预期!R131</f>
        <v>0</v>
      </c>
      <c r="AF120" s="16">
        <f>基础状态预期!S131</f>
        <v>0</v>
      </c>
      <c r="AG120" s="101">
        <f>基础状态预期!T131</f>
        <v>1</v>
      </c>
      <c r="AH120" s="16" cm="1">
        <f t="array" ref="AH120">求节点(万里长城!$Q$13:$Q$172,万里长城!$W$13:$W$172,P120)</f>
        <v>1299726.5229771193</v>
      </c>
      <c r="AI120" s="16" cm="1">
        <f t="array" ref="AI120">求节点($C$40:$C$54,$B$40:$B$54,AH120/36)</f>
        <v>10.417124283065137</v>
      </c>
      <c r="AJ120" s="25" cm="1">
        <f t="array" ref="AJ120">求节点($B$22:$B$36,$I$22:$I$36,AI120)</f>
        <v>0.10417124283065138</v>
      </c>
    </row>
    <row r="121" spans="15:36">
      <c r="O121" s="100">
        <f>基础状态预期!B132</f>
        <v>14</v>
      </c>
      <c r="P121" s="16">
        <f>基础状态预期!C132</f>
        <v>115</v>
      </c>
      <c r="Q121" s="16">
        <f>基础状态预期!D132</f>
        <v>758.86058738147995</v>
      </c>
      <c r="R121" s="16">
        <f>基础状态预期!E132</f>
        <v>0</v>
      </c>
      <c r="S121" s="16">
        <f>基础状态预期!F132</f>
        <v>0</v>
      </c>
      <c r="T121" s="16">
        <f>基础状态预期!G132</f>
        <v>0</v>
      </c>
      <c r="U121" s="16">
        <f>基础状态预期!H132</f>
        <v>6</v>
      </c>
      <c r="V121" s="16">
        <f>基础状态预期!I132</f>
        <v>0</v>
      </c>
      <c r="W121" s="16">
        <f>基础状态预期!J132</f>
        <v>0</v>
      </c>
      <c r="X121" s="16">
        <f>基础状态预期!K132</f>
        <v>0</v>
      </c>
      <c r="Y121" s="16">
        <f>基础状态预期!L132</f>
        <v>6</v>
      </c>
      <c r="Z121" s="16">
        <f>基础状态预期!M132</f>
        <v>0</v>
      </c>
      <c r="AA121" s="16">
        <f>基础状态预期!N132</f>
        <v>3</v>
      </c>
      <c r="AB121" s="16">
        <f>基础状态预期!O132</f>
        <v>5</v>
      </c>
      <c r="AC121" s="16">
        <f>基础状态预期!P132</f>
        <v>5</v>
      </c>
      <c r="AD121" s="16">
        <f>基础状态预期!Q132</f>
        <v>0</v>
      </c>
      <c r="AE121" s="16">
        <f>基础状态预期!R132</f>
        <v>0</v>
      </c>
      <c r="AF121" s="16">
        <f>基础状态预期!S132</f>
        <v>0</v>
      </c>
      <c r="AG121" s="101">
        <f>基础状态预期!T132</f>
        <v>1</v>
      </c>
      <c r="AH121" s="16" cm="1">
        <f t="array" ref="AH121">求节点(万里长城!$Q$13:$Q$172,万里长城!$W$13:$W$172,P121)</f>
        <v>1840202.1089278886</v>
      </c>
      <c r="AI121" s="16" cm="1">
        <f t="array" ref="AI121">求节点($C$40:$C$54,$B$40:$B$54,AH121/36)</f>
        <v>10.798499345831349</v>
      </c>
      <c r="AJ121" s="25" cm="1">
        <f t="array" ref="AJ121">求节点($B$22:$B$36,$I$22:$I$36,AI121)</f>
        <v>0.10798499345831349</v>
      </c>
    </row>
    <row r="122" spans="15:36">
      <c r="O122" s="100">
        <f>基础状态预期!B133</f>
        <v>15</v>
      </c>
      <c r="P122" s="16">
        <f>基础状态预期!C133</f>
        <v>120</v>
      </c>
      <c r="Q122" s="16">
        <f>基础状态预期!D133</f>
        <v>1067.9759999999999</v>
      </c>
      <c r="R122" s="16">
        <f>基础状态预期!E133</f>
        <v>0</v>
      </c>
      <c r="S122" s="16">
        <f>基础状态预期!F133</f>
        <v>0</v>
      </c>
      <c r="T122" s="16">
        <f>基础状态预期!G133</f>
        <v>0</v>
      </c>
      <c r="U122" s="16">
        <f>基础状态预期!H133</f>
        <v>6</v>
      </c>
      <c r="V122" s="16">
        <f>基础状态预期!I133</f>
        <v>0</v>
      </c>
      <c r="W122" s="16">
        <f>基础状态预期!J133</f>
        <v>0</v>
      </c>
      <c r="X122" s="16">
        <f>基础状态预期!K133</f>
        <v>0</v>
      </c>
      <c r="Y122" s="16">
        <f>基础状态预期!L133</f>
        <v>6</v>
      </c>
      <c r="Z122" s="16">
        <f>基础状态预期!M133</f>
        <v>0</v>
      </c>
      <c r="AA122" s="16">
        <f>基础状态预期!N133</f>
        <v>3</v>
      </c>
      <c r="AB122" s="16">
        <f>基础状态预期!O133</f>
        <v>5</v>
      </c>
      <c r="AC122" s="16">
        <f>基础状态预期!P133</f>
        <v>5</v>
      </c>
      <c r="AD122" s="16">
        <f>基础状态预期!Q133</f>
        <v>0</v>
      </c>
      <c r="AE122" s="16">
        <f>基础状态预期!R133</f>
        <v>0</v>
      </c>
      <c r="AF122" s="16">
        <f>基础状态预期!S133</f>
        <v>0</v>
      </c>
      <c r="AG122" s="101">
        <f>基础状态预期!T133</f>
        <v>1</v>
      </c>
      <c r="AH122" s="16" cm="1">
        <f t="array" ref="AH122">求节点(万里长城!$Q$13:$Q$172,万里长城!$W$13:$W$172,P122)</f>
        <v>2604550.0127110113</v>
      </c>
      <c r="AI122" s="16" cm="1">
        <f t="array" ref="AI122">求节点($C$40:$C$54,$B$40:$B$54,AH122/36)</f>
        <v>11.112615043982073</v>
      </c>
      <c r="AJ122" s="25" cm="1">
        <f t="array" ref="AJ122">求节点($B$22:$B$36,$I$22:$I$36,AI122)</f>
        <v>0.11112615043982073</v>
      </c>
    </row>
    <row r="123" spans="15:36">
      <c r="O123" s="100">
        <f>基础状态预期!B134</f>
        <v>16</v>
      </c>
      <c r="P123" s="16">
        <f>基础状态预期!C134</f>
        <v>125</v>
      </c>
      <c r="Q123" s="16">
        <f>基础状态预期!D134</f>
        <v>1509.8750085108877</v>
      </c>
      <c r="R123" s="16">
        <f>基础状态预期!E134</f>
        <v>0</v>
      </c>
      <c r="S123" s="16">
        <f>基础状态预期!F134</f>
        <v>0</v>
      </c>
      <c r="T123" s="16">
        <f>基础状态预期!G134</f>
        <v>0</v>
      </c>
      <c r="U123" s="16">
        <f>基础状态预期!H134</f>
        <v>6</v>
      </c>
      <c r="V123" s="16">
        <f>基础状态预期!I134</f>
        <v>0</v>
      </c>
      <c r="W123" s="16">
        <f>基础状态预期!J134</f>
        <v>0</v>
      </c>
      <c r="X123" s="16">
        <f>基础状态预期!K134</f>
        <v>0</v>
      </c>
      <c r="Y123" s="16">
        <f>基础状态预期!L134</f>
        <v>6</v>
      </c>
      <c r="Z123" s="16">
        <f>基础状态预期!M134</f>
        <v>0</v>
      </c>
      <c r="AA123" s="16">
        <f>基础状态预期!N134</f>
        <v>3</v>
      </c>
      <c r="AB123" s="16">
        <f>基础状态预期!O134</f>
        <v>5</v>
      </c>
      <c r="AC123" s="16">
        <f>基础状态预期!P134</f>
        <v>5</v>
      </c>
      <c r="AD123" s="16">
        <f>基础状态预期!Q134</f>
        <v>0</v>
      </c>
      <c r="AE123" s="16">
        <f>基础状态预期!R134</f>
        <v>0</v>
      </c>
      <c r="AF123" s="16">
        <f>基础状态预期!S134</f>
        <v>0</v>
      </c>
      <c r="AG123" s="101">
        <f>基础状态预期!T134</f>
        <v>1</v>
      </c>
      <c r="AH123" s="16" cm="1">
        <f t="array" ref="AH123">求节点(万里长城!$Q$13:$Q$172,万里长城!$W$13:$W$172,P123)</f>
        <v>3685501.1846125508</v>
      </c>
      <c r="AI123" s="16" cm="1">
        <f t="array" ref="AI123">求节点($C$40:$C$54,$B$40:$B$54,AH123/36)</f>
        <v>11.366865085826214</v>
      </c>
      <c r="AJ123" s="25" cm="1">
        <f t="array" ref="AJ123">求节点($B$22:$B$36,$I$22:$I$36,AI123)</f>
        <v>0.11366865085826214</v>
      </c>
    </row>
    <row r="124" spans="15:36">
      <c r="O124" s="100">
        <f>基础状态预期!B135</f>
        <v>17</v>
      </c>
      <c r="P124" s="16">
        <f>基础状态预期!C135</f>
        <v>130</v>
      </c>
      <c r="Q124" s="16">
        <f>基础状态预期!D135</f>
        <v>2124.7454000000002</v>
      </c>
      <c r="R124" s="16">
        <f>基础状态预期!E135</f>
        <v>0</v>
      </c>
      <c r="S124" s="16">
        <f>基础状态预期!F135</f>
        <v>0</v>
      </c>
      <c r="T124" s="16">
        <f>基础状态预期!G135</f>
        <v>0</v>
      </c>
      <c r="U124" s="16">
        <f>基础状态预期!H135</f>
        <v>6</v>
      </c>
      <c r="V124" s="16">
        <f>基础状态预期!I135</f>
        <v>0</v>
      </c>
      <c r="W124" s="16">
        <f>基础状态预期!J135</f>
        <v>0</v>
      </c>
      <c r="X124" s="16">
        <f>基础状态预期!K135</f>
        <v>0</v>
      </c>
      <c r="Y124" s="16">
        <f>基础状态预期!L135</f>
        <v>6</v>
      </c>
      <c r="Z124" s="16">
        <f>基础状态预期!M135</f>
        <v>0</v>
      </c>
      <c r="AA124" s="16">
        <f>基础状态预期!N135</f>
        <v>3</v>
      </c>
      <c r="AB124" s="16">
        <f>基础状态预期!O135</f>
        <v>5</v>
      </c>
      <c r="AC124" s="16">
        <f>基础状态预期!P135</f>
        <v>5</v>
      </c>
      <c r="AD124" s="16">
        <f>基础状态预期!Q135</f>
        <v>0</v>
      </c>
      <c r="AE124" s="16">
        <f>基础状态预期!R135</f>
        <v>0</v>
      </c>
      <c r="AF124" s="16">
        <f>基础状态预期!S135</f>
        <v>0</v>
      </c>
      <c r="AG124" s="101">
        <f>基础状态预期!T135</f>
        <v>1</v>
      </c>
      <c r="AH124" s="16" cm="1">
        <f t="array" ref="AH124">求节点(万里长城!$Q$13:$Q$172,万里长城!$W$13:$W$172,P124)</f>
        <v>5214196.9921787959</v>
      </c>
      <c r="AI124" s="16" cm="1">
        <f t="array" ref="AI124">求节点($C$40:$C$54,$B$40:$B$54,AH124/36)</f>
        <v>11.726428943236124</v>
      </c>
      <c r="AJ124" s="25" cm="1">
        <f t="array" ref="AJ124">求节点($B$22:$B$36,$I$22:$I$36,AI124)</f>
        <v>0.11726428943236124</v>
      </c>
    </row>
    <row r="125" spans="15:36">
      <c r="O125" s="100">
        <f>基础状态预期!B136</f>
        <v>18</v>
      </c>
      <c r="P125" s="16">
        <f>基础状态预期!C136</f>
        <v>135</v>
      </c>
      <c r="Q125" s="16">
        <f>基础状态预期!D136</f>
        <v>2979.465885761414</v>
      </c>
      <c r="R125" s="16">
        <f>基础状态预期!E136</f>
        <v>0</v>
      </c>
      <c r="S125" s="16">
        <f>基础状态预期!F136</f>
        <v>0</v>
      </c>
      <c r="T125" s="16">
        <f>基础状态预期!G136</f>
        <v>0</v>
      </c>
      <c r="U125" s="16">
        <f>基础状态预期!H136</f>
        <v>6</v>
      </c>
      <c r="V125" s="16">
        <f>基础状态预期!I136</f>
        <v>0</v>
      </c>
      <c r="W125" s="16">
        <f>基础状态预期!J136</f>
        <v>0</v>
      </c>
      <c r="X125" s="16">
        <f>基础状态预期!K136</f>
        <v>0</v>
      </c>
      <c r="Y125" s="16">
        <f>基础状态预期!L136</f>
        <v>6</v>
      </c>
      <c r="Z125" s="16">
        <f>基础状态预期!M136</f>
        <v>0</v>
      </c>
      <c r="AA125" s="16">
        <f>基础状态预期!N136</f>
        <v>3</v>
      </c>
      <c r="AB125" s="16">
        <f>基础状态预期!O136</f>
        <v>5</v>
      </c>
      <c r="AC125" s="16">
        <f>基础状态预期!P136</f>
        <v>5</v>
      </c>
      <c r="AD125" s="16">
        <f>基础状态预期!Q136</f>
        <v>0</v>
      </c>
      <c r="AE125" s="16">
        <f>基础状态预期!R136</f>
        <v>0</v>
      </c>
      <c r="AF125" s="16">
        <f>基础状态预期!S136</f>
        <v>0</v>
      </c>
      <c r="AG125" s="101">
        <f>基础状态预期!T136</f>
        <v>1</v>
      </c>
      <c r="AH125" s="16" cm="1">
        <f t="array" ref="AH125">求节点(万里长城!$Q$13:$Q$172,万里长城!$W$13:$W$172,P125)</f>
        <v>7376099.3359818738</v>
      </c>
      <c r="AI125" s="16" cm="1">
        <f t="array" ref="AI125">求节点($C$40:$C$54,$B$40:$B$54,AH125/36)</f>
        <v>12.078309675641469</v>
      </c>
      <c r="AJ125" s="25" cm="1">
        <f t="array" ref="AJ125">求节点($B$22:$B$36,$I$22:$I$36,AI125)</f>
        <v>0.12078309675641469</v>
      </c>
    </row>
    <row r="126" spans="15:36">
      <c r="O126" s="100">
        <f>基础状态预期!B137</f>
        <v>19</v>
      </c>
      <c r="P126" s="16">
        <f>基础状态预期!C137</f>
        <v>140</v>
      </c>
      <c r="Q126" s="16">
        <f>基础状态预期!D137</f>
        <v>4192.4097000000002</v>
      </c>
      <c r="R126" s="16">
        <f>基础状态预期!E137</f>
        <v>0</v>
      </c>
      <c r="S126" s="16">
        <f>基础状态预期!F137</f>
        <v>0</v>
      </c>
      <c r="T126" s="16">
        <f>基础状态预期!G137</f>
        <v>0</v>
      </c>
      <c r="U126" s="16">
        <f>基础状态预期!H137</f>
        <v>6</v>
      </c>
      <c r="V126" s="16">
        <f>基础状态预期!I137</f>
        <v>0</v>
      </c>
      <c r="W126" s="16">
        <f>基础状态预期!J137</f>
        <v>0</v>
      </c>
      <c r="X126" s="16">
        <f>基础状态预期!K137</f>
        <v>0</v>
      </c>
      <c r="Y126" s="16">
        <f>基础状态预期!L137</f>
        <v>6</v>
      </c>
      <c r="Z126" s="16">
        <f>基础状态预期!M137</f>
        <v>0</v>
      </c>
      <c r="AA126" s="16">
        <f>基础状态预期!N137</f>
        <v>3</v>
      </c>
      <c r="AB126" s="16">
        <f>基础状态预期!O137</f>
        <v>5</v>
      </c>
      <c r="AC126" s="16">
        <f>基础状态预期!P137</f>
        <v>5</v>
      </c>
      <c r="AD126" s="16">
        <f>基础状态预期!Q137</f>
        <v>0</v>
      </c>
      <c r="AE126" s="16">
        <f>基础状态预期!R137</f>
        <v>0</v>
      </c>
      <c r="AF126" s="16">
        <f>基础状态预期!S137</f>
        <v>0</v>
      </c>
      <c r="AG126" s="101">
        <f>基础状态预期!T137</f>
        <v>1</v>
      </c>
      <c r="AH126" s="16" cm="1">
        <f t="array" ref="AH126">求节点(万里长城!$Q$13:$Q$172,万里长城!$W$13:$W$172,P126)</f>
        <v>10433490.951114366</v>
      </c>
      <c r="AI126" s="16" cm="1">
        <f t="array" ref="AI126">求节点($C$40:$C$54,$B$40:$B$54,AH126/36)</f>
        <v>12.318018913914743</v>
      </c>
      <c r="AJ126" s="25" cm="1">
        <f t="array" ref="AJ126">求节点($B$22:$B$36,$I$22:$I$36,AI126)</f>
        <v>0.12318018913914743</v>
      </c>
    </row>
    <row r="127" spans="15:36">
      <c r="O127" s="100">
        <f>基础状态预期!B138</f>
        <v>20</v>
      </c>
      <c r="P127" s="16">
        <f>基础状态预期!C138</f>
        <v>145</v>
      </c>
      <c r="Q127" s="16">
        <f>基础状态预期!D138</f>
        <v>5926.7517065145412</v>
      </c>
      <c r="R127" s="16">
        <f>基础状态预期!E138</f>
        <v>0</v>
      </c>
      <c r="S127" s="16">
        <f>基础状态预期!F138</f>
        <v>0</v>
      </c>
      <c r="T127" s="16">
        <f>基础状态预期!G138</f>
        <v>0</v>
      </c>
      <c r="U127" s="16">
        <f>基础状态预期!H138</f>
        <v>6</v>
      </c>
      <c r="V127" s="16">
        <f>基础状态预期!I138</f>
        <v>0</v>
      </c>
      <c r="W127" s="16">
        <f>基础状态预期!J138</f>
        <v>0</v>
      </c>
      <c r="X127" s="16">
        <f>基础状态预期!K138</f>
        <v>0</v>
      </c>
      <c r="Y127" s="16">
        <f>基础状态预期!L138</f>
        <v>6</v>
      </c>
      <c r="Z127" s="16">
        <f>基础状态预期!M138</f>
        <v>0</v>
      </c>
      <c r="AA127" s="16">
        <f>基础状态预期!N138</f>
        <v>3</v>
      </c>
      <c r="AB127" s="16">
        <f>基础状态预期!O138</f>
        <v>5</v>
      </c>
      <c r="AC127" s="16">
        <f>基础状态预期!P138</f>
        <v>5</v>
      </c>
      <c r="AD127" s="16">
        <f>基础状态预期!Q138</f>
        <v>0</v>
      </c>
      <c r="AE127" s="16">
        <f>基础状态预期!R138</f>
        <v>0</v>
      </c>
      <c r="AF127" s="16">
        <f>基础状态预期!S138</f>
        <v>0</v>
      </c>
      <c r="AG127" s="101">
        <f>基础状态预期!T138</f>
        <v>1</v>
      </c>
      <c r="AH127" s="16" cm="1">
        <f t="array" ref="AH127">求节点(万里长城!$Q$13:$Q$172,万里长城!$W$13:$W$172,P127)</f>
        <v>14757295.638720524</v>
      </c>
      <c r="AI127" s="16" cm="1">
        <f t="array" ref="AI127">求节点($C$40:$C$54,$B$40:$B$54,AH127/36)</f>
        <v>12.657018969706932</v>
      </c>
      <c r="AJ127" s="25" cm="1">
        <f t="array" ref="AJ127">求节点($B$22:$B$36,$I$22:$I$36,AI127)</f>
        <v>0.12657018969706932</v>
      </c>
    </row>
    <row r="128" spans="15:36">
      <c r="O128" s="100">
        <f>基础状态预期!B139</f>
        <v>21</v>
      </c>
      <c r="P128" s="16">
        <f>基础状态预期!C139</f>
        <v>150</v>
      </c>
      <c r="Q128" s="16">
        <f>基础状态预期!D139</f>
        <v>8355.5850000000009</v>
      </c>
      <c r="R128" s="16">
        <f>基础状态预期!E139</f>
        <v>0</v>
      </c>
      <c r="S128" s="16">
        <f>基础状态预期!F139</f>
        <v>0</v>
      </c>
      <c r="T128" s="16">
        <f>基础状态预期!G139</f>
        <v>0</v>
      </c>
      <c r="U128" s="16">
        <f>基础状态预期!H139</f>
        <v>6</v>
      </c>
      <c r="V128" s="16">
        <f>基础状态预期!I139</f>
        <v>0</v>
      </c>
      <c r="W128" s="16">
        <f>基础状态预期!J139</f>
        <v>0</v>
      </c>
      <c r="X128" s="16">
        <f>基础状态预期!K139</f>
        <v>0</v>
      </c>
      <c r="Y128" s="16">
        <f>基础状态预期!L139</f>
        <v>6</v>
      </c>
      <c r="Z128" s="16">
        <f>基础状态预期!M139</f>
        <v>0</v>
      </c>
      <c r="AA128" s="16">
        <f>基础状态预期!N139</f>
        <v>3</v>
      </c>
      <c r="AB128" s="16">
        <f>基础状态预期!O139</f>
        <v>5</v>
      </c>
      <c r="AC128" s="16">
        <f>基础状态预期!P139</f>
        <v>5</v>
      </c>
      <c r="AD128" s="16">
        <f>基础状态预期!Q139</f>
        <v>0</v>
      </c>
      <c r="AE128" s="16">
        <f>基础状态预期!R139</f>
        <v>0</v>
      </c>
      <c r="AF128" s="16">
        <f>基础状态预期!S139</f>
        <v>0</v>
      </c>
      <c r="AG128" s="101">
        <f>基础状态预期!T139</f>
        <v>1</v>
      </c>
      <c r="AH128" s="16" cm="1">
        <f t="array" ref="AH128">求节点(万里长城!$Q$13:$Q$172,万里长城!$W$13:$W$172,P128)</f>
        <v>20872078.868985504</v>
      </c>
      <c r="AI128" s="16" cm="1">
        <f t="array" ref="AI128">求节点($C$40:$C$54,$B$40:$B$54,AH128/36)</f>
        <v>13.045479148751161</v>
      </c>
      <c r="AJ128" s="25" cm="1">
        <f t="array" ref="AJ128">求节点($B$22:$B$36,$I$22:$I$36,AI128)</f>
        <v>0.1304547914875116</v>
      </c>
    </row>
    <row r="129" spans="15:36">
      <c r="O129" s="100">
        <f>基础状态预期!B140</f>
        <v>22</v>
      </c>
      <c r="P129" s="16">
        <f>基础状态预期!C140</f>
        <v>155</v>
      </c>
      <c r="Q129" s="16">
        <f>基础状态预期!D140</f>
        <v>44541.959951382152</v>
      </c>
      <c r="R129" s="16">
        <f>基础状态预期!E140</f>
        <v>0</v>
      </c>
      <c r="S129" s="16">
        <f>基础状态预期!F140</f>
        <v>0</v>
      </c>
      <c r="T129" s="16">
        <f>基础状态预期!G140</f>
        <v>0</v>
      </c>
      <c r="U129" s="16">
        <f>基础状态预期!H140</f>
        <v>6</v>
      </c>
      <c r="V129" s="16">
        <f>基础状态预期!I140</f>
        <v>0</v>
      </c>
      <c r="W129" s="16">
        <f>基础状态预期!J140</f>
        <v>0</v>
      </c>
      <c r="X129" s="16">
        <f>基础状态预期!K140</f>
        <v>0</v>
      </c>
      <c r="Y129" s="16">
        <f>基础状态预期!L140</f>
        <v>6</v>
      </c>
      <c r="Z129" s="16">
        <f>基础状态预期!M140</f>
        <v>0</v>
      </c>
      <c r="AA129" s="16">
        <f>基础状态预期!N140</f>
        <v>3</v>
      </c>
      <c r="AB129" s="16">
        <f>基础状态预期!O140</f>
        <v>5</v>
      </c>
      <c r="AC129" s="16">
        <f>基础状态预期!P140</f>
        <v>5</v>
      </c>
      <c r="AD129" s="16">
        <f>基础状态预期!Q140</f>
        <v>0</v>
      </c>
      <c r="AE129" s="16">
        <f>基础状态预期!R140</f>
        <v>0</v>
      </c>
      <c r="AF129" s="16">
        <f>基础状态预期!S140</f>
        <v>0</v>
      </c>
      <c r="AG129" s="101">
        <f>基础状态预期!T140</f>
        <v>1</v>
      </c>
      <c r="AH129" s="16" cm="1">
        <f t="array" ref="AH129">求节点(万里长城!$Q$13:$Q$172,万里长城!$W$13:$W$172,P129)</f>
        <v>29519688.244197827</v>
      </c>
      <c r="AI129" s="16" cm="1">
        <f t="array" ref="AI129">求节点($C$40:$C$54,$B$40:$B$54,AH129/36)</f>
        <v>13.271479185945953</v>
      </c>
      <c r="AJ129" s="25" cm="1">
        <f t="array" ref="AJ129">求节点($B$22:$B$36,$I$22:$I$36,AI129)</f>
        <v>0.13271479185945953</v>
      </c>
    </row>
    <row r="130" spans="15:36">
      <c r="O130" s="102">
        <f>基础状态预期!B141</f>
        <v>23</v>
      </c>
      <c r="P130" s="97">
        <f>基础状态预期!C141</f>
        <v>160</v>
      </c>
      <c r="Q130" s="97">
        <f>基础状态预期!D141</f>
        <v>66190.350000000006</v>
      </c>
      <c r="R130" s="97">
        <f>基础状态预期!E141</f>
        <v>0</v>
      </c>
      <c r="S130" s="97">
        <f>基础状态预期!F141</f>
        <v>0</v>
      </c>
      <c r="T130" s="97">
        <f>基础状态预期!G141</f>
        <v>0</v>
      </c>
      <c r="U130" s="97">
        <f>基础状态预期!H141</f>
        <v>6</v>
      </c>
      <c r="V130" s="97">
        <f>基础状态预期!I141</f>
        <v>0</v>
      </c>
      <c r="W130" s="97">
        <f>基础状态预期!J141</f>
        <v>0</v>
      </c>
      <c r="X130" s="97">
        <f>基础状态预期!K141</f>
        <v>0</v>
      </c>
      <c r="Y130" s="97">
        <f>基础状态预期!L141</f>
        <v>6</v>
      </c>
      <c r="Z130" s="97">
        <f>基础状态预期!M141</f>
        <v>0</v>
      </c>
      <c r="AA130" s="97">
        <f>基础状态预期!N141</f>
        <v>3</v>
      </c>
      <c r="AB130" s="97">
        <f>基础状态预期!O141</f>
        <v>5</v>
      </c>
      <c r="AC130" s="97">
        <f>基础状态预期!P141</f>
        <v>5</v>
      </c>
      <c r="AD130" s="97">
        <f>基础状态预期!Q141</f>
        <v>0</v>
      </c>
      <c r="AE130" s="97">
        <f>基础状态预期!R141</f>
        <v>0</v>
      </c>
      <c r="AF130" s="97">
        <f>基础状态预期!S141</f>
        <v>0</v>
      </c>
      <c r="AG130" s="103">
        <f>基础状态预期!T141</f>
        <v>1</v>
      </c>
      <c r="AH130" s="16" cm="1">
        <f t="array" ref="AH130">求节点(万里长城!$Q$13:$Q$172,万里长城!$W$13:$W$172,P130)</f>
        <v>41749254.704727776</v>
      </c>
      <c r="AI130" s="16" cm="1">
        <f t="array" ref="AI130">求节点($C$40:$C$54,$B$40:$B$54,AH130/36)</f>
        <v>13.591091503643652</v>
      </c>
      <c r="AJ130" s="25" cm="1">
        <f t="array" ref="AJ130">求节点($B$22:$B$36,$I$22:$I$36,AI130)</f>
        <v>0.13591091503643651</v>
      </c>
    </row>
    <row r="131" spans="15:36">
      <c r="O131" s="16">
        <f>基础状态预期!B142</f>
        <v>24</v>
      </c>
    </row>
    <row r="132" spans="15:36">
      <c r="O132" s="16">
        <f>基础状态预期!B143</f>
        <v>25</v>
      </c>
    </row>
    <row r="133" spans="15:36">
      <c r="O133" s="16">
        <f>基础状态预期!B144</f>
        <v>26</v>
      </c>
    </row>
  </sheetData>
  <mergeCells count="32">
    <mergeCell ref="D16:F16"/>
    <mergeCell ref="D17:F17"/>
    <mergeCell ref="P4:Q4"/>
    <mergeCell ref="R4:U4"/>
    <mergeCell ref="V4:Y4"/>
    <mergeCell ref="D14:F14"/>
    <mergeCell ref="D13:F13"/>
    <mergeCell ref="D12:F12"/>
    <mergeCell ref="D11:F11"/>
    <mergeCell ref="D15:F15"/>
    <mergeCell ref="Z4:AC4"/>
    <mergeCell ref="AD4:AG4"/>
    <mergeCell ref="P30:Q30"/>
    <mergeCell ref="R30:U30"/>
    <mergeCell ref="V30:Y30"/>
    <mergeCell ref="Z30:AC30"/>
    <mergeCell ref="AD30:AG30"/>
    <mergeCell ref="P82:Q82"/>
    <mergeCell ref="R82:U82"/>
    <mergeCell ref="V82:Y82"/>
    <mergeCell ref="Z82:AC82"/>
    <mergeCell ref="AD82:AG82"/>
    <mergeCell ref="P56:Q56"/>
    <mergeCell ref="R56:U56"/>
    <mergeCell ref="V56:Y56"/>
    <mergeCell ref="Z56:AC56"/>
    <mergeCell ref="AD56:AG56"/>
    <mergeCell ref="P108:Q108"/>
    <mergeCell ref="R108:U108"/>
    <mergeCell ref="V108:Y108"/>
    <mergeCell ref="Z108:AC108"/>
    <mergeCell ref="AD108:AG108"/>
  </mergeCells>
  <phoneticPr fontId="1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64109-DE57-49FA-BE53-544A85EF53CD}">
  <sheetPr codeName="Sheet18">
    <tabColor rgb="FFC00000"/>
  </sheetPr>
  <dimension ref="A1:AA174"/>
  <sheetViews>
    <sheetView topLeftCell="A4" zoomScaleNormal="100" workbookViewId="0">
      <selection activeCell="W43" sqref="W43"/>
    </sheetView>
  </sheetViews>
  <sheetFormatPr defaultColWidth="6.625" defaultRowHeight="11.25"/>
  <cols>
    <col min="1" max="4" width="6.625" style="1"/>
    <col min="5" max="5" width="6.625" style="1" hidden="1" customWidth="1"/>
    <col min="6" max="6" width="0" style="1" hidden="1" customWidth="1"/>
    <col min="7" max="9" width="10.625" style="1" customWidth="1"/>
    <col min="10" max="13" width="6.625" style="1"/>
    <col min="14" max="14" width="6.625" style="23"/>
    <col min="15" max="16" width="6.625" style="21"/>
    <col min="17" max="22" width="6.625" style="16"/>
    <col min="23" max="16384" width="6.625" style="1"/>
  </cols>
  <sheetData>
    <row r="1" spans="1:27">
      <c r="A1" s="14" t="s">
        <v>570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</row>
    <row r="2" spans="1:27">
      <c r="B2" s="98" t="s">
        <v>571</v>
      </c>
      <c r="C2" s="99">
        <v>300</v>
      </c>
      <c r="D2" s="115" t="s">
        <v>698</v>
      </c>
      <c r="E2" s="16"/>
      <c r="F2" s="16"/>
      <c r="Q2" s="149">
        <v>40</v>
      </c>
      <c r="R2" s="150" t="s">
        <v>748</v>
      </c>
      <c r="S2" s="136"/>
      <c r="T2" s="70"/>
    </row>
    <row r="3" spans="1:27" ht="11.25" customHeight="1">
      <c r="B3" s="100" t="s">
        <v>572</v>
      </c>
      <c r="C3" s="101" t="s">
        <v>697</v>
      </c>
      <c r="D3" s="16" t="s">
        <v>696</v>
      </c>
      <c r="E3" s="16"/>
      <c r="F3" s="16"/>
      <c r="R3" s="16" t="s">
        <v>74</v>
      </c>
      <c r="S3" s="16" t="s">
        <v>75</v>
      </c>
      <c r="T3" s="16" t="s">
        <v>76</v>
      </c>
      <c r="U3" s="16" t="s">
        <v>77</v>
      </c>
      <c r="V3" s="16" t="s">
        <v>78</v>
      </c>
    </row>
    <row r="4" spans="1:27">
      <c r="B4" s="100" t="s">
        <v>628</v>
      </c>
      <c r="C4" s="101" t="s">
        <v>695</v>
      </c>
      <c r="D4" s="14"/>
      <c r="E4" s="16"/>
      <c r="F4" s="16"/>
      <c r="G4" s="16"/>
      <c r="H4" s="16"/>
      <c r="I4" s="16"/>
      <c r="J4" s="16"/>
      <c r="K4" s="16"/>
      <c r="L4" s="16"/>
      <c r="M4" s="16"/>
      <c r="Q4" s="16" t="s">
        <v>489</v>
      </c>
      <c r="R4" s="16">
        <f>求节点(节奏总纲!$N$4:$N$163,节奏总纲!P$4:P$163,$Q$2)</f>
        <v>7</v>
      </c>
      <c r="S4" s="16">
        <f>求节点(节奏总纲!$N$4:$N$163,节奏总纲!Q$4:Q$163,$Q$2)</f>
        <v>6.1025999999999998</v>
      </c>
      <c r="T4" s="16">
        <f>求节点(节奏总纲!$N$4:$N$163,节奏总纲!R$4:R$163,$Q$2)</f>
        <v>5.0421000000000005</v>
      </c>
      <c r="U4" s="16">
        <f>求节点(节奏总纲!$N$4:$N$163,节奏总纲!S$4:S$163,$Q$2)</f>
        <v>3.7428999999999997</v>
      </c>
      <c r="V4" s="16">
        <f>求节点(节奏总纲!$N$4:$N$163,节奏总纲!T$4:T$163,$Q$2)</f>
        <v>2.1006999999999998</v>
      </c>
    </row>
    <row r="5" spans="1:27">
      <c r="B5" s="102" t="s">
        <v>573</v>
      </c>
      <c r="C5" s="103" t="s">
        <v>627</v>
      </c>
      <c r="D5" s="16"/>
      <c r="E5" s="16"/>
      <c r="F5" s="16"/>
      <c r="H5" s="16"/>
      <c r="I5" s="16"/>
      <c r="J5" s="16"/>
      <c r="K5" s="16"/>
      <c r="L5" s="16"/>
      <c r="M5" s="16"/>
    </row>
    <row r="6" spans="1:27">
      <c r="B6" s="1" t="s">
        <v>666</v>
      </c>
      <c r="C6" s="1" t="s">
        <v>667</v>
      </c>
      <c r="D6" s="1">
        <v>1</v>
      </c>
      <c r="E6" s="1" t="s">
        <v>624</v>
      </c>
      <c r="F6" s="16"/>
      <c r="H6" s="16"/>
      <c r="I6" s="16"/>
      <c r="J6" s="16"/>
      <c r="K6" s="16"/>
      <c r="L6" s="16"/>
      <c r="M6" s="16"/>
    </row>
    <row r="7" spans="1:27">
      <c r="B7" s="1" t="s">
        <v>699</v>
      </c>
      <c r="C7" s="1" t="s">
        <v>667</v>
      </c>
      <c r="D7" s="1">
        <v>100</v>
      </c>
      <c r="E7" s="1" t="s">
        <v>624</v>
      </c>
      <c r="F7" s="16"/>
      <c r="H7" s="16"/>
      <c r="I7" s="16"/>
      <c r="J7" s="16"/>
      <c r="K7" s="16"/>
      <c r="L7" s="16"/>
      <c r="M7" s="16"/>
    </row>
    <row r="8" spans="1:27">
      <c r="B8" s="105"/>
      <c r="C8" s="106" t="s">
        <v>709</v>
      </c>
      <c r="D8" s="106" t="s">
        <v>710</v>
      </c>
      <c r="E8" s="106" t="s">
        <v>711</v>
      </c>
      <c r="F8" s="106" t="s">
        <v>712</v>
      </c>
      <c r="G8" s="99" t="s">
        <v>713</v>
      </c>
      <c r="H8" s="16"/>
      <c r="I8" s="16"/>
      <c r="J8" s="16"/>
      <c r="K8" s="16"/>
      <c r="L8" s="16"/>
      <c r="M8" s="16"/>
    </row>
    <row r="9" spans="1:27">
      <c r="B9" s="133" t="s">
        <v>714</v>
      </c>
      <c r="C9" s="1">
        <f>240*7</f>
        <v>1680</v>
      </c>
      <c r="D9" s="1">
        <f>240*7+100*7</f>
        <v>2380</v>
      </c>
      <c r="E9" s="1">
        <f>240*7+200*7</f>
        <v>3080</v>
      </c>
      <c r="F9" s="1">
        <f>240*7+300*7</f>
        <v>3780</v>
      </c>
      <c r="G9" s="109">
        <f>240*7+300*7</f>
        <v>3780</v>
      </c>
      <c r="H9" s="16"/>
      <c r="I9" s="16"/>
      <c r="J9" s="16"/>
      <c r="K9" s="16"/>
      <c r="L9" s="16"/>
      <c r="M9" s="16"/>
      <c r="O9" s="21" t="s">
        <v>746</v>
      </c>
    </row>
    <row r="10" spans="1:27">
      <c r="B10" s="133" t="s">
        <v>715</v>
      </c>
      <c r="C10" s="113">
        <f>C9/$D$46</f>
        <v>166.88382893633491</v>
      </c>
      <c r="D10" s="113">
        <f t="shared" ref="D10:G10" si="0">D9/$D$46</f>
        <v>236.41875765980777</v>
      </c>
      <c r="E10" s="113">
        <f t="shared" si="0"/>
        <v>305.95368638328063</v>
      </c>
      <c r="F10" s="113">
        <f t="shared" si="0"/>
        <v>375.48861510675351</v>
      </c>
      <c r="G10" s="134">
        <f t="shared" si="0"/>
        <v>375.48861510675351</v>
      </c>
      <c r="H10" s="16"/>
      <c r="I10" s="16"/>
      <c r="J10" s="16"/>
      <c r="K10" s="16"/>
      <c r="L10" s="16"/>
      <c r="M10" s="16"/>
    </row>
    <row r="11" spans="1:27">
      <c r="B11" s="133" t="s">
        <v>716</v>
      </c>
      <c r="C11" s="1" cm="1">
        <f t="array" ref="C11">求节点($E$105:$E$119,$K$105:$K$119,C10)+C12*$C$36</f>
        <v>4459.8459121763899</v>
      </c>
      <c r="D11" s="1" cm="1">
        <f t="array" ref="D11">求节点($E$105:$E$119,$K$105:$K$119,D10)+D12*$C$36</f>
        <v>6505.6150422498858</v>
      </c>
      <c r="E11" s="1" cm="1">
        <f t="array" ref="E11">求节点($E$105:$E$119,$K$105:$K$119,E10)+E12*$C$36</f>
        <v>8551.3841723233818</v>
      </c>
      <c r="F11" s="1" cm="1">
        <f t="array" ref="F11">求节点($E$105:$E$119,$K$105:$K$119,F10)+F12*$C$36</f>
        <v>10597.153302396877</v>
      </c>
      <c r="G11" s="109" cm="1">
        <f t="array" ref="G11">求节点($E$105:$E$119,$K$105:$K$119,G10)+G12*$C$36</f>
        <v>10597.153302396877</v>
      </c>
      <c r="H11" s="16"/>
      <c r="I11" s="16"/>
      <c r="J11" s="16"/>
      <c r="K11" s="16"/>
      <c r="L11" s="16"/>
      <c r="M11" s="16"/>
      <c r="Q11" s="164" t="s">
        <v>161</v>
      </c>
      <c r="R11" s="161" t="s">
        <v>162</v>
      </c>
      <c r="S11" s="161"/>
      <c r="T11" s="161"/>
      <c r="U11" s="161"/>
      <c r="V11" s="161"/>
      <c r="W11" s="161" t="s">
        <v>747</v>
      </c>
      <c r="X11" s="161"/>
      <c r="Y11" s="161"/>
      <c r="Z11" s="161"/>
      <c r="AA11" s="161"/>
    </row>
    <row r="12" spans="1:27">
      <c r="B12" s="133" t="s">
        <v>720</v>
      </c>
      <c r="C12" s="1">
        <f>C9*$I$82*10/$C$29</f>
        <v>5.383777712852539</v>
      </c>
      <c r="D12" s="1">
        <f t="shared" ref="D12:G12" si="1">D9*$I$82*10/$C$29</f>
        <v>7.6270184265410972</v>
      </c>
      <c r="E12" s="1">
        <f t="shared" si="1"/>
        <v>9.8702591402296544</v>
      </c>
      <c r="F12" s="1">
        <f t="shared" si="1"/>
        <v>12.113499853918212</v>
      </c>
      <c r="G12" s="109">
        <f t="shared" si="1"/>
        <v>12.113499853918212</v>
      </c>
      <c r="H12" s="16"/>
      <c r="I12" s="16"/>
      <c r="J12" s="16"/>
      <c r="K12" s="16"/>
      <c r="L12" s="16"/>
      <c r="M12" s="16"/>
      <c r="Q12" s="164"/>
      <c r="R12" s="16" t="s">
        <v>74</v>
      </c>
      <c r="S12" s="16" t="s">
        <v>75</v>
      </c>
      <c r="T12" s="16" t="s">
        <v>76</v>
      </c>
      <c r="U12" s="16" t="s">
        <v>77</v>
      </c>
      <c r="V12" s="16" t="s">
        <v>78</v>
      </c>
      <c r="W12" s="16" t="s">
        <v>74</v>
      </c>
      <c r="X12" s="16" t="s">
        <v>75</v>
      </c>
      <c r="Y12" s="16" t="s">
        <v>76</v>
      </c>
      <c r="Z12" s="16" t="s">
        <v>77</v>
      </c>
      <c r="AA12" s="16" t="s">
        <v>78</v>
      </c>
    </row>
    <row r="13" spans="1:27">
      <c r="B13" s="135" t="s">
        <v>717</v>
      </c>
      <c r="C13" s="111">
        <f>C11/7</f>
        <v>637.12084459662708</v>
      </c>
      <c r="D13" s="111">
        <f t="shared" ref="D13:G13" si="2">D11/7</f>
        <v>929.37357746426937</v>
      </c>
      <c r="E13" s="111">
        <f t="shared" si="2"/>
        <v>1221.6263103319118</v>
      </c>
      <c r="F13" s="111">
        <f t="shared" si="2"/>
        <v>1513.8790431995537</v>
      </c>
      <c r="G13" s="112">
        <f t="shared" si="2"/>
        <v>1513.8790431995537</v>
      </c>
      <c r="H13" s="16"/>
      <c r="I13" s="16"/>
      <c r="J13" s="16"/>
      <c r="K13" s="16"/>
      <c r="L13" s="16"/>
      <c r="M13" s="16"/>
      <c r="Q13" s="16">
        <v>1</v>
      </c>
      <c r="R13" s="16">
        <f>节奏总纲!P4</f>
        <v>7.1773462536293131E-2</v>
      </c>
      <c r="S13" s="16">
        <f>节奏总纲!Q4</f>
        <v>5.9787294292732177E-2</v>
      </c>
      <c r="T13" s="16">
        <f>节奏总纲!R4</f>
        <v>4.677476553490223E-2</v>
      </c>
      <c r="U13" s="16">
        <f>节奏总纲!S4</f>
        <v>3.2585151991477081E-2</v>
      </c>
      <c r="V13" s="16">
        <f>节奏总纲!T4</f>
        <v>1.7039020006115988E-2</v>
      </c>
      <c r="W13" s="1">
        <f>MAX(求节点(节奏总纲!$O$4:$O$163,节奏总纲!P$4:P$163,$Q13)-INT(R$4),0)*C$13</f>
        <v>0</v>
      </c>
      <c r="X13" s="1">
        <f>MAX(求节点(节奏总纲!$O$4:$O$163,节奏总纲!Q$4:Q$163,$Q13)-INT(S$4),0)*D$13</f>
        <v>0</v>
      </c>
      <c r="Y13" s="1">
        <f>MAX(求节点(节奏总纲!$O$4:$O$163,节奏总纲!R$4:R$163,$Q13)-INT(T$4),0)*E$13</f>
        <v>0</v>
      </c>
      <c r="Z13" s="1">
        <f>MAX(求节点(节奏总纲!$O$4:$O$163,节奏总纲!S$4:S$163,$Q13)-INT(U$4),0)*F$13</f>
        <v>0</v>
      </c>
      <c r="AA13" s="1">
        <f>MAX(求节点(节奏总纲!$O$4:$O$163,节奏总纲!T$4:T$163,$Q13)-INT(V$4),0)*G$13</f>
        <v>0</v>
      </c>
    </row>
    <row r="14" spans="1:27">
      <c r="B14" s="16"/>
      <c r="C14" s="16"/>
      <c r="D14" s="14"/>
      <c r="E14" s="16"/>
      <c r="F14" s="16"/>
      <c r="H14" s="16"/>
      <c r="I14" s="16"/>
      <c r="J14" s="16"/>
      <c r="K14" s="16"/>
      <c r="L14" s="16"/>
      <c r="M14" s="16"/>
      <c r="Q14" s="16">
        <v>2</v>
      </c>
      <c r="R14" s="16">
        <f>节奏总纲!P5</f>
        <v>0.1486983549970351</v>
      </c>
      <c r="S14" s="16">
        <f>节奏总纲!Q5</f>
        <v>0.12505531655250651</v>
      </c>
      <c r="T14" s="16">
        <f>节奏总纲!R5</f>
        <v>9.883979656652922E-2</v>
      </c>
      <c r="U14" s="16">
        <f>节奏总纲!S5</f>
        <v>6.9828747506607683E-2</v>
      </c>
      <c r="V14" s="16">
        <f>节奏总纲!T5</f>
        <v>3.7085369736260552E-2</v>
      </c>
      <c r="W14" s="1">
        <f>MAX(求节点(节奏总纲!$O$4:$O$163,节奏总纲!P$4:P$163,$Q14)-INT(R$4),0)*C$13</f>
        <v>0</v>
      </c>
      <c r="X14" s="1">
        <f>MAX(求节点(节奏总纲!$O$4:$O$163,节奏总纲!Q$4:Q$163,$Q14)-INT(S$4),0)*D$13</f>
        <v>0</v>
      </c>
      <c r="Y14" s="1">
        <f>MAX(求节点(节奏总纲!$O$4:$O$163,节奏总纲!R$4:R$163,$Q14)-INT(T$4),0)*E$13</f>
        <v>0</v>
      </c>
      <c r="Z14" s="1">
        <f>MAX(求节点(节奏总纲!$O$4:$O$163,节奏总纲!S$4:S$163,$Q14)-INT(U$4),0)*F$13</f>
        <v>0</v>
      </c>
      <c r="AA14" s="1">
        <f>MAX(求节点(节奏总纲!$O$4:$O$163,节奏总纲!T$4:T$163,$Q14)-INT(V$4),0)*G$13</f>
        <v>0</v>
      </c>
    </row>
    <row r="15" spans="1:27">
      <c r="B15" s="16" t="s">
        <v>574</v>
      </c>
      <c r="F15" s="16"/>
      <c r="G15" s="16"/>
      <c r="H15" s="16"/>
      <c r="I15" s="16"/>
      <c r="J15" s="16"/>
      <c r="K15" s="16"/>
      <c r="L15" s="16"/>
      <c r="M15" s="16"/>
      <c r="Q15" s="16">
        <v>3</v>
      </c>
      <c r="R15" s="16">
        <f>节奏总纲!P6</f>
        <v>0.23114441334491631</v>
      </c>
      <c r="S15" s="16">
        <f>节奏总纲!Q6</f>
        <v>0.19582554698581309</v>
      </c>
      <c r="T15" s="16">
        <f>节奏总纲!R6</f>
        <v>0.15616116565582547</v>
      </c>
      <c r="U15" s="16">
        <f>节奏总纲!S6</f>
        <v>0.11120357726023924</v>
      </c>
      <c r="V15" s="16">
        <f>节奏总纲!T6</f>
        <v>5.9380999788309005E-2</v>
      </c>
      <c r="W15" s="1">
        <f>MAX(求节点(节奏总纲!$O$4:$O$163,节奏总纲!P$4:P$163,$Q15)-INT(R$4),0)*C$13</f>
        <v>0</v>
      </c>
      <c r="X15" s="1">
        <f>MAX(求节点(节奏总纲!$O$4:$O$163,节奏总纲!Q$4:Q$163,$Q15)-INT(S$4),0)*D$13</f>
        <v>0</v>
      </c>
      <c r="Y15" s="1">
        <f>MAX(求节点(节奏总纲!$O$4:$O$163,节奏总纲!R$4:R$163,$Q15)-INT(T$4),0)*E$13</f>
        <v>0</v>
      </c>
      <c r="Z15" s="1">
        <f>MAX(求节点(节奏总纲!$O$4:$O$163,节奏总纲!S$4:S$163,$Q15)-INT(U$4),0)*F$13</f>
        <v>0</v>
      </c>
      <c r="AA15" s="1">
        <f>MAX(求节点(节奏总纲!$O$4:$O$163,节奏总纲!T$4:T$163,$Q15)-INT(V$4),0)*G$13</f>
        <v>0</v>
      </c>
    </row>
    <row r="16" spans="1:27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Q16" s="16">
        <v>4</v>
      </c>
      <c r="R16" s="16">
        <f>节奏总纲!P7</f>
        <v>0.3195079107728942</v>
      </c>
      <c r="S16" s="16">
        <f>节奏总纲!Q7</f>
        <v>0.2719651336498875</v>
      </c>
      <c r="T16" s="16">
        <f>节奏总纲!R7</f>
        <v>0.21816000147573214</v>
      </c>
      <c r="U16" s="16">
        <f>节奏总纲!S7</f>
        <v>0.15607961441255883</v>
      </c>
      <c r="V16" s="16">
        <f>节奏总纲!T7</f>
        <v>8.4062531324348461E-2</v>
      </c>
      <c r="W16" s="1">
        <f>MAX(求节点(节奏总纲!$O$4:$O$163,节奏总纲!P$4:P$163,$Q16)-INT(R$4),0)*C$13</f>
        <v>0</v>
      </c>
      <c r="X16" s="1">
        <f>MAX(求节点(节奏总纲!$O$4:$O$163,节奏总纲!Q$4:Q$163,$Q16)-INT(S$4),0)*D$13</f>
        <v>0</v>
      </c>
      <c r="Y16" s="1">
        <f>MAX(求节点(节奏总纲!$O$4:$O$163,节奏总纲!R$4:R$163,$Q16)-INT(T$4),0)*E$13</f>
        <v>0</v>
      </c>
      <c r="Z16" s="1">
        <f>MAX(求节点(节奏总纲!$O$4:$O$163,节奏总纲!S$4:S$163,$Q16)-INT(U$4),0)*F$13</f>
        <v>0</v>
      </c>
      <c r="AA16" s="1">
        <f>MAX(求节点(节奏总纲!$O$4:$O$163,节奏总纲!T$4:T$163,$Q16)-INT(V$4),0)*G$13</f>
        <v>0</v>
      </c>
    </row>
    <row r="17" spans="2:27">
      <c r="B17" s="105" t="str">
        <f>[1]服务器生态!V4</f>
        <v>天数</v>
      </c>
      <c r="C17" s="106" t="str">
        <f>[1]服务器生态!W4</f>
        <v>参考注册ltv</v>
      </c>
      <c r="D17" s="106" t="str">
        <f>[1]服务器生态!X4</f>
        <v>注册ltv</v>
      </c>
      <c r="E17" s="106" t="str">
        <f>[1]服务器生态!Y4</f>
        <v>非r</v>
      </c>
      <c r="F17" s="106" t="str">
        <f>[1]服务器生态!Z4</f>
        <v>小r</v>
      </c>
      <c r="G17" s="106" t="str">
        <f>[1]服务器生态!AA4</f>
        <v>中r</v>
      </c>
      <c r="H17" s="106" t="str">
        <f>[1]服务器生态!AB4</f>
        <v>大r</v>
      </c>
      <c r="I17" s="107" t="str">
        <f>[1]服务器生态!AC4</f>
        <v>超r</v>
      </c>
      <c r="J17" s="1" t="s">
        <v>603</v>
      </c>
      <c r="Q17" s="16">
        <v>5</v>
      </c>
      <c r="R17" s="16">
        <f>节奏总纲!P8</f>
        <v>0.41421356237309515</v>
      </c>
      <c r="S17" s="16">
        <f>节奏总纲!Q8</f>
        <v>0.35241289886702937</v>
      </c>
      <c r="T17" s="16">
        <f>节奏总纲!R8</f>
        <v>0.28315639123824782</v>
      </c>
      <c r="U17" s="16">
        <f>节奏总纲!S8</f>
        <v>0.20296464556281663</v>
      </c>
      <c r="V17" s="16">
        <f>节奏总纲!T8</f>
        <v>0.10951806589144637</v>
      </c>
      <c r="W17" s="1">
        <f>MAX(求节点(节奏总纲!$O$4:$O$163,节奏总纲!P$4:P$163,$Q17)-INT(R$4),0)*C$13</f>
        <v>0</v>
      </c>
      <c r="X17" s="1">
        <f>MAX(求节点(节奏总纲!$O$4:$O$163,节奏总纲!Q$4:Q$163,$Q17)-INT(S$4),0)*D$13</f>
        <v>0</v>
      </c>
      <c r="Y17" s="1">
        <f>MAX(求节点(节奏总纲!$O$4:$O$163,节奏总纲!R$4:R$163,$Q17)-INT(T$4),0)*E$13</f>
        <v>0</v>
      </c>
      <c r="Z17" s="1">
        <f>MAX(求节点(节奏总纲!$O$4:$O$163,节奏总纲!S$4:S$163,$Q17)-INT(U$4),0)*F$13</f>
        <v>0</v>
      </c>
      <c r="AA17" s="1">
        <f>MAX(求节点(节奏总纲!$O$4:$O$163,节奏总纲!T$4:T$163,$Q17)-INT(V$4),0)*G$13</f>
        <v>0</v>
      </c>
    </row>
    <row r="18" spans="2:27">
      <c r="B18" s="108">
        <f>[1]服务器生态!V5</f>
        <v>1</v>
      </c>
      <c r="C18" s="1">
        <f>[1]服务器生态!W5</f>
        <v>8</v>
      </c>
      <c r="D18" s="1">
        <f>[1]服务器生态!X5</f>
        <v>8.1623999999999999</v>
      </c>
      <c r="E18" s="1">
        <f>[1]服务器生态!Y5</f>
        <v>9000</v>
      </c>
      <c r="F18" s="1">
        <f>[1]服务器生态!Z5</f>
        <v>725.99999999999966</v>
      </c>
      <c r="G18" s="1">
        <f>[1]服务器生态!AA5</f>
        <v>256</v>
      </c>
      <c r="H18" s="1">
        <f>[1]服务器生态!AB5</f>
        <v>16</v>
      </c>
      <c r="I18" s="109">
        <f>[1]服务器生态!AC5</f>
        <v>2</v>
      </c>
      <c r="J18" s="1">
        <f>SUM(E18:I18)</f>
        <v>10000</v>
      </c>
      <c r="Q18" s="16">
        <v>6</v>
      </c>
      <c r="R18" s="16">
        <f>节奏总纲!P9</f>
        <v>0.51571656651039799</v>
      </c>
      <c r="S18" s="16">
        <f>节奏总纲!Q9</f>
        <v>0.43939051466685908</v>
      </c>
      <c r="T18" s="16">
        <f>节奏总纲!R9</f>
        <v>0.35336899137292471</v>
      </c>
      <c r="U18" s="16">
        <f>节奏总纲!S9</f>
        <v>0.25440298225957936</v>
      </c>
      <c r="V18" s="16">
        <f>节奏总纲!T9</f>
        <v>0.13836675479473978</v>
      </c>
      <c r="W18" s="1">
        <f>MAX(求节点(节奏总纲!$O$4:$O$163,节奏总纲!P$4:P$163,$Q18)-INT(R$4),0)*C$13</f>
        <v>0</v>
      </c>
      <c r="X18" s="1">
        <f>MAX(求节点(节奏总纲!$O$4:$O$163,节奏总纲!Q$4:Q$163,$Q18)-INT(S$4),0)*D$13</f>
        <v>0</v>
      </c>
      <c r="Y18" s="1">
        <f>MAX(求节点(节奏总纲!$O$4:$O$163,节奏总纲!R$4:R$163,$Q18)-INT(T$4),0)*E$13</f>
        <v>0</v>
      </c>
      <c r="Z18" s="1">
        <f>MAX(求节点(节奏总纲!$O$4:$O$163,节奏总纲!S$4:S$163,$Q18)-INT(U$4),0)*F$13</f>
        <v>0</v>
      </c>
      <c r="AA18" s="1">
        <f>MAX(求节点(节奏总纲!$O$4:$O$163,节奏总纲!T$4:T$163,$Q18)-INT(V$4),0)*G$13</f>
        <v>0</v>
      </c>
    </row>
    <row r="19" spans="2:27">
      <c r="B19" s="108">
        <f>[1]服务器生态!V6</f>
        <v>7</v>
      </c>
      <c r="C19" s="1">
        <f>[1]服务器生态!W6</f>
        <v>25</v>
      </c>
      <c r="D19" s="1">
        <f>[1]服务器生态!X6</f>
        <v>23.477747037681151</v>
      </c>
      <c r="E19" s="1">
        <f>[1]服务器生态!Y6</f>
        <v>1175.5125000000003</v>
      </c>
      <c r="F19" s="1">
        <f>[1]服务器生态!Z6</f>
        <v>477.65849999999961</v>
      </c>
      <c r="G19" s="1">
        <f>[1]服务器生态!AA6</f>
        <v>61.823999999999984</v>
      </c>
      <c r="H19" s="1">
        <f>[1]服务器生态!AB6</f>
        <v>8.2799999999999994</v>
      </c>
      <c r="I19" s="109">
        <f>[1]服务器生态!AC6</f>
        <v>1.7249999999999999</v>
      </c>
      <c r="J19" s="1">
        <f t="shared" ref="J19:J23" si="3">SUM(E19:I19)</f>
        <v>1724.9999999999998</v>
      </c>
      <c r="Q19" s="16">
        <v>7</v>
      </c>
      <c r="R19" s="16">
        <f>节奏总纲!P10</f>
        <v>0.62450479271247095</v>
      </c>
      <c r="S19" s="16">
        <f>节奏总纲!Q10</f>
        <v>0.53413894920697635</v>
      </c>
      <c r="T19" s="16">
        <f>节奏总纲!R10</f>
        <v>0.43072095553379119</v>
      </c>
      <c r="U19" s="16">
        <f>节奏总纲!S10</f>
        <v>0.30950457526830061</v>
      </c>
      <c r="V19" s="16">
        <f>节奏总纲!T10</f>
        <v>0.16699258157131475</v>
      </c>
      <c r="W19" s="1">
        <f>MAX(求节点(节奏总纲!$O$4:$O$163,节奏总纲!P$4:P$163,$Q19)-INT(R$4),0)*C$13</f>
        <v>0</v>
      </c>
      <c r="X19" s="1">
        <f>MAX(求节点(节奏总纲!$O$4:$O$163,节奏总纲!Q$4:Q$163,$Q19)-INT(S$4),0)*D$13</f>
        <v>0</v>
      </c>
      <c r="Y19" s="1">
        <f>MAX(求节点(节奏总纲!$O$4:$O$163,节奏总纲!R$4:R$163,$Q19)-INT(T$4),0)*E$13</f>
        <v>0</v>
      </c>
      <c r="Z19" s="1">
        <f>MAX(求节点(节奏总纲!$O$4:$O$163,节奏总纲!S$4:S$163,$Q19)-INT(U$4),0)*F$13</f>
        <v>0</v>
      </c>
      <c r="AA19" s="1">
        <f>MAX(求节点(节奏总纲!$O$4:$O$163,节奏总纲!T$4:T$163,$Q19)-INT(V$4),0)*G$13</f>
        <v>0</v>
      </c>
    </row>
    <row r="20" spans="2:27">
      <c r="B20" s="108">
        <f>[1]服务器生态!V7</f>
        <v>14</v>
      </c>
      <c r="C20" s="1">
        <f>[1]服务器生态!W7</f>
        <v>40</v>
      </c>
      <c r="D20" s="1">
        <f>[1]服务器生态!X7</f>
        <v>39.549605263552699</v>
      </c>
      <c r="E20" s="1">
        <f>[1]服务器生态!Y7</f>
        <v>747.95400000000018</v>
      </c>
      <c r="F20" s="1">
        <f>[1]服务器生态!Z7</f>
        <v>441.41454857142821</v>
      </c>
      <c r="G20" s="1">
        <f>[1]服务器生态!AA7</f>
        <v>45.434879999999993</v>
      </c>
      <c r="H20" s="1">
        <f>[1]服务器生态!AB7</f>
        <v>6.5622857142857143</v>
      </c>
      <c r="I20" s="109">
        <f>[1]服务器生态!AC7</f>
        <v>1.4914285714285711</v>
      </c>
      <c r="J20" s="113">
        <f>SUM(E20:I20)</f>
        <v>1242.8571428571427</v>
      </c>
      <c r="Q20" s="16">
        <v>8</v>
      </c>
      <c r="R20" s="16">
        <f>节奏总纲!P11</f>
        <v>0.74110112659224825</v>
      </c>
      <c r="S20" s="16">
        <f>节奏总纲!Q11</f>
        <v>0.63089938906798093</v>
      </c>
      <c r="T20" s="16">
        <f>节奏总纲!R11</f>
        <v>0.50550507844857251</v>
      </c>
      <c r="U20" s="16">
        <f>节奏总纲!S11</f>
        <v>0.36195379022765406</v>
      </c>
      <c r="V20" s="16">
        <f>节奏总纲!T11</f>
        <v>0.19579891764567198</v>
      </c>
      <c r="W20" s="1">
        <f>MAX(求节点(节奏总纲!$O$4:$O$163,节奏总纲!P$4:P$163,$Q20)-INT(R$4),0)*C$13</f>
        <v>0</v>
      </c>
      <c r="X20" s="1">
        <f>MAX(求节点(节奏总纲!$O$4:$O$163,节奏总纲!Q$4:Q$163,$Q20)-INT(S$4),0)*D$13</f>
        <v>0</v>
      </c>
      <c r="Y20" s="1">
        <f>MAX(求节点(节奏总纲!$O$4:$O$163,节奏总纲!R$4:R$163,$Q20)-INT(T$4),0)*E$13</f>
        <v>0</v>
      </c>
      <c r="Z20" s="1">
        <f>MAX(求节点(节奏总纲!$O$4:$O$163,节奏总纲!S$4:S$163,$Q20)-INT(U$4),0)*F$13</f>
        <v>0</v>
      </c>
      <c r="AA20" s="1">
        <f>MAX(求节点(节奏总纲!$O$4:$O$163,节奏总纲!T$4:T$163,$Q20)-INT(V$4),0)*G$13</f>
        <v>0</v>
      </c>
    </row>
    <row r="21" spans="2:27">
      <c r="B21" s="108">
        <f>[1]服务器生态!V8</f>
        <v>30</v>
      </c>
      <c r="C21" s="1">
        <f>[1]服务器生态!W8</f>
        <v>60</v>
      </c>
      <c r="D21" s="1">
        <f>[1]服务器生态!X8</f>
        <v>66.462164439599107</v>
      </c>
      <c r="E21" s="1">
        <f>[1]服务器生态!Y8</f>
        <v>442.86750000000018</v>
      </c>
      <c r="F21" s="1">
        <f>[1]服务器生态!Z8</f>
        <v>345.39035279999985</v>
      </c>
      <c r="G21" s="1">
        <f>[1]服务器生态!AA8</f>
        <v>30.7625472</v>
      </c>
      <c r="H21" s="1">
        <f>[1]服务器生态!AB8</f>
        <v>4.7916000000000016</v>
      </c>
      <c r="I21" s="109">
        <f>[1]服务器生态!AC8</f>
        <v>1.1879999999999999</v>
      </c>
      <c r="J21" s="114">
        <f t="shared" si="3"/>
        <v>825</v>
      </c>
      <c r="Q21" s="16">
        <v>9</v>
      </c>
      <c r="R21" s="16">
        <f>节奏总纲!P12</f>
        <v>0.86606598307361482</v>
      </c>
      <c r="S21" s="16">
        <f>节奏总纲!Q12</f>
        <v>0.73702215159564621</v>
      </c>
      <c r="T21" s="16">
        <f>节奏总纲!R12</f>
        <v>0.59282216541388932</v>
      </c>
      <c r="U21" s="16">
        <f>节奏总纲!S12</f>
        <v>0.42766338244175101</v>
      </c>
      <c r="V21" s="16">
        <f>节奏总纲!T12</f>
        <v>0.23193247026711403</v>
      </c>
      <c r="W21" s="1">
        <f>MAX(求节点(节奏总纲!$O$4:$O$163,节奏总纲!P$4:P$163,$Q21)-INT(R$4),0)*C$13</f>
        <v>0</v>
      </c>
      <c r="X21" s="1">
        <f>MAX(求节点(节奏总纲!$O$4:$O$163,节奏总纲!Q$4:Q$163,$Q21)-INT(S$4),0)*D$13</f>
        <v>0</v>
      </c>
      <c r="Y21" s="1">
        <f>MAX(求节点(节奏总纲!$O$4:$O$163,节奏总纲!R$4:R$163,$Q21)-INT(T$4),0)*E$13</f>
        <v>0</v>
      </c>
      <c r="Z21" s="1">
        <f>MAX(求节点(节奏总纲!$O$4:$O$163,节奏总纲!S$4:S$163,$Q21)-INT(U$4),0)*F$13</f>
        <v>0</v>
      </c>
      <c r="AA21" s="1">
        <f>MAX(求节点(节奏总纲!$O$4:$O$163,节奏总纲!T$4:T$163,$Q21)-INT(V$4),0)*G$13</f>
        <v>0</v>
      </c>
    </row>
    <row r="22" spans="2:27">
      <c r="B22" s="108">
        <f>[1]服务器生态!V9</f>
        <v>60</v>
      </c>
      <c r="C22" s="1">
        <f>[1]服务器生态!W9</f>
        <v>90</v>
      </c>
      <c r="D22" s="1">
        <f>[1]服务器生态!X9</f>
        <v>104.84948814396918</v>
      </c>
      <c r="E22" s="1">
        <f>[1]服务器生态!Y9</f>
        <v>252.43447500000011</v>
      </c>
      <c r="F22" s="1">
        <f>[1]服务器生态!Z9</f>
        <v>224.4902776399999</v>
      </c>
      <c r="G22" s="1">
        <f>[1]服务器生态!AA9</f>
        <v>19.016847360000003</v>
      </c>
      <c r="H22" s="1">
        <f>[1]服务器生态!AB9</f>
        <v>3.1944000000000008</v>
      </c>
      <c r="I22" s="109">
        <f>[1]服务器生态!AC9</f>
        <v>0.86399999999999988</v>
      </c>
      <c r="J22" s="1">
        <f t="shared" si="3"/>
        <v>499.99999999999994</v>
      </c>
      <c r="Q22" s="16">
        <v>10</v>
      </c>
      <c r="R22" s="16">
        <f>节奏总纲!P13</f>
        <v>1</v>
      </c>
      <c r="S22" s="16">
        <f>节奏总纲!Q13</f>
        <v>0.8548</v>
      </c>
      <c r="T22" s="16">
        <f>节奏总纲!R13</f>
        <v>0.6895</v>
      </c>
      <c r="U22" s="16">
        <f>节奏总纲!S13</f>
        <v>0.49980000000000002</v>
      </c>
      <c r="V22" s="16">
        <f>节奏总纲!T13</f>
        <v>0.2732</v>
      </c>
      <c r="W22" s="1">
        <f>MAX(求节点(节奏总纲!$O$4:$O$163,节奏总纲!P$4:P$163,$Q22)-INT(R$4),0)*C$13</f>
        <v>0</v>
      </c>
      <c r="X22" s="1">
        <f>MAX(求节点(节奏总纲!$O$4:$O$163,节奏总纲!Q$4:Q$163,$Q22)-INT(S$4),0)*D$13</f>
        <v>0</v>
      </c>
      <c r="Y22" s="1">
        <f>MAX(求节点(节奏总纲!$O$4:$O$163,节奏总纲!R$4:R$163,$Q22)-INT(T$4),0)*E$13</f>
        <v>0</v>
      </c>
      <c r="Z22" s="1">
        <f>MAX(求节点(节奏总纲!$O$4:$O$163,节奏总纲!S$4:S$163,$Q22)-INT(U$4),0)*F$13</f>
        <v>0</v>
      </c>
      <c r="AA22" s="1">
        <f>MAX(求节点(节奏总纲!$O$4:$O$163,节奏总纲!T$4:T$163,$Q22)-INT(V$4),0)*G$13</f>
        <v>0</v>
      </c>
    </row>
    <row r="23" spans="2:27">
      <c r="B23" s="110">
        <f>[1]服务器生态!V10</f>
        <v>90</v>
      </c>
      <c r="C23" s="111">
        <f>[1]服务器生态!W10</f>
        <v>120</v>
      </c>
      <c r="D23" s="111">
        <f>[1]服务器生态!X10</f>
        <v>135.3364770722211</v>
      </c>
      <c r="E23" s="111">
        <f>[1]服务器生态!Y10</f>
        <v>215.83147612499999</v>
      </c>
      <c r="F23" s="111">
        <f>[1]服务器生态!Z10</f>
        <v>212.81181181163998</v>
      </c>
      <c r="G23" s="111">
        <f>[1]服务器生态!AA10</f>
        <v>17.371890063360002</v>
      </c>
      <c r="H23" s="111">
        <f>[1]服务器生态!AB10</f>
        <v>3.0905820000000008</v>
      </c>
      <c r="I23" s="112">
        <f>[1]服务器生态!AC10</f>
        <v>0.89423999999999992</v>
      </c>
      <c r="J23" s="1">
        <f t="shared" si="3"/>
        <v>450</v>
      </c>
      <c r="Q23" s="16">
        <v>11</v>
      </c>
      <c r="R23" s="16">
        <f>节奏总纲!P14</f>
        <v>1.1435469250725863</v>
      </c>
      <c r="S23" s="16">
        <f>节奏总纲!Q14</f>
        <v>0.98036277886472811</v>
      </c>
      <c r="T23" s="16">
        <f>节奏总纲!R14</f>
        <v>0.79453640354043287</v>
      </c>
      <c r="U23" s="16">
        <f>节奏总纲!S14</f>
        <v>0.57577587677404707</v>
      </c>
      <c r="V23" s="16">
        <f>节奏总纲!T14</f>
        <v>0.31767733578516444</v>
      </c>
      <c r="W23" s="1">
        <f>MAX(求节点(节奏总纲!$O$4:$O$163,节奏总纲!P$4:P$163,$Q23)-INT(R$4),0)*C$13</f>
        <v>0</v>
      </c>
      <c r="X23" s="1">
        <f>MAX(求节点(节奏总纲!$O$4:$O$163,节奏总纲!Q$4:Q$163,$Q23)-INT(S$4),0)*D$13</f>
        <v>0</v>
      </c>
      <c r="Y23" s="1">
        <f>MAX(求节点(节奏总纲!$O$4:$O$163,节奏总纲!R$4:R$163,$Q23)-INT(T$4),0)*E$13</f>
        <v>0</v>
      </c>
      <c r="Z23" s="1">
        <f>MAX(求节点(节奏总纲!$O$4:$O$163,节奏总纲!S$4:S$163,$Q23)-INT(U$4),0)*F$13</f>
        <v>0</v>
      </c>
      <c r="AA23" s="1">
        <f>MAX(求节点(节奏总纲!$O$4:$O$163,节奏总纲!T$4:T$163,$Q23)-INT(V$4),0)*G$13</f>
        <v>0</v>
      </c>
    </row>
    <row r="24" spans="2:27">
      <c r="Q24" s="16">
        <v>12</v>
      </c>
      <c r="R24" s="16">
        <f>节奏总纲!P15</f>
        <v>1.2973967099940702</v>
      </c>
      <c r="S24" s="16">
        <f>节奏总纲!Q15</f>
        <v>1.1126474184909145</v>
      </c>
      <c r="T24" s="16">
        <f>节奏总纲!R15</f>
        <v>0.9058423829178599</v>
      </c>
      <c r="U24" s="16">
        <f>节奏总纲!S15</f>
        <v>0.66219128078097333</v>
      </c>
      <c r="V24" s="16">
        <f>节奏总纲!T15</f>
        <v>0.36560639287632896</v>
      </c>
      <c r="W24" s="1">
        <f>MAX(求节点(节奏总纲!$O$4:$O$163,节奏总纲!P$4:P$163,$Q24)-INT(R$4),0)*C$13</f>
        <v>0</v>
      </c>
      <c r="X24" s="1">
        <f>MAX(求节点(节奏总纲!$O$4:$O$163,节奏总纲!Q$4:Q$163,$Q24)-INT(S$4),0)*D$13</f>
        <v>0</v>
      </c>
      <c r="Y24" s="1">
        <f>MAX(求节点(节奏总纲!$O$4:$O$163,节奏总纲!R$4:R$163,$Q24)-INT(T$4),0)*E$13</f>
        <v>0</v>
      </c>
      <c r="Z24" s="1">
        <f>MAX(求节点(节奏总纲!$O$4:$O$163,节奏总纲!S$4:S$163,$Q24)-INT(U$4),0)*F$13</f>
        <v>0</v>
      </c>
      <c r="AA24" s="1">
        <f>MAX(求节点(节奏总纲!$O$4:$O$163,节奏总纲!T$4:T$163,$Q24)-INT(V$4),0)*G$13</f>
        <v>0</v>
      </c>
    </row>
    <row r="25" spans="2:27">
      <c r="B25" s="1" t="s">
        <v>663</v>
      </c>
      <c r="C25" s="1">
        <v>1</v>
      </c>
      <c r="Q25" s="16">
        <v>13</v>
      </c>
      <c r="R25" s="16">
        <f>节奏总纲!P16</f>
        <v>1.4622888266898326</v>
      </c>
      <c r="S25" s="16">
        <f>节奏总纲!Q16</f>
        <v>1.2628326307293396</v>
      </c>
      <c r="T25" s="16">
        <f>节奏总纲!R16</f>
        <v>1.0294513339896421</v>
      </c>
      <c r="U25" s="16">
        <f>节奏总纲!S16</f>
        <v>0.75556463675063656</v>
      </c>
      <c r="V25" s="16">
        <f>节奏总纲!T16</f>
        <v>0.41865329108129906</v>
      </c>
      <c r="W25" s="1">
        <f>MAX(求节点(节奏总纲!$O$4:$O$163,节奏总纲!P$4:P$163,$Q25)-INT(R$4),0)*C$13</f>
        <v>0</v>
      </c>
      <c r="X25" s="1">
        <f>MAX(求节点(节奏总纲!$O$4:$O$163,节奏总纲!Q$4:Q$163,$Q25)-INT(S$4),0)*D$13</f>
        <v>0</v>
      </c>
      <c r="Y25" s="1">
        <f>MAX(求节点(节奏总纲!$O$4:$O$163,节奏总纲!R$4:R$163,$Q25)-INT(T$4),0)*E$13</f>
        <v>0</v>
      </c>
      <c r="Z25" s="1">
        <f>MAX(求节点(节奏总纲!$O$4:$O$163,节奏总纲!S$4:S$163,$Q25)-INT(U$4),0)*F$13</f>
        <v>0</v>
      </c>
      <c r="AA25" s="1">
        <f>MAX(求节点(节奏总纲!$O$4:$O$163,节奏总纲!T$4:T$163,$Q25)-INT(V$4),0)*G$13</f>
        <v>0</v>
      </c>
    </row>
    <row r="26" spans="2:27">
      <c r="B26" s="1" t="s">
        <v>664</v>
      </c>
      <c r="C26" s="1">
        <f>J21*C25*7</f>
        <v>5775</v>
      </c>
      <c r="D26" s="1">
        <f>SUMPRODUCT(C12:G12,E21:I21)</f>
        <v>5394.6669578058882</v>
      </c>
      <c r="Q26" s="16">
        <v>14</v>
      </c>
      <c r="R26" s="16">
        <f>节奏总纲!P17</f>
        <v>1.6390158215457884</v>
      </c>
      <c r="S26" s="16">
        <f>节奏总纲!Q17</f>
        <v>1.4136511460832426</v>
      </c>
      <c r="T26" s="16">
        <f>节奏总纲!R17</f>
        <v>1.1545227446968533</v>
      </c>
      <c r="U26" s="16">
        <f>节奏总纲!S17</f>
        <v>0.84605996708193598</v>
      </c>
      <c r="V26" s="16">
        <f>节奏总纲!T17</f>
        <v>0.46810291863347719</v>
      </c>
      <c r="W26" s="1">
        <f>MAX(求节点(节奏总纲!$O$4:$O$163,节奏总纲!P$4:P$163,$Q26)-INT(R$4),0)*C$13</f>
        <v>0</v>
      </c>
      <c r="X26" s="1">
        <f>MAX(求节点(节奏总纲!$O$4:$O$163,节奏总纲!Q$4:Q$163,$Q26)-INT(S$4),0)*D$13</f>
        <v>0</v>
      </c>
      <c r="Y26" s="1">
        <f>MAX(求节点(节奏总纲!$O$4:$O$163,节奏总纲!R$4:R$163,$Q26)-INT(T$4),0)*E$13</f>
        <v>0</v>
      </c>
      <c r="Z26" s="1">
        <f>MAX(求节点(节奏总纲!$O$4:$O$163,节奏总纲!S$4:S$163,$Q26)-INT(U$4),0)*F$13</f>
        <v>0</v>
      </c>
      <c r="AA26" s="1">
        <f>MAX(求节点(节奏总纲!$O$4:$O$163,节奏总纲!T$4:T$163,$Q26)-INT(V$4),0)*G$13</f>
        <v>0</v>
      </c>
    </row>
    <row r="27" spans="2:27">
      <c r="Q27" s="16">
        <v>15</v>
      </c>
      <c r="R27" s="16">
        <f>节奏总纲!P18</f>
        <v>1.8284271247461898</v>
      </c>
      <c r="S27" s="16">
        <f>节奏总纲!Q18</f>
        <v>1.5793953503557587</v>
      </c>
      <c r="T27" s="16">
        <f>节奏总纲!R18</f>
        <v>1.2928808199080308</v>
      </c>
      <c r="U27" s="16">
        <f>节奏总纲!S18</f>
        <v>0.94895367774327255</v>
      </c>
      <c r="V27" s="16">
        <f>节奏总纲!T18</f>
        <v>0.5271355400643265</v>
      </c>
      <c r="W27" s="1">
        <f>MAX(求节点(节奏总纲!$O$4:$O$163,节奏总纲!P$4:P$163,$Q27)-INT(R$4),0)*C$13</f>
        <v>0</v>
      </c>
      <c r="X27" s="1">
        <f>MAX(求节点(节奏总纲!$O$4:$O$163,节奏总纲!Q$4:Q$163,$Q27)-INT(S$4),0)*D$13</f>
        <v>0</v>
      </c>
      <c r="Y27" s="1">
        <f>MAX(求节点(节奏总纲!$O$4:$O$163,节奏总纲!R$4:R$163,$Q27)-INT(T$4),0)*E$13</f>
        <v>0</v>
      </c>
      <c r="Z27" s="1">
        <f>MAX(求节点(节奏总纲!$O$4:$O$163,节奏总纲!S$4:S$163,$Q27)-INT(U$4),0)*F$13</f>
        <v>0</v>
      </c>
      <c r="AA27" s="1">
        <f>MAX(求节点(节奏总纲!$O$4:$O$163,节奏总纲!T$4:T$163,$Q27)-INT(V$4),0)*G$13</f>
        <v>0</v>
      </c>
    </row>
    <row r="28" spans="2:27">
      <c r="B28" s="105"/>
      <c r="C28" s="107" t="s">
        <v>665</v>
      </c>
      <c r="Q28" s="16">
        <v>16</v>
      </c>
      <c r="R28" s="16">
        <f>节奏总纲!P19</f>
        <v>2.031433133020796</v>
      </c>
      <c r="S28" s="16">
        <f>节奏总纲!Q19</f>
        <v>1.7586116632561031</v>
      </c>
      <c r="T28" s="16">
        <f>节奏总纲!R19</f>
        <v>1.4398798046851402</v>
      </c>
      <c r="U28" s="16">
        <f>节奏总纲!S19</f>
        <v>1.0618300986299702</v>
      </c>
      <c r="V28" s="16">
        <f>节奏总纲!T19</f>
        <v>0.59460047803518701</v>
      </c>
      <c r="W28" s="1">
        <f>MAX(求节点(节奏总纲!$O$4:$O$163,节奏总纲!P$4:P$163,$Q28)-INT(R$4),0)*C$13</f>
        <v>0</v>
      </c>
      <c r="X28" s="1">
        <f>MAX(求节点(节奏总纲!$O$4:$O$163,节奏总纲!Q$4:Q$163,$Q28)-INT(S$4),0)*D$13</f>
        <v>0</v>
      </c>
      <c r="Y28" s="1">
        <f>MAX(求节点(节奏总纲!$O$4:$O$163,节奏总纲!R$4:R$163,$Q28)-INT(T$4),0)*E$13</f>
        <v>0</v>
      </c>
      <c r="Z28" s="1">
        <f>MAX(求节点(节奏总纲!$O$4:$O$163,节奏总纲!S$4:S$163,$Q28)-INT(U$4),0)*F$13</f>
        <v>0</v>
      </c>
      <c r="AA28" s="1">
        <f>MAX(求节点(节奏总纲!$O$4:$O$163,节奏总纲!T$4:T$163,$Q28)-INT(V$4),0)*G$13</f>
        <v>0</v>
      </c>
    </row>
    <row r="29" spans="2:27">
      <c r="B29" s="108" t="s">
        <v>604</v>
      </c>
      <c r="C29" s="109">
        <v>150</v>
      </c>
      <c r="Q29" s="16">
        <v>17</v>
      </c>
      <c r="R29" s="16">
        <f>节奏总纲!P20</f>
        <v>2.2490095854249419</v>
      </c>
      <c r="S29" s="16">
        <f>节奏总纲!Q20</f>
        <v>1.9433691827656923</v>
      </c>
      <c r="T29" s="16">
        <f>节奏总纲!R20</f>
        <v>1.5904995788125189</v>
      </c>
      <c r="U29" s="16">
        <f>节奏总纲!S20</f>
        <v>1.1742079045503622</v>
      </c>
      <c r="V29" s="16">
        <f>节奏总纲!T20</f>
        <v>0.65311238360740309</v>
      </c>
      <c r="W29" s="1">
        <f>MAX(求节点(节奏总纲!$O$4:$O$163,节奏总纲!P$4:P$163,$Q29)-INT(R$4),0)*C$13</f>
        <v>0</v>
      </c>
      <c r="X29" s="1">
        <f>MAX(求节点(节奏总纲!$O$4:$O$163,节奏总纲!Q$4:Q$163,$Q29)-INT(S$4),0)*D$13</f>
        <v>0</v>
      </c>
      <c r="Y29" s="1">
        <f>MAX(求节点(节奏总纲!$O$4:$O$163,节奏总纲!R$4:R$163,$Q29)-INT(T$4),0)*E$13</f>
        <v>0</v>
      </c>
      <c r="Z29" s="1">
        <f>MAX(求节点(节奏总纲!$O$4:$O$163,节奏总纲!S$4:S$163,$Q29)-INT(U$4),0)*F$13</f>
        <v>0</v>
      </c>
      <c r="AA29" s="1">
        <f>MAX(求节点(节奏总纲!$O$4:$O$163,节奏总纲!T$4:T$163,$Q29)-INT(V$4),0)*G$13</f>
        <v>0</v>
      </c>
    </row>
    <row r="30" spans="2:27">
      <c r="B30" s="108" t="s">
        <v>605</v>
      </c>
      <c r="C30" s="109">
        <v>150</v>
      </c>
      <c r="Q30" s="16">
        <v>18</v>
      </c>
      <c r="R30" s="16">
        <f>节奏总纲!P21</f>
        <v>2.4822022531844965</v>
      </c>
      <c r="S30" s="16">
        <f>节奏总纲!Q21</f>
        <v>2.1515729130603214</v>
      </c>
      <c r="T30" s="16">
        <f>节奏总纲!R21</f>
        <v>1.7690655458445907</v>
      </c>
      <c r="U30" s="16">
        <f>节奏总纲!S21</f>
        <v>1.3066312660763189</v>
      </c>
      <c r="V30" s="16">
        <f>节奏总纲!T21</f>
        <v>0.72554771860582834</v>
      </c>
      <c r="W30" s="1">
        <f>MAX(求节点(节奏总纲!$O$4:$O$163,节奏总纲!P$4:P$163,$Q30)-INT(R$4),0)*C$13</f>
        <v>0</v>
      </c>
      <c r="X30" s="1">
        <f>MAX(求节点(节奏总纲!$O$4:$O$163,节奏总纲!Q$4:Q$163,$Q30)-INT(S$4),0)*D$13</f>
        <v>0</v>
      </c>
      <c r="Y30" s="1">
        <f>MAX(求节点(节奏总纲!$O$4:$O$163,节奏总纲!R$4:R$163,$Q30)-INT(T$4),0)*E$13</f>
        <v>0</v>
      </c>
      <c r="Z30" s="1">
        <f>MAX(求节点(节奏总纲!$O$4:$O$163,节奏总纲!S$4:S$163,$Q30)-INT(U$4),0)*F$13</f>
        <v>0</v>
      </c>
      <c r="AA30" s="1">
        <f>MAX(求节点(节奏总纲!$O$4:$O$163,节奏总纲!T$4:T$163,$Q30)-INT(V$4),0)*G$13</f>
        <v>0</v>
      </c>
    </row>
    <row r="31" spans="2:27">
      <c r="B31" s="110" t="s">
        <v>606</v>
      </c>
      <c r="C31" s="112">
        <v>150</v>
      </c>
      <c r="Q31" s="16">
        <v>19</v>
      </c>
      <c r="R31" s="16">
        <f>节奏总纲!P22</f>
        <v>2.7321319661472296</v>
      </c>
      <c r="S31" s="16">
        <f>节奏总纲!Q22</f>
        <v>2.3734030389920986</v>
      </c>
      <c r="T31" s="16">
        <f>节奏总纲!R22</f>
        <v>1.9510154370257367</v>
      </c>
      <c r="U31" s="16">
        <f>节奏总纲!S22</f>
        <v>1.4395603329629754</v>
      </c>
      <c r="V31" s="16">
        <f>节奏总纲!T22</f>
        <v>0.80270037165405606</v>
      </c>
      <c r="W31" s="1">
        <f>MAX(求节点(节奏总纲!$O$4:$O$163,节奏总纲!P$4:P$163,$Q31)-INT(R$4),0)*C$13</f>
        <v>0</v>
      </c>
      <c r="X31" s="1">
        <f>MAX(求节点(节奏总纲!$O$4:$O$163,节奏总纲!Q$4:Q$163,$Q31)-INT(S$4),0)*D$13</f>
        <v>0</v>
      </c>
      <c r="Y31" s="1">
        <f>MAX(求节点(节奏总纲!$O$4:$O$163,节奏总纲!R$4:R$163,$Q31)-INT(T$4),0)*E$13</f>
        <v>0</v>
      </c>
      <c r="Z31" s="1">
        <f>MAX(求节点(节奏总纲!$O$4:$O$163,节奏总纲!S$4:S$163,$Q31)-INT(U$4),0)*F$13</f>
        <v>0</v>
      </c>
      <c r="AA31" s="1">
        <f>MAX(求节点(节奏总纲!$O$4:$O$163,节奏总纲!T$4:T$163,$Q31)-INT(V$4),0)*G$13</f>
        <v>0</v>
      </c>
    </row>
    <row r="32" spans="2:27">
      <c r="Q32" s="16">
        <v>20</v>
      </c>
      <c r="R32" s="16">
        <f>节奏总纲!P23</f>
        <v>3</v>
      </c>
      <c r="S32" s="16">
        <f>节奏总纲!Q23</f>
        <v>2.6036999999999999</v>
      </c>
      <c r="T32" s="16">
        <f>节奏总纲!R23</f>
        <v>2.1372</v>
      </c>
      <c r="U32" s="16">
        <f>节奏总纲!S23</f>
        <v>1.5800999999999998</v>
      </c>
      <c r="V32" s="16">
        <f>节奏总纲!T23</f>
        <v>0.87990000000000002</v>
      </c>
      <c r="W32" s="1">
        <f>MAX(求节点(节奏总纲!$O$4:$O$163,节奏总纲!P$4:P$163,$Q32)-INT(R$4),0)*C$13</f>
        <v>0</v>
      </c>
      <c r="X32" s="1">
        <f>MAX(求节点(节奏总纲!$O$4:$O$163,节奏总纲!Q$4:Q$163,$Q32)-INT(S$4),0)*D$13</f>
        <v>0</v>
      </c>
      <c r="Y32" s="1">
        <f>MAX(求节点(节奏总纲!$O$4:$O$163,节奏总纲!R$4:R$163,$Q32)-INT(T$4),0)*E$13</f>
        <v>0</v>
      </c>
      <c r="Z32" s="1">
        <f>MAX(求节点(节奏总纲!$O$4:$O$163,节奏总纲!S$4:S$163,$Q32)-INT(U$4),0)*F$13</f>
        <v>0</v>
      </c>
      <c r="AA32" s="1">
        <f>MAX(求节点(节奏总纲!$O$4:$O$163,节奏总纲!T$4:T$163,$Q32)-INT(V$4),0)*G$13</f>
        <v>0</v>
      </c>
    </row>
    <row r="33" spans="2:27">
      <c r="B33" s="1" t="s">
        <v>706</v>
      </c>
      <c r="Q33" s="16">
        <v>21</v>
      </c>
      <c r="R33" s="16">
        <f>节奏总纲!P24</f>
        <v>3.2870938501451725</v>
      </c>
      <c r="S33" s="16">
        <f>节奏总纲!Q24</f>
        <v>2.8518826243859516</v>
      </c>
      <c r="T33" s="16">
        <f>节奏总纲!R24</f>
        <v>2.3466562996186386</v>
      </c>
      <c r="U33" s="16">
        <f>节奏总纲!S24</f>
        <v>1.7365716810316947</v>
      </c>
      <c r="V33" s="16">
        <f>节奏总纲!T24</f>
        <v>0.97166494210291288</v>
      </c>
      <c r="W33" s="1">
        <f>MAX(求节点(节奏总纲!$O$4:$O$163,节奏总纲!P$4:P$163,$Q33)-INT(R$4),0)*C$13</f>
        <v>0</v>
      </c>
      <c r="X33" s="1">
        <f>MAX(求节点(节奏总纲!$O$4:$O$163,节奏总纲!Q$4:Q$163,$Q33)-INT(S$4),0)*D$13</f>
        <v>0</v>
      </c>
      <c r="Y33" s="1">
        <f>MAX(求节点(节奏总纲!$O$4:$O$163,节奏总纲!R$4:R$163,$Q33)-INT(T$4),0)*E$13</f>
        <v>0</v>
      </c>
      <c r="Z33" s="1">
        <f>MAX(求节点(节奏总纲!$O$4:$O$163,节奏总纲!S$4:S$163,$Q33)-INT(U$4),0)*F$13</f>
        <v>0</v>
      </c>
      <c r="AA33" s="1">
        <f>MAX(求节点(节奏总纲!$O$4:$O$163,节奏总纲!T$4:T$163,$Q33)-INT(V$4),0)*G$13</f>
        <v>0</v>
      </c>
    </row>
    <row r="34" spans="2:27">
      <c r="B34" s="105" t="s">
        <v>707</v>
      </c>
      <c r="C34" s="107">
        <v>200</v>
      </c>
      <c r="Q34" s="16">
        <v>22</v>
      </c>
      <c r="R34" s="16">
        <f>节奏总纲!P25</f>
        <v>3.5947934199881395</v>
      </c>
      <c r="S34" s="16">
        <f>节奏总纲!Q25</f>
        <v>3.124234961311692</v>
      </c>
      <c r="T34" s="16">
        <f>节奏总纲!R25</f>
        <v>2.5749505267375046</v>
      </c>
      <c r="U34" s="16">
        <f>节奏总纲!S25</f>
        <v>1.9077568679877055</v>
      </c>
      <c r="V34" s="16">
        <f>节奏总纲!T25</f>
        <v>1.0687320837624739</v>
      </c>
      <c r="W34" s="1">
        <f>MAX(求节点(节奏总纲!$O$4:$O$163,节奏总纲!P$4:P$163,$Q34)-INT(R$4),0)*C$13</f>
        <v>0</v>
      </c>
      <c r="X34" s="1">
        <f>MAX(求节点(节奏总纲!$O$4:$O$163,节奏总纲!Q$4:Q$163,$Q34)-INT(S$4),0)*D$13</f>
        <v>0</v>
      </c>
      <c r="Y34" s="1">
        <f>MAX(求节点(节奏总纲!$O$4:$O$163,节奏总纲!R$4:R$163,$Q34)-INT(T$4),0)*E$13</f>
        <v>0</v>
      </c>
      <c r="Z34" s="1">
        <f>MAX(求节点(节奏总纲!$O$4:$O$163,节奏总纲!S$4:S$163,$Q34)-INT(U$4),0)*F$13</f>
        <v>0</v>
      </c>
      <c r="AA34" s="1">
        <f>MAX(求节点(节奏总纲!$O$4:$O$163,节奏总纲!T$4:T$163,$Q34)-INT(V$4),0)*G$13</f>
        <v>0</v>
      </c>
    </row>
    <row r="35" spans="2:27">
      <c r="B35" s="108" t="s">
        <v>708</v>
      </c>
      <c r="C35" s="109">
        <v>50</v>
      </c>
      <c r="Q35" s="16">
        <v>23</v>
      </c>
      <c r="R35" s="16">
        <f>节奏总纲!P26</f>
        <v>3.9245776533796644</v>
      </c>
      <c r="S35" s="16">
        <f>节奏总纲!Q26</f>
        <v>3.4081032341949005</v>
      </c>
      <c r="T35" s="16">
        <f>节奏总纲!R26</f>
        <v>2.8064654799317976</v>
      </c>
      <c r="U35" s="16">
        <f>节奏总纲!S26</f>
        <v>2.0796336985258841</v>
      </c>
      <c r="V35" s="16">
        <f>节奏总纲!T26</f>
        <v>1.1608900698697047</v>
      </c>
      <c r="W35" s="1">
        <f>MAX(求节点(节奏总纲!$O$4:$O$163,节奏总纲!P$4:P$163,$Q35)-INT(R$4),0)*C$13</f>
        <v>0</v>
      </c>
      <c r="X35" s="1">
        <f>MAX(求节点(节奏总纲!$O$4:$O$163,节奏总纲!Q$4:Q$163,$Q35)-INT(S$4),0)*D$13</f>
        <v>0</v>
      </c>
      <c r="Y35" s="1">
        <f>MAX(求节点(节奏总纲!$O$4:$O$163,节奏总纲!R$4:R$163,$Q35)-INT(T$4),0)*E$13</f>
        <v>0</v>
      </c>
      <c r="Z35" s="1">
        <f>MAX(求节点(节奏总纲!$O$4:$O$163,节奏总纲!S$4:S$163,$Q35)-INT(U$4),0)*F$13</f>
        <v>0</v>
      </c>
      <c r="AA35" s="1">
        <f>MAX(求节点(节奏总纲!$O$4:$O$163,节奏总纲!T$4:T$163,$Q35)-INT(V$4),0)*G$13</f>
        <v>0</v>
      </c>
    </row>
    <row r="36" spans="2:27">
      <c r="B36" s="155" t="s">
        <v>756</v>
      </c>
      <c r="C36" s="156">
        <f>宝石镶嵌!D42*6</f>
        <v>540</v>
      </c>
      <c r="Q36" s="16">
        <v>24</v>
      </c>
      <c r="R36" s="16">
        <f>节奏总纲!P27</f>
        <v>4.2780316430915768</v>
      </c>
      <c r="S36" s="16">
        <f>节奏总纲!Q27</f>
        <v>3.7214597263253628</v>
      </c>
      <c r="T36" s="16">
        <f>节奏总纲!R27</f>
        <v>3.0699155070825155</v>
      </c>
      <c r="U36" s="16">
        <f>节奏总纲!S27</f>
        <v>2.2742016214674821</v>
      </c>
      <c r="V36" s="16">
        <f>节奏总纲!T27</f>
        <v>1.2692919885052709</v>
      </c>
      <c r="W36" s="1">
        <f>MAX(求节点(节奏总纲!$O$4:$O$163,节奏总纲!P$4:P$163,$Q36)-INT(R$4),0)*C$13</f>
        <v>0</v>
      </c>
      <c r="X36" s="1">
        <f>MAX(求节点(节奏总纲!$O$4:$O$163,节奏总纲!Q$4:Q$163,$Q36)-INT(S$4),0)*D$13</f>
        <v>0</v>
      </c>
      <c r="Y36" s="1">
        <f>MAX(求节点(节奏总纲!$O$4:$O$163,节奏总纲!R$4:R$163,$Q36)-INT(T$4),0)*E$13</f>
        <v>0</v>
      </c>
      <c r="Z36" s="1">
        <f>MAX(求节点(节奏总纲!$O$4:$O$163,节奏总纲!S$4:S$163,$Q36)-INT(U$4),0)*F$13</f>
        <v>0</v>
      </c>
      <c r="AA36" s="1">
        <f>MAX(求节点(节奏总纲!$O$4:$O$163,节奏总纲!T$4:T$163,$Q36)-INT(V$4),0)*G$13</f>
        <v>0</v>
      </c>
    </row>
    <row r="37" spans="2:27">
      <c r="C37" s="1">
        <f>SUM(C34:C36)</f>
        <v>790</v>
      </c>
      <c r="Q37" s="16">
        <v>25</v>
      </c>
      <c r="R37" s="16">
        <f>节奏总纲!P28</f>
        <v>4.6568542494923806</v>
      </c>
      <c r="S37" s="16">
        <f>节奏总纲!Q28</f>
        <v>4.054257309608067</v>
      </c>
      <c r="T37" s="16">
        <f>节奏总纲!R28</f>
        <v>3.3445527219854276</v>
      </c>
      <c r="U37" s="16">
        <f>节奏总纲!S28</f>
        <v>2.478377831579845</v>
      </c>
      <c r="V37" s="16">
        <f>节奏总纲!T28</f>
        <v>1.3802915995495415</v>
      </c>
      <c r="W37" s="1">
        <f>MAX(求节点(节奏总纲!$O$4:$O$163,节奏总纲!P$4:P$163,$Q37)-INT(R$4),0)*C$13</f>
        <v>0</v>
      </c>
      <c r="X37" s="1">
        <f>MAX(求节点(节奏总纲!$O$4:$O$163,节奏总纲!Q$4:Q$163,$Q37)-INT(S$4),0)*D$13</f>
        <v>0</v>
      </c>
      <c r="Y37" s="1">
        <f>MAX(求节点(节奏总纲!$O$4:$O$163,节奏总纲!R$4:R$163,$Q37)-INT(T$4),0)*E$13</f>
        <v>0</v>
      </c>
      <c r="Z37" s="1">
        <f>MAX(求节点(节奏总纲!$O$4:$O$163,节奏总纲!S$4:S$163,$Q37)-INT(U$4),0)*F$13</f>
        <v>0</v>
      </c>
      <c r="AA37" s="1">
        <f>MAX(求节点(节奏总纲!$O$4:$O$163,节奏总纲!T$4:T$163,$Q37)-INT(V$4),0)*G$13</f>
        <v>0</v>
      </c>
    </row>
    <row r="38" spans="2:27">
      <c r="Q38" s="16">
        <v>26</v>
      </c>
      <c r="R38" s="16">
        <f>节奏总纲!P29</f>
        <v>5.062866266041592</v>
      </c>
      <c r="S38" s="16">
        <f>节奏总纲!Q29</f>
        <v>4.408743944469018</v>
      </c>
      <c r="T38" s="16">
        <f>节奏总纲!R29</f>
        <v>3.63716312552428</v>
      </c>
      <c r="U38" s="16">
        <f>节奏总纲!S29</f>
        <v>2.6914197070277099</v>
      </c>
      <c r="V38" s="16">
        <f>节奏总纲!T29</f>
        <v>1.4996209880015197</v>
      </c>
      <c r="W38" s="1">
        <f>MAX(求节点(节奏总纲!$O$4:$O$163,节奏总纲!P$4:P$163,$Q38)-INT(R$4),0)*C$13</f>
        <v>0</v>
      </c>
      <c r="X38" s="1">
        <f>MAX(求节点(节奏总纲!$O$4:$O$163,节奏总纲!Q$4:Q$163,$Q38)-INT(S$4),0)*D$13</f>
        <v>0</v>
      </c>
      <c r="Y38" s="1">
        <f>MAX(求节点(节奏总纲!$O$4:$O$163,节奏总纲!R$4:R$163,$Q38)-INT(T$4),0)*E$13</f>
        <v>0</v>
      </c>
      <c r="Z38" s="1">
        <f>MAX(求节点(节奏总纲!$O$4:$O$163,节奏总纲!S$4:S$163,$Q38)-INT(U$4),0)*F$13</f>
        <v>0</v>
      </c>
      <c r="AA38" s="1">
        <f>MAX(求节点(节奏总纲!$O$4:$O$163,节奏总纲!T$4:T$163,$Q38)-INT(V$4),0)*G$13</f>
        <v>0</v>
      </c>
    </row>
    <row r="39" spans="2:27" ht="13.5">
      <c r="B39" s="1" t="s">
        <v>662</v>
      </c>
      <c r="I39"/>
      <c r="Q39" s="16">
        <v>27</v>
      </c>
      <c r="R39" s="16">
        <f>节奏总纲!P30</f>
        <v>5.4980191708498847</v>
      </c>
      <c r="S39" s="16">
        <f>节奏总纲!Q30</f>
        <v>4.7882248958931646</v>
      </c>
      <c r="T39" s="16">
        <f>节奏总纲!R30</f>
        <v>3.9492271704214725</v>
      </c>
      <c r="U39" s="16">
        <f>节奏总纲!S30</f>
        <v>2.9205477835554587</v>
      </c>
      <c r="V39" s="16">
        <f>节奏总纲!T30</f>
        <v>1.6290630803228208</v>
      </c>
      <c r="W39" s="1">
        <f>MAX(求节点(节奏总纲!$O$4:$O$163,节奏总纲!P$4:P$163,$Q39)-INT(R$4),0)*C$13</f>
        <v>0</v>
      </c>
      <c r="X39" s="1">
        <f>MAX(求节点(节奏总纲!$O$4:$O$163,节奏总纲!Q$4:Q$163,$Q39)-INT(S$4),0)*D$13</f>
        <v>0</v>
      </c>
      <c r="Y39" s="1">
        <f>MAX(求节点(节奏总纲!$O$4:$O$163,节奏总纲!R$4:R$163,$Q39)-INT(T$4),0)*E$13</f>
        <v>0</v>
      </c>
      <c r="Z39" s="1">
        <f>MAX(求节点(节奏总纲!$O$4:$O$163,节奏总纲!S$4:S$163,$Q39)-INT(U$4),0)*F$13</f>
        <v>0</v>
      </c>
      <c r="AA39" s="1">
        <f>MAX(求节点(节奏总纲!$O$4:$O$163,节奏总纲!T$4:T$163,$Q39)-INT(V$4),0)*G$13</f>
        <v>0</v>
      </c>
    </row>
    <row r="40" spans="2:27">
      <c r="B40" s="125" t="s">
        <v>668</v>
      </c>
      <c r="C40" s="126"/>
      <c r="D40" s="126"/>
      <c r="E40" s="126"/>
      <c r="F40" s="126"/>
      <c r="G40" s="126"/>
      <c r="H40" s="126"/>
      <c r="Q40" s="16">
        <v>28</v>
      </c>
      <c r="R40" s="16">
        <f>节奏总纲!P31</f>
        <v>5.9644045063689921</v>
      </c>
      <c r="S40" s="16">
        <f>节奏总纲!Q31</f>
        <v>5.1914176823435705</v>
      </c>
      <c r="T40" s="16">
        <f>节奏总纲!R31</f>
        <v>4.2752851501652938</v>
      </c>
      <c r="U40" s="16">
        <f>节奏总纲!S31</f>
        <v>3.1653094715300236</v>
      </c>
      <c r="V40" s="16">
        <f>节奏总纲!T31</f>
        <v>1.7738139001941382</v>
      </c>
      <c r="W40" s="1">
        <f>MAX(求节点(节奏总纲!$O$4:$O$163,节奏总纲!P$4:P$163,$Q40)-INT(R$4),0)*C$13</f>
        <v>0</v>
      </c>
      <c r="X40" s="1">
        <f>MAX(求节点(节奏总纲!$O$4:$O$163,节奏总纲!Q$4:Q$163,$Q40)-INT(S$4),0)*D$13</f>
        <v>0</v>
      </c>
      <c r="Y40" s="1">
        <f>MAX(求节点(节奏总纲!$O$4:$O$163,节奏总纲!R$4:R$163,$Q40)-INT(T$4),0)*E$13</f>
        <v>0</v>
      </c>
      <c r="Z40" s="1">
        <f>MAX(求节点(节奏总纲!$O$4:$O$163,节奏总纲!S$4:S$163,$Q40)-INT(U$4),0)*F$13</f>
        <v>250.25854459169602</v>
      </c>
      <c r="AA40" s="1">
        <f>MAX(求节点(节奏总纲!$O$4:$O$163,节奏总纲!T$4:T$163,$Q40)-INT(V$4),0)*G$13</f>
        <v>0</v>
      </c>
    </row>
    <row r="41" spans="2:27">
      <c r="B41" s="125"/>
      <c r="C41" s="125" t="s">
        <v>669</v>
      </c>
      <c r="D41" s="126"/>
      <c r="E41" s="126"/>
      <c r="F41" s="126"/>
      <c r="G41" s="126"/>
      <c r="H41" s="126"/>
      <c r="Q41" s="16">
        <v>29</v>
      </c>
      <c r="R41" s="16">
        <f>节奏总纲!P32</f>
        <v>6.4642639322944575</v>
      </c>
      <c r="S41" s="16">
        <f>节奏总纲!Q32</f>
        <v>5.6323131642081607</v>
      </c>
      <c r="T41" s="16">
        <f>节奏总纲!R32</f>
        <v>4.6510378992858623</v>
      </c>
      <c r="U41" s="16">
        <f>节奏总纲!S32</f>
        <v>3.4532097926316991</v>
      </c>
      <c r="V41" s="16">
        <f>节奏总纲!T32</f>
        <v>1.9366934741154194</v>
      </c>
      <c r="W41" s="1">
        <f>MAX(求节点(节奏总纲!$O$4:$O$163,节奏总纲!P$4:P$163,$Q41)-INT(R$4),0)*C$13</f>
        <v>0</v>
      </c>
      <c r="X41" s="1">
        <f>MAX(求节点(节奏总纲!$O$4:$O$163,节奏总纲!Q$4:Q$163,$Q41)-INT(S$4),0)*D$13</f>
        <v>0</v>
      </c>
      <c r="Y41" s="1">
        <f>MAX(求节点(节奏总纲!$O$4:$O$163,节奏总纲!R$4:R$163,$Q41)-INT(T$4),0)*E$13</f>
        <v>0</v>
      </c>
      <c r="Z41" s="1">
        <f>MAX(求节点(节奏总纲!$O$4:$O$163,节奏总纲!S$4:S$163,$Q41)-INT(U$4),0)*F$13</f>
        <v>686.1048072379449</v>
      </c>
      <c r="AA41" s="1">
        <f>MAX(求节点(节奏总纲!$O$4:$O$163,节奏总纲!T$4:T$163,$Q41)-INT(V$4),0)*G$13</f>
        <v>0</v>
      </c>
    </row>
    <row r="42" spans="2:27">
      <c r="B42" s="125"/>
      <c r="C42" s="125" t="s">
        <v>670</v>
      </c>
      <c r="D42" s="126"/>
      <c r="E42" s="126"/>
      <c r="F42" s="126"/>
      <c r="G42" s="126"/>
      <c r="H42" s="126"/>
      <c r="Q42" s="16">
        <v>30</v>
      </c>
      <c r="R42" s="16">
        <f>节奏总纲!P33</f>
        <v>7</v>
      </c>
      <c r="S42" s="16">
        <f>节奏总纲!Q33</f>
        <v>6.1025999999999998</v>
      </c>
      <c r="T42" s="16">
        <f>节奏总纲!R33</f>
        <v>5.0421000000000005</v>
      </c>
      <c r="U42" s="16">
        <f>节奏总纲!S33</f>
        <v>3.7428999999999997</v>
      </c>
      <c r="V42" s="16">
        <f>节奏总纲!T33</f>
        <v>2.1006999999999998</v>
      </c>
      <c r="W42" s="1">
        <f>MAX(求节点(节奏总纲!$O$4:$O$163,节奏总纲!P$4:P$163,$Q42)-INT(R$4),0)*C$13</f>
        <v>0</v>
      </c>
      <c r="X42" s="1">
        <f>MAX(求节点(节奏总纲!$O$4:$O$163,节奏总纲!Q$4:Q$163,$Q42)-INT(S$4),0)*D$13</f>
        <v>95.353729047833852</v>
      </c>
      <c r="Y42" s="1">
        <f>MAX(求节点(节奏总纲!$O$4:$O$163,节奏总纲!R$4:R$163,$Q42)-INT(T$4),0)*E$13</f>
        <v>51.43046766497406</v>
      </c>
      <c r="Z42" s="1">
        <f>MAX(求节点(节奏总纲!$O$4:$O$163,节奏总纲!S$4:S$163,$Q42)-INT(U$4),0)*F$13</f>
        <v>1124.6607411929481</v>
      </c>
      <c r="AA42" s="1">
        <f>MAX(求节点(节奏总纲!$O$4:$O$163,节奏总纲!T$4:T$163,$Q42)-INT(V$4),0)*G$13</f>
        <v>152.44761965019475</v>
      </c>
    </row>
    <row r="43" spans="2:27">
      <c r="B43" s="125" t="s">
        <v>671</v>
      </c>
      <c r="C43" s="126"/>
      <c r="D43" s="126"/>
      <c r="E43" s="126"/>
      <c r="F43" s="126"/>
      <c r="G43" s="126"/>
      <c r="H43" s="126"/>
      <c r="Q43" s="16">
        <v>31</v>
      </c>
      <c r="R43" s="16">
        <f>节奏总纲!P34</f>
        <v>7.5741877002903433</v>
      </c>
      <c r="S43" s="16">
        <f>节奏总纲!Q34</f>
        <v>6.6115084435834408</v>
      </c>
      <c r="T43" s="16">
        <f>节奏总纲!R34</f>
        <v>5.4632615882194253</v>
      </c>
      <c r="U43" s="16">
        <f>节奏总纲!S34</f>
        <v>4.052190419655334</v>
      </c>
      <c r="V43" s="16">
        <f>节奏总纲!T34</f>
        <v>2.2783156602473356</v>
      </c>
      <c r="W43" s="1">
        <f>MAX(求节点(节奏总纲!$O$4:$O$163,节奏总纲!P$4:P$163,$Q43)-INT(R$4),0)*C$13</f>
        <v>365.8269525659785</v>
      </c>
      <c r="X43" s="1">
        <f>MAX(求节点(节奏总纲!$O$4:$O$163,节奏总纲!Q$4:Q$163,$Q43)-INT(S$4),0)*D$13</f>
        <v>568.31978986274976</v>
      </c>
      <c r="Y43" s="1">
        <f>MAX(求节点(节奏总纲!$O$4:$O$163,节奏总纲!R$4:R$163,$Q43)-INT(T$4),0)*E$13</f>
        <v>565.93254473499803</v>
      </c>
      <c r="Z43" s="1">
        <f>MAX(求节点(节奏总纲!$O$4:$O$163,节奏总纲!S$4:S$163,$Q43)-INT(U$4),0)*F$13</f>
        <v>1592.8890257715539</v>
      </c>
      <c r="AA43" s="1">
        <f>MAX(求节点(节奏总纲!$O$4:$O$163,节奏总纲!T$4:T$163,$Q43)-INT(V$4),0)*G$13</f>
        <v>421.33624544268844</v>
      </c>
    </row>
    <row r="44" spans="2:27">
      <c r="B44" s="125"/>
      <c r="C44" s="127" t="s">
        <v>672</v>
      </c>
      <c r="D44" s="128">
        <f>SUM(I53:I67)/2</f>
        <v>3.3556277056277057</v>
      </c>
      <c r="E44" s="125" t="s">
        <v>673</v>
      </c>
      <c r="F44" s="126"/>
      <c r="G44" s="126"/>
      <c r="H44" s="126"/>
      <c r="Q44" s="16">
        <v>32</v>
      </c>
      <c r="R44" s="16">
        <f>节奏总纲!P35</f>
        <v>8.189586839976279</v>
      </c>
      <c r="S44" s="16">
        <f>节奏总纲!Q35</f>
        <v>7.1519661873512845</v>
      </c>
      <c r="T44" s="16">
        <f>节奏总纲!R35</f>
        <v>5.906330028990892</v>
      </c>
      <c r="U44" s="16">
        <f>节奏总纲!S35</f>
        <v>4.3855237528072974</v>
      </c>
      <c r="V44" s="16">
        <f>节奏总纲!T35</f>
        <v>2.46506563883286</v>
      </c>
      <c r="W44" s="1">
        <f>MAX(求节点(节奏总纲!$O$4:$O$163,节奏总纲!P$4:P$163,$Q44)-INT(R$4),0)*C$13</f>
        <v>757.91057220671951</v>
      </c>
      <c r="X44" s="1">
        <f>MAX(求节点(节奏总纲!$O$4:$O$163,节奏总纲!Q$4:Q$163,$Q44)-INT(S$4),0)*D$13</f>
        <v>1070.606936656538</v>
      </c>
      <c r="Y44" s="1">
        <f>MAX(求节点(节奏总纲!$O$4:$O$163,节奏总纲!R$4:R$163,$Q44)-INT(T$4),0)*E$13</f>
        <v>1107.1966092591581</v>
      </c>
      <c r="Z44" s="1">
        <f>MAX(求节点(节奏总纲!$O$4:$O$163,节奏总纲!S$4:S$163,$Q44)-INT(U$4),0)*F$13</f>
        <v>2097.5153732301665</v>
      </c>
      <c r="AA44" s="1">
        <f>MAX(求节点(节奏总纲!$O$4:$O$163,节奏总纲!T$4:T$163,$Q44)-INT(V$4),0)*G$13</f>
        <v>704.05312434127939</v>
      </c>
    </row>
    <row r="45" spans="2:27">
      <c r="B45" s="125"/>
      <c r="C45" s="127" t="s">
        <v>674</v>
      </c>
      <c r="D45" s="129">
        <v>3</v>
      </c>
      <c r="E45" s="125"/>
      <c r="F45" s="126"/>
      <c r="G45" s="126"/>
      <c r="H45" s="126"/>
      <c r="Q45" s="16">
        <v>33</v>
      </c>
      <c r="R45" s="16">
        <f>节奏总纲!P36</f>
        <v>8.8491553067593287</v>
      </c>
      <c r="S45" s="16">
        <f>节奏总纲!Q36</f>
        <v>7.7120388498407557</v>
      </c>
      <c r="T45" s="16">
        <f>节奏总纲!R36</f>
        <v>6.3696219898053652</v>
      </c>
      <c r="U45" s="16">
        <f>节奏总纲!S36</f>
        <v>4.736067920177593</v>
      </c>
      <c r="V45" s="16">
        <f>节奏总纲!T36</f>
        <v>2.6627108318038819</v>
      </c>
      <c r="W45" s="1">
        <f>MAX(求节点(节奏总纲!$O$4:$O$163,节奏总纲!P$4:P$163,$Q45)-INT(R$4),0)*C$13</f>
        <v>1178.1353908328385</v>
      </c>
      <c r="X45" s="1">
        <f>MAX(求节点(节奏总纲!$O$4:$O$163,节奏总纲!Q$4:Q$163,$Q45)-INT(S$4),0)*D$13</f>
        <v>1591.1236706343161</v>
      </c>
      <c r="Y45" s="1">
        <f>MAX(求节点(节奏总纲!$O$4:$O$163,节奏总纲!R$4:R$163,$Q45)-INT(T$4),0)*E$13</f>
        <v>1673.1662579553795</v>
      </c>
      <c r="Z45" s="1">
        <f>MAX(求节点(节奏总纲!$O$4:$O$163,节奏总纲!S$4:S$163,$Q45)-INT(U$4),0)*F$13</f>
        <v>2628.1968419278937</v>
      </c>
      <c r="AA45" s="1">
        <f>MAX(求节点(节奏总纲!$O$4:$O$163,节奏总纲!T$4:T$163,$Q45)-INT(V$4),0)*G$13</f>
        <v>1003.2640399692411</v>
      </c>
    </row>
    <row r="46" spans="2:27">
      <c r="B46" s="126"/>
      <c r="C46" s="127" t="s">
        <v>675</v>
      </c>
      <c r="D46" s="126">
        <f>D44*D45</f>
        <v>10.066883116883117</v>
      </c>
      <c r="E46" s="126"/>
      <c r="F46" s="126"/>
      <c r="G46" s="126"/>
      <c r="H46" s="126"/>
      <c r="Q46" s="16">
        <v>34</v>
      </c>
      <c r="R46" s="16">
        <f>节奏总纲!P37</f>
        <v>9.5560632861831518</v>
      </c>
      <c r="S46" s="16">
        <f>节奏总纲!Q37</f>
        <v>8.3309759728944712</v>
      </c>
      <c r="T46" s="16">
        <f>节奏总纲!R37</f>
        <v>6.8918328419952886</v>
      </c>
      <c r="U46" s="16">
        <f>节奏总纲!S37</f>
        <v>5.1287391656944967</v>
      </c>
      <c r="V46" s="16">
        <f>节奏总纲!T37</f>
        <v>2.8811530807842201</v>
      </c>
      <c r="W46" s="1">
        <f>MAX(求节点(节奏总纲!$O$4:$O$163,节奏总纲!P$4:P$163,$Q46)-INT(R$4),0)*C$13</f>
        <v>1628.5211997354397</v>
      </c>
      <c r="X46" s="1">
        <f>MAX(求节点(节奏总纲!$O$4:$O$163,节奏总纲!Q$4:Q$163,$Q46)-INT(S$4),0)*D$13</f>
        <v>2166.3474789121906</v>
      </c>
      <c r="Y46" s="1">
        <f>MAX(求节点(节奏总纲!$O$4:$O$163,节奏总纲!R$4:R$163,$Q46)-INT(T$4),0)*E$13</f>
        <v>2311.1127745314388</v>
      </c>
      <c r="Z46" s="1">
        <f>MAX(求节点(节奏总纲!$O$4:$O$163,节奏总纲!S$4:S$163,$Q46)-INT(U$4),0)*F$13</f>
        <v>3222.6536113830011</v>
      </c>
      <c r="AA46" s="1">
        <f>MAX(求节点(节奏总纲!$O$4:$O$163,节奏总纲!T$4:T$163,$Q46)-INT(V$4),0)*G$13</f>
        <v>1333.9591828499542</v>
      </c>
    </row>
    <row r="47" spans="2:27">
      <c r="B47" s="125"/>
      <c r="C47" s="127" t="s">
        <v>676</v>
      </c>
      <c r="D47" s="126">
        <f>SUMPRODUCT(I53:I67,J53:J67)/2+4-1</f>
        <v>10.968614718614717</v>
      </c>
      <c r="E47" s="126"/>
      <c r="F47" s="126"/>
      <c r="G47" s="126"/>
      <c r="H47" s="126"/>
      <c r="Q47" s="16">
        <v>35</v>
      </c>
      <c r="R47" s="16">
        <f>节奏总纲!P38</f>
        <v>10.313708498984759</v>
      </c>
      <c r="S47" s="16">
        <f>节奏总纲!Q38</f>
        <v>9.0048988904635934</v>
      </c>
      <c r="T47" s="16">
        <f>节奏总纲!R38</f>
        <v>7.4547485030661838</v>
      </c>
      <c r="U47" s="16">
        <f>节奏总纲!S38</f>
        <v>5.5405242056546129</v>
      </c>
      <c r="V47" s="16">
        <f>节奏总纲!T38</f>
        <v>3.1106144832938032</v>
      </c>
      <c r="W47" s="1">
        <f>MAX(求节点(节奏总纲!$O$4:$O$163,节奏总纲!P$4:P$163,$Q47)-INT(R$4),0)*C$13</f>
        <v>2111.2327576201915</v>
      </c>
      <c r="X47" s="1">
        <f>MAX(求节点(节奏总纲!$O$4:$O$163,节奏总纲!Q$4:Q$163,$Q47)-INT(S$4),0)*D$13</f>
        <v>2792.6736317485634</v>
      </c>
      <c r="Y47" s="1">
        <f>MAX(求节点(节奏总纲!$O$4:$O$163,节奏总纲!R$4:R$163,$Q47)-INT(T$4),0)*E$13</f>
        <v>2998.7853565935256</v>
      </c>
      <c r="Z47" s="1">
        <f>MAX(求节点(节奏总纲!$O$4:$O$163,节奏总纲!S$4:S$163,$Q47)-INT(U$4),0)*F$13</f>
        <v>3846.0463536817115</v>
      </c>
      <c r="AA47" s="1">
        <f>MAX(求节点(节奏总纲!$O$4:$O$163,节奏总纲!T$4:T$163,$Q47)-INT(V$4),0)*G$13</f>
        <v>1681.3359913323895</v>
      </c>
    </row>
    <row r="48" spans="2:27">
      <c r="B48" s="127"/>
      <c r="C48" s="127" t="s">
        <v>677</v>
      </c>
      <c r="D48" s="127">
        <f>D47/D46</f>
        <v>1.0895740609344426</v>
      </c>
      <c r="E48" s="127"/>
      <c r="F48" s="127"/>
      <c r="G48" s="127"/>
      <c r="H48" s="127"/>
      <c r="Q48" s="16">
        <v>36</v>
      </c>
      <c r="R48" s="16">
        <f>节奏总纲!P39</f>
        <v>11.125732532083184</v>
      </c>
      <c r="S48" s="16">
        <f>节奏总纲!Q39</f>
        <v>9.7261153795471191</v>
      </c>
      <c r="T48" s="16">
        <f>节奏总纲!R39</f>
        <v>8.0405669009365166</v>
      </c>
      <c r="U48" s="16">
        <f>节奏总纲!S39</f>
        <v>5.9700680767158358</v>
      </c>
      <c r="V48" s="16">
        <f>节奏总纲!T39</f>
        <v>3.3388323328781633</v>
      </c>
      <c r="W48" s="1">
        <f>MAX(求节点(节奏总纲!$O$4:$O$163,节奏总纲!P$4:P$163,$Q48)-INT(R$4),0)*C$13</f>
        <v>2628.5901954206188</v>
      </c>
      <c r="X48" s="1">
        <f>MAX(求节点(节奏总纲!$O$4:$O$163,节奏总纲!Q$4:Q$163,$Q48)-INT(S$4),0)*D$13</f>
        <v>3462.9531803343398</v>
      </c>
      <c r="Y48" s="1">
        <f>MAX(求节点(节奏总纲!$O$4:$O$163,节奏总纲!R$4:R$163,$Q48)-INT(T$4),0)*E$13</f>
        <v>3714.4365245084123</v>
      </c>
      <c r="Z48" s="1">
        <f>MAX(求节点(节奏总纲!$O$4:$O$163,节奏总纲!S$4:S$163,$Q48)-INT(U$4),0)*F$13</f>
        <v>4496.3238182161085</v>
      </c>
      <c r="AA48" s="1">
        <f>MAX(求节点(节奏总纲!$O$4:$O$163,节奏总纲!T$4:T$163,$Q48)-INT(V$4),0)*G$13</f>
        <v>2026.8302111022203</v>
      </c>
    </row>
    <row r="49" spans="2:27">
      <c r="B49" s="127"/>
      <c r="C49" s="127" t="s">
        <v>694</v>
      </c>
      <c r="D49" s="127">
        <f>(240)/D46</f>
        <v>23.840546990904986</v>
      </c>
      <c r="E49" s="127">
        <f>(240+300)/D46</f>
        <v>53.641230729536218</v>
      </c>
      <c r="F49" s="127"/>
      <c r="G49" s="127"/>
      <c r="H49" s="127"/>
      <c r="Q49" s="16">
        <v>37</v>
      </c>
      <c r="R49" s="16">
        <f>节奏总纲!P40</f>
        <v>11.996038341699768</v>
      </c>
      <c r="S49" s="16">
        <f>节奏总纲!Q40</f>
        <v>10.483337906811427</v>
      </c>
      <c r="T49" s="16">
        <f>节奏总纲!R40</f>
        <v>8.6671377018780831</v>
      </c>
      <c r="U49" s="16">
        <f>节奏总纲!S40</f>
        <v>6.4166809089752066</v>
      </c>
      <c r="V49" s="16">
        <f>节奏总纲!T40</f>
        <v>3.6000111063441</v>
      </c>
      <c r="W49" s="1">
        <f>MAX(求节点(节奏总纲!$O$4:$O$163,节奏总纲!P$4:P$163,$Q49)-INT(R$4),0)*C$13</f>
        <v>3183.0801679008882</v>
      </c>
      <c r="X49" s="1">
        <f>MAX(求节点(节奏总纲!$O$4:$O$163,节奏总纲!Q$4:Q$163,$Q49)-INT(S$4),0)*D$13</f>
        <v>4166.6957894345051</v>
      </c>
      <c r="Y49" s="1">
        <f>MAX(求节点(节奏总纲!$O$4:$O$163,节奏总纲!R$4:R$163,$Q49)-INT(T$4),0)*E$13</f>
        <v>4479.8719002243688</v>
      </c>
      <c r="Z49" s="1">
        <f>MAX(求节点(节奏总纲!$O$4:$O$163,节奏总纲!S$4:S$163,$Q49)-INT(U$4),0)*F$13</f>
        <v>5172.4416253975669</v>
      </c>
      <c r="AA49" s="1">
        <f>MAX(求节点(节奏总纲!$O$4:$O$163,节奏总纲!T$4:T$163,$Q49)-INT(V$4),0)*G$13</f>
        <v>2422.2232827808657</v>
      </c>
    </row>
    <row r="50" spans="2:27">
      <c r="B50" s="115"/>
      <c r="Q50" s="16">
        <v>38</v>
      </c>
      <c r="R50" s="16">
        <f>节奏总纲!P41</f>
        <v>12.928809012737984</v>
      </c>
      <c r="S50" s="16">
        <f>节奏总纲!Q41</f>
        <v>11.292021791725356</v>
      </c>
      <c r="T50" s="16">
        <f>节奏总纲!R41</f>
        <v>9.3190855363815395</v>
      </c>
      <c r="U50" s="16">
        <f>节奏总纲!S41</f>
        <v>6.8962267273944402</v>
      </c>
      <c r="V50" s="16">
        <f>节奏总纲!T41</f>
        <v>3.8708854184137524</v>
      </c>
      <c r="W50" s="1">
        <f>MAX(求节点(节奏总纲!$O$4:$O$163,节奏总纲!P$4:P$163,$Q50)-INT(R$4),0)*C$13</f>
        <v>3777.3678056477193</v>
      </c>
      <c r="X50" s="1">
        <f>MAX(求节点(节奏总纲!$O$4:$O$163,节奏总纲!Q$4:Q$163,$Q50)-INT(S$4),0)*D$13</f>
        <v>4918.2652245946665</v>
      </c>
      <c r="Y50" s="1">
        <f>MAX(求节点(节奏总纲!$O$4:$O$163,节奏总纲!R$4:R$163,$Q50)-INT(T$4),0)*E$13</f>
        <v>5276.3085278177059</v>
      </c>
      <c r="Z50" s="1">
        <f>MAX(求节点(节奏总纲!$O$4:$O$163,节奏总纲!S$4:S$163,$Q50)-INT(U$4),0)*F$13</f>
        <v>5898.4159901564235</v>
      </c>
      <c r="AA50" s="1">
        <f>MAX(求节点(节奏总纲!$O$4:$O$163,节奏总纲!T$4:T$163,$Q50)-INT(V$4),0)*G$13</f>
        <v>2832.2942271642082</v>
      </c>
    </row>
    <row r="51" spans="2:27">
      <c r="B51" s="115"/>
      <c r="Q51" s="16">
        <v>39</v>
      </c>
      <c r="R51" s="16">
        <f>节奏总纲!P42</f>
        <v>13.928527864588917</v>
      </c>
      <c r="S51" s="16">
        <f>节奏总纲!Q42</f>
        <v>12.147069150707994</v>
      </c>
      <c r="T51" s="16">
        <f>节奏总纲!R42</f>
        <v>10.016004387425889</v>
      </c>
      <c r="U51" s="16">
        <f>节奏总纲!S42</f>
        <v>7.4197267934665154</v>
      </c>
      <c r="V51" s="16">
        <f>节奏总纲!T42</f>
        <v>4.1702012426579218</v>
      </c>
      <c r="W51" s="1">
        <f>MAX(求节点(节奏总纲!$O$4:$O$163,节奏总纲!P$4:P$163,$Q51)-INT(R$4),0)*C$13</f>
        <v>4414.3095248981554</v>
      </c>
      <c r="X51" s="1">
        <f>MAX(求节点(节奏总纲!$O$4:$O$163,节奏总纲!Q$4:Q$163,$Q51)-INT(S$4),0)*D$13</f>
        <v>5712.9236475137359</v>
      </c>
      <c r="Y51" s="1">
        <f>MAX(求节点(节奏总纲!$O$4:$O$163,节奏总纲!R$4:R$163,$Q51)-INT(T$4),0)*E$13</f>
        <v>6127.6829324197706</v>
      </c>
      <c r="Z51" s="1">
        <f>MAX(求节点(节奏总纲!$O$4:$O$163,节奏总纲!S$4:S$163,$Q51)-INT(U$4),0)*F$13</f>
        <v>6690.9317692965196</v>
      </c>
      <c r="AA51" s="1">
        <f>MAX(求节点(节奏总纲!$O$4:$O$163,节奏总纲!T$4:T$163,$Q51)-INT(V$4),0)*G$13</f>
        <v>3285.4221807854574</v>
      </c>
    </row>
    <row r="52" spans="2:27">
      <c r="B52" s="115"/>
      <c r="J52" s="1" t="s">
        <v>678</v>
      </c>
      <c r="Q52" s="16">
        <v>40</v>
      </c>
      <c r="R52" s="16">
        <f>节奏总纲!P43</f>
        <v>15</v>
      </c>
      <c r="S52" s="16">
        <f>节奏总纲!Q43</f>
        <v>13.059000000000001</v>
      </c>
      <c r="T52" s="16">
        <f>节奏总纲!R43</f>
        <v>10.782</v>
      </c>
      <c r="U52" s="16">
        <f>节奏总纲!S43</f>
        <v>8.0009999999999994</v>
      </c>
      <c r="V52" s="16">
        <f>节奏总纲!T43</f>
        <v>4.5</v>
      </c>
      <c r="W52" s="1">
        <f>MAX(求节点(节奏总纲!$O$4:$O$163,节奏总纲!P$4:P$163,$Q52)-INT(R$4),0)*C$13</f>
        <v>5096.9667567730166</v>
      </c>
      <c r="X52" s="1">
        <f>MAX(求节点(节奏总纲!$O$4:$O$163,节奏总纲!Q$4:Q$163,$Q52)-INT(S$4),0)*D$13</f>
        <v>6560.4480833202788</v>
      </c>
      <c r="Y52" s="1">
        <f>MAX(求节点(节奏总纲!$O$4:$O$163,节奏总纲!R$4:R$163,$Q52)-INT(T$4),0)*E$13</f>
        <v>7063.4433263391138</v>
      </c>
      <c r="Z52" s="1">
        <f>MAX(求节点(节奏总纲!$O$4:$O$163,节奏总纲!S$4:S$163,$Q52)-INT(U$4),0)*F$13</f>
        <v>7570.9090950409673</v>
      </c>
      <c r="AA52" s="1">
        <f>MAX(求节点(节奏总纲!$O$4:$O$163,节奏总纲!T$4:T$163,$Q52)-INT(V$4),0)*G$13</f>
        <v>3784.6976079988845</v>
      </c>
    </row>
    <row r="53" spans="2:27" ht="11.25" customHeight="1">
      <c r="B53" s="115"/>
      <c r="G53" s="183" t="s">
        <v>679</v>
      </c>
      <c r="H53" s="106" t="s">
        <v>680</v>
      </c>
      <c r="I53" s="107">
        <f>5/20</f>
        <v>0.25</v>
      </c>
      <c r="J53" s="1">
        <v>5</v>
      </c>
      <c r="Q53" s="16">
        <v>41</v>
      </c>
      <c r="R53" s="16">
        <f>节奏总纲!P44</f>
        <v>16.148375400580683</v>
      </c>
      <c r="S53" s="16">
        <f>节奏总纲!Q44</f>
        <v>14.065234973905774</v>
      </c>
      <c r="T53" s="16">
        <f>节奏总纲!R44</f>
        <v>11.621985775797917</v>
      </c>
      <c r="U53" s="16">
        <f>节奏总纲!S44</f>
        <v>8.6296918140703163</v>
      </c>
      <c r="V53" s="16">
        <f>节奏总纲!T44</f>
        <v>4.8606609955747855</v>
      </c>
      <c r="W53" s="1">
        <f>MAX(求节点(节奏总纲!$O$4:$O$163,节奏总纲!P$4:P$163,$Q53)-INT(R$4),0)*C$13</f>
        <v>5828.6206619049717</v>
      </c>
      <c r="X53" s="1">
        <f>MAX(求节点(节奏总纲!$O$4:$O$163,节奏总纲!Q$4:Q$163,$Q53)-INT(S$4),0)*D$13</f>
        <v>7495.6162807887522</v>
      </c>
      <c r="Y53" s="1">
        <f>MAX(求节点(节奏总纲!$O$4:$O$163,节奏总纲!R$4:R$163,$Q53)-INT(T$4),0)*E$13</f>
        <v>8089.5920503584121</v>
      </c>
      <c r="Z53" s="1">
        <f>MAX(求节点(节奏总纲!$O$4:$O$163,节奏总纲!S$4:S$163,$Q53)-INT(U$4),0)*F$13</f>
        <v>8522.6724569931303</v>
      </c>
      <c r="AA53" s="1">
        <f>MAX(求节点(节奏总纲!$O$4:$O$163,节奏总纲!T$4:T$163,$Q53)-INT(V$4),0)*G$13</f>
        <v>4330.6947308990393</v>
      </c>
    </row>
    <row r="54" spans="2:27">
      <c r="B54" s="115"/>
      <c r="G54" s="184"/>
      <c r="H54" s="1" t="s">
        <v>655</v>
      </c>
      <c r="I54" s="109">
        <f>4/15</f>
        <v>0.26666666666666666</v>
      </c>
      <c r="J54" s="1">
        <v>5</v>
      </c>
      <c r="Q54" s="16">
        <v>42</v>
      </c>
      <c r="R54" s="16">
        <f>节奏总纲!P45</f>
        <v>17.379173679952558</v>
      </c>
      <c r="S54" s="16">
        <f>节奏总纲!Q45</f>
        <v>15.182446126806555</v>
      </c>
      <c r="T54" s="16">
        <f>节奏总纲!R45</f>
        <v>12.547763396925747</v>
      </c>
      <c r="U54" s="16">
        <f>节奏总纲!S45</f>
        <v>9.3221887619265527</v>
      </c>
      <c r="V54" s="16">
        <f>节奏总纲!T45</f>
        <v>5.2485104513456724</v>
      </c>
      <c r="W54" s="1">
        <f>MAX(求节点(节奏总纲!$O$4:$O$163,节奏总纲!P$4:P$163,$Q54)-INT(R$4),0)*C$13</f>
        <v>6612.7879011864561</v>
      </c>
      <c r="X54" s="1">
        <f>MAX(求节点(节奏总纲!$O$4:$O$163,节奏总纲!Q$4:Q$163,$Q54)-INT(S$4),0)*D$13</f>
        <v>8533.9228067431322</v>
      </c>
      <c r="Y54" s="1">
        <f>MAX(求节点(节奏总纲!$O$4:$O$163,节奏总纲!R$4:R$163,$Q54)-INT(T$4),0)*E$13</f>
        <v>9220.546349844657</v>
      </c>
      <c r="Z54" s="1">
        <f>MAX(求节点(节奏总纲!$O$4:$O$163,节奏总纲!S$4:S$163,$Q54)-INT(U$4),0)*F$13</f>
        <v>9571.0290738323401</v>
      </c>
      <c r="AA54" s="1">
        <f>MAX(求节点(节奏总纲!$O$4:$O$163,节奏总纲!T$4:T$163,$Q54)-INT(V$4),0)*G$13</f>
        <v>4917.8518939069372</v>
      </c>
    </row>
    <row r="55" spans="2:27">
      <c r="B55" s="115"/>
      <c r="G55" s="184"/>
      <c r="H55" s="1" t="s">
        <v>656</v>
      </c>
      <c r="I55" s="109">
        <f>4/11</f>
        <v>0.36363636363636365</v>
      </c>
      <c r="J55" s="1">
        <v>5</v>
      </c>
      <c r="Q55" s="16">
        <v>43</v>
      </c>
      <c r="R55" s="16">
        <f>节奏总纲!P46</f>
        <v>18.698310613518661</v>
      </c>
      <c r="S55" s="16">
        <f>节奏总纲!Q46</f>
        <v>16.338583814092605</v>
      </c>
      <c r="T55" s="16">
        <f>节奏总纲!R46</f>
        <v>13.509529418267233</v>
      </c>
      <c r="U55" s="16">
        <f>节奏总纲!S46</f>
        <v>10.020424657784652</v>
      </c>
      <c r="V55" s="16">
        <f>节奏总纲!T46</f>
        <v>5.6394104810372276</v>
      </c>
      <c r="W55" s="1">
        <f>MAX(求节点(节奏总纲!$O$4:$O$163,节奏总纲!P$4:P$163,$Q55)-INT(R$4),0)*C$13</f>
        <v>7453.237538438696</v>
      </c>
      <c r="X55" s="1">
        <f>MAX(求节点(节奏总纲!$O$4:$O$163,节奏总纲!Q$4:Q$163,$Q55)-INT(S$4),0)*D$13</f>
        <v>9608.4066252174343</v>
      </c>
      <c r="Y55" s="1">
        <f>MAX(求节点(节奏总纲!$O$4:$O$163,节奏总纲!R$4:R$163,$Q55)-INT(T$4),0)*E$13</f>
        <v>10395.46502589866</v>
      </c>
      <c r="Z55" s="1">
        <f>MAX(求节点(节奏总纲!$O$4:$O$163,节奏总纲!S$4:S$163,$Q55)-INT(U$4),0)*F$13</f>
        <v>10628.073763781584</v>
      </c>
      <c r="AA55" s="1">
        <f>MAX(求节点(节奏总纲!$O$4:$O$163,节奏总纲!T$4:T$163,$Q55)-INT(V$4),0)*G$13</f>
        <v>5509.6272568430659</v>
      </c>
    </row>
    <row r="56" spans="2:27">
      <c r="B56" s="115"/>
      <c r="G56" s="184"/>
      <c r="H56" s="1" t="s">
        <v>657</v>
      </c>
      <c r="I56" s="109">
        <f>2/7</f>
        <v>0.2857142857142857</v>
      </c>
      <c r="J56" s="1">
        <v>2</v>
      </c>
      <c r="Q56" s="16">
        <v>44</v>
      </c>
      <c r="R56" s="16">
        <f>节奏总纲!P47</f>
        <v>20.112126572366307</v>
      </c>
      <c r="S56" s="16">
        <f>节奏总纲!Q47</f>
        <v>17.573976198933678</v>
      </c>
      <c r="T56" s="16">
        <f>节奏总纲!R47</f>
        <v>14.520955385248474</v>
      </c>
      <c r="U56" s="16">
        <f>节奏总纲!S47</f>
        <v>10.768032566844921</v>
      </c>
      <c r="V56" s="16">
        <f>节奏总纲!T47</f>
        <v>6.0537500982822579</v>
      </c>
      <c r="W56" s="1">
        <f>MAX(求节点(节奏总纲!$O$4:$O$163,节奏总纲!P$4:P$163,$Q56)-INT(R$4),0)*C$13</f>
        <v>8354.0091562438993</v>
      </c>
      <c r="X56" s="1">
        <f>MAX(求节点(节奏总纲!$O$4:$O$163,节奏总纲!Q$4:Q$163,$Q56)-INT(S$4),0)*D$13</f>
        <v>10756.547665489299</v>
      </c>
      <c r="Y56" s="1">
        <f>MAX(求节点(节奏总纲!$O$4:$O$163,节奏总纲!R$4:R$163,$Q56)-INT(T$4),0)*E$13</f>
        <v>11631.049598115838</v>
      </c>
      <c r="Z56" s="1">
        <f>MAX(求节点(节奏总纲!$O$4:$O$163,节奏总纲!S$4:S$163,$Q56)-INT(U$4),0)*F$13</f>
        <v>11759.861709838162</v>
      </c>
      <c r="AA56" s="1">
        <f>MAX(求节点(节奏总纲!$O$4:$O$163,节奏总纲!T$4:T$163,$Q56)-INT(V$4),0)*G$13</f>
        <v>6136.8873201576416</v>
      </c>
    </row>
    <row r="57" spans="2:27">
      <c r="B57" s="115"/>
      <c r="G57" s="184"/>
      <c r="H57" s="1" t="s">
        <v>658</v>
      </c>
      <c r="I57" s="109">
        <f>2/5</f>
        <v>0.4</v>
      </c>
      <c r="J57" s="1">
        <v>2</v>
      </c>
      <c r="Q57" s="16">
        <v>45</v>
      </c>
      <c r="R57" s="16">
        <f>节奏总纲!P48</f>
        <v>21.627416997969519</v>
      </c>
      <c r="S57" s="16">
        <f>节奏总纲!Q48</f>
        <v>18.900199714525563</v>
      </c>
      <c r="T57" s="16">
        <f>节奏总纲!R48</f>
        <v>15.604181364035009</v>
      </c>
      <c r="U57" s="16">
        <f>节奏总纲!S48</f>
        <v>11.572830835613489</v>
      </c>
      <c r="V57" s="16">
        <f>节奏总纲!T48</f>
        <v>6.49903880788984</v>
      </c>
      <c r="W57" s="1">
        <f>MAX(求节点(节奏总纲!$O$4:$O$163,节奏总纲!P$4:P$163,$Q57)-INT(R$4),0)*C$13</f>
        <v>9319.4322720133987</v>
      </c>
      <c r="X57" s="1">
        <f>MAX(求节点(节奏总纲!$O$4:$O$163,节奏总纲!Q$4:Q$163,$Q57)-INT(S$4),0)*D$13</f>
        <v>11989.104758692169</v>
      </c>
      <c r="Y57" s="1">
        <f>MAX(求节点(节奏总纲!$O$4:$O$163,节奏总纲!R$4:R$163,$Q57)-INT(T$4),0)*E$13</f>
        <v>12954.346953836508</v>
      </c>
      <c r="Z57" s="1">
        <f>MAX(求节点(节奏总纲!$O$4:$O$163,节奏总纲!S$4:S$163,$Q57)-INT(U$4),0)*F$13</f>
        <v>12978.22894293018</v>
      </c>
      <c r="AA57" s="1">
        <f>MAX(求节点(节奏总纲!$O$4:$O$163,节奏总纲!T$4:T$163,$Q57)-INT(V$4),0)*G$13</f>
        <v>6811.0005658059317</v>
      </c>
    </row>
    <row r="58" spans="2:27">
      <c r="B58" s="115"/>
      <c r="G58" s="184"/>
      <c r="H58" s="1" t="s">
        <v>659</v>
      </c>
      <c r="I58" s="109">
        <f>1/3</f>
        <v>0.33333333333333331</v>
      </c>
      <c r="J58" s="1">
        <v>1</v>
      </c>
      <c r="Q58" s="16">
        <v>46</v>
      </c>
      <c r="R58" s="16">
        <f>节奏总纲!P49</f>
        <v>23.251465064166357</v>
      </c>
      <c r="S58" s="16">
        <f>节奏总纲!Q49</f>
        <v>20.310154733549314</v>
      </c>
      <c r="T58" s="16">
        <f>节奏总纲!R49</f>
        <v>16.757330871744692</v>
      </c>
      <c r="U58" s="16">
        <f>节奏总纲!S49</f>
        <v>12.425582930290501</v>
      </c>
      <c r="V58" s="16">
        <f>节奏总纲!T49</f>
        <v>6.9545132006921566</v>
      </c>
      <c r="W58" s="1">
        <f>MAX(求节点(节奏总纲!$O$4:$O$163,节奏总纲!P$4:P$163,$Q58)-INT(R$4),0)*C$13</f>
        <v>10354.147147614247</v>
      </c>
      <c r="X58" s="1">
        <f>MAX(求节点(节奏总纲!$O$4:$O$163,节奏总纲!Q$4:Q$163,$Q58)-INT(S$4),0)*D$13</f>
        <v>13299.479698785975</v>
      </c>
      <c r="Y58" s="1">
        <f>MAX(求节点(节奏总纲!$O$4:$O$163,节奏总纲!R$4:R$163,$Q58)-INT(T$4),0)*E$13</f>
        <v>14363.064732200948</v>
      </c>
      <c r="Z58" s="1">
        <f>MAX(求节点(节奏总纲!$O$4:$O$163,节奏总纲!S$4:S$163,$Q58)-INT(U$4),0)*F$13</f>
        <v>14269.19246810623</v>
      </c>
      <c r="AA58" s="1">
        <f>MAX(求节点(节奏总纲!$O$4:$O$163,节奏总纲!T$4:T$163,$Q58)-INT(V$4),0)*G$13</f>
        <v>7500.5337037834006</v>
      </c>
    </row>
    <row r="59" spans="2:27">
      <c r="B59" s="115"/>
      <c r="G59" s="184"/>
      <c r="H59" s="1" t="s">
        <v>660</v>
      </c>
      <c r="I59" s="109">
        <f>1/2</f>
        <v>0.5</v>
      </c>
      <c r="J59" s="1">
        <v>1</v>
      </c>
      <c r="Q59" s="16">
        <v>47</v>
      </c>
      <c r="R59" s="16">
        <f>节奏总纲!P50</f>
        <v>24.992076683399535</v>
      </c>
      <c r="S59" s="16">
        <f>节奏总纲!Q50</f>
        <v>21.823081359944474</v>
      </c>
      <c r="T59" s="16">
        <f>节奏总纲!R50</f>
        <v>17.996794419716004</v>
      </c>
      <c r="U59" s="16">
        <f>节奏总纲!S50</f>
        <v>13.335772118261991</v>
      </c>
      <c r="V59" s="16">
        <f>节奏总纲!T50</f>
        <v>7.4426404363163821</v>
      </c>
      <c r="W59" s="1">
        <f>MAX(求节点(节奏总纲!$O$4:$O$163,节奏总纲!P$4:P$163,$Q59)-INT(R$4),0)*C$13</f>
        <v>11463.127092574792</v>
      </c>
      <c r="X59" s="1">
        <f>MAX(求节点(节奏总纲!$O$4:$O$163,节奏总纲!Q$4:Q$163,$Q59)-INT(S$4),0)*D$13</f>
        <v>14705.553729999792</v>
      </c>
      <c r="Y59" s="1">
        <f>MAX(求节点(节奏总纲!$O$4:$O$163,节奏总纲!R$4:R$163,$Q59)-INT(T$4),0)*E$13</f>
        <v>15877.226013100042</v>
      </c>
      <c r="Z59" s="1">
        <f>MAX(求节点(节奏总纲!$O$4:$O$163,节奏总纲!S$4:S$163,$Q59)-INT(U$4),0)*F$13</f>
        <v>15647.108805123087</v>
      </c>
      <c r="AA59" s="1">
        <f>MAX(求节点(节奏总纲!$O$4:$O$163,节奏总纲!T$4:T$163,$Q59)-INT(V$4),0)*G$13</f>
        <v>8239.4992962098459</v>
      </c>
    </row>
    <row r="60" spans="2:27">
      <c r="B60" s="115"/>
      <c r="G60" s="184"/>
      <c r="H60" s="1" t="s">
        <v>661</v>
      </c>
      <c r="I60" s="109">
        <v>1</v>
      </c>
      <c r="J60" s="1">
        <v>1</v>
      </c>
      <c r="Q60" s="16">
        <v>48</v>
      </c>
      <c r="R60" s="16">
        <f>节奏总纲!P51</f>
        <v>26.857618025475972</v>
      </c>
      <c r="S60" s="16">
        <f>节奏总纲!Q51</f>
        <v>23.425214441820142</v>
      </c>
      <c r="T60" s="16">
        <f>节奏总纲!R51</f>
        <v>19.329427692935056</v>
      </c>
      <c r="U60" s="16">
        <f>节奏总纲!S51</f>
        <v>14.269452456935383</v>
      </c>
      <c r="V60" s="16">
        <f>节奏总纲!T51</f>
        <v>7.9605979827510778</v>
      </c>
      <c r="W60" s="1">
        <f>MAX(求节点(节奏总纲!$O$4:$O$163,节奏总纲!P$4:P$163,$Q60)-INT(R$4),0)*C$13</f>
        <v>12651.702368068458</v>
      </c>
      <c r="X60" s="1">
        <f>MAX(求节点(节奏总纲!$O$4:$O$163,节奏总纲!Q$4:Q$163,$Q60)-INT(S$4),0)*D$13</f>
        <v>16194.533883876436</v>
      </c>
      <c r="Y60" s="1">
        <f>MAX(求节点(节奏总纲!$O$4:$O$163,节奏总纲!R$4:R$163,$Q60)-INT(T$4),0)*E$13</f>
        <v>17505.205881688173</v>
      </c>
      <c r="Z60" s="1">
        <f>MAX(求节点(节奏总纲!$O$4:$O$163,节奏总纲!S$4:S$163,$Q60)-INT(U$4),0)*F$13</f>
        <v>17060.587902888197</v>
      </c>
      <c r="AA60" s="1">
        <f>MAX(求节点(节奏总纲!$O$4:$O$163,节奏总纲!T$4:T$163,$Q60)-INT(V$4),0)*G$13</f>
        <v>9023.6243710243925</v>
      </c>
    </row>
    <row r="61" spans="2:27" ht="11.25" customHeight="1">
      <c r="B61" s="115"/>
      <c r="G61" s="184" t="s">
        <v>681</v>
      </c>
      <c r="H61" s="1" t="s">
        <v>680</v>
      </c>
      <c r="I61" s="109">
        <f>5/20</f>
        <v>0.25</v>
      </c>
      <c r="J61" s="1">
        <v>5</v>
      </c>
      <c r="Q61" s="16">
        <v>49</v>
      </c>
      <c r="R61" s="16">
        <f>节奏总纲!P52</f>
        <v>28.857055729177837</v>
      </c>
      <c r="S61" s="16">
        <f>节奏总纲!Q52</f>
        <v>25.166238301415991</v>
      </c>
      <c r="T61" s="16">
        <f>节奏总纲!R52</f>
        <v>20.719366013549685</v>
      </c>
      <c r="U61" s="16">
        <f>节奏总纲!S52</f>
        <v>15.268268186307994</v>
      </c>
      <c r="V61" s="16">
        <f>节奏总纲!T52</f>
        <v>8.5474599069824766</v>
      </c>
      <c r="W61" s="1">
        <f>MAX(求节点(节奏总纲!$O$4:$O$163,节奏总纲!P$4:P$163,$Q61)-INT(R$4),0)*C$13</f>
        <v>13925.58580656933</v>
      </c>
      <c r="X61" s="1">
        <f>MAX(求节点(节奏总纲!$O$4:$O$163,节奏总纲!Q$4:Q$163,$Q61)-INT(S$4),0)*D$13</f>
        <v>17812.595456719682</v>
      </c>
      <c r="Y61" s="1">
        <f>MAX(求节点(节奏总纲!$O$4:$O$163,节奏总纲!R$4:R$163,$Q61)-INT(T$4),0)*E$13</f>
        <v>19203.191103889556</v>
      </c>
      <c r="Z61" s="1">
        <f>MAX(求节点(节奏总纲!$O$4:$O$163,节奏总纲!S$4:S$163,$Q61)-INT(U$4),0)*F$13</f>
        <v>18572.674103603469</v>
      </c>
      <c r="AA61" s="1">
        <f>MAX(求节点(节奏总纲!$O$4:$O$163,节奏总纲!T$4:T$163,$Q61)-INT(V$4),0)*G$13</f>
        <v>9912.0623393700716</v>
      </c>
    </row>
    <row r="62" spans="2:27">
      <c r="B62" s="115"/>
      <c r="G62" s="184"/>
      <c r="H62" s="1" t="s">
        <v>655</v>
      </c>
      <c r="I62" s="109">
        <f>5/15</f>
        <v>0.33333333333333331</v>
      </c>
      <c r="J62" s="1">
        <v>5</v>
      </c>
      <c r="Q62" s="16">
        <v>50</v>
      </c>
      <c r="R62" s="16">
        <f>节奏总纲!P53</f>
        <v>31</v>
      </c>
      <c r="S62" s="16">
        <f>节奏总纲!Q53</f>
        <v>27.0351</v>
      </c>
      <c r="T62" s="16">
        <f>节奏总纲!R53</f>
        <v>22.205300000000001</v>
      </c>
      <c r="U62" s="16">
        <f>节奏总纲!S53</f>
        <v>16.386599999999998</v>
      </c>
      <c r="V62" s="16">
        <f>节奏总纲!T53</f>
        <v>9.1883999999999997</v>
      </c>
      <c r="W62" s="1">
        <f>MAX(求节点(节奏总纲!$O$4:$O$163,节奏总纲!P$4:P$163,$Q62)-INT(R$4),0)*C$13</f>
        <v>15290.900270319049</v>
      </c>
      <c r="X62" s="1">
        <f>MAX(求节点(节奏总纲!$O$4:$O$163,节奏总纲!Q$4:Q$163,$Q62)-INT(S$4),0)*D$13</f>
        <v>19549.466139318654</v>
      </c>
      <c r="Y62" s="1">
        <f>MAX(求节点(节奏总纲!$O$4:$O$163,节奏总纲!R$4:R$163,$Q62)-INT(T$4),0)*E$13</f>
        <v>21018.447157153641</v>
      </c>
      <c r="Z62" s="1">
        <f>MAX(求节点(节奏总纲!$O$4:$O$163,节奏总纲!S$4:S$163,$Q62)-INT(U$4),0)*F$13</f>
        <v>20265.693199695143</v>
      </c>
      <c r="AA62" s="1">
        <f>MAX(求节点(节奏总纲!$O$4:$O$163,节奏总纲!T$4:T$163,$Q62)-INT(V$4),0)*G$13</f>
        <v>10882.368114135672</v>
      </c>
    </row>
    <row r="63" spans="2:27">
      <c r="B63" s="115"/>
      <c r="G63" s="184"/>
      <c r="H63" s="1" t="s">
        <v>656</v>
      </c>
      <c r="I63" s="109">
        <f>3/10</f>
        <v>0.3</v>
      </c>
      <c r="J63" s="1">
        <v>4</v>
      </c>
      <c r="Q63" s="16">
        <v>51</v>
      </c>
      <c r="R63" s="16">
        <f>节奏总纲!P54</f>
        <v>33.296750801161366</v>
      </c>
      <c r="S63" s="16">
        <f>节奏总纲!Q54</f>
        <v>28.928217096048996</v>
      </c>
      <c r="T63" s="16">
        <f>节奏总纲!R54</f>
        <v>23.783869097269566</v>
      </c>
      <c r="U63" s="16">
        <f>节奏总纲!S54</f>
        <v>17.587343773173433</v>
      </c>
      <c r="V63" s="16">
        <f>节奏总纲!T54</f>
        <v>9.8458492119034169</v>
      </c>
      <c r="W63" s="1">
        <f>MAX(求节点(节奏总纲!$O$4:$O$163,节奏总纲!P$4:P$163,$Q63)-INT(R$4),0)*C$13</f>
        <v>16754.208080582961</v>
      </c>
      <c r="X63" s="1">
        <f>MAX(求节点(节奏总纲!$O$4:$O$163,节奏总纲!Q$4:Q$163,$Q63)-INT(S$4),0)*D$13</f>
        <v>21308.879147432479</v>
      </c>
      <c r="Y63" s="1">
        <f>MAX(求节点(节奏总纲!$O$4:$O$163,节奏总纲!R$4:R$163,$Q63)-INT(T$4),0)*E$13</f>
        <v>22946.868699055038</v>
      </c>
      <c r="Z63" s="1">
        <f>MAX(求节点(节奏总纲!$O$4:$O$163,节奏总纲!S$4:S$163,$Q63)-INT(U$4),0)*F$13</f>
        <v>22083.474034154766</v>
      </c>
      <c r="AA63" s="1">
        <f>MAX(求节点(节奏总纲!$O$4:$O$163,节奏总纲!T$4:T$163,$Q63)-INT(V$4),0)*G$13</f>
        <v>11877.666698004317</v>
      </c>
    </row>
    <row r="64" spans="2:27">
      <c r="B64" s="115"/>
      <c r="G64" s="184"/>
      <c r="H64" s="1" t="s">
        <v>657</v>
      </c>
      <c r="I64" s="109">
        <f>3/7</f>
        <v>0.42857142857142855</v>
      </c>
      <c r="J64" s="1">
        <v>4</v>
      </c>
      <c r="Q64" s="16">
        <v>52</v>
      </c>
      <c r="R64" s="16">
        <f>节奏总纲!P55</f>
        <v>35.758347359905123</v>
      </c>
      <c r="S64" s="16">
        <f>节奏总纲!Q55</f>
        <v>31.081155525229534</v>
      </c>
      <c r="T64" s="16">
        <f>节奏总纲!R55</f>
        <v>25.606552544428059</v>
      </c>
      <c r="U64" s="16">
        <f>节奏总纲!S55</f>
        <v>18.930469092333773</v>
      </c>
      <c r="V64" s="16">
        <f>节奏总纲!T55</f>
        <v>10.570167479587953</v>
      </c>
      <c r="W64" s="1">
        <f>MAX(求节点(节奏总纲!$O$4:$O$163,节奏总纲!P$4:P$163,$Q64)-INT(R$4),0)*C$13</f>
        <v>18322.542559145932</v>
      </c>
      <c r="X64" s="1">
        <f>MAX(求节点(节奏总纲!$O$4:$O$163,节奏总纲!Q$4:Q$163,$Q64)-INT(S$4),0)*D$13</f>
        <v>23309.763237420299</v>
      </c>
      <c r="Y64" s="1">
        <f>MAX(求节点(节奏总纲!$O$4:$O$163,节奏总纲!R$4:R$163,$Q64)-INT(T$4),0)*E$13</f>
        <v>25173.506753510319</v>
      </c>
      <c r="Z64" s="1">
        <f>MAX(求节点(节奏总纲!$O$4:$O$163,节奏总纲!S$4:S$163,$Q64)-INT(U$4),0)*F$13</f>
        <v>24116.803307222315</v>
      </c>
      <c r="AA64" s="1">
        <f>MAX(求节点(节奏总纲!$O$4:$O$163,节奏总纲!T$4:T$163,$Q64)-INT(V$4),0)*G$13</f>
        <v>12974.196944058542</v>
      </c>
    </row>
    <row r="65" spans="2:27">
      <c r="B65" s="115"/>
      <c r="G65" s="184"/>
      <c r="H65" s="1" t="s">
        <v>658</v>
      </c>
      <c r="I65" s="109">
        <f>2/4</f>
        <v>0.5</v>
      </c>
      <c r="J65" s="1">
        <v>2</v>
      </c>
      <c r="Q65" s="16">
        <v>53</v>
      </c>
      <c r="R65" s="16">
        <f>节奏总纲!P56</f>
        <v>38.396621227037308</v>
      </c>
      <c r="S65" s="16">
        <f>节奏总纲!Q56</f>
        <v>33.42809844025868</v>
      </c>
      <c r="T65" s="16">
        <f>节奏总纲!R56</f>
        <v>27.5802930273809</v>
      </c>
      <c r="U65" s="16">
        <f>节奏总纲!S56</f>
        <v>20.319491953348145</v>
      </c>
      <c r="V65" s="16">
        <f>节奏总纲!T56</f>
        <v>11.338522248344118</v>
      </c>
      <c r="W65" s="1">
        <f>MAX(求节点(节奏总纲!$O$4:$O$163,节奏总纲!P$4:P$163,$Q65)-INT(R$4),0)*C$13</f>
        <v>20003.441833650399</v>
      </c>
      <c r="X65" s="1">
        <f>MAX(求节点(节奏总纲!$O$4:$O$163,节奏总纲!Q$4:Q$163,$Q65)-INT(S$4),0)*D$13</f>
        <v>25490.949970465357</v>
      </c>
      <c r="Y65" s="1">
        <f>MAX(求节点(节奏总纲!$O$4:$O$163,节奏总纲!R$4:R$163,$Q65)-INT(T$4),0)*E$13</f>
        <v>27584.680057252725</v>
      </c>
      <c r="Z65" s="1">
        <f>MAX(求节点(节奏总纲!$O$4:$O$163,节奏总纲!S$4:S$163,$Q65)-INT(U$4),0)*F$13</f>
        <v>26219.61590703706</v>
      </c>
      <c r="AA65" s="1">
        <f>MAX(求节点(节奏总纲!$O$4:$O$163,节奏总纲!T$4:T$163,$Q65)-INT(V$4),0)*G$13</f>
        <v>14137.393126220939</v>
      </c>
    </row>
    <row r="66" spans="2:27">
      <c r="B66" s="115"/>
      <c r="G66" s="184"/>
      <c r="H66" s="1" t="s">
        <v>659</v>
      </c>
      <c r="I66" s="109">
        <f>1/2</f>
        <v>0.5</v>
      </c>
      <c r="J66" s="1">
        <v>1</v>
      </c>
      <c r="Q66" s="16">
        <v>54</v>
      </c>
      <c r="R66" s="16">
        <f>节奏总纲!P57</f>
        <v>41.224253144732614</v>
      </c>
      <c r="S66" s="16">
        <f>节奏总纲!Q57</f>
        <v>35.947548742206841</v>
      </c>
      <c r="T66" s="16">
        <f>节奏总纲!R57</f>
        <v>29.553667079458812</v>
      </c>
      <c r="U66" s="16">
        <f>节奏总纲!S57</f>
        <v>21.762283235104348</v>
      </c>
      <c r="V66" s="16">
        <f>节奏总纲!T57</f>
        <v>12.111685573922442</v>
      </c>
      <c r="W66" s="1">
        <f>MAX(求节点(节奏总纲!$O$4:$O$163,节奏总纲!P$4:P$163,$Q66)-INT(R$4),0)*C$13</f>
        <v>21804.985069260812</v>
      </c>
      <c r="X66" s="1">
        <f>MAX(求节点(节奏总纲!$O$4:$O$163,节奏总纲!Q$4:Q$163,$Q66)-INT(S$4),0)*D$13</f>
        <v>27832.460510830351</v>
      </c>
      <c r="Y66" s="1">
        <f>MAX(求节点(节奏总纲!$O$4:$O$163,节奏总纲!R$4:R$163,$Q66)-INT(T$4),0)*E$13</f>
        <v>29995.405719397397</v>
      </c>
      <c r="Z66" s="1">
        <f>MAX(求节点(节奏总纲!$O$4:$O$163,节奏总纲!S$4:S$163,$Q66)-INT(U$4),0)*F$13</f>
        <v>28403.8273921988</v>
      </c>
      <c r="AA66" s="1">
        <f>MAX(求节点(节奏总纲!$O$4:$O$163,节奏总纲!T$4:T$163,$Q66)-INT(V$4),0)*G$13</f>
        <v>15307.868881784436</v>
      </c>
    </row>
    <row r="67" spans="2:27">
      <c r="B67" s="115"/>
      <c r="G67" s="185"/>
      <c r="H67" s="111" t="s">
        <v>660</v>
      </c>
      <c r="I67" s="112">
        <v>1</v>
      </c>
      <c r="J67" s="1">
        <v>1</v>
      </c>
      <c r="Q67" s="16">
        <v>55</v>
      </c>
      <c r="R67" s="16">
        <f>节奏总纲!P58</f>
        <v>44.254833995939045</v>
      </c>
      <c r="S67" s="16">
        <f>节奏总纲!Q58</f>
        <v>38.53268396026413</v>
      </c>
      <c r="T67" s="16">
        <f>节奏总纲!R58</f>
        <v>31.642206307096416</v>
      </c>
      <c r="U67" s="16">
        <f>节奏总纲!S58</f>
        <v>23.282468165263531</v>
      </c>
      <c r="V67" s="16">
        <f>节奏总纲!T58</f>
        <v>12.944538943812169</v>
      </c>
      <c r="W67" s="1">
        <f>MAX(求节点(节奏总纲!$O$4:$O$163,节奏总纲!P$4:P$163,$Q67)-INT(R$4),0)*C$13</f>
        <v>23735.831300799819</v>
      </c>
      <c r="X67" s="1">
        <f>MAX(求节点(节奏总纲!$O$4:$O$163,节奏总纲!Q$4:Q$163,$Q67)-INT(S$4),0)*D$13</f>
        <v>30235.01687666513</v>
      </c>
      <c r="Y67" s="1">
        <f>MAX(求节点(节奏总纲!$O$4:$O$163,节奏总纲!R$4:R$163,$Q67)-INT(T$4),0)*E$13</f>
        <v>32546.820190039783</v>
      </c>
      <c r="Z67" s="1">
        <f>MAX(求节点(节奏总纲!$O$4:$O$163,节奏总纲!S$4:S$163,$Q67)-INT(U$4),0)*F$13</f>
        <v>30705.203499754563</v>
      </c>
      <c r="AA67" s="1">
        <f>MAX(求节点(节奏总纲!$O$4:$O$163,节奏总纲!T$4:T$163,$Q67)-INT(V$4),0)*G$13</f>
        <v>16568.708144518623</v>
      </c>
    </row>
    <row r="68" spans="2:27">
      <c r="B68" s="115"/>
      <c r="Q68" s="16">
        <v>56</v>
      </c>
      <c r="R68" s="16">
        <f>节奏总纲!P59</f>
        <v>47.502930128332721</v>
      </c>
      <c r="S68" s="16">
        <f>节奏总纲!Q59</f>
        <v>41.275295988508304</v>
      </c>
      <c r="T68" s="16">
        <f>节奏总纲!R59</f>
        <v>33.888590353552566</v>
      </c>
      <c r="U68" s="16">
        <f>节奏总纲!S59</f>
        <v>24.910536559297679</v>
      </c>
      <c r="V68" s="16">
        <f>节奏总纲!T59</f>
        <v>13.837603546383322</v>
      </c>
      <c r="W68" s="1">
        <f>MAX(求节点(节奏总纲!$O$4:$O$163,节奏总纲!P$4:P$163,$Q68)-INT(R$4),0)*C$13</f>
        <v>25805.261052001515</v>
      </c>
      <c r="X68" s="1">
        <f>MAX(求节点(节奏总纲!$O$4:$O$163,节奏总纲!Q$4:Q$163,$Q68)-INT(S$4),0)*D$13</f>
        <v>32783.928028950955</v>
      </c>
      <c r="Y68" s="1">
        <f>MAX(求节点(节奏总纲!$O$4:$O$163,节奏总纲!R$4:R$163,$Q68)-INT(T$4),0)*E$13</f>
        <v>35291.062044300481</v>
      </c>
      <c r="Z68" s="1">
        <f>MAX(求节点(节奏总纲!$O$4:$O$163,节奏总纲!S$4:S$163,$Q68)-INT(U$4),0)*F$13</f>
        <v>33169.902122378415</v>
      </c>
      <c r="AA68" s="1">
        <f>MAX(求节点(节奏总纲!$O$4:$O$163,节奏总纲!T$4:T$163,$Q68)-INT(V$4),0)*G$13</f>
        <v>17920.699930574428</v>
      </c>
    </row>
    <row r="69" spans="2:27">
      <c r="B69" s="115"/>
      <c r="Q69" s="16">
        <v>57</v>
      </c>
      <c r="R69" s="16">
        <f>节奏总纲!P60</f>
        <v>50.984153366799077</v>
      </c>
      <c r="S69" s="16">
        <f>节奏总纲!Q60</f>
        <v>44.310327691085078</v>
      </c>
      <c r="T69" s="16">
        <f>节奏总纲!R60</f>
        <v>36.316012443170983</v>
      </c>
      <c r="U69" s="16">
        <f>节奏总纲!S60</f>
        <v>26.664712210835919</v>
      </c>
      <c r="V69" s="16">
        <f>节奏总纲!T60</f>
        <v>14.815994968391813</v>
      </c>
      <c r="W69" s="1">
        <f>MAX(求节点(节奏总纲!$O$4:$O$163,节奏总纲!P$4:P$163,$Q69)-INT(R$4),0)*C$13</f>
        <v>28023.220941922606</v>
      </c>
      <c r="X69" s="1">
        <f>MAX(求节点(节奏总纲!$O$4:$O$163,节奏总纲!Q$4:Q$163,$Q69)-INT(S$4),0)*D$13</f>
        <v>35604.6063000922</v>
      </c>
      <c r="Y69" s="1">
        <f>MAX(求节点(节奏总纲!$O$4:$O$163,节奏总纲!R$4:R$163,$Q69)-INT(T$4),0)*E$13</f>
        <v>38256.464735259207</v>
      </c>
      <c r="Z69" s="1">
        <f>MAX(求节点(节奏总纲!$O$4:$O$163,节奏总纲!S$4:S$163,$Q69)-INT(U$4),0)*F$13</f>
        <v>35825.511879333077</v>
      </c>
      <c r="AA69" s="1">
        <f>MAX(求节点(节奏总纲!$O$4:$O$163,节奏总纲!T$4:T$163,$Q69)-INT(V$4),0)*G$13</f>
        <v>19401.866200399294</v>
      </c>
    </row>
    <row r="70" spans="2:27">
      <c r="B70" s="115"/>
      <c r="Q70" s="16">
        <v>58</v>
      </c>
      <c r="R70" s="16">
        <f>节奏总纲!P61</f>
        <v>54.715236050951923</v>
      </c>
      <c r="S70" s="16">
        <f>节奏总纲!Q61</f>
        <v>47.459995750595695</v>
      </c>
      <c r="T70" s="16">
        <f>节奏总纲!R61</f>
        <v>38.913475879437009</v>
      </c>
      <c r="U70" s="16">
        <f>节奏总纲!S61</f>
        <v>28.572296265807093</v>
      </c>
      <c r="V70" s="16">
        <f>节奏总纲!T61</f>
        <v>15.856475407565867</v>
      </c>
      <c r="W70" s="1">
        <f>MAX(求节点(节奏总纲!$O$4:$O$163,节奏总纲!P$4:P$163,$Q70)-INT(R$4),0)*C$13</f>
        <v>30400.371492909919</v>
      </c>
      <c r="X70" s="1">
        <f>MAX(求节点(节奏总纲!$O$4:$O$163,节奏总纲!Q$4:Q$163,$Q70)-INT(S$4),0)*D$13</f>
        <v>38531.824572384525</v>
      </c>
      <c r="Y70" s="1">
        <f>MAX(求节点(节奏总纲!$O$4:$O$163,节奏总纲!R$4:R$163,$Q70)-INT(T$4),0)*E$13</f>
        <v>41429.594409126919</v>
      </c>
      <c r="Z70" s="1">
        <f>MAX(求节点(节奏总纲!$O$4:$O$163,节奏总纲!S$4:S$163,$Q70)-INT(U$4),0)*F$13</f>
        <v>38713.363403295567</v>
      </c>
      <c r="AA70" s="1">
        <f>MAX(求节点(节奏总纲!$O$4:$O$163,节奏总纲!T$4:T$163,$Q70)-INT(V$4),0)*G$13</f>
        <v>20977.027732123963</v>
      </c>
    </row>
    <row r="71" spans="2:27">
      <c r="B71" s="115"/>
      <c r="Q71" s="16">
        <v>59</v>
      </c>
      <c r="R71" s="16">
        <f>节奏总纲!P62</f>
        <v>58.714111458355703</v>
      </c>
      <c r="S71" s="16">
        <f>节奏总纲!Q62</f>
        <v>50.940363101269412</v>
      </c>
      <c r="T71" s="16">
        <f>节奏总纲!R62</f>
        <v>41.728119013453394</v>
      </c>
      <c r="U71" s="16">
        <f>节奏总纲!S62</f>
        <v>30.607666303240826</v>
      </c>
      <c r="V71" s="16">
        <f>节奏总纲!T62</f>
        <v>17.003606678339814</v>
      </c>
      <c r="W71" s="1">
        <f>MAX(求节点(节奏总纲!$O$4:$O$163,节奏总纲!P$4:P$163,$Q71)-INT(R$4),0)*C$13</f>
        <v>32948.138369911692</v>
      </c>
      <c r="X71" s="1">
        <f>MAX(求节点(节奏总纲!$O$4:$O$163,节奏总纲!Q$4:Q$163,$Q71)-INT(S$4),0)*D$13</f>
        <v>41766.386027970002</v>
      </c>
      <c r="Y71" s="1">
        <f>MAX(求节点(节奏总纲!$O$4:$O$163,节奏总纲!R$4:R$163,$Q71)-INT(T$4),0)*E$13</f>
        <v>44868.036515836407</v>
      </c>
      <c r="Z71" s="1">
        <f>MAX(求节点(节奏总纲!$O$4:$O$163,节奏总纲!S$4:S$163,$Q71)-INT(U$4),0)*F$13</f>
        <v>41794.667448122782</v>
      </c>
      <c r="AA71" s="1">
        <f>MAX(求节点(节奏总纲!$O$4:$O$163,节奏总纲!T$4:T$163,$Q71)-INT(V$4),0)*G$13</f>
        <v>22713.645722747511</v>
      </c>
    </row>
    <row r="72" spans="2:27">
      <c r="B72" s="115"/>
      <c r="Q72" s="16">
        <v>60</v>
      </c>
      <c r="R72" s="16">
        <f>节奏总纲!P63</f>
        <v>63</v>
      </c>
      <c r="S72" s="16">
        <f>节奏总纲!Q63</f>
        <v>54.589500000000001</v>
      </c>
      <c r="T72" s="16">
        <f>节奏总纲!R63</f>
        <v>44.717399999999998</v>
      </c>
      <c r="U72" s="16">
        <f>节奏总纲!S63</f>
        <v>32.810400000000001</v>
      </c>
      <c r="V72" s="16">
        <f>节奏总纲!T63</f>
        <v>18.276300000000003</v>
      </c>
      <c r="W72" s="1">
        <f>MAX(求节点(节奏总纲!$O$4:$O$163,节奏总纲!P$4:P$163,$Q72)-INT(R$4),0)*C$13</f>
        <v>35678.767297411119</v>
      </c>
      <c r="X72" s="1">
        <f>MAX(求节点(节奏总纲!$O$4:$O$163,节奏总纲!Q$4:Q$163,$Q72)-INT(S$4),0)*D$13</f>
        <v>45157.797442200121</v>
      </c>
      <c r="Y72" s="1">
        <f>MAX(求节点(节奏总纲!$O$4:$O$163,节奏总纲!R$4:R$163,$Q72)-INT(T$4),0)*E$13</f>
        <v>48519.820817976673</v>
      </c>
      <c r="Z72" s="1">
        <f>MAX(求节点(节奏总纲!$O$4:$O$163,节奏总纲!S$4:S$163,$Q72)-INT(U$4),0)*F$13</f>
        <v>45129.339829395976</v>
      </c>
      <c r="AA72" s="1">
        <f>MAX(求节点(节奏总纲!$O$4:$O$163,节奏总纲!T$4:T$163,$Q72)-INT(V$4),0)*G$13</f>
        <v>24640.3494708289</v>
      </c>
    </row>
    <row r="73" spans="2:27">
      <c r="B73" s="115"/>
      <c r="Q73" s="16">
        <v>61</v>
      </c>
      <c r="R73" s="16">
        <f>节奏总纲!P64</f>
        <v>67.593501602322732</v>
      </c>
      <c r="S73" s="16">
        <f>节奏总纲!Q64</f>
        <v>58.596806539053574</v>
      </c>
      <c r="T73" s="16">
        <f>节奏总纲!R64</f>
        <v>47.977867437328676</v>
      </c>
      <c r="U73" s="16">
        <f>节奏总纲!S64</f>
        <v>35.229733035130607</v>
      </c>
      <c r="V73" s="16">
        <f>节奏总纲!T64</f>
        <v>19.602115464673592</v>
      </c>
      <c r="W73" s="1">
        <f>MAX(求节点(节奏总纲!$O$4:$O$163,节奏总纲!P$4:P$163,$Q73)-INT(R$4),0)*C$13</f>
        <v>38605.382917938936</v>
      </c>
      <c r="X73" s="1">
        <f>MAX(求节点(节奏总纲!$O$4:$O$163,节奏总纲!Q$4:Q$163,$Q73)-INT(S$4),0)*D$13</f>
        <v>48882.082256396294</v>
      </c>
      <c r="Y73" s="1">
        <f>MAX(求节点(节奏总纲!$O$4:$O$163,节奏总纲!R$4:R$163,$Q73)-INT(T$4),0)*E$13</f>
        <v>52502.893623397846</v>
      </c>
      <c r="Z73" s="1">
        <f>MAX(求节点(节奏总纲!$O$4:$O$163,节奏总纲!S$4:S$163,$Q73)-INT(U$4),0)*F$13</f>
        <v>48791.917409800575</v>
      </c>
      <c r="AA73" s="1">
        <f>MAX(求节点(节奏总纲!$O$4:$O$163,节奏总纲!T$4:T$163,$Q73)-INT(V$4),0)*G$13</f>
        <v>26647.473717948124</v>
      </c>
    </row>
    <row r="74" spans="2:27">
      <c r="B74" s="115"/>
      <c r="Q74" s="16">
        <v>62</v>
      </c>
      <c r="R74" s="16">
        <f>节奏总纲!P65</f>
        <v>72.516694719810218</v>
      </c>
      <c r="S74" s="16">
        <f>节奏总纲!Q65</f>
        <v>62.842967644187539</v>
      </c>
      <c r="T74" s="16">
        <f>节奏总纲!R65</f>
        <v>51.5086082594812</v>
      </c>
      <c r="U74" s="16">
        <f>节奏总纲!S65</f>
        <v>37.846462974268952</v>
      </c>
      <c r="V74" s="16">
        <f>节奏总纲!T65</f>
        <v>21.124113171880715</v>
      </c>
      <c r="W74" s="1">
        <f>MAX(求节点(节奏总纲!$O$4:$O$163,节奏总纲!P$4:P$163,$Q74)-INT(R$4),0)*C$13</f>
        <v>41742.051875064863</v>
      </c>
      <c r="X74" s="1">
        <f>MAX(求节点(节奏总纲!$O$4:$O$163,节奏总纲!Q$4:Q$163,$Q74)-INT(S$4),0)*D$13</f>
        <v>52828.352193164283</v>
      </c>
      <c r="Y74" s="1">
        <f>MAX(求节点(节奏总纲!$O$4:$O$163,节奏总纲!R$4:R$163,$Q74)-INT(T$4),0)*E$13</f>
        <v>56816.139506702297</v>
      </c>
      <c r="Z74" s="1">
        <f>MAX(求节点(节奏总纲!$O$4:$O$163,节奏总纲!S$4:S$163,$Q74)-INT(U$4),0)*F$13</f>
        <v>52753.330026374955</v>
      </c>
      <c r="AA74" s="1">
        <f>MAX(求节点(节奏总纲!$O$4:$O$163,节奏总纲!T$4:T$163,$Q74)-INT(V$4),0)*G$13</f>
        <v>28951.59415068676</v>
      </c>
    </row>
    <row r="75" spans="2:27">
      <c r="B75" s="115"/>
      <c r="Q75" s="16">
        <v>63</v>
      </c>
      <c r="R75" s="16">
        <f>节奏总纲!P66</f>
        <v>77.793242454074615</v>
      </c>
      <c r="S75" s="16">
        <f>节奏总纲!Q66</f>
        <v>67.470079180418907</v>
      </c>
      <c r="T75" s="16">
        <f>节奏总纲!R66</f>
        <v>55.27987808786542</v>
      </c>
      <c r="U75" s="16">
        <f>节奏总纲!S66</f>
        <v>40.678086479235617</v>
      </c>
      <c r="V75" s="16">
        <f>节奏总纲!T66</f>
        <v>22.700068148098975</v>
      </c>
      <c r="W75" s="1">
        <f>MAX(求节点(节奏总纲!$O$4:$O$163,节奏总纲!P$4:P$163,$Q75)-INT(R$4),0)*C$13</f>
        <v>45103.850424073818</v>
      </c>
      <c r="X75" s="1">
        <f>MAX(求节点(节奏总纲!$O$4:$O$163,节奏总纲!Q$4:Q$163,$Q75)-INT(S$4),0)*D$13</f>
        <v>57128.667394917822</v>
      </c>
      <c r="Y75" s="1">
        <f>MAX(求节点(节奏总纲!$O$4:$O$163,节奏总纲!R$4:R$163,$Q75)-INT(T$4),0)*E$13</f>
        <v>61423.221952417371</v>
      </c>
      <c r="Z75" s="1">
        <f>MAX(求节点(节奏总纲!$O$4:$O$163,节奏总纲!S$4:S$163,$Q75)-INT(U$4),0)*F$13</f>
        <v>57040.06550877526</v>
      </c>
      <c r="AA75" s="1">
        <f>MAX(求节点(节奏总纲!$O$4:$O$163,节奏总纲!T$4:T$163,$Q75)-INT(V$4),0)*G$13</f>
        <v>31337.399362209635</v>
      </c>
    </row>
    <row r="76" spans="2:27">
      <c r="B76" s="115" t="s">
        <v>662</v>
      </c>
      <c r="Q76" s="16">
        <v>64</v>
      </c>
      <c r="R76" s="16">
        <f>节奏总纲!P67</f>
        <v>83.4485062894652</v>
      </c>
      <c r="S76" s="16">
        <f>节奏总纲!Q67</f>
        <v>72.399924056740005</v>
      </c>
      <c r="T76" s="16">
        <f>节奏总纲!R67</f>
        <v>59.365267374325548</v>
      </c>
      <c r="U76" s="16">
        <f>节奏总纲!S67</f>
        <v>43.718672445050821</v>
      </c>
      <c r="V76" s="16">
        <f>节奏总纲!T67</f>
        <v>24.341929284637001</v>
      </c>
      <c r="W76" s="1">
        <f>MAX(求节点(节奏总纲!$O$4:$O$163,节奏总纲!P$4:P$163,$Q76)-INT(R$4),0)*C$13</f>
        <v>48706.936895294624</v>
      </c>
      <c r="X76" s="1">
        <f>MAX(求节点(节奏总纲!$O$4:$O$163,节奏总纲!Q$4:Q$163,$Q76)-INT(S$4),0)*D$13</f>
        <v>61710.334963968264</v>
      </c>
      <c r="Y76" s="1">
        <f>MAX(求节点(节奏总纲!$O$4:$O$163,节奏总纲!R$4:R$163,$Q76)-INT(T$4),0)*E$13</f>
        <v>66414.040992705181</v>
      </c>
      <c r="Z76" s="1">
        <f>MAX(求节点(节奏总纲!$O$4:$O$163,节奏总纲!S$4:S$163,$Q76)-INT(U$4),0)*F$13</f>
        <v>61643.144881469569</v>
      </c>
      <c r="AA76" s="1">
        <f>MAX(求节点(节奏总纲!$O$4:$O$163,节奏总纲!T$4:T$163,$Q76)-INT(V$4),0)*G$13</f>
        <v>33822.97852865835</v>
      </c>
    </row>
    <row r="77" spans="2:27">
      <c r="B77" s="115" t="s">
        <v>682</v>
      </c>
      <c r="Q77" s="16">
        <v>65</v>
      </c>
      <c r="R77" s="16">
        <f>节奏总纲!P68</f>
        <v>89.509667991878061</v>
      </c>
      <c r="S77" s="16">
        <f>节奏总纲!Q68</f>
        <v>77.64963698295422</v>
      </c>
      <c r="T77" s="16">
        <f>节奏总纲!R68</f>
        <v>63.802491344610679</v>
      </c>
      <c r="U77" s="16">
        <f>节奏总纲!S68</f>
        <v>46.929918928141667</v>
      </c>
      <c r="V77" s="16">
        <f>节奏总纲!T68</f>
        <v>25.993607584841389</v>
      </c>
      <c r="W77" s="1">
        <f>MAX(求节点(节奏总纲!$O$4:$O$163,节奏总纲!P$4:P$163,$Q77)-INT(R$4),0)*C$13</f>
        <v>52568.629358372636</v>
      </c>
      <c r="X77" s="1">
        <f>MAX(求节点(节奏总纲!$O$4:$O$163,节奏总纲!Q$4:Q$163,$Q77)-INT(S$4),0)*D$13</f>
        <v>66589.279446864384</v>
      </c>
      <c r="Y77" s="1">
        <f>MAX(求节点(节奏总纲!$O$4:$O$163,节奏总纲!R$4:R$163,$Q77)-INT(T$4),0)*E$13</f>
        <v>71834.670539640923</v>
      </c>
      <c r="Z77" s="1">
        <f>MAX(求节点(节奏总纲!$O$4:$O$163,节奏总纲!S$4:S$163,$Q77)-INT(U$4),0)*F$13</f>
        <v>66504.583634769078</v>
      </c>
      <c r="AA77" s="1">
        <f>MAX(求节点(节奏总纲!$O$4:$O$163,节奏总纲!T$4:T$163,$Q77)-INT(V$4),0)*G$13</f>
        <v>36323.419693445234</v>
      </c>
    </row>
    <row r="78" spans="2:27">
      <c r="B78" s="115" t="s">
        <v>683</v>
      </c>
      <c r="Q78" s="16">
        <v>66</v>
      </c>
      <c r="R78" s="16">
        <f>节奏总纲!P69</f>
        <v>96.005860256665443</v>
      </c>
      <c r="S78" s="16">
        <f>节奏总纲!Q69</f>
        <v>83.352287874836932</v>
      </c>
      <c r="T78" s="16">
        <f>节奏总纲!R69</f>
        <v>68.490580707105124</v>
      </c>
      <c r="U78" s="16">
        <f>节奏总纲!S69</f>
        <v>50.163061984107692</v>
      </c>
      <c r="V78" s="16">
        <f>节奏总纲!T69</f>
        <v>27.851300060458648</v>
      </c>
      <c r="W78" s="1">
        <f>MAX(求节点(节奏总纲!$O$4:$O$163,节奏总纲!P$4:P$163,$Q78)-INT(R$4),0)*C$13</f>
        <v>56707.488860776051</v>
      </c>
      <c r="X78" s="1">
        <f>MAX(求节点(节奏总纲!$O$4:$O$163,节奏总纲!Q$4:Q$163,$Q78)-INT(S$4),0)*D$13</f>
        <v>71889.17250728322</v>
      </c>
      <c r="Y78" s="1">
        <f>MAX(求节点(节奏总纲!$O$4:$O$163,节奏总纲!R$4:R$163,$Q78)-INT(T$4),0)*E$13</f>
        <v>77561.763850051299</v>
      </c>
      <c r="Z78" s="1">
        <f>MAX(求节点(节奏总纲!$O$4:$O$163,节奏总纲!S$4:S$163,$Q78)-INT(U$4),0)*F$13</f>
        <v>71399.171150862196</v>
      </c>
      <c r="AA78" s="1">
        <f>MAX(求节点(节奏总纲!$O$4:$O$163,节奏总纲!T$4:T$163,$Q78)-INT(V$4),0)*G$13</f>
        <v>39135.741400991705</v>
      </c>
    </row>
    <row r="79" spans="2:27">
      <c r="B79" s="105" t="s">
        <v>607</v>
      </c>
      <c r="C79" s="106" t="s">
        <v>608</v>
      </c>
      <c r="D79" s="106" t="s">
        <v>609</v>
      </c>
      <c r="E79" s="106" t="s">
        <v>588</v>
      </c>
      <c r="F79" s="106" t="s">
        <v>610</v>
      </c>
      <c r="G79" s="106" t="s">
        <v>684</v>
      </c>
      <c r="H79" s="106" t="s">
        <v>685</v>
      </c>
      <c r="I79" s="106" t="s">
        <v>686</v>
      </c>
      <c r="J79" s="106" t="s">
        <v>687</v>
      </c>
      <c r="K79" s="106">
        <v>240</v>
      </c>
      <c r="L79" s="107">
        <v>540</v>
      </c>
      <c r="Q79" s="16">
        <v>67</v>
      </c>
      <c r="R79" s="16">
        <f>节奏总纲!P70</f>
        <v>102.96830673359811</v>
      </c>
      <c r="S79" s="16">
        <f>节奏总纲!Q70</f>
        <v>89.469161720823394</v>
      </c>
      <c r="T79" s="16">
        <f>节奏总纲!R70</f>
        <v>73.292840732975137</v>
      </c>
      <c r="U79" s="16">
        <f>节奏总纲!S70</f>
        <v>53.625894146857902</v>
      </c>
      <c r="V79" s="16">
        <f>节奏总纲!T70</f>
        <v>29.799027968703292</v>
      </c>
      <c r="W79" s="1">
        <f>MAX(求节点(节奏总纲!$O$4:$O$163,节奏总纲!P$4:P$163,$Q79)-INT(R$4),0)*C$13</f>
        <v>61143.408640618203</v>
      </c>
      <c r="X79" s="1">
        <f>MAX(求节点(节奏总纲!$O$4:$O$163,节奏总纲!Q$4:Q$163,$Q79)-INT(S$4),0)*D$13</f>
        <v>77574.033436425292</v>
      </c>
      <c r="Y79" s="1">
        <f>MAX(求节点(节奏总纲!$O$4:$O$163,节奏总纲!R$4:R$163,$Q79)-INT(T$4),0)*E$13</f>
        <v>83428.331046709311</v>
      </c>
      <c r="Z79" s="1">
        <f>MAX(求节点(节奏总纲!$O$4:$O$163,节奏总纲!S$4:S$163,$Q79)-INT(U$4),0)*F$13</f>
        <v>76641.480192167131</v>
      </c>
      <c r="AA79" s="1">
        <f>MAX(求节点(节奏总纲!$O$4:$O$163,节奏总纲!T$4:T$163,$Q79)-INT(V$4),0)*G$13</f>
        <v>42084.365863138177</v>
      </c>
    </row>
    <row r="80" spans="2:27">
      <c r="B80" s="108">
        <v>1</v>
      </c>
      <c r="C80" s="1" t="s">
        <v>611</v>
      </c>
      <c r="D80" s="1">
        <v>0</v>
      </c>
      <c r="E80" s="1" t="s">
        <v>611</v>
      </c>
      <c r="F80" s="1" t="s">
        <v>688</v>
      </c>
      <c r="G80" s="1">
        <v>1</v>
      </c>
      <c r="H80" s="1">
        <v>1</v>
      </c>
      <c r="I80" s="1" t="s">
        <v>688</v>
      </c>
      <c r="L80" s="109"/>
      <c r="Q80" s="16">
        <v>68</v>
      </c>
      <c r="R80" s="16">
        <f>节奏总纲!P71</f>
        <v>110.43047210190386</v>
      </c>
      <c r="S80" s="16">
        <f>节奏总纲!Q71</f>
        <v>95.831563690032169</v>
      </c>
      <c r="T80" s="16">
        <f>节奏总纲!R71</f>
        <v>78.251032531409081</v>
      </c>
      <c r="U80" s="16">
        <f>节奏总纲!S71</f>
        <v>57.412802445779818</v>
      </c>
      <c r="V80" s="16">
        <f>节奏总纲!T71</f>
        <v>31.859191201399263</v>
      </c>
      <c r="W80" s="1">
        <f>MAX(求节点(节奏总纲!$O$4:$O$163,节奏总纲!P$4:P$163,$Q80)-INT(R$4),0)*C$13</f>
        <v>65897.709742592866</v>
      </c>
      <c r="X80" s="1">
        <f>MAX(求节点(节奏总纲!$O$4:$O$163,节奏总纲!Q$4:Q$163,$Q80)-INT(S$4),0)*D$13</f>
        <v>83487.081715814566</v>
      </c>
      <c r="Y80" s="1">
        <f>MAX(求节点(节奏总纲!$O$4:$O$163,节奏总纲!R$4:R$163,$Q80)-INT(T$4),0)*E$13</f>
        <v>89485.388599348109</v>
      </c>
      <c r="Z80" s="1">
        <f>MAX(求节点(节奏总纲!$O$4:$O$163,节奏总纲!S$4:S$163,$Q80)-INT(U$4),0)*F$13</f>
        <v>82374.401304423489</v>
      </c>
      <c r="AA80" s="1">
        <f>MAX(求节点(节奏总纲!$O$4:$O$163,节奏总纲!T$4:T$163,$Q80)-INT(V$4),0)*G$13</f>
        <v>45203.203806686848</v>
      </c>
    </row>
    <row r="81" spans="2:27">
      <c r="B81" s="108">
        <v>2</v>
      </c>
      <c r="C81" s="1" t="s">
        <v>612</v>
      </c>
      <c r="D81" s="1">
        <v>0</v>
      </c>
      <c r="E81" s="1" t="s">
        <v>612</v>
      </c>
      <c r="F81" s="1" t="s">
        <v>688</v>
      </c>
      <c r="G81" s="1">
        <v>1</v>
      </c>
      <c r="H81" s="1">
        <v>1</v>
      </c>
      <c r="I81" s="1" t="s">
        <v>688</v>
      </c>
      <c r="L81" s="109"/>
      <c r="Q81" s="16">
        <v>69</v>
      </c>
      <c r="R81" s="16">
        <f>节奏总纲!P72</f>
        <v>118.42822291671132</v>
      </c>
      <c r="S81" s="16">
        <f>节奏总纲!Q72</f>
        <v>102.51146975670532</v>
      </c>
      <c r="T81" s="16">
        <f>节奏总纲!R72</f>
        <v>83.894553114198303</v>
      </c>
      <c r="U81" s="16">
        <f>节奏总纲!S72</f>
        <v>61.535304627523196</v>
      </c>
      <c r="V81" s="16">
        <f>节奏总纲!T72</f>
        <v>34.059956910846175</v>
      </c>
      <c r="W81" s="1">
        <f>MAX(求节点(节奏总纲!$O$4:$O$163,节奏总纲!P$4:P$163,$Q81)-INT(R$4),0)*C$13</f>
        <v>70993.243496596348</v>
      </c>
      <c r="X81" s="1">
        <f>MAX(求节点(节奏总纲!$O$4:$O$163,节奏总纲!Q$4:Q$163,$Q81)-INT(S$4),0)*D$13</f>
        <v>89695.209914123872</v>
      </c>
      <c r="Y81" s="1">
        <f>MAX(求节点(节奏总纲!$O$4:$O$163,节奏总纲!R$4:R$163,$Q81)-INT(T$4),0)*E$13</f>
        <v>96379.661826183117</v>
      </c>
      <c r="Z81" s="1">
        <f>MAX(求节点(节奏总纲!$O$4:$O$163,节奏总纲!S$4:S$163,$Q81)-INT(U$4),0)*F$13</f>
        <v>88615.370962909219</v>
      </c>
      <c r="AA81" s="1">
        <f>MAX(求节点(节奏总纲!$O$4:$O$163,节奏总纲!T$4:T$163,$Q81)-INT(V$4),0)*G$13</f>
        <v>48534.896893210731</v>
      </c>
    </row>
    <row r="82" spans="2:27">
      <c r="B82" s="108">
        <v>3</v>
      </c>
      <c r="C82" s="1" t="s">
        <v>733</v>
      </c>
      <c r="D82" s="1">
        <v>1</v>
      </c>
      <c r="E82" s="1" t="s">
        <v>734</v>
      </c>
      <c r="F82" s="139">
        <v>15</v>
      </c>
      <c r="G82" s="130">
        <f t="shared" ref="G82:G92" si="4">34*F82/SUM($F$82:$F$92)</f>
        <v>1.5</v>
      </c>
      <c r="H82" s="130">
        <f t="shared" ref="H82:H92" si="5">$D$47*F82/SUM($F$82:$F$92)</f>
        <v>0.48390947288006098</v>
      </c>
      <c r="I82" s="131">
        <f>H82/$D$46</f>
        <v>4.8069443864754813E-2</v>
      </c>
      <c r="J82" s="1">
        <v>2</v>
      </c>
      <c r="K82" s="1">
        <f t="shared" ref="K82:K92" si="6">I82*$K$79</f>
        <v>11.536666527541154</v>
      </c>
      <c r="L82" s="109">
        <f>I82*$L$79</f>
        <v>25.957499686967598</v>
      </c>
      <c r="Q82" s="16">
        <v>70</v>
      </c>
      <c r="R82" s="16">
        <f>节奏总纲!P73</f>
        <v>127</v>
      </c>
      <c r="S82" s="16">
        <f>节奏总纲!Q73</f>
        <v>109.9693</v>
      </c>
      <c r="T82" s="16">
        <f>节奏总纲!R73</f>
        <v>90.106499999999997</v>
      </c>
      <c r="U82" s="16">
        <f>节奏总纲!S73</f>
        <v>65.925700000000006</v>
      </c>
      <c r="V82" s="16">
        <f>节奏总纲!T73</f>
        <v>36.4998</v>
      </c>
      <c r="W82" s="1">
        <f>MAX(求节点(节奏总纲!$O$4:$O$163,节奏总纲!P$4:P$163,$Q82)-INT(R$4),0)*C$13</f>
        <v>76454.501351595245</v>
      </c>
      <c r="X82" s="1">
        <f>MAX(求节点(节奏总纲!$O$4:$O$163,节奏总纲!Q$4:Q$163,$Q82)-INT(S$4),0)*D$13</f>
        <v>96626.320287455863</v>
      </c>
      <c r="Y82" s="1">
        <f>MAX(求节点(节奏总纲!$O$4:$O$163,节奏总纲!R$4:R$163,$Q82)-INT(T$4),0)*E$13</f>
        <v>103968.33958026285</v>
      </c>
      <c r="Z82" s="1">
        <f>MAX(求节点(节奏总纲!$O$4:$O$163,节奏总纲!S$4:S$163,$Q82)-INT(U$4),0)*F$13</f>
        <v>95261.898508662169</v>
      </c>
      <c r="AA82" s="1">
        <f>MAX(求节点(节奏总纲!$O$4:$O$163,节奏总纲!T$4:T$163,$Q82)-INT(V$4),0)*G$13</f>
        <v>52228.524214575962</v>
      </c>
    </row>
    <row r="83" spans="2:27">
      <c r="B83" s="108">
        <v>4</v>
      </c>
      <c r="C83" s="1" t="s">
        <v>605</v>
      </c>
      <c r="D83" s="1">
        <v>1</v>
      </c>
      <c r="E83" s="1" t="s">
        <v>735</v>
      </c>
      <c r="F83" s="139">
        <v>15</v>
      </c>
      <c r="G83" s="130">
        <f t="shared" si="4"/>
        <v>1.5</v>
      </c>
      <c r="H83" s="130">
        <f t="shared" si="5"/>
        <v>0.48390947288006098</v>
      </c>
      <c r="I83" s="131">
        <f t="shared" ref="I83:I92" si="7">H83/$D$46</f>
        <v>4.8069443864754813E-2</v>
      </c>
      <c r="J83" s="1">
        <v>2</v>
      </c>
      <c r="K83" s="1">
        <f t="shared" si="6"/>
        <v>11.536666527541154</v>
      </c>
      <c r="L83" s="109">
        <f t="shared" ref="L83:L92" si="8">I83*$L$79</f>
        <v>25.957499686967598</v>
      </c>
      <c r="Q83" s="16">
        <v>71</v>
      </c>
      <c r="R83" s="16">
        <f>节奏总纲!P74</f>
        <v>136.18700320464549</v>
      </c>
      <c r="S83" s="16">
        <f>节奏总纲!Q74</f>
        <v>118.03327567746625</v>
      </c>
      <c r="T83" s="16">
        <f>节奏总纲!R74</f>
        <v>96.583822672734584</v>
      </c>
      <c r="U83" s="16">
        <f>节奏总纲!S74</f>
        <v>70.612961161608681</v>
      </c>
      <c r="V83" s="16">
        <f>节奏总纲!T74</f>
        <v>39.126526020694648</v>
      </c>
      <c r="W83" s="1">
        <f>MAX(求节点(节奏总纲!$O$4:$O$163,节奏总纲!P$4:P$163,$Q83)-INT(R$4),0)*C$13</f>
        <v>82307.732592650907</v>
      </c>
      <c r="X83" s="1">
        <f>MAX(求节点(节奏总纲!$O$4:$O$163,节奏总纲!Q$4:Q$163,$Q83)-INT(S$4),0)*D$13</f>
        <v>104120.76621140752</v>
      </c>
      <c r="Y83" s="1">
        <f>MAX(求节点(节奏总纲!$O$4:$O$163,节奏总纲!R$4:R$163,$Q83)-INT(T$4),0)*E$13</f>
        <v>111881.20737778484</v>
      </c>
      <c r="Z83" s="1">
        <f>MAX(求节点(节奏总纲!$O$4:$O$163,节奏总纲!S$4:S$163,$Q83)-INT(U$4),0)*F$13</f>
        <v>102357.84495122473</v>
      </c>
      <c r="AA83" s="1">
        <f>MAX(求节点(节奏总纲!$O$4:$O$163,节奏总纲!T$4:T$163,$Q83)-INT(V$4),0)*G$13</f>
        <v>56205.069689532545</v>
      </c>
    </row>
    <row r="84" spans="2:27">
      <c r="B84" s="108">
        <v>5</v>
      </c>
      <c r="C84" s="1" t="s">
        <v>606</v>
      </c>
      <c r="D84" s="1">
        <v>1</v>
      </c>
      <c r="E84" s="1" t="s">
        <v>736</v>
      </c>
      <c r="F84" s="139">
        <v>15</v>
      </c>
      <c r="G84" s="130">
        <f t="shared" si="4"/>
        <v>1.5</v>
      </c>
      <c r="H84" s="130">
        <f t="shared" si="5"/>
        <v>0.48390947288006098</v>
      </c>
      <c r="I84" s="131">
        <f t="shared" si="7"/>
        <v>4.8069443864754813E-2</v>
      </c>
      <c r="J84" s="1">
        <v>2</v>
      </c>
      <c r="K84" s="1">
        <f t="shared" si="6"/>
        <v>11.536666527541154</v>
      </c>
      <c r="L84" s="109">
        <f t="shared" si="8"/>
        <v>25.957499686967598</v>
      </c>
      <c r="Q84" s="16">
        <v>72</v>
      </c>
      <c r="R84" s="16">
        <f>节奏总纲!P75</f>
        <v>146.03338943962044</v>
      </c>
      <c r="S84" s="16">
        <f>节奏总纲!Q75</f>
        <v>126.581741966263</v>
      </c>
      <c r="T84" s="16">
        <f>节奏总纲!R75</f>
        <v>103.31862302853146</v>
      </c>
      <c r="U84" s="16">
        <f>节奏总纲!S75</f>
        <v>75.586882373947532</v>
      </c>
      <c r="V84" s="16">
        <f>节奏总纲!T75</f>
        <v>41.896979430227098</v>
      </c>
      <c r="W84" s="1">
        <f>MAX(求节点(节奏总纲!$O$4:$O$163,节奏总纲!P$4:P$163,$Q84)-INT(R$4),0)*C$13</f>
        <v>88581.070506902746</v>
      </c>
      <c r="X84" s="1">
        <f>MAX(求节点(节奏总纲!$O$4:$O$163,节奏总纲!Q$4:Q$163,$Q84)-INT(S$4),0)*D$13</f>
        <v>112065.48490805927</v>
      </c>
      <c r="Y84" s="1">
        <f>MAX(求节点(节奏总纲!$O$4:$O$163,节奏总纲!R$4:R$163,$Q84)-INT(T$4),0)*E$13</f>
        <v>120108.61668725903</v>
      </c>
      <c r="Z84" s="1">
        <f>MAX(求节点(节奏总纲!$O$4:$O$163,节奏总纲!S$4:S$163,$Q84)-INT(U$4),0)*F$13</f>
        <v>109887.76003711025</v>
      </c>
      <c r="AA84" s="1">
        <f>MAX(求节点(节奏总纲!$O$4:$O$163,节奏总纲!T$4:T$163,$Q84)-INT(V$4),0)*G$13</f>
        <v>60399.201046384478</v>
      </c>
    </row>
    <row r="85" spans="2:27">
      <c r="B85" s="108">
        <v>6</v>
      </c>
      <c r="C85" s="1" t="s">
        <v>613</v>
      </c>
      <c r="D85" s="1">
        <v>2</v>
      </c>
      <c r="E85" s="1" t="s">
        <v>614</v>
      </c>
      <c r="F85" s="139">
        <v>10</v>
      </c>
      <c r="G85" s="130">
        <f t="shared" si="4"/>
        <v>1</v>
      </c>
      <c r="H85" s="130">
        <f t="shared" si="5"/>
        <v>0.32260631525337402</v>
      </c>
      <c r="I85" s="131">
        <f t="shared" si="7"/>
        <v>3.2046295909836549E-2</v>
      </c>
      <c r="J85" s="1">
        <v>0</v>
      </c>
      <c r="K85" s="1">
        <f t="shared" si="6"/>
        <v>7.6911110183607718</v>
      </c>
      <c r="L85" s="109">
        <f t="shared" si="8"/>
        <v>17.304999791311737</v>
      </c>
      <c r="Q85" s="16">
        <v>73</v>
      </c>
      <c r="R85" s="16">
        <f>节奏总纲!P76</f>
        <v>156.58648490814926</v>
      </c>
      <c r="S85" s="16">
        <f>节奏总纲!Q76</f>
        <v>135.41599214856748</v>
      </c>
      <c r="T85" s="16">
        <f>节奏总纲!R76</f>
        <v>110.58137564213501</v>
      </c>
      <c r="U85" s="16">
        <f>节奏总纲!S76</f>
        <v>80.955212697513176</v>
      </c>
      <c r="V85" s="16">
        <f>节奏总纲!T76</f>
        <v>44.877686574675579</v>
      </c>
      <c r="W85" s="1">
        <f>MAX(求节点(节奏总纲!$O$4:$O$163,节奏总纲!P$4:P$163,$Q85)-INT(R$4),0)*C$13</f>
        <v>95304.667604920673</v>
      </c>
      <c r="X85" s="1">
        <f>MAX(求节点(节奏总纲!$O$4:$O$163,节奏总纲!Q$4:Q$163,$Q85)-INT(S$4),0)*D$13</f>
        <v>120275.80360420195</v>
      </c>
      <c r="Y85" s="1">
        <f>MAX(求节点(节奏总纲!$O$4:$O$163,节奏总纲!R$4:R$163,$Q85)-INT(T$4),0)*E$13</f>
        <v>128980.98636546898</v>
      </c>
      <c r="Z85" s="1">
        <f>MAX(求节点(节奏总纲!$O$4:$O$163,节奏总纲!S$4:S$163,$Q85)-INT(U$4),0)*F$13</f>
        <v>118014.76281092895</v>
      </c>
      <c r="AA85" s="1">
        <f>MAX(求节点(节奏总纲!$O$4:$O$163,节奏总纲!T$4:T$163,$Q85)-INT(V$4),0)*G$13</f>
        <v>64911.631126280219</v>
      </c>
    </row>
    <row r="86" spans="2:27">
      <c r="B86" s="108">
        <v>7</v>
      </c>
      <c r="C86" s="1" t="s">
        <v>615</v>
      </c>
      <c r="D86" s="1">
        <v>2</v>
      </c>
      <c r="E86" s="1" t="s">
        <v>616</v>
      </c>
      <c r="F86" s="139">
        <v>5</v>
      </c>
      <c r="G86" s="130">
        <f t="shared" si="4"/>
        <v>0.5</v>
      </c>
      <c r="H86" s="130">
        <f t="shared" si="5"/>
        <v>0.16130315762668701</v>
      </c>
      <c r="I86" s="131">
        <f t="shared" si="7"/>
        <v>1.6023147954918274E-2</v>
      </c>
      <c r="J86" s="1">
        <v>0</v>
      </c>
      <c r="K86" s="1">
        <f t="shared" si="6"/>
        <v>3.8455555091803859</v>
      </c>
      <c r="L86" s="109">
        <f t="shared" si="8"/>
        <v>8.6524998956558683</v>
      </c>
      <c r="Q86" s="16">
        <v>74</v>
      </c>
      <c r="R86" s="16">
        <f>节奏总纲!P77</f>
        <v>167.89701257893043</v>
      </c>
      <c r="S86" s="16">
        <f>节奏总纲!Q77</f>
        <v>145.16375707574326</v>
      </c>
      <c r="T86" s="16">
        <f>节奏总纲!R77</f>
        <v>118.70318789330381</v>
      </c>
      <c r="U86" s="16">
        <f>节奏总纲!S77</f>
        <v>86.869914308338593</v>
      </c>
      <c r="V86" s="16">
        <f>节奏总纲!T77</f>
        <v>48.169652908895138</v>
      </c>
      <c r="W86" s="1">
        <f>MAX(求节点(节奏总纲!$O$4:$O$163,节奏总纲!P$4:P$163,$Q86)-INT(R$4),0)*C$13</f>
        <v>102510.84054736228</v>
      </c>
      <c r="X86" s="1">
        <f>MAX(求节点(节奏总纲!$O$4:$O$163,节奏总纲!Q$4:Q$163,$Q86)-INT(S$4),0)*D$13</f>
        <v>129335.11876685204</v>
      </c>
      <c r="Y86" s="1">
        <f>MAX(求节点(节奏总纲!$O$4:$O$163,节奏总纲!R$4:R$163,$Q86)-INT(T$4),0)*E$13</f>
        <v>138902.80589907282</v>
      </c>
      <c r="Z86" s="1">
        <f>MAX(求节点(节奏总纲!$O$4:$O$163,节奏总纲!S$4:S$163,$Q86)-INT(U$4),0)*F$13</f>
        <v>126968.90562633619</v>
      </c>
      <c r="AA86" s="1">
        <f>MAX(求节点(节奏总纲!$O$4:$O$163,节奏总纲!T$4:T$163,$Q86)-INT(V$4),0)*G$13</f>
        <v>69895.26997057366</v>
      </c>
    </row>
    <row r="87" spans="2:27">
      <c r="B87" s="108">
        <v>8</v>
      </c>
      <c r="C87" s="1" t="s">
        <v>617</v>
      </c>
      <c r="D87" s="1">
        <v>2</v>
      </c>
      <c r="E87" s="1" t="s">
        <v>618</v>
      </c>
      <c r="F87" s="139">
        <v>15</v>
      </c>
      <c r="G87" s="130">
        <f t="shared" si="4"/>
        <v>1.5</v>
      </c>
      <c r="H87" s="130">
        <f t="shared" si="5"/>
        <v>0.48390947288006098</v>
      </c>
      <c r="I87" s="131">
        <f t="shared" si="7"/>
        <v>4.8069443864754813E-2</v>
      </c>
      <c r="J87" s="1">
        <v>1</v>
      </c>
      <c r="K87" s="1">
        <f t="shared" si="6"/>
        <v>11.536666527541154</v>
      </c>
      <c r="L87" s="109">
        <f t="shared" si="8"/>
        <v>25.957499686967598</v>
      </c>
      <c r="Q87" s="16">
        <v>75</v>
      </c>
      <c r="R87" s="16">
        <f>节奏总纲!P78</f>
        <v>180.01933598375612</v>
      </c>
      <c r="S87" s="16">
        <f>节奏总纲!Q78</f>
        <v>155.75272949314578</v>
      </c>
      <c r="T87" s="16">
        <f>节奏总纲!R78</f>
        <v>127.38168214210583</v>
      </c>
      <c r="U87" s="16">
        <f>节奏总纲!S78</f>
        <v>93.214012172388934</v>
      </c>
      <c r="V87" s="16">
        <f>节奏总纲!T78</f>
        <v>51.755559095329879</v>
      </c>
      <c r="W87" s="1">
        <f>MAX(求节点(节奏总纲!$O$4:$O$163,节奏总纲!P$4:P$163,$Q87)-INT(R$4),0)*C$13</f>
        <v>110234.22547351829</v>
      </c>
      <c r="X87" s="1">
        <f>MAX(求节点(节奏总纲!$O$4:$O$163,节奏总纲!Q$4:Q$163,$Q87)-INT(S$4),0)*D$13</f>
        <v>139176.2299440839</v>
      </c>
      <c r="Y87" s="1">
        <f>MAX(求节点(节奏总纲!$O$4:$O$163,节奏总纲!R$4:R$163,$Q87)-INT(T$4),0)*E$13</f>
        <v>149504.68280747355</v>
      </c>
      <c r="Z87" s="1">
        <f>MAX(求节点(节奏总纲!$O$4:$O$163,节奏总纲!S$4:S$163,$Q87)-INT(U$4),0)*F$13</f>
        <v>136573.10243072905</v>
      </c>
      <c r="AA87" s="1">
        <f>MAX(求节点(节奏总纲!$O$4:$O$163,节奏总纲!T$4:T$163,$Q87)-INT(V$4),0)*G$13</f>
        <v>75323.898197096845</v>
      </c>
    </row>
    <row r="88" spans="2:27">
      <c r="B88" s="108">
        <v>9</v>
      </c>
      <c r="C88" s="1" t="s">
        <v>619</v>
      </c>
      <c r="D88" s="1">
        <v>2</v>
      </c>
      <c r="E88" s="1" t="s">
        <v>620</v>
      </c>
      <c r="F88" s="139">
        <v>10</v>
      </c>
      <c r="G88" s="130">
        <f t="shared" si="4"/>
        <v>1</v>
      </c>
      <c r="H88" s="130">
        <f t="shared" si="5"/>
        <v>0.32260631525337402</v>
      </c>
      <c r="I88" s="131">
        <f t="shared" si="7"/>
        <v>3.2046295909836549E-2</v>
      </c>
      <c r="J88" s="1">
        <v>0</v>
      </c>
      <c r="K88" s="1">
        <f t="shared" si="6"/>
        <v>7.6911110183607718</v>
      </c>
      <c r="L88" s="109">
        <f t="shared" si="8"/>
        <v>17.304999791311737</v>
      </c>
      <c r="Q88" s="16">
        <v>76</v>
      </c>
      <c r="R88" s="16">
        <f>节奏总纲!P79</f>
        <v>193.01172051333091</v>
      </c>
      <c r="S88" s="16">
        <f>节奏总纲!Q79</f>
        <v>166.97443941608256</v>
      </c>
      <c r="T88" s="16">
        <f>节奏总纲!R79</f>
        <v>136.51718991907896</v>
      </c>
      <c r="U88" s="16">
        <f>节奏总纲!S79</f>
        <v>100.0379747420594</v>
      </c>
      <c r="V88" s="16">
        <f>节奏总纲!T79</f>
        <v>55.664580196044632</v>
      </c>
      <c r="W88" s="1">
        <f>MAX(求节点(节奏总纲!$O$4:$O$163,节奏总纲!P$4:P$163,$Q88)-INT(R$4),0)*C$13</f>
        <v>118511.94447832514</v>
      </c>
      <c r="X88" s="1">
        <f>MAX(求节点(节奏总纲!$O$4:$O$163,节奏总纲!Q$4:Q$163,$Q88)-INT(S$4),0)*D$13</f>
        <v>149605.39064042995</v>
      </c>
      <c r="Y88" s="1">
        <f>MAX(求节点(节奏总纲!$O$4:$O$163,节奏总纲!R$4:R$163,$Q88)-INT(T$4),0)*E$13</f>
        <v>160664.85946606574</v>
      </c>
      <c r="Z88" s="1">
        <f>MAX(求节点(节奏总纲!$O$4:$O$163,节奏总纲!S$4:S$163,$Q88)-INT(U$4),0)*F$13</f>
        <v>146903.75635653135</v>
      </c>
      <c r="AA88" s="1">
        <f>MAX(求节点(节奏总纲!$O$4:$O$163,节奏总纲!T$4:T$163,$Q88)-INT(V$4),0)*G$13</f>
        <v>81241.683320893761</v>
      </c>
    </row>
    <row r="89" spans="2:27">
      <c r="B89" s="108">
        <v>10</v>
      </c>
      <c r="C89" s="1" t="s">
        <v>621</v>
      </c>
      <c r="D89" s="1">
        <v>2</v>
      </c>
      <c r="E89" s="1" t="s">
        <v>622</v>
      </c>
      <c r="F89" s="139">
        <v>5</v>
      </c>
      <c r="G89" s="130">
        <f t="shared" si="4"/>
        <v>0.5</v>
      </c>
      <c r="H89" s="130">
        <f t="shared" si="5"/>
        <v>0.16130315762668701</v>
      </c>
      <c r="I89" s="131">
        <f t="shared" si="7"/>
        <v>1.6023147954918274E-2</v>
      </c>
      <c r="J89" s="1">
        <v>0</v>
      </c>
      <c r="K89" s="1">
        <f t="shared" si="6"/>
        <v>3.8455555091803859</v>
      </c>
      <c r="L89" s="109">
        <f t="shared" si="8"/>
        <v>8.6524998956558683</v>
      </c>
      <c r="Q89" s="16">
        <v>77</v>
      </c>
      <c r="R89" s="16">
        <f>节奏总纲!P80</f>
        <v>206.93661346719625</v>
      </c>
      <c r="S89" s="16">
        <f>节奏总纲!Q80</f>
        <v>179.12433261720508</v>
      </c>
      <c r="T89" s="16">
        <f>节奏总纲!R80</f>
        <v>146.53181599612165</v>
      </c>
      <c r="U89" s="16">
        <f>节奏总纲!S80</f>
        <v>107.42079605082158</v>
      </c>
      <c r="V89" s="16">
        <f>节奏总纲!T80</f>
        <v>59.535663694512365</v>
      </c>
      <c r="W89" s="1">
        <f>MAX(求节点(节奏总纲!$O$4:$O$163,节奏总纲!P$4:P$163,$Q89)-INT(R$4),0)*C$13</f>
        <v>127383.78403800944</v>
      </c>
      <c r="X89" s="1">
        <f>MAX(求节点(节奏总纲!$O$4:$O$163,节奏总纲!Q$4:Q$163,$Q89)-INT(S$4),0)*D$13</f>
        <v>160897.18035056599</v>
      </c>
      <c r="Y89" s="1">
        <f>MAX(求节点(节奏总纲!$O$4:$O$163,节奏总纲!R$4:R$163,$Q89)-INT(T$4),0)*E$13</f>
        <v>172898.99016991715</v>
      </c>
      <c r="Z89" s="1">
        <f>MAX(求节点(节奏总纲!$O$4:$O$163,节奏总纲!S$4:S$163,$Q89)-INT(U$4),0)*F$13</f>
        <v>158080.4548155535</v>
      </c>
      <c r="AA89" s="1">
        <f>MAX(求节点(节奏总纲!$O$4:$O$163,节奏总纲!T$4:T$163,$Q89)-INT(V$4),0)*G$13</f>
        <v>87102.035503699677</v>
      </c>
    </row>
    <row r="90" spans="2:27">
      <c r="B90" s="108">
        <v>11</v>
      </c>
      <c r="C90" s="1" t="s">
        <v>623</v>
      </c>
      <c r="D90" s="1">
        <v>3</v>
      </c>
      <c r="E90" s="1" t="s">
        <v>754</v>
      </c>
      <c r="F90" s="139">
        <v>15</v>
      </c>
      <c r="G90" s="130">
        <f t="shared" si="4"/>
        <v>1.5</v>
      </c>
      <c r="H90" s="130">
        <f t="shared" si="5"/>
        <v>0.48390947288006098</v>
      </c>
      <c r="I90" s="131">
        <f t="shared" si="7"/>
        <v>4.8069443864754813E-2</v>
      </c>
      <c r="J90" s="1">
        <v>5</v>
      </c>
      <c r="K90" s="1">
        <f t="shared" si="6"/>
        <v>11.536666527541154</v>
      </c>
      <c r="L90" s="109">
        <f t="shared" si="8"/>
        <v>25.957499686967598</v>
      </c>
      <c r="Q90" s="16">
        <v>78</v>
      </c>
      <c r="R90" s="16">
        <f>节奏总纲!P81</f>
        <v>221.86094420380775</v>
      </c>
      <c r="S90" s="16">
        <f>节奏总纲!Q81</f>
        <v>192.04283330281601</v>
      </c>
      <c r="T90" s="16">
        <f>节奏总纲!R81</f>
        <v>157.23285115723854</v>
      </c>
      <c r="U90" s="16">
        <f>节奏总纲!S81</f>
        <v>115.1680161361966</v>
      </c>
      <c r="V90" s="16">
        <f>节奏总纲!T81</f>
        <v>63.651904892072437</v>
      </c>
      <c r="W90" s="1">
        <f>MAX(求节点(节奏总纲!$O$4:$O$163,节奏总纲!P$4:P$163,$Q90)-INT(R$4),0)*C$13</f>
        <v>136892.38624195877</v>
      </c>
      <c r="X90" s="1">
        <f>MAX(求节点(节奏总纲!$O$4:$O$163,节奏总纲!Q$4:Q$163,$Q90)-INT(S$4),0)*D$13</f>
        <v>172903.29354822682</v>
      </c>
      <c r="Y90" s="1">
        <f>MAX(求节点(节奏总纲!$O$4:$O$163,节奏总纲!R$4:R$163,$Q90)-INT(T$4),0)*E$13</f>
        <v>185971.65627052443</v>
      </c>
      <c r="Z90" s="1">
        <f>MAX(求节点(节奏总纲!$O$4:$O$163,节奏总纲!S$4:S$163,$Q90)-INT(U$4),0)*F$13</f>
        <v>169808.80894585742</v>
      </c>
      <c r="AA90" s="1">
        <f>MAX(求节点(节奏总纲!$O$4:$O$163,节奏总纲!T$4:T$163,$Q90)-INT(V$4),0)*G$13</f>
        <v>93333.526789440511</v>
      </c>
    </row>
    <row r="91" spans="2:27">
      <c r="B91" s="108">
        <v>12</v>
      </c>
      <c r="C91" s="1" t="s">
        <v>624</v>
      </c>
      <c r="D91" s="1">
        <v>3</v>
      </c>
      <c r="E91" s="1" t="s">
        <v>737</v>
      </c>
      <c r="F91" s="139">
        <v>5</v>
      </c>
      <c r="G91" s="130">
        <f t="shared" si="4"/>
        <v>0.5</v>
      </c>
      <c r="H91" s="130">
        <f t="shared" si="5"/>
        <v>0.16130315762668701</v>
      </c>
      <c r="I91" s="131">
        <f t="shared" si="7"/>
        <v>1.6023147954918274E-2</v>
      </c>
      <c r="J91" s="1">
        <v>10</v>
      </c>
      <c r="K91" s="1">
        <f t="shared" si="6"/>
        <v>3.8455555091803859</v>
      </c>
      <c r="L91" s="109">
        <f t="shared" si="8"/>
        <v>8.6524998956558683</v>
      </c>
      <c r="Q91" s="16">
        <v>79</v>
      </c>
      <c r="R91" s="16">
        <f>节奏总纲!P82</f>
        <v>237.85644583342264</v>
      </c>
      <c r="S91" s="16">
        <f>节奏总纲!Q82</f>
        <v>206.07882467007735</v>
      </c>
      <c r="T91" s="16">
        <f>节奏总纲!R82</f>
        <v>168.73536267423003</v>
      </c>
      <c r="U91" s="16">
        <f>节奏总纲!S82</f>
        <v>123.11449636337954</v>
      </c>
      <c r="V91" s="16">
        <f>节奏总纲!T82</f>
        <v>68.122086086692235</v>
      </c>
      <c r="W91" s="1">
        <f>MAX(求节点(节奏总纲!$O$4:$O$163,节奏总纲!P$4:P$163,$Q91)-INT(R$4),0)*C$13</f>
        <v>147083.45374996573</v>
      </c>
      <c r="X91" s="1">
        <f>MAX(求节点(节奏总纲!$O$4:$O$163,节奏总纲!Q$4:Q$163,$Q91)-INT(S$4),0)*D$13</f>
        <v>185947.97305847611</v>
      </c>
      <c r="Y91" s="1">
        <f>MAX(求节点(节奏总纲!$O$4:$O$163,节奏总纲!R$4:R$163,$Q91)-INT(T$4),0)*E$13</f>
        <v>200023.42697457707</v>
      </c>
      <c r="Z91" s="1">
        <f>MAX(求节点(节奏总纲!$O$4:$O$163,节奏总纲!S$4:S$163,$Q91)-INT(U$4),0)*F$13</f>
        <v>181838.81882898932</v>
      </c>
      <c r="AA91" s="1">
        <f>MAX(求节点(节奏总纲!$O$4:$O$163,节奏总纲!T$4:T$163,$Q91)-INT(V$4),0)*G$13</f>
        <v>100100.84041928017</v>
      </c>
    </row>
    <row r="92" spans="2:27">
      <c r="B92" s="110">
        <v>13</v>
      </c>
      <c r="C92" s="111" t="s">
        <v>689</v>
      </c>
      <c r="D92" s="111">
        <v>4</v>
      </c>
      <c r="E92" s="111" t="s">
        <v>693</v>
      </c>
      <c r="F92" s="142">
        <v>230</v>
      </c>
      <c r="G92" s="123">
        <f t="shared" si="4"/>
        <v>23</v>
      </c>
      <c r="H92" s="123">
        <f t="shared" si="5"/>
        <v>7.4199452508276025</v>
      </c>
      <c r="I92" s="124">
        <f t="shared" si="7"/>
        <v>0.73706480592624057</v>
      </c>
      <c r="J92" s="111">
        <v>0</v>
      </c>
      <c r="K92" s="111">
        <f t="shared" si="6"/>
        <v>176.89555342229772</v>
      </c>
      <c r="L92" s="112">
        <f t="shared" si="8"/>
        <v>398.01499520016989</v>
      </c>
      <c r="Q92" s="16">
        <v>80</v>
      </c>
      <c r="R92" s="16">
        <f>节奏总纲!P83</f>
        <v>255</v>
      </c>
      <c r="S92" s="16">
        <f>节奏总纲!Q83</f>
        <v>221.08500000000001</v>
      </c>
      <c r="T92" s="16">
        <f>节奏总纲!R83</f>
        <v>180.33600000000001</v>
      </c>
      <c r="U92" s="16">
        <f>节奏总纲!S83</f>
        <v>131.58000000000001</v>
      </c>
      <c r="V92" s="16">
        <f>节奏总纲!T83</f>
        <v>72.777000000000001</v>
      </c>
      <c r="W92" s="1">
        <f>MAX(求节点(节奏总纲!$O$4:$O$163,节奏总纲!P$4:P$163,$Q92)-INT(R$4),0)*C$13</f>
        <v>158005.96945996353</v>
      </c>
      <c r="X92" s="1">
        <f>MAX(求节点(节奏总纲!$O$4:$O$163,节奏总纲!Q$4:Q$163,$Q92)-INT(S$4),0)*D$13</f>
        <v>199894.31590890238</v>
      </c>
      <c r="Y92" s="1">
        <f>MAX(求节点(节奏总纲!$O$4:$O$163,节奏总纲!R$4:R$163,$Q92)-INT(T$4),0)*E$13</f>
        <v>214195.07074835611</v>
      </c>
      <c r="Z92" s="1">
        <f>MAX(求节点(节奏总纲!$O$4:$O$163,节奏总纲!S$4:S$163,$Q92)-INT(U$4),0)*F$13</f>
        <v>194654.56737459864</v>
      </c>
      <c r="AA92" s="1">
        <f>MAX(求节点(节奏总纲!$O$4:$O$163,节奏总纲!T$4:T$163,$Q92)-INT(V$4),0)*G$13</f>
        <v>107147.81704053482</v>
      </c>
    </row>
    <row r="93" spans="2:27">
      <c r="B93" s="115"/>
      <c r="I93" s="1" t="s">
        <v>690</v>
      </c>
      <c r="J93" s="1">
        <f>SUMPRODUCT(I82:I92,J82:J92)</f>
        <v>0.73706480592624046</v>
      </c>
      <c r="K93" s="1">
        <f>SUMPRODUCT(J82:J92,K82:K92)</f>
        <v>176.8955534222977</v>
      </c>
      <c r="L93" s="1">
        <f>SUMPRODUCT(J82:J92,L82:L92)</f>
        <v>398.01499520016989</v>
      </c>
      <c r="Q93" s="16">
        <v>81</v>
      </c>
      <c r="R93" s="16">
        <f>节奏总纲!P84</f>
        <v>273.37400640929098</v>
      </c>
      <c r="S93" s="16">
        <f>节奏总纲!Q84</f>
        <v>236.35916594147301</v>
      </c>
      <c r="T93" s="16">
        <f>节奏总纲!R84</f>
        <v>192.67399971726829</v>
      </c>
      <c r="U93" s="16">
        <f>节奏总纲!S84</f>
        <v>140.76027590014394</v>
      </c>
      <c r="V93" s="16">
        <f>节奏总纲!T84</f>
        <v>77.856917025366073</v>
      </c>
      <c r="W93" s="1">
        <f>MAX(求节点(节奏总纲!$O$4:$O$163,节奏总纲!P$4:P$163,$Q93)-INT(R$4),0)*C$13</f>
        <v>169712.43194207482</v>
      </c>
      <c r="X93" s="1">
        <f>MAX(求节点(节奏总纲!$O$4:$O$163,节奏总纲!Q$4:Q$163,$Q93)-INT(S$4),0)*D$13</f>
        <v>214089.72215271206</v>
      </c>
      <c r="Y93" s="1">
        <f>MAX(求节点(节奏总纲!$O$4:$O$163,节奏总纲!R$4:R$163,$Q93)-INT(T$4),0)*E$13</f>
        <v>229267.49581983872</v>
      </c>
      <c r="Z93" s="1">
        <f>MAX(求节点(节奏总纲!$O$4:$O$163,节奏总纲!S$4:S$163,$Q93)-INT(U$4),0)*F$13</f>
        <v>208552.39467061646</v>
      </c>
      <c r="AA93" s="1">
        <f>MAX(求节点(节奏总纲!$O$4:$O$163,节奏总纲!T$4:T$163,$Q93)-INT(V$4),0)*G$13</f>
        <v>114838.19696642912</v>
      </c>
    </row>
    <row r="94" spans="2:27">
      <c r="B94" s="115"/>
      <c r="F94" s="153"/>
      <c r="Q94" s="16">
        <v>82</v>
      </c>
      <c r="R94" s="16">
        <f>节奏总纲!P85</f>
        <v>293.06677887924064</v>
      </c>
      <c r="S94" s="16">
        <f>节奏总纲!Q85</f>
        <v>253.15108359588808</v>
      </c>
      <c r="T94" s="16">
        <f>节奏总纲!R85</f>
        <v>206.37762568676126</v>
      </c>
      <c r="U94" s="16">
        <f>节奏总纲!S85</f>
        <v>150.81216441125721</v>
      </c>
      <c r="V94" s="16">
        <f>节奏总纲!T85</f>
        <v>83.230965201704336</v>
      </c>
      <c r="W94" s="1">
        <f>MAX(求节点(节奏总纲!$O$4:$O$163,节奏总纲!P$4:P$163,$Q94)-INT(R$4),0)*C$13</f>
        <v>182259.10777057835</v>
      </c>
      <c r="X94" s="1">
        <f>MAX(求节点(节奏总纲!$O$4:$O$163,节奏总纲!Q$4:Q$163,$Q94)-INT(S$4),0)*D$13</f>
        <v>229695.6867356812</v>
      </c>
      <c r="Y94" s="1">
        <f>MAX(求节点(节奏总纲!$O$4:$O$163,节奏总纲!R$4:R$163,$Q94)-INT(T$4),0)*E$13</f>
        <v>246008.20585111898</v>
      </c>
      <c r="Z94" s="1">
        <f>MAX(求节点(节奏总纲!$O$4:$O$163,节奏总纲!S$4:S$163,$Q94)-INT(U$4),0)*F$13</f>
        <v>223769.7380321692</v>
      </c>
      <c r="AA94" s="1">
        <f>MAX(求节点(节奏总纲!$O$4:$O$163,节奏总纲!T$4:T$163,$Q94)-INT(V$4),0)*G$13</f>
        <v>122973.85587773241</v>
      </c>
    </row>
    <row r="95" spans="2:27">
      <c r="B95" s="115"/>
      <c r="Q95" s="16">
        <v>83</v>
      </c>
      <c r="R95" s="16">
        <f>节奏总纲!P86</f>
        <v>314.1729698162988</v>
      </c>
      <c r="S95" s="16">
        <f>节奏总纲!Q86</f>
        <v>271.53969781222702</v>
      </c>
      <c r="T95" s="16">
        <f>节奏总纲!R86</f>
        <v>221.55477831445393</v>
      </c>
      <c r="U95" s="16">
        <f>节奏总纲!S86</f>
        <v>161.57915837652246</v>
      </c>
      <c r="V95" s="16">
        <f>节奏总纲!T86</f>
        <v>89.193706130847232</v>
      </c>
      <c r="W95" s="1">
        <f>MAX(求节点(节奏总纲!$O$4:$O$163,节奏总纲!P$4:P$163,$Q95)-INT(R$4),0)*C$13</f>
        <v>195706.30196661453</v>
      </c>
      <c r="X95" s="1">
        <f>MAX(求节点(节奏总纲!$O$4:$O$163,节奏总纲!Q$4:Q$163,$Q95)-INT(S$4),0)*D$13</f>
        <v>246785.57891453046</v>
      </c>
      <c r="Y95" s="1">
        <f>MAX(求节点(节奏总纲!$O$4:$O$163,节奏总纲!R$4:R$163,$Q95)-INT(T$4),0)*E$13</f>
        <v>264549.01481703145</v>
      </c>
      <c r="Z95" s="1">
        <f>MAX(求节点(节奏总纲!$O$4:$O$163,节奏总纲!S$4:S$163,$Q95)-INT(U$4),0)*F$13</f>
        <v>240069.66455444033</v>
      </c>
      <c r="AA95" s="1">
        <f>MAX(求节点(节奏总纲!$O$4:$O$163,节奏总纲!T$4:T$163,$Q95)-INT(V$4),0)*G$13</f>
        <v>132000.72441039007</v>
      </c>
    </row>
    <row r="96" spans="2:27">
      <c r="B96" s="115"/>
      <c r="Q96" s="16">
        <v>84</v>
      </c>
      <c r="R96" s="16">
        <f>节奏总纲!P87</f>
        <v>336.79402515786086</v>
      </c>
      <c r="S96" s="16">
        <f>节奏总纲!Q87</f>
        <v>291.2594729565181</v>
      </c>
      <c r="T96" s="16">
        <f>节奏总纲!R87</f>
        <v>237.27139072371298</v>
      </c>
      <c r="U96" s="16">
        <f>节奏总纲!S87</f>
        <v>172.97741132107731</v>
      </c>
      <c r="V96" s="16">
        <f>节奏总纲!T87</f>
        <v>95.64950314483248</v>
      </c>
      <c r="W96" s="1">
        <f>MAX(求节点(节奏总纲!$O$4:$O$163,节奏总纲!P$4:P$163,$Q96)-INT(R$4),0)*C$13</f>
        <v>210118.64785149758</v>
      </c>
      <c r="X96" s="1">
        <f>MAX(求节点(节奏总纲!$O$4:$O$163,节奏总纲!Q$4:Q$163,$Q96)-INT(S$4),0)*D$13</f>
        <v>265112.61688717123</v>
      </c>
      <c r="Y96" s="1">
        <f>MAX(求节点(节奏总纲!$O$4:$O$163,节奏总纲!R$4:R$163,$Q96)-INT(T$4),0)*E$13</f>
        <v>283748.84204547131</v>
      </c>
      <c r="Z96" s="1">
        <f>MAX(求节点(节奏总纲!$O$4:$O$163,节奏总纲!S$4:S$163,$Q96)-INT(U$4),0)*F$13</f>
        <v>257325.2408162895</v>
      </c>
      <c r="AA96" s="1">
        <f>MAX(求节点(节奏总纲!$O$4:$O$163,节奏总纲!T$4:T$163,$Q96)-INT(V$4),0)*G$13</f>
        <v>141774.02021701258</v>
      </c>
    </row>
    <row r="97" spans="2:27">
      <c r="B97" s="115" t="s">
        <v>739</v>
      </c>
      <c r="Q97" s="16">
        <v>85</v>
      </c>
      <c r="R97" s="16">
        <f>节奏总纲!P88</f>
        <v>361.0386719675123</v>
      </c>
      <c r="S97" s="16">
        <f>节奏总纲!Q88</f>
        <v>311.72078937675008</v>
      </c>
      <c r="T97" s="16">
        <f>节奏总纲!R88</f>
        <v>253.91849799475142</v>
      </c>
      <c r="U97" s="16">
        <f>节奏总纲!S88</f>
        <v>185.57387739130132</v>
      </c>
      <c r="V97" s="16">
        <f>节奏总纲!T88</f>
        <v>102.53498283877349</v>
      </c>
      <c r="W97" s="1">
        <f>MAX(求节点(节奏总纲!$O$4:$O$163,节奏总纲!P$4:P$163,$Q97)-INT(R$4),0)*C$13</f>
        <v>225565.41770380962</v>
      </c>
      <c r="X97" s="1">
        <f>MAX(求节点(节奏总纲!$O$4:$O$163,节奏总纲!Q$4:Q$163,$Q97)-INT(S$4),0)*D$13</f>
        <v>284128.8237282706</v>
      </c>
      <c r="Y97" s="1">
        <f>MAX(求节点(节奏总纲!$O$4:$O$163,节奏总纲!R$4:R$163,$Q97)-INT(T$4),0)*E$13</f>
        <v>304085.38627868955</v>
      </c>
      <c r="Z97" s="1">
        <f>MAX(求节点(节奏总纲!$O$4:$O$163,节奏总纲!S$4:S$163,$Q97)-INT(U$4),0)*F$13</f>
        <v>276394.76681837591</v>
      </c>
      <c r="AA97" s="1">
        <f>MAX(求节点(节奏总纲!$O$4:$O$163,节奏总纲!T$4:T$163,$Q97)-INT(V$4),0)*G$13</f>
        <v>152197.80362804595</v>
      </c>
    </row>
    <row r="98" spans="2:27">
      <c r="B98" s="115" t="s">
        <v>629</v>
      </c>
      <c r="Q98" s="16">
        <v>86</v>
      </c>
      <c r="R98" s="16">
        <f>节奏总纲!P89</f>
        <v>387.02344102666189</v>
      </c>
      <c r="S98" s="16">
        <f>节奏总纲!Q89</f>
        <v>334.00122960600919</v>
      </c>
      <c r="T98" s="16">
        <f>节奏总纲!R89</f>
        <v>272.23228841815398</v>
      </c>
      <c r="U98" s="16">
        <f>节奏总纲!S89</f>
        <v>199.39447681693619</v>
      </c>
      <c r="V98" s="16">
        <f>节奏总纲!T89</f>
        <v>108.94709864900531</v>
      </c>
      <c r="W98" s="1">
        <f>MAX(求节点(节奏总纲!$O$4:$O$163,节奏总纲!P$4:P$163,$Q98)-INT(R$4),0)*C$13</f>
        <v>242120.85571342331</v>
      </c>
      <c r="X98" s="1">
        <f>MAX(求节点(节奏总纲!$O$4:$O$163,节奏总纲!Q$4:Q$163,$Q98)-INT(S$4),0)*D$13</f>
        <v>304835.67617161601</v>
      </c>
      <c r="Y98" s="1">
        <f>MAX(求节点(节奏总纲!$O$4:$O$163,节奏总纲!R$4:R$163,$Q98)-INT(T$4),0)*E$13</f>
        <v>326457.99450182274</v>
      </c>
      <c r="Z98" s="1">
        <f>MAX(求节点(节奏总纲!$O$4:$O$163,节奏总纲!S$4:S$163,$Q98)-INT(U$4),0)*F$13</f>
        <v>297317.48265330028</v>
      </c>
      <c r="AA98" s="1">
        <f>MAX(求节点(节奏总纲!$O$4:$O$163,节奏总纲!T$4:T$163,$Q98)-INT(V$4),0)*G$13</f>
        <v>161904.97137572445</v>
      </c>
    </row>
    <row r="99" spans="2:27">
      <c r="B99" s="115" t="s">
        <v>630</v>
      </c>
      <c r="Q99" s="16">
        <v>87</v>
      </c>
      <c r="R99" s="16">
        <f>节奏总纲!P90</f>
        <v>414.87322693439216</v>
      </c>
      <c r="S99" s="16">
        <f>节奏总纲!Q90</f>
        <v>358.28451878054108</v>
      </c>
      <c r="T99" s="16">
        <f>节奏总纲!R90</f>
        <v>292.4026503433596</v>
      </c>
      <c r="U99" s="16">
        <f>节奏总纲!S90</f>
        <v>212.58104148118252</v>
      </c>
      <c r="V99" s="16">
        <f>节奏总纲!T90</f>
        <v>115.74963031469542</v>
      </c>
      <c r="W99" s="1">
        <f>MAX(求节点(节奏总纲!$O$4:$O$163,节奏总纲!P$4:P$163,$Q99)-INT(R$4),0)*C$13</f>
        <v>259864.53483279169</v>
      </c>
      <c r="X99" s="1">
        <f>MAX(求节点(节奏总纲!$O$4:$O$163,节奏总纲!Q$4:Q$163,$Q99)-INT(S$4),0)*D$13</f>
        <v>327403.92350435007</v>
      </c>
      <c r="Y99" s="1">
        <f>MAX(求节点(节奏总纲!$O$4:$O$163,节奏总纲!R$4:R$163,$Q99)-INT(T$4),0)*E$13</f>
        <v>351098.63931857096</v>
      </c>
      <c r="Z99" s="1">
        <f>MAX(求节点(节奏总纲!$O$4:$O$163,节奏总纲!S$4:S$163,$Q99)-INT(U$4),0)*F$13</f>
        <v>317280.34655029856</v>
      </c>
      <c r="AA99" s="1">
        <f>MAX(求节点(节奏总纲!$O$4:$O$163,节奏总纲!T$4:T$163,$Q99)-INT(V$4),0)*G$13</f>
        <v>172203.18150511407</v>
      </c>
    </row>
    <row r="100" spans="2:27">
      <c r="B100" s="115" t="s">
        <v>631</v>
      </c>
      <c r="Q100" s="16">
        <v>88</v>
      </c>
      <c r="R100" s="16">
        <f>节奏总纲!P91</f>
        <v>444.72188840761549</v>
      </c>
      <c r="S100" s="16">
        <f>节奏总纲!Q91</f>
        <v>384.7733778502689</v>
      </c>
      <c r="T100" s="16">
        <f>节奏总纲!R91</f>
        <v>312.90632068359827</v>
      </c>
      <c r="U100" s="16">
        <f>节奏总纲!S91</f>
        <v>226.0076636887502</v>
      </c>
      <c r="V100" s="16">
        <f>节奏总纲!T91</f>
        <v>123.1879630889095</v>
      </c>
      <c r="W100" s="1">
        <f>MAX(求节点(节奏总纲!$O$4:$O$163,节奏总纲!P$4:P$163,$Q100)-INT(R$4),0)*C$13</f>
        <v>278881.73924069054</v>
      </c>
      <c r="X100" s="1">
        <f>MAX(求节点(节奏总纲!$O$4:$O$163,节奏总纲!Q$4:Q$163,$Q100)-INT(S$4),0)*D$13</f>
        <v>352021.96922092984</v>
      </c>
      <c r="Y100" s="1">
        <f>MAX(求节点(节奏总纲!$O$4:$O$163,节奏总纲!R$4:R$163,$Q100)-INT(T$4),0)*E$13</f>
        <v>376146.46246457857</v>
      </c>
      <c r="Z100" s="1">
        <f>MAX(求节点(节奏总纲!$O$4:$O$163,节奏总纲!S$4:S$163,$Q100)-INT(U$4),0)*F$13</f>
        <v>337606.62853129301</v>
      </c>
      <c r="AA100" s="1">
        <f>MAX(求节点(节奏总纲!$O$4:$O$163,节奏总纲!T$4:T$163,$Q100)-INT(V$4),0)*G$13</f>
        <v>183463.91760834114</v>
      </c>
    </row>
    <row r="101" spans="2:27">
      <c r="B101" s="115" t="s">
        <v>691</v>
      </c>
      <c r="Q101" s="16">
        <v>89</v>
      </c>
      <c r="R101" s="16">
        <f>节奏总纲!P92</f>
        <v>476.71289166684534</v>
      </c>
      <c r="S101" s="16">
        <f>节奏总纲!Q92</f>
        <v>411.78459582182103</v>
      </c>
      <c r="T101" s="16">
        <f>节奏总纲!R92</f>
        <v>332.60258451595797</v>
      </c>
      <c r="U101" s="16">
        <f>节奏总纲!S92</f>
        <v>240.31096868925673</v>
      </c>
      <c r="V101" s="16">
        <f>节奏总纲!T92</f>
        <v>130.61933231671563</v>
      </c>
      <c r="W101" s="1">
        <f>MAX(求节点(节奏总纲!$O$4:$O$163,节奏总纲!P$4:P$163,$Q101)-INT(R$4),0)*C$13</f>
        <v>299263.87425670453</v>
      </c>
      <c r="X101" s="1">
        <f>MAX(求节点(节奏总纲!$O$4:$O$163,节奏总纲!Q$4:Q$163,$Q101)-INT(S$4),0)*D$13</f>
        <v>377125.48149881844</v>
      </c>
      <c r="Y101" s="1">
        <f>MAX(求节点(节奏总纲!$O$4:$O$163,节奏总纲!R$4:R$163,$Q101)-INT(T$4),0)*E$13</f>
        <v>400207.93657742802</v>
      </c>
      <c r="Z101" s="1">
        <f>MAX(求节点(节奏总纲!$O$4:$O$163,节奏总纲!S$4:S$163,$Q101)-INT(U$4),0)*F$13</f>
        <v>359260.10222005122</v>
      </c>
      <c r="AA101" s="1">
        <f>MAX(求节点(节奏总纲!$O$4:$O$163,节奏总纲!T$4:T$163,$Q101)-INT(V$4),0)*G$13</f>
        <v>194714.11174459491</v>
      </c>
    </row>
    <row r="102" spans="2:27">
      <c r="B102" s="115"/>
      <c r="Q102" s="16">
        <v>90</v>
      </c>
      <c r="R102" s="16">
        <f>节奏总纲!P93</f>
        <v>511</v>
      </c>
      <c r="S102" s="16">
        <f>节奏总纲!Q93</f>
        <v>438.13140000000004</v>
      </c>
      <c r="T102" s="16">
        <f>节奏总纲!R93</f>
        <v>354.12299999999999</v>
      </c>
      <c r="U102" s="16">
        <f>节奏总纲!S93</f>
        <v>254.88680000000002</v>
      </c>
      <c r="V102" s="16">
        <f>节奏总纲!T93</f>
        <v>138.48100000000002</v>
      </c>
      <c r="W102" s="1">
        <f>MAX(求节点(节奏总纲!$O$4:$O$163,节奏总纲!P$4:P$163,$Q102)-INT(R$4),0)*C$13</f>
        <v>321108.90567670006</v>
      </c>
      <c r="X102" s="1">
        <f>MAX(求节点(节奏总纲!$O$4:$O$163,节奏总纲!Q$4:Q$163,$Q102)-INT(S$4),0)*D$13</f>
        <v>401611.50515264319</v>
      </c>
      <c r="Y102" s="1">
        <f>MAX(求节点(节奏总纲!$O$4:$O$163,节奏总纲!R$4:R$163,$Q102)-INT(T$4),0)*E$13</f>
        <v>426497.84234200802</v>
      </c>
      <c r="Z102" s="1">
        <f>MAX(求节点(节奏总纲!$O$4:$O$163,节奏总纲!S$4:S$163,$Q102)-INT(U$4),0)*F$13</f>
        <v>381326.14777859737</v>
      </c>
      <c r="AA102" s="1">
        <f>MAX(求节点(节奏总纲!$O$4:$O$163,节奏总纲!T$4:T$163,$Q102)-INT(V$4),0)*G$13</f>
        <v>206615.72569491834</v>
      </c>
    </row>
    <row r="103" spans="2:27">
      <c r="B103" s="115"/>
      <c r="E103" s="163" t="s">
        <v>718</v>
      </c>
      <c r="F103" s="163"/>
      <c r="G103" s="163"/>
      <c r="H103" s="7"/>
      <c r="I103" s="7"/>
      <c r="K103" s="1" t="s">
        <v>745</v>
      </c>
      <c r="Q103" s="16">
        <v>91</v>
      </c>
      <c r="R103" s="16">
        <f>节奏总纲!P94</f>
        <v>547.74801281858208</v>
      </c>
      <c r="S103" s="16">
        <f>节奏总纲!Q94</f>
        <v>469.6391461906523</v>
      </c>
      <c r="T103" s="16">
        <f>节奏总纲!R94</f>
        <v>378.43910205635837</v>
      </c>
      <c r="U103" s="16">
        <f>节奏总纲!S94</f>
        <v>272.61418597980827</v>
      </c>
      <c r="V103" s="16">
        <f>节奏总纲!T94</f>
        <v>147.89196346101718</v>
      </c>
      <c r="W103" s="1">
        <f>MAX(求节点(节奏总纲!$O$4:$O$163,节奏总纲!P$4:P$163,$Q103)-INT(R$4),0)*C$13</f>
        <v>344521.83064092277</v>
      </c>
      <c r="X103" s="1">
        <f>MAX(求节点(节奏总纲!$O$4:$O$163,节奏总纲!Q$4:Q$163,$Q103)-INT(S$4),0)*D$13</f>
        <v>430893.97194768593</v>
      </c>
      <c r="Y103" s="1">
        <f>MAX(求节点(节奏总纲!$O$4:$O$163,节奏总纲!R$4:R$163,$Q103)-INT(T$4),0)*E$13</f>
        <v>456203.03237877134</v>
      </c>
      <c r="Z103" s="1">
        <f>MAX(求节点(节奏总纲!$O$4:$O$163,节奏总纲!S$4:S$163,$Q103)-INT(U$4),0)*F$13</f>
        <v>408163.26590413868</v>
      </c>
      <c r="AA103" s="1">
        <f>MAX(求节点(节奏总纲!$O$4:$O$163,节奏总纲!T$4:T$163,$Q103)-INT(V$4),0)*G$13</f>
        <v>220862.78605486895</v>
      </c>
    </row>
    <row r="104" spans="2:27" ht="13.5" customHeight="1">
      <c r="B104" s="98" t="s">
        <v>607</v>
      </c>
      <c r="C104" s="104" t="s">
        <v>625</v>
      </c>
      <c r="D104" s="104" t="s">
        <v>625</v>
      </c>
      <c r="E104" s="104" t="s">
        <v>743</v>
      </c>
      <c r="F104" s="104" t="s">
        <v>626</v>
      </c>
      <c r="G104" s="104" t="s">
        <v>741</v>
      </c>
      <c r="H104" s="104" t="s">
        <v>742</v>
      </c>
      <c r="I104" s="104" t="s">
        <v>719</v>
      </c>
      <c r="J104" s="104" t="s">
        <v>738</v>
      </c>
      <c r="K104" s="104" t="s">
        <v>740</v>
      </c>
      <c r="L104" s="154" t="s">
        <v>744</v>
      </c>
      <c r="Q104" s="16">
        <v>92</v>
      </c>
      <c r="R104" s="16">
        <f>节奏总纲!P95</f>
        <v>587.1335577584814</v>
      </c>
      <c r="S104" s="16">
        <f>节奏总纲!Q95</f>
        <v>502.29275866238083</v>
      </c>
      <c r="T104" s="16">
        <f>节奏总纲!R95</f>
        <v>405.12215485335213</v>
      </c>
      <c r="U104" s="16">
        <f>节奏总纲!S95</f>
        <v>291.57052478286187</v>
      </c>
      <c r="V104" s="16">
        <f>节奏总纲!T95</f>
        <v>157.64536025815227</v>
      </c>
      <c r="W104" s="1">
        <f>MAX(求节点(节奏总纲!$O$4:$O$163,节奏总纲!P$4:P$163,$Q104)-INT(R$4),0)*C$13</f>
        <v>369615.18229792983</v>
      </c>
      <c r="X104" s="1">
        <f>MAX(求节点(节奏总纲!$O$4:$O$163,节奏总纲!Q$4:Q$163,$Q104)-INT(S$4),0)*D$13</f>
        <v>461241.37658766814</v>
      </c>
      <c r="Y104" s="1">
        <f>MAX(求节点(节奏总纲!$O$4:$O$163,节奏总纲!R$4:R$163,$Q104)-INT(T$4),0)*E$13</f>
        <v>488799.75171555439</v>
      </c>
      <c r="Z104" s="1">
        <f>MAX(求节点(节奏总纲!$O$4:$O$163,节奏总纲!S$4:S$163,$Q104)-INT(U$4),0)*F$13</f>
        <v>436860.86995387205</v>
      </c>
      <c r="AA104" s="1">
        <f>MAX(求节点(节奏总纲!$O$4:$O$163,节奏总纲!T$4:T$163,$Q104)-INT(V$4),0)*G$13</f>
        <v>235628.2490660614</v>
      </c>
    </row>
    <row r="105" spans="2:27" ht="13.5" customHeight="1">
      <c r="B105" s="100">
        <v>1</v>
      </c>
      <c r="C105" s="1">
        <v>1</v>
      </c>
      <c r="D105" s="1">
        <v>30</v>
      </c>
      <c r="E105" s="16">
        <v>1</v>
      </c>
      <c r="F105" s="16"/>
      <c r="G105" s="16">
        <v>120</v>
      </c>
      <c r="H105" s="16">
        <v>0</v>
      </c>
      <c r="I105" s="16">
        <v>180</v>
      </c>
      <c r="J105" s="137">
        <v>4</v>
      </c>
      <c r="K105" s="1">
        <v>0</v>
      </c>
      <c r="L105" s="138">
        <v>10</v>
      </c>
      <c r="Q105" s="16">
        <v>93</v>
      </c>
      <c r="R105" s="16">
        <f>节奏总纲!P96</f>
        <v>629.34593963259704</v>
      </c>
      <c r="S105" s="16">
        <f>节奏总纲!Q96</f>
        <v>538.34251676172357</v>
      </c>
      <c r="T105" s="16">
        <f>节奏总纲!R96</f>
        <v>433.68228700082267</v>
      </c>
      <c r="U105" s="16">
        <f>节奏总纲!S96</f>
        <v>311.52624011813555</v>
      </c>
      <c r="V105" s="16">
        <f>节奏总纲!T96</f>
        <v>168.35003885171972</v>
      </c>
      <c r="W105" s="1">
        <f>MAX(求节点(节奏总纲!$O$4:$O$163,节奏总纲!P$4:P$163,$Q105)-INT(R$4),0)*C$13</f>
        <v>396509.57069000171</v>
      </c>
      <c r="X105" s="1">
        <f>MAX(求节点(节奏总纲!$O$4:$O$163,节奏总纲!Q$4:Q$163,$Q105)-INT(S$4),0)*D$13</f>
        <v>494745.06923917582</v>
      </c>
      <c r="Y105" s="1">
        <f>MAX(求节点(节奏总纲!$O$4:$O$163,节奏总纲!R$4:R$163,$Q105)-INT(T$4),0)*E$13</f>
        <v>523689.56057346065</v>
      </c>
      <c r="Z105" s="1">
        <f>MAX(求节点(节奏总纲!$O$4:$O$163,节奏总纲!S$4:S$163,$Q105)-INT(U$4),0)*F$13</f>
        <v>467071.40919199883</v>
      </c>
      <c r="AA105" s="1">
        <f>MAX(求节点(节奏总纲!$O$4:$O$163,节奏总纲!T$4:T$163,$Q105)-INT(V$4),0)*G$13</f>
        <v>251833.83765305002</v>
      </c>
    </row>
    <row r="106" spans="2:27" ht="13.5" customHeight="1">
      <c r="B106" s="100">
        <v>2</v>
      </c>
      <c r="C106" s="1">
        <f>C105+30</f>
        <v>31</v>
      </c>
      <c r="D106" s="1">
        <f>D105+30</f>
        <v>60</v>
      </c>
      <c r="E106" s="16">
        <v>30</v>
      </c>
      <c r="F106" s="16"/>
      <c r="G106" s="16">
        <v>120</v>
      </c>
      <c r="H106" s="16">
        <v>0</v>
      </c>
      <c r="I106" s="16">
        <v>180</v>
      </c>
      <c r="J106" s="137">
        <v>5</v>
      </c>
      <c r="K106" s="16">
        <f>J105*30</f>
        <v>120</v>
      </c>
      <c r="L106" s="138">
        <v>10</v>
      </c>
      <c r="Q106" s="16">
        <v>94</v>
      </c>
      <c r="R106" s="16">
        <f>节奏总纲!P97</f>
        <v>674.58805031572183</v>
      </c>
      <c r="S106" s="16">
        <f>节奏总纲!Q97</f>
        <v>576.30057138472114</v>
      </c>
      <c r="T106" s="16">
        <f>节奏总纲!R97</f>
        <v>464.04911981218504</v>
      </c>
      <c r="U106" s="16">
        <f>节奏总纲!S97</f>
        <v>332.70682641571403</v>
      </c>
      <c r="V106" s="16">
        <f>节奏总纲!T97</f>
        <v>179.6427977990767</v>
      </c>
      <c r="W106" s="1">
        <f>MAX(求节点(节奏总纲!$O$4:$O$163,节奏总纲!P$4:P$163,$Q106)-INT(R$4),0)*C$13</f>
        <v>425334.26245976827</v>
      </c>
      <c r="X106" s="1">
        <f>MAX(求节点(节奏总纲!$O$4:$O$163,节奏总纲!Q$4:Q$163,$Q106)-INT(S$4),0)*D$13</f>
        <v>530022.28225773526</v>
      </c>
      <c r="Y106" s="1">
        <f>MAX(求节点(节奏总纲!$O$4:$O$163,节奏总纲!R$4:R$163,$Q106)-INT(T$4),0)*E$13</f>
        <v>560786.48249727127</v>
      </c>
      <c r="Z106" s="1">
        <f>MAX(求节点(节奏总纲!$O$4:$O$163,节奏总纲!S$4:S$163,$Q106)-INT(U$4),0)*F$13</f>
        <v>499136.2549105825</v>
      </c>
      <c r="AA106" s="1">
        <f>MAX(求节点(节奏总纲!$O$4:$O$163,节奏总纲!T$4:T$163,$Q106)-INT(V$4),0)*G$13</f>
        <v>268929.70876335801</v>
      </c>
    </row>
    <row r="107" spans="2:27" ht="13.5" customHeight="1">
      <c r="B107" s="100">
        <v>3</v>
      </c>
      <c r="C107" s="1">
        <f t="shared" ref="C107:C118" si="9">C106+30</f>
        <v>61</v>
      </c>
      <c r="D107" s="1">
        <f t="shared" ref="D107:D118" si="10">D106+30</f>
        <v>90</v>
      </c>
      <c r="E107" s="16">
        <f t="shared" ref="E107:E119" si="11">E106+30</f>
        <v>60</v>
      </c>
      <c r="F107" s="16"/>
      <c r="G107" s="16">
        <v>120</v>
      </c>
      <c r="H107" s="16">
        <v>120</v>
      </c>
      <c r="I107" s="16">
        <f>G107*8</f>
        <v>960</v>
      </c>
      <c r="J107" s="137">
        <v>12</v>
      </c>
      <c r="K107" s="16">
        <f t="shared" ref="K107:K119" si="12">K106+J106*30</f>
        <v>270</v>
      </c>
      <c r="L107" s="138">
        <v>20</v>
      </c>
      <c r="Q107" s="16">
        <v>95</v>
      </c>
      <c r="R107" s="16">
        <f>节奏总纲!P98</f>
        <v>723.0773439350246</v>
      </c>
      <c r="S107" s="16">
        <f>节奏总纲!Q98</f>
        <v>618.15882133005255</v>
      </c>
      <c r="T107" s="16">
        <f>节奏总纲!R98</f>
        <v>495.95875020503337</v>
      </c>
      <c r="U107" s="16">
        <f>节奏总纲!S98</f>
        <v>355.39251454406457</v>
      </c>
      <c r="V107" s="16">
        <f>节奏总纲!T98</f>
        <v>192.84472762747106</v>
      </c>
      <c r="W107" s="1">
        <f>MAX(求节点(节奏总纲!$O$4:$O$163,节奏总纲!P$4:P$163,$Q107)-INT(R$4),0)*C$13</f>
        <v>456227.80216439231</v>
      </c>
      <c r="X107" s="1">
        <f>MAX(求节点(节奏总纲!$O$4:$O$163,节奏总纲!Q$4:Q$163,$Q107)-INT(S$4),0)*D$13</f>
        <v>568924.23375582148</v>
      </c>
      <c r="Y107" s="1">
        <f>MAX(求节点(节奏总纲!$O$4:$O$163,节奏总纲!R$4:R$163,$Q107)-INT(T$4),0)*E$13</f>
        <v>599768.12653814163</v>
      </c>
      <c r="Z107" s="1">
        <f>MAX(求节点(节奏总纲!$O$4:$O$163,节奏总纲!S$4:S$163,$Q107)-INT(U$4),0)*F$13</f>
        <v>533479.64274865331</v>
      </c>
      <c r="AA107" s="1">
        <f>MAX(求节点(节奏总纲!$O$4:$O$163,节奏总纲!T$4:T$163,$Q107)-INT(V$4),0)*G$13</f>
        <v>288915.8336603553</v>
      </c>
    </row>
    <row r="108" spans="2:27" ht="13.5" customHeight="1">
      <c r="B108" s="100">
        <v>4</v>
      </c>
      <c r="C108" s="1">
        <f t="shared" si="9"/>
        <v>91</v>
      </c>
      <c r="D108" s="1">
        <f t="shared" si="10"/>
        <v>120</v>
      </c>
      <c r="E108" s="16">
        <f t="shared" si="11"/>
        <v>90</v>
      </c>
      <c r="F108" s="16"/>
      <c r="G108" s="16">
        <v>120</v>
      </c>
      <c r="H108" s="16">
        <v>120</v>
      </c>
      <c r="I108" s="16">
        <f t="shared" ref="I108:I119" si="13">G108*8</f>
        <v>960</v>
      </c>
      <c r="J108" s="137">
        <v>12</v>
      </c>
      <c r="K108" s="16">
        <f t="shared" si="12"/>
        <v>630</v>
      </c>
      <c r="L108" s="138">
        <v>20</v>
      </c>
      <c r="Q108" s="16">
        <v>96</v>
      </c>
      <c r="R108" s="16">
        <f>节奏总纲!P99</f>
        <v>775.04688205332377</v>
      </c>
      <c r="S108" s="16">
        <f>节奏总纲!Q99</f>
        <v>661.0374857032798</v>
      </c>
      <c r="T108" s="16">
        <f>节奏总纲!R99</f>
        <v>529.97705794806279</v>
      </c>
      <c r="U108" s="16">
        <f>节奏总纲!S99</f>
        <v>380.70302846459265</v>
      </c>
      <c r="V108" s="16">
        <f>节奏总纲!T99</f>
        <v>206.86001282003213</v>
      </c>
      <c r="W108" s="1">
        <f>MAX(求节点(节奏总纲!$O$4:$O$163,节奏总纲!P$4:P$163,$Q108)-INT(R$4),0)*C$13</f>
        <v>489338.67818361969</v>
      </c>
      <c r="X108" s="1">
        <f>MAX(求节点(节奏总纲!$O$4:$O$163,节奏总纲!Q$4:Q$163,$Q108)-INT(S$4),0)*D$13</f>
        <v>608774.53146125737</v>
      </c>
      <c r="Y108" s="1">
        <f>MAX(求节点(节奏总纲!$O$4:$O$163,节奏总纲!R$4:R$163,$Q108)-INT(T$4),0)*E$13</f>
        <v>641325.78630999418</v>
      </c>
      <c r="Z108" s="1">
        <f>MAX(求节点(节奏总纲!$O$4:$O$163,节奏总纲!S$4:S$163,$Q108)-INT(U$4),0)*F$13</f>
        <v>571796.69934555131</v>
      </c>
      <c r="AA108" s="1">
        <f>MAX(求节点(节奏总纲!$O$4:$O$163,节奏总纲!T$4:T$163,$Q108)-INT(V$4),0)*G$13</f>
        <v>310133.28019783855</v>
      </c>
    </row>
    <row r="109" spans="2:27" ht="13.5" customHeight="1">
      <c r="B109" s="100">
        <v>5</v>
      </c>
      <c r="C109" s="1">
        <f t="shared" si="9"/>
        <v>121</v>
      </c>
      <c r="D109" s="1">
        <f t="shared" si="10"/>
        <v>150</v>
      </c>
      <c r="E109" s="16">
        <f t="shared" si="11"/>
        <v>120</v>
      </c>
      <c r="F109" s="16"/>
      <c r="G109" s="16">
        <v>120</v>
      </c>
      <c r="H109" s="16">
        <v>120</v>
      </c>
      <c r="I109" s="16">
        <f t="shared" si="13"/>
        <v>960</v>
      </c>
      <c r="J109" s="137">
        <v>12</v>
      </c>
      <c r="K109" s="16">
        <f t="shared" si="12"/>
        <v>990</v>
      </c>
      <c r="L109" s="138">
        <v>20</v>
      </c>
      <c r="Q109" s="16">
        <v>97</v>
      </c>
      <c r="R109" s="16">
        <f>节奏总纲!P100</f>
        <v>830.74645386878444</v>
      </c>
      <c r="S109" s="16">
        <f>节奏总纲!Q100</f>
        <v>707.71290405081743</v>
      </c>
      <c r="T109" s="16">
        <f>节奏总纲!R100</f>
        <v>569.31054483627804</v>
      </c>
      <c r="U109" s="16">
        <f>节奏总纲!S100</f>
        <v>409.80722569347137</v>
      </c>
      <c r="V109" s="16">
        <f>节奏总纲!T100</f>
        <v>223.30464679992923</v>
      </c>
      <c r="W109" s="1">
        <f>MAX(求节点(节奏总纲!$O$4:$O$163,节奏总纲!P$4:P$163,$Q109)-INT(R$4),0)*C$13</f>
        <v>524826.0364223565</v>
      </c>
      <c r="X109" s="1">
        <f>MAX(求节点(节奏总纲!$O$4:$O$163,节奏总纲!Q$4:Q$163,$Q109)-INT(S$4),0)*D$13</f>
        <v>652153.43199054978</v>
      </c>
      <c r="Y109" s="1">
        <f>MAX(求节点(节奏总纲!$O$4:$O$163,节奏总纲!R$4:R$163,$Q109)-INT(T$4),0)*E$13</f>
        <v>689376.60876973323</v>
      </c>
      <c r="Z109" s="1">
        <f>MAX(求节点(节奏总纲!$O$4:$O$163,节奏总纲!S$4:S$163,$Q109)-INT(U$4),0)*F$13</f>
        <v>615856.93359949731</v>
      </c>
      <c r="AA109" s="1">
        <f>MAX(求节点(节奏总纲!$O$4:$O$163,节奏总纲!T$4:T$163,$Q109)-INT(V$4),0)*G$13</f>
        <v>335028.46695309202</v>
      </c>
    </row>
    <row r="110" spans="2:27" ht="13.5" customHeight="1">
      <c r="B110" s="100">
        <v>6</v>
      </c>
      <c r="C110" s="1">
        <f t="shared" si="9"/>
        <v>151</v>
      </c>
      <c r="D110" s="1">
        <f t="shared" si="10"/>
        <v>180</v>
      </c>
      <c r="E110" s="16">
        <f t="shared" si="11"/>
        <v>150</v>
      </c>
      <c r="F110" s="16"/>
      <c r="G110" s="16">
        <v>120</v>
      </c>
      <c r="H110" s="16">
        <v>120</v>
      </c>
      <c r="I110" s="16">
        <f t="shared" si="13"/>
        <v>960</v>
      </c>
      <c r="J110" s="137">
        <v>12</v>
      </c>
      <c r="K110" s="16">
        <f t="shared" si="12"/>
        <v>1350</v>
      </c>
      <c r="L110" s="138">
        <v>20</v>
      </c>
      <c r="Q110" s="16">
        <v>98</v>
      </c>
      <c r="R110" s="16">
        <f>节奏总纲!P101</f>
        <v>890.4437768152311</v>
      </c>
      <c r="S110" s="16">
        <f>节奏总纲!Q101</f>
        <v>760.34994102252585</v>
      </c>
      <c r="T110" s="16">
        <f>节奏总纲!R101</f>
        <v>612.98149595960513</v>
      </c>
      <c r="U110" s="16">
        <f>节奏总纲!S101</f>
        <v>441.9272464333992</v>
      </c>
      <c r="V110" s="16">
        <f>节奏总纲!T101</f>
        <v>240.77599725083846</v>
      </c>
      <c r="W110" s="1">
        <f>MAX(求节点(节奏总纲!$O$4:$O$163,节奏总纲!P$4:P$163,$Q110)-INT(R$4),0)*C$13</f>
        <v>562860.44523815415</v>
      </c>
      <c r="X110" s="1">
        <f>MAX(求节点(节奏总纲!$O$4:$O$163,节奏总纲!Q$4:Q$163,$Q110)-INT(S$4),0)*D$13</f>
        <v>701072.90334806545</v>
      </c>
      <c r="Y110" s="1">
        <f>MAX(求节点(节奏总纲!$O$4:$O$163,节奏总纲!R$4:R$163,$Q110)-INT(T$4),0)*E$13</f>
        <v>742726.1916592085</v>
      </c>
      <c r="Z110" s="1">
        <f>MAX(求节点(节奏总纲!$O$4:$O$163,节奏总纲!S$4:S$163,$Q110)-INT(U$4),0)*F$13</f>
        <v>664482.75986480911</v>
      </c>
      <c r="AA110" s="1">
        <f>MAX(求节点(节奏总纲!$O$4:$O$163,节奏总纲!T$4:T$163,$Q110)-INT(V$4),0)*G$13</f>
        <v>361477.97825711861</v>
      </c>
    </row>
    <row r="111" spans="2:27" ht="13.5" customHeight="1">
      <c r="B111" s="100">
        <v>7</v>
      </c>
      <c r="C111" s="1">
        <f t="shared" si="9"/>
        <v>181</v>
      </c>
      <c r="D111" s="1">
        <f t="shared" si="10"/>
        <v>210</v>
      </c>
      <c r="E111" s="16">
        <f t="shared" si="11"/>
        <v>180</v>
      </c>
      <c r="F111" s="16"/>
      <c r="G111" s="16">
        <v>120</v>
      </c>
      <c r="H111" s="16">
        <v>120</v>
      </c>
      <c r="I111" s="16">
        <f t="shared" si="13"/>
        <v>960</v>
      </c>
      <c r="J111" s="137">
        <v>12</v>
      </c>
      <c r="K111" s="16">
        <f t="shared" si="12"/>
        <v>1710</v>
      </c>
      <c r="L111" s="138">
        <v>20</v>
      </c>
      <c r="Q111" s="16">
        <v>99</v>
      </c>
      <c r="R111" s="16">
        <f>节奏总纲!P102</f>
        <v>954.42578333369079</v>
      </c>
      <c r="S111" s="16">
        <f>节奏总纲!Q102</f>
        <v>816.51125764197252</v>
      </c>
      <c r="T111" s="16">
        <f>节奏总纲!R102</f>
        <v>658.6492330785801</v>
      </c>
      <c r="U111" s="16">
        <f>节奏总纲!S102</f>
        <v>475.39948267851139</v>
      </c>
      <c r="V111" s="16">
        <f>节奏总纲!T102</f>
        <v>257.59951892176309</v>
      </c>
      <c r="W111" s="1">
        <f>MAX(求节点(节奏总纲!$O$4:$O$163,节奏总纲!P$4:P$163,$Q111)-INT(R$4),0)*C$13</f>
        <v>603624.71527018212</v>
      </c>
      <c r="X111" s="1">
        <f>MAX(求节点(节奏总纲!$O$4:$O$163,节奏总纲!Q$4:Q$163,$Q111)-INT(S$4),0)*D$13</f>
        <v>753267.74708978413</v>
      </c>
      <c r="Y111" s="1">
        <f>MAX(求节点(节奏总纲!$O$4:$O$163,节奏总纲!R$4:R$163,$Q111)-INT(T$4),0)*E$13</f>
        <v>798515.1008570696</v>
      </c>
      <c r="Z111" s="1">
        <f>MAX(求节点(节奏总纲!$O$4:$O$163,节奏总纲!S$4:S$163,$Q111)-INT(U$4),0)*F$13</f>
        <v>715155.67684530898</v>
      </c>
      <c r="AA111" s="1">
        <f>MAX(求节点(节奏总纲!$O$4:$O$163,节奏总纲!T$4:T$163,$Q111)-INT(V$4),0)*G$13</f>
        <v>386946.75514754496</v>
      </c>
    </row>
    <row r="112" spans="2:27">
      <c r="B112" s="100">
        <v>8</v>
      </c>
      <c r="C112" s="1">
        <f t="shared" si="9"/>
        <v>211</v>
      </c>
      <c r="D112" s="1">
        <f t="shared" si="10"/>
        <v>240</v>
      </c>
      <c r="E112" s="16">
        <f t="shared" si="11"/>
        <v>210</v>
      </c>
      <c r="F112" s="16"/>
      <c r="G112" s="16">
        <v>120</v>
      </c>
      <c r="H112" s="16">
        <v>120</v>
      </c>
      <c r="I112" s="16">
        <f t="shared" si="13"/>
        <v>960</v>
      </c>
      <c r="J112" s="137">
        <v>12</v>
      </c>
      <c r="K112" s="16">
        <f t="shared" si="12"/>
        <v>2070</v>
      </c>
      <c r="L112" s="138">
        <v>20</v>
      </c>
      <c r="Q112" s="16">
        <v>100</v>
      </c>
      <c r="R112" s="16">
        <f>节奏总纲!P103</f>
        <v>1023</v>
      </c>
      <c r="S112" s="16">
        <f>节奏总纲!Q103</f>
        <v>875.38110000000006</v>
      </c>
      <c r="T112" s="16">
        <f>节奏总纲!R103</f>
        <v>706.6884</v>
      </c>
      <c r="U112" s="16">
        <f>节奏总纲!S103</f>
        <v>508.22640000000001</v>
      </c>
      <c r="V112" s="16">
        <f>节奏总纲!T103</f>
        <v>274.77780000000001</v>
      </c>
      <c r="W112" s="1">
        <f>MAX(求节点(节奏总纲!$O$4:$O$163,节奏总纲!P$4:P$163,$Q112)-INT(R$4),0)*C$13</f>
        <v>647314.77811017307</v>
      </c>
      <c r="X112" s="1">
        <f>MAX(求节点(节奏总纲!$O$4:$O$163,节奏总纲!Q$4:Q$163,$Q112)-INT(S$4),0)*D$13</f>
        <v>807979.82308682182</v>
      </c>
      <c r="Y112" s="1">
        <f>MAX(求节点(节奏总纲!$O$4:$O$163,节奏总纲!R$4:R$163,$Q112)-INT(T$4),0)*E$13</f>
        <v>857201.01109470264</v>
      </c>
      <c r="Z112" s="1">
        <f>MAX(求节点(节奏总纲!$O$4:$O$163,节奏总纲!S$4:S$163,$Q112)-INT(U$4),0)*F$13</f>
        <v>764851.65903115505</v>
      </c>
      <c r="AA112" s="1">
        <f>MAX(求节点(节奏总纲!$O$4:$O$163,节奏总纲!T$4:T$163,$Q112)-INT(V$4),0)*G$13</f>
        <v>412952.59487007925</v>
      </c>
    </row>
    <row r="113" spans="2:27">
      <c r="B113" s="100">
        <v>9</v>
      </c>
      <c r="C113" s="1">
        <f t="shared" si="9"/>
        <v>241</v>
      </c>
      <c r="D113" s="1">
        <f t="shared" si="10"/>
        <v>270</v>
      </c>
      <c r="E113" s="16">
        <f t="shared" si="11"/>
        <v>240</v>
      </c>
      <c r="F113" s="16"/>
      <c r="G113" s="16">
        <v>120</v>
      </c>
      <c r="H113" s="16">
        <v>120</v>
      </c>
      <c r="I113" s="16">
        <f t="shared" si="13"/>
        <v>960</v>
      </c>
      <c r="J113" s="137">
        <v>12</v>
      </c>
      <c r="K113" s="16">
        <f t="shared" si="12"/>
        <v>2430</v>
      </c>
      <c r="L113" s="138">
        <v>20</v>
      </c>
      <c r="Q113" s="16">
        <v>101</v>
      </c>
      <c r="R113" s="16">
        <f>节奏总纲!P104</f>
        <v>1096.4960256371633</v>
      </c>
      <c r="S113" s="16">
        <f>节奏总纲!Q104</f>
        <v>939.14884595823037</v>
      </c>
      <c r="T113" s="16">
        <f>节奏总纲!R104</f>
        <v>756.25330888195151</v>
      </c>
      <c r="U113" s="16">
        <f>节奏总纲!S104</f>
        <v>541.99798547244984</v>
      </c>
      <c r="V113" s="16">
        <f>节奏总纲!T104</f>
        <v>293.42233646050488</v>
      </c>
      <c r="W113" s="1">
        <f>MAX(求节点(节奏总纲!$O$4:$O$163,节奏总纲!P$4:P$163,$Q113)-INT(R$4),0)*C$13</f>
        <v>694140.6280386179</v>
      </c>
      <c r="X113" s="1">
        <f>MAX(求节点(节奏总纲!$O$4:$O$163,节奏总纲!Q$4:Q$163,$Q113)-INT(S$4),0)*D$13</f>
        <v>867243.881274855</v>
      </c>
      <c r="Y113" s="1">
        <f>MAX(求节点(节奏总纲!$O$4:$O$163,节奏总纲!R$4:R$163,$Q113)-INT(T$4),0)*E$13</f>
        <v>917750.8078540985</v>
      </c>
      <c r="Z113" s="1">
        <f>MAX(求节点(节奏总纲!$O$4:$O$163,节奏总纲!S$4:S$163,$Q113)-INT(U$4),0)*F$13</f>
        <v>815977.75453351939</v>
      </c>
      <c r="AA113" s="1">
        <f>MAX(求节点(节奏总纲!$O$4:$O$163,节奏总纲!T$4:T$163,$Q113)-INT(V$4),0)*G$13</f>
        <v>441178.16788780753</v>
      </c>
    </row>
    <row r="114" spans="2:27">
      <c r="B114" s="100">
        <v>10</v>
      </c>
      <c r="C114" s="1">
        <f t="shared" si="9"/>
        <v>271</v>
      </c>
      <c r="D114" s="1">
        <f t="shared" si="10"/>
        <v>300</v>
      </c>
      <c r="E114" s="16">
        <f t="shared" si="11"/>
        <v>270</v>
      </c>
      <c r="F114" s="16"/>
      <c r="G114" s="16">
        <v>120</v>
      </c>
      <c r="H114" s="16">
        <v>120</v>
      </c>
      <c r="I114" s="16">
        <f t="shared" si="13"/>
        <v>960</v>
      </c>
      <c r="J114" s="137">
        <v>12</v>
      </c>
      <c r="K114" s="16">
        <f t="shared" si="12"/>
        <v>2790</v>
      </c>
      <c r="L114" s="138">
        <v>20</v>
      </c>
      <c r="Q114" s="16">
        <v>102</v>
      </c>
      <c r="R114" s="16">
        <f>节奏总纲!P105</f>
        <v>1175.2671155169628</v>
      </c>
      <c r="S114" s="16">
        <f>节奏总纲!Q105</f>
        <v>1004.2657502092447</v>
      </c>
      <c r="T114" s="16">
        <f>节奏总纲!R105</f>
        <v>806.23324124463659</v>
      </c>
      <c r="U114" s="16">
        <f>节奏总纲!S105</f>
        <v>577.99636741124232</v>
      </c>
      <c r="V114" s="16">
        <f>节奏总纲!T105</f>
        <v>313.56126641992563</v>
      </c>
      <c r="W114" s="1">
        <f>MAX(求节点(节奏总纲!$O$4:$O$163,节奏总纲!P$4:P$163,$Q114)-INT(R$4),0)*C$13</f>
        <v>744327.33135263261</v>
      </c>
      <c r="X114" s="1">
        <f>MAX(求节点(节奏总纲!$O$4:$O$163,节奏总纲!Q$4:Q$163,$Q114)-INT(S$4),0)*D$13</f>
        <v>927761.81153201847</v>
      </c>
      <c r="Y114" s="1">
        <f>MAX(求节点(节奏总纲!$O$4:$O$163,节奏总纲!R$4:R$163,$Q114)-INT(T$4),0)*E$13</f>
        <v>978807.60821696394</v>
      </c>
      <c r="Z114" s="1">
        <f>MAX(求节点(节奏总纲!$O$4:$O$163,节奏总纲!S$4:S$163,$Q114)-INT(U$4),0)*F$13</f>
        <v>870474.95053975063</v>
      </c>
      <c r="AA114" s="1">
        <f>MAX(求节点(节奏总纲!$O$4:$O$163,节奏总纲!T$4:T$163,$Q114)-INT(V$4),0)*G$13</f>
        <v>471666.07190583827</v>
      </c>
    </row>
    <row r="115" spans="2:27">
      <c r="B115" s="100">
        <v>11</v>
      </c>
      <c r="C115" s="1">
        <f t="shared" si="9"/>
        <v>301</v>
      </c>
      <c r="D115" s="1">
        <f t="shared" si="10"/>
        <v>330</v>
      </c>
      <c r="E115" s="16">
        <f t="shared" si="11"/>
        <v>300</v>
      </c>
      <c r="F115" s="16"/>
      <c r="G115" s="16">
        <v>120</v>
      </c>
      <c r="H115" s="16">
        <v>120</v>
      </c>
      <c r="I115" s="16">
        <f t="shared" si="13"/>
        <v>960</v>
      </c>
      <c r="J115" s="137">
        <v>12</v>
      </c>
      <c r="K115" s="16">
        <f t="shared" si="12"/>
        <v>3150</v>
      </c>
      <c r="L115" s="138">
        <v>20</v>
      </c>
      <c r="Q115" s="16">
        <v>103</v>
      </c>
      <c r="R115" s="16">
        <f>节奏总纲!P106</f>
        <v>1259.6918792651943</v>
      </c>
      <c r="S115" s="16">
        <f>节奏总纲!Q106</f>
        <v>1073.383450321872</v>
      </c>
      <c r="T115" s="16">
        <f>节奏总纲!R106</f>
        <v>861.50327622946634</v>
      </c>
      <c r="U115" s="16">
        <f>节奏总纲!S106</f>
        <v>619.01258947091651</v>
      </c>
      <c r="V115" s="16">
        <f>节奏总纲!T106</f>
        <v>335.8338550121008</v>
      </c>
      <c r="W115" s="1">
        <f>MAX(求节点(节奏总纲!$O$4:$O$163,节奏总纲!P$4:P$163,$Q115)-INT(R$4),0)*C$13</f>
        <v>798116.1081367766</v>
      </c>
      <c r="X115" s="1">
        <f>MAX(求节点(节奏总纲!$O$4:$O$163,节奏总纲!Q$4:Q$163,$Q115)-INT(S$4),0)*D$13</f>
        <v>991997.97575179348</v>
      </c>
      <c r="Y115" s="1">
        <f>MAX(求节点(节奏总纲!$O$4:$O$163,节奏总纲!R$4:R$163,$Q115)-INT(T$4),0)*E$13</f>
        <v>1046326.9371273972</v>
      </c>
      <c r="Z115" s="1">
        <f>MAX(求节点(节奏总纲!$O$4:$O$163,节奏总纲!S$4:S$163,$Q115)-INT(U$4),0)*F$13</f>
        <v>932568.54954711057</v>
      </c>
      <c r="AA115" s="1">
        <f>MAX(求节点(节奏总纲!$O$4:$O$163,节奏总纲!T$4:T$163,$Q115)-INT(V$4),0)*G$13</f>
        <v>505384.07701333769</v>
      </c>
    </row>
    <row r="116" spans="2:27">
      <c r="B116" s="100">
        <v>12</v>
      </c>
      <c r="C116" s="1">
        <f t="shared" si="9"/>
        <v>331</v>
      </c>
      <c r="D116" s="1">
        <f t="shared" si="10"/>
        <v>360</v>
      </c>
      <c r="E116" s="16">
        <f t="shared" si="11"/>
        <v>330</v>
      </c>
      <c r="F116" s="16"/>
      <c r="G116" s="16">
        <v>120</v>
      </c>
      <c r="H116" s="16">
        <v>120</v>
      </c>
      <c r="I116" s="16">
        <f t="shared" si="13"/>
        <v>960</v>
      </c>
      <c r="J116" s="137">
        <v>12</v>
      </c>
      <c r="K116" s="16">
        <f t="shared" si="12"/>
        <v>3510</v>
      </c>
      <c r="L116" s="138">
        <v>20</v>
      </c>
      <c r="Q116" s="16">
        <v>104</v>
      </c>
      <c r="R116" s="16">
        <f>节奏总纲!P107</f>
        <v>1350.1761006314437</v>
      </c>
      <c r="S116" s="16">
        <f>节奏总纲!Q107</f>
        <v>1150.7550905681794</v>
      </c>
      <c r="T116" s="16">
        <f>节奏总纲!R107</f>
        <v>925.41069937279144</v>
      </c>
      <c r="U116" s="16">
        <f>节奏总纲!S107</f>
        <v>665.09674717104917</v>
      </c>
      <c r="V116" s="16">
        <f>节奏总纲!T107</f>
        <v>360.49701886859549</v>
      </c>
      <c r="W116" s="1">
        <f>MAX(求节点(节奏总纲!$O$4:$O$163,节奏总纲!P$4:P$163,$Q116)-INT(R$4),0)*C$13</f>
        <v>855765.4916763095</v>
      </c>
      <c r="X116" s="1">
        <f>MAX(求节点(节奏总纲!$O$4:$O$163,节奏总纲!Q$4:Q$163,$Q116)-INT(S$4),0)*D$13</f>
        <v>1063905.1338417826</v>
      </c>
      <c r="Y116" s="1">
        <f>MAX(求节点(节奏总纲!$O$4:$O$163,节奏总纲!R$4:R$163,$Q116)-INT(T$4),0)*E$13</f>
        <v>1124397.9266647976</v>
      </c>
      <c r="Z116" s="1">
        <f>MAX(求节点(节奏总纲!$O$4:$O$163,节奏总纲!S$4:S$163,$Q116)-INT(U$4),0)*F$13</f>
        <v>1002334.3901128448</v>
      </c>
      <c r="AA116" s="1">
        <f>MAX(求节点(节奏总纲!$O$4:$O$163,节奏总纲!T$4:T$163,$Q116)-INT(V$4),0)*G$13</f>
        <v>542721.12391468172</v>
      </c>
    </row>
    <row r="117" spans="2:27">
      <c r="B117" s="100">
        <v>13</v>
      </c>
      <c r="C117" s="1">
        <f t="shared" si="9"/>
        <v>361</v>
      </c>
      <c r="D117" s="1">
        <f t="shared" si="10"/>
        <v>390</v>
      </c>
      <c r="E117" s="16">
        <f t="shared" si="11"/>
        <v>360</v>
      </c>
      <c r="F117" s="16"/>
      <c r="G117" s="16">
        <v>120</v>
      </c>
      <c r="H117" s="16">
        <v>120</v>
      </c>
      <c r="I117" s="16">
        <f t="shared" si="13"/>
        <v>960</v>
      </c>
      <c r="J117" s="137">
        <v>12</v>
      </c>
      <c r="K117" s="16">
        <f t="shared" si="12"/>
        <v>3870</v>
      </c>
      <c r="L117" s="138">
        <v>20</v>
      </c>
      <c r="Q117" s="16">
        <v>105</v>
      </c>
      <c r="R117" s="16">
        <f>节奏总纲!P108</f>
        <v>1447.1546878700494</v>
      </c>
      <c r="S117" s="16">
        <f>节奏总纲!Q108</f>
        <v>1234.8570951595132</v>
      </c>
      <c r="T117" s="16">
        <f>节奏总纲!R108</f>
        <v>993.18226228521496</v>
      </c>
      <c r="U117" s="16">
        <f>节奏总纲!S108</f>
        <v>713.59197658872131</v>
      </c>
      <c r="V117" s="16">
        <f>节奏总纲!T108</f>
        <v>386.39030166130323</v>
      </c>
      <c r="W117" s="1">
        <f>MAX(求节点(节奏总纲!$O$4:$O$163,节奏总纲!P$4:P$163,$Q117)-INT(R$4),0)*C$13</f>
        <v>917552.57108555769</v>
      </c>
      <c r="X117" s="1">
        <f>MAX(求节点(节奏总纲!$O$4:$O$163,节奏总纲!Q$4:Q$163,$Q117)-INT(S$4),0)*D$13</f>
        <v>1142067.3147207468</v>
      </c>
      <c r="Y117" s="1">
        <f>MAX(求节点(节奏总纲!$O$4:$O$163,节奏总纲!R$4:R$163,$Q117)-INT(T$4),0)*E$13</f>
        <v>1207189.4510109287</v>
      </c>
      <c r="Z117" s="1">
        <f>MAX(求节点(节奏总纲!$O$4:$O$163,节奏总纲!S$4:S$163,$Q117)-INT(U$4),0)*F$13</f>
        <v>1075750.3016234131</v>
      </c>
      <c r="AA117" s="1">
        <f>MAX(求节点(节奏总纲!$O$4:$O$163,节奏总纲!T$4:T$163,$Q117)-INT(V$4),0)*G$13</f>
        <v>581920.42209420155</v>
      </c>
    </row>
    <row r="118" spans="2:27">
      <c r="B118" s="100">
        <v>14</v>
      </c>
      <c r="C118" s="1">
        <f t="shared" si="9"/>
        <v>391</v>
      </c>
      <c r="D118" s="1">
        <f t="shared" si="10"/>
        <v>420</v>
      </c>
      <c r="E118" s="16">
        <f t="shared" si="11"/>
        <v>390</v>
      </c>
      <c r="F118" s="16"/>
      <c r="G118" s="16">
        <v>120</v>
      </c>
      <c r="H118" s="16">
        <v>120</v>
      </c>
      <c r="I118" s="16">
        <f t="shared" si="13"/>
        <v>960</v>
      </c>
      <c r="J118" s="137">
        <v>12</v>
      </c>
      <c r="K118" s="16">
        <f t="shared" si="12"/>
        <v>4230</v>
      </c>
      <c r="L118" s="138">
        <v>20</v>
      </c>
      <c r="Q118" s="16">
        <v>106</v>
      </c>
      <c r="R118" s="16">
        <f>节奏总纲!P109</f>
        <v>1551.0937641066464</v>
      </c>
      <c r="S118" s="16">
        <f>节奏总纲!Q109</f>
        <v>1324.4789651706653</v>
      </c>
      <c r="T118" s="16">
        <f>节奏总纲!R109</f>
        <v>1064.6707596828021</v>
      </c>
      <c r="U118" s="16">
        <f>节奏总纲!S109</f>
        <v>764.3790069517554</v>
      </c>
      <c r="V118" s="16">
        <f>节奏总纲!T109</f>
        <v>412.59094125236794</v>
      </c>
      <c r="W118" s="1">
        <f>MAX(求节点(节奏总纲!$O$4:$O$163,节奏总纲!P$4:P$163,$Q118)-INT(R$4),0)*C$13</f>
        <v>983774.32312401163</v>
      </c>
      <c r="X118" s="1">
        <f>MAX(求节点(节奏总纲!$O$4:$O$163,节奏总纲!Q$4:Q$163,$Q118)-INT(S$4),0)*D$13</f>
        <v>1225359.512672049</v>
      </c>
      <c r="Y118" s="1">
        <f>MAX(求节点(节奏总纲!$O$4:$O$163,节奏总纲!R$4:R$163,$Q118)-INT(T$4),0)*E$13</f>
        <v>1294521.6803179155</v>
      </c>
      <c r="Z118" s="1">
        <f>MAX(求节点(节奏总纲!$O$4:$O$163,节奏总纲!S$4:S$163,$Q118)-INT(U$4),0)*F$13</f>
        <v>1152635.7225563498</v>
      </c>
      <c r="AA118" s="1">
        <f>MAX(求节点(节奏总纲!$O$4:$O$163,节奏总纲!T$4:T$163,$Q118)-INT(V$4),0)*G$13</f>
        <v>621585.02128953894</v>
      </c>
    </row>
    <row r="119" spans="2:27">
      <c r="B119" s="102">
        <v>15</v>
      </c>
      <c r="C119" s="111">
        <f>C118+30</f>
        <v>421</v>
      </c>
      <c r="D119" s="111">
        <v>9999</v>
      </c>
      <c r="E119" s="97">
        <f t="shared" si="11"/>
        <v>420</v>
      </c>
      <c r="F119" s="97"/>
      <c r="G119" s="97">
        <v>120</v>
      </c>
      <c r="H119" s="97">
        <v>120</v>
      </c>
      <c r="I119" s="97">
        <f t="shared" si="13"/>
        <v>960</v>
      </c>
      <c r="J119" s="141">
        <v>12</v>
      </c>
      <c r="K119" s="97">
        <f t="shared" si="12"/>
        <v>4590</v>
      </c>
      <c r="L119" s="140">
        <v>20</v>
      </c>
      <c r="Q119" s="16">
        <v>107</v>
      </c>
      <c r="R119" s="16">
        <f>节奏总纲!P110</f>
        <v>1662.4929077375689</v>
      </c>
      <c r="S119" s="16">
        <f>节奏总纲!Q110</f>
        <v>1418.9376967540152</v>
      </c>
      <c r="T119" s="16">
        <f>节奏总纲!R110</f>
        <v>1141.6338797433884</v>
      </c>
      <c r="U119" s="16">
        <f>节奏总纲!S110</f>
        <v>816.11776840837263</v>
      </c>
      <c r="V119" s="16">
        <f>节奏总纲!T110</f>
        <v>440.22812196890823</v>
      </c>
      <c r="W119" s="1">
        <f>MAX(求节点(节奏总纲!$O$4:$O$163,节奏总纲!P$4:P$163,$Q119)-INT(R$4),0)*C$13</f>
        <v>1054749.0396014859</v>
      </c>
      <c r="X119" s="1">
        <f>MAX(求节点(节奏总纲!$O$4:$O$163,节奏总纲!Q$4:Q$163,$Q119)-INT(S$4),0)*D$13</f>
        <v>1313146.961966404</v>
      </c>
      <c r="Y119" s="1">
        <f>MAX(求节点(节奏总纲!$O$4:$O$163,节奏总纲!R$4:R$163,$Q119)-INT(T$4),0)*E$13</f>
        <v>1388541.8527091616</v>
      </c>
      <c r="Z119" s="1">
        <f>MAX(求节点(节奏总纲!$O$4:$O$163,节奏总纲!S$4:S$163,$Q119)-INT(U$4),0)*F$13</f>
        <v>1230961.9492466236</v>
      </c>
      <c r="AA119" s="1">
        <f>MAX(求节点(节奏总纲!$O$4:$O$163,节奏总纲!T$4:T$163,$Q119)-INT(V$4),0)*G$13</f>
        <v>663424.36998942809</v>
      </c>
    </row>
    <row r="120" spans="2:27">
      <c r="Q120" s="16">
        <v>108</v>
      </c>
      <c r="R120" s="16">
        <f>节奏总纲!P111</f>
        <v>1781.8875536304624</v>
      </c>
      <c r="S120" s="16">
        <f>节奏总纲!Q111</f>
        <v>1520.8410270235997</v>
      </c>
      <c r="T120" s="16">
        <f>节奏总纲!R111</f>
        <v>1218.0983316617842</v>
      </c>
      <c r="U120" s="16">
        <f>节奏总纲!S111</f>
        <v>871.69939123602228</v>
      </c>
      <c r="V120" s="16">
        <f>节奏总纲!T111</f>
        <v>471.13106917989433</v>
      </c>
      <c r="W120" s="1">
        <f>MAX(求节点(节奏总纲!$O$4:$O$163,节奏总纲!P$4:P$163,$Q120)-INT(R$4),0)*C$13</f>
        <v>1130817.8572330815</v>
      </c>
      <c r="X120" s="1">
        <f>MAX(求节点(节奏总纲!$O$4:$O$163,节奏总纲!Q$4:Q$163,$Q120)-INT(S$4),0)*D$13</f>
        <v>1407853.2245745708</v>
      </c>
      <c r="Y120" s="1">
        <f>MAX(求节点(节奏总纲!$O$4:$O$163,节奏总纲!R$4:R$163,$Q120)-INT(T$4),0)*E$13</f>
        <v>1481952.8389777832</v>
      </c>
      <c r="Z120" s="1">
        <f>MAX(求节点(节奏总纲!$O$4:$O$163,节奏总纲!S$4:S$163,$Q120)-INT(U$4),0)*F$13</f>
        <v>1315105.8032324242</v>
      </c>
      <c r="AA120" s="1">
        <f>MAX(求节点(节奏总纲!$O$4:$O$163,节奏总纲!T$4:T$163,$Q120)-INT(V$4),0)*G$13</f>
        <v>710207.6941452421</v>
      </c>
    </row>
    <row r="121" spans="2:27">
      <c r="Q121" s="16">
        <v>109</v>
      </c>
      <c r="R121" s="16">
        <f>节奏总纲!P112</f>
        <v>1909.8515666673818</v>
      </c>
      <c r="S121" s="16">
        <f>节奏总纲!Q112</f>
        <v>1624.7107277639418</v>
      </c>
      <c r="T121" s="16">
        <f>节奏总纲!R112</f>
        <v>1301.5638426838207</v>
      </c>
      <c r="U121" s="16">
        <f>节奏总纲!S112</f>
        <v>931.81657937701561</v>
      </c>
      <c r="V121" s="16">
        <f>节奏总纲!T112</f>
        <v>504.58278391352223</v>
      </c>
      <c r="W121" s="1">
        <f>MAX(求节点(节奏总纲!$O$4:$O$163,节奏总纲!P$4:P$163,$Q121)-INT(R$4),0)*C$13</f>
        <v>1212346.3972971374</v>
      </c>
      <c r="X121" s="1">
        <f>MAX(求节点(节奏总纲!$O$4:$O$163,节奏总纲!Q$4:Q$163,$Q121)-INT(S$4),0)*D$13</f>
        <v>1504386.9799417655</v>
      </c>
      <c r="Y121" s="1">
        <f>MAX(求节点(节奏总纲!$O$4:$O$163,节奏总纲!R$4:R$163,$Q121)-INT(T$4),0)*E$13</f>
        <v>1583916.5032476012</v>
      </c>
      <c r="Z121" s="1">
        <f>MAX(求节点(节奏总纲!$O$4:$O$163,节奏总纲!S$4:S$163,$Q121)-INT(U$4),0)*F$13</f>
        <v>1406115.9544951587</v>
      </c>
      <c r="AA121" s="1">
        <f>MAX(求节点(节奏总纲!$O$4:$O$163,节奏总纲!T$4:T$163,$Q121)-INT(V$4),0)*G$13</f>
        <v>760849.54403957108</v>
      </c>
    </row>
    <row r="122" spans="2:27">
      <c r="B122" s="14" t="s">
        <v>700</v>
      </c>
      <c r="Q122" s="16">
        <v>110</v>
      </c>
      <c r="R122" s="16">
        <f>节奏总纲!P113</f>
        <v>2047</v>
      </c>
      <c r="S122" s="16">
        <f>节奏总纲!Q113</f>
        <v>1741.3829000000001</v>
      </c>
      <c r="T122" s="16">
        <f>节奏总纲!R113</f>
        <v>1397.2821999999999</v>
      </c>
      <c r="U122" s="16">
        <f>节奏总纲!S113</f>
        <v>1001.3924000000001</v>
      </c>
      <c r="V122" s="16">
        <f>节奏总纲!T113</f>
        <v>542.04559999999992</v>
      </c>
      <c r="W122" s="1">
        <f>MAX(求节点(节奏总纲!$O$4:$O$163,节奏总纲!P$4:P$163,$Q122)-INT(R$4),0)*C$13</f>
        <v>1299726.5229771193</v>
      </c>
      <c r="X122" s="1">
        <f>MAX(求节点(节奏总纲!$O$4:$O$163,节奏总纲!Q$4:Q$163,$Q122)-INT(S$4),0)*D$13</f>
        <v>1612819.0140433186</v>
      </c>
      <c r="Y122" s="1">
        <f>MAX(求节点(节奏总纲!$O$4:$O$163,节奏总纲!R$4:R$163,$Q122)-INT(T$4),0)*E$13</f>
        <v>1700848.5669267967</v>
      </c>
      <c r="Z122" s="1">
        <f>MAX(求节点(节奏总纲!$O$4:$O$163,节奏总纲!S$4:S$163,$Q122)-INT(U$4),0)*F$13</f>
        <v>1511445.3312497062</v>
      </c>
      <c r="AA122" s="1">
        <f>MAX(求节点(节奏总纲!$O$4:$O$163,节奏总纲!T$4:T$163,$Q122)-INT(V$4),0)*G$13</f>
        <v>817563.71621212875</v>
      </c>
    </row>
    <row r="123" spans="2:27">
      <c r="B123" s="14" t="s">
        <v>701</v>
      </c>
      <c r="Q123" s="16">
        <v>111</v>
      </c>
      <c r="R123" s="16">
        <f>节奏总纲!P114</f>
        <v>2193.9920512743265</v>
      </c>
      <c r="S123" s="16">
        <f>节奏总纲!Q114</f>
        <v>1869.0618284805987</v>
      </c>
      <c r="T123" s="16">
        <f>节奏总纲!R114</f>
        <v>1500.4711638665117</v>
      </c>
      <c r="U123" s="16">
        <f>节奏总纲!S114</f>
        <v>1076.5918995603122</v>
      </c>
      <c r="V123" s="16">
        <f>节奏总纲!T114</f>
        <v>583.16308722871599</v>
      </c>
      <c r="W123" s="1">
        <f>MAX(求节点(节奏总纲!$O$4:$O$163,节奏总纲!P$4:P$163,$Q123)-INT(R$4),0)*C$13</f>
        <v>1393378.222834009</v>
      </c>
      <c r="X123" s="1">
        <f>MAX(求节点(节奏总纲!$O$4:$O$163,节奏总纲!Q$4:Q$163,$Q123)-INT(S$4),0)*D$13</f>
        <v>1731480.4365721371</v>
      </c>
      <c r="Y123" s="1">
        <f>MAX(求节点(节奏总纲!$O$4:$O$163,节奏总纲!R$4:R$163,$Q123)-INT(T$4),0)*E$13</f>
        <v>1826906.9201220165</v>
      </c>
      <c r="Z123" s="1">
        <f>MAX(求节点(节奏总纲!$O$4:$O$163,节奏总纲!S$4:S$163,$Q123)-INT(U$4),0)*F$13</f>
        <v>1625288.2776931569</v>
      </c>
      <c r="AA123" s="1">
        <f>MAX(求节点(节奏总纲!$O$4:$O$163,节奏总纲!T$4:T$163,$Q123)-INT(V$4),0)*G$13</f>
        <v>879810.6184367073</v>
      </c>
    </row>
    <row r="124" spans="2:27">
      <c r="B124" s="14" t="s">
        <v>692</v>
      </c>
      <c r="Q124" s="16">
        <v>112</v>
      </c>
      <c r="R124" s="16">
        <f>节奏总纲!P115</f>
        <v>2351.5342310339256</v>
      </c>
      <c r="S124" s="16">
        <f>节奏总纲!Q115</f>
        <v>2004.6829319564217</v>
      </c>
      <c r="T124" s="16">
        <f>节奏总纲!R115</f>
        <v>1609.3900277196187</v>
      </c>
      <c r="U124" s="16">
        <f>节奏总纲!S115</f>
        <v>1155.3087677069677</v>
      </c>
      <c r="V124" s="16">
        <f>节奏总纲!T115</f>
        <v>623.15657122399034</v>
      </c>
      <c r="W124" s="1">
        <f>MAX(求节点(节奏总纲!$O$4:$O$163,节奏总纲!P$4:P$163,$Q124)-INT(R$4),0)*C$13</f>
        <v>1493751.6294620384</v>
      </c>
      <c r="X124" s="1">
        <f>MAX(求节点(节奏总纲!$O$4:$O$163,节奏总纲!Q$4:Q$163,$Q124)-INT(S$4),0)*D$13</f>
        <v>1857523.1066891146</v>
      </c>
      <c r="Y124" s="1">
        <f>MAX(求节点(节奏总纲!$O$4:$O$163,节奏总纲!R$4:R$163,$Q124)-INT(T$4),0)*E$13</f>
        <v>1959965.0698964314</v>
      </c>
      <c r="Z124" s="1">
        <f>MAX(求节点(节奏总纲!$O$4:$O$163,节奏总纲!S$4:S$163,$Q124)-INT(U$4),0)*F$13</f>
        <v>1744456.094726681</v>
      </c>
      <c r="AA124" s="1">
        <f>MAX(求节点(节奏总纲!$O$4:$O$163,节奏总纲!T$4:T$163,$Q124)-INT(V$4),0)*G$13</f>
        <v>940355.91572168993</v>
      </c>
    </row>
    <row r="125" spans="2:27">
      <c r="B125" s="14" t="s">
        <v>732</v>
      </c>
      <c r="Q125" s="16">
        <v>113</v>
      </c>
      <c r="R125" s="16">
        <f>节奏总纲!P116</f>
        <v>2520.3837585303886</v>
      </c>
      <c r="S125" s="16">
        <f>节奏总纲!Q116</f>
        <v>2149.6353076505684</v>
      </c>
      <c r="T125" s="16">
        <f>节奏总纲!R116</f>
        <v>1726.7149129691693</v>
      </c>
      <c r="U125" s="16">
        <f>节奏总纲!S116</f>
        <v>1235.7441568074496</v>
      </c>
      <c r="V125" s="16">
        <f>节奏总纲!T116</f>
        <v>665.63335062787564</v>
      </c>
      <c r="W125" s="1">
        <f>MAX(求节点(节奏总纲!$O$4:$O$163,节奏总纲!P$4:P$163,$Q125)-INT(R$4),0)*C$13</f>
        <v>1601329.1830303262</v>
      </c>
      <c r="X125" s="1">
        <f>MAX(求节点(节奏总纲!$O$4:$O$163,节奏总纲!Q$4:Q$163,$Q125)-INT(S$4),0)*D$13</f>
        <v>1992238.0146499285</v>
      </c>
      <c r="Y125" s="1">
        <f>MAX(求节点(节奏总纲!$O$4:$O$163,节奏总纲!R$4:R$163,$Q125)-INT(T$4),0)*E$13</f>
        <v>2103292.236573955</v>
      </c>
      <c r="Z125" s="1">
        <f>MAX(求节点(节奏总纲!$O$4:$O$163,节奏总纲!S$4:S$163,$Q125)-INT(U$4),0)*F$13</f>
        <v>1866225.5446175025</v>
      </c>
      <c r="AA125" s="1">
        <f>MAX(求节点(节奏总纲!$O$4:$O$163,节奏总纲!T$4:T$163,$Q125)-INT(V$4),0)*G$13</f>
        <v>1004660.6218838424</v>
      </c>
    </row>
    <row r="126" spans="2:27">
      <c r="B126" s="14"/>
      <c r="Q126" s="16">
        <v>114</v>
      </c>
      <c r="R126" s="16">
        <f>节奏总纲!P117</f>
        <v>2701.3522012628878</v>
      </c>
      <c r="S126" s="16">
        <f>节奏总纲!Q117</f>
        <v>2304.5235628973696</v>
      </c>
      <c r="T126" s="16">
        <f>节奏总纲!R117</f>
        <v>1846.3742295631837</v>
      </c>
      <c r="U126" s="16">
        <f>节奏总纲!S117</f>
        <v>1319.3404150967945</v>
      </c>
      <c r="V126" s="16">
        <f>节奏总纲!T117</f>
        <v>710.99589937239205</v>
      </c>
      <c r="W126" s="1">
        <f>MAX(求节点(节奏总纲!$O$4:$O$163,节奏总纲!P$4:P$163,$Q126)-INT(R$4),0)*C$13</f>
        <v>1716627.9501093924</v>
      </c>
      <c r="X126" s="1">
        <f>MAX(求节点(节奏总纲!$O$4:$O$163,节奏总纲!Q$4:Q$163,$Q126)-INT(S$4),0)*D$13</f>
        <v>2136187.0665358468</v>
      </c>
      <c r="Y126" s="1">
        <f>MAX(求节点(节奏总纲!$O$4:$O$163,节奏总纲!R$4:R$163,$Q126)-INT(T$4),0)*E$13</f>
        <v>2249471.2060015388</v>
      </c>
      <c r="Z126" s="1">
        <f>MAX(求节点(节奏总纲!$O$4:$O$163,节奏总纲!S$4:S$163,$Q126)-INT(U$4),0)*F$13</f>
        <v>1992780.1681316386</v>
      </c>
      <c r="AA126" s="1">
        <f>MAX(求节点(节奏总纲!$O$4:$O$163,节奏总纲!T$4:T$163,$Q126)-INT(V$4),0)*G$13</f>
        <v>1073334.0337742839</v>
      </c>
    </row>
    <row r="127" spans="2:27">
      <c r="B127" s="98" t="s">
        <v>702</v>
      </c>
      <c r="C127" s="106" t="s">
        <v>483</v>
      </c>
      <c r="D127" s="106" t="s">
        <v>727</v>
      </c>
      <c r="E127" s="107" t="s">
        <v>728</v>
      </c>
      <c r="Q127" s="16">
        <v>115</v>
      </c>
      <c r="R127" s="16">
        <f>节奏总纲!P118</f>
        <v>2895.3093757400989</v>
      </c>
      <c r="S127" s="16">
        <f>节奏总纲!Q118</f>
        <v>2463.0396859421021</v>
      </c>
      <c r="T127" s="16">
        <f>节奏总纲!R118</f>
        <v>1969.9684992535633</v>
      </c>
      <c r="U127" s="16">
        <f>节奏总纲!S118</f>
        <v>1407.1203566096881</v>
      </c>
      <c r="V127" s="16">
        <f>节奏总纲!T118</f>
        <v>758.86058738147995</v>
      </c>
      <c r="W127" s="1">
        <f>MAX(求节点(节奏总纲!$O$4:$O$163,节奏总纲!P$4:P$163,$Q127)-INT(R$4),0)*C$13</f>
        <v>1840202.1089278886</v>
      </c>
      <c r="X127" s="1">
        <f>MAX(求节点(节奏总纲!$O$4:$O$163,节奏总纲!Q$4:Q$163,$Q127)-INT(S$4),0)*D$13</f>
        <v>2283507.7628956963</v>
      </c>
      <c r="Y127" s="1">
        <f>MAX(求节点(节奏总纲!$O$4:$O$163,节奏总纲!R$4:R$163,$Q127)-INT(T$4),0)*E$13</f>
        <v>2400457.2176615647</v>
      </c>
      <c r="Z127" s="1">
        <f>MAX(求节点(节奏总纲!$O$4:$O$163,节奏总纲!S$4:S$163,$Q127)-INT(U$4),0)*F$13</f>
        <v>2125668.3820012906</v>
      </c>
      <c r="AA127" s="1">
        <f>MAX(求节点(节奏总纲!$O$4:$O$163,节奏总纲!T$4:T$163,$Q127)-INT(V$4),0)*G$13</f>
        <v>1145795.381860527</v>
      </c>
    </row>
    <row r="128" spans="2:27">
      <c r="B128" s="100">
        <v>500</v>
      </c>
      <c r="C128" s="1">
        <v>800</v>
      </c>
      <c r="D128" s="1">
        <v>243</v>
      </c>
      <c r="E128" s="109">
        <f t="shared" ref="E128:E133" si="14">C128+D128</f>
        <v>1043</v>
      </c>
      <c r="F128" s="115" t="s">
        <v>729</v>
      </c>
      <c r="Q128" s="16">
        <v>116</v>
      </c>
      <c r="R128" s="16">
        <f>节奏总纲!P119</f>
        <v>3103.1875282132928</v>
      </c>
      <c r="S128" s="16">
        <f>节奏总纲!Q119</f>
        <v>2636.7784427228348</v>
      </c>
      <c r="T128" s="16">
        <f>节奏总纲!R119</f>
        <v>2108.9262441737537</v>
      </c>
      <c r="U128" s="16">
        <f>节奏总纲!S119</f>
        <v>1509.0800949701243</v>
      </c>
      <c r="V128" s="16">
        <f>节奏总纲!T119</f>
        <v>813.34545114470404</v>
      </c>
      <c r="W128" s="1">
        <f>MAX(求节点(节奏总纲!$O$4:$O$163,节奏总纲!P$4:P$163,$Q128)-INT(R$4),0)*C$13</f>
        <v>1972645.6130047962</v>
      </c>
      <c r="X128" s="1">
        <f>MAX(求节点(节奏总纲!$O$4:$O$163,节奏总纲!Q$4:Q$163,$Q128)-INT(S$4),0)*D$13</f>
        <v>2444975.9728292003</v>
      </c>
      <c r="Y128" s="1">
        <f>MAX(求节点(节奏总纲!$O$4:$O$163,节奏总纲!R$4:R$163,$Q128)-INT(T$4),0)*E$13</f>
        <v>2570211.6548804599</v>
      </c>
      <c r="Z128" s="1">
        <f>MAX(求节点(节奏总纲!$O$4:$O$163,节奏总纲!S$4:S$163,$Q128)-INT(U$4),0)*F$13</f>
        <v>2280023.0931552649</v>
      </c>
      <c r="AA128" s="1">
        <f>MAX(求节点(节奏总纲!$O$4:$O$163,节奏总纲!T$4:T$163,$Q128)-INT(V$4),0)*G$13</f>
        <v>1228278.8752832548</v>
      </c>
    </row>
    <row r="129" spans="2:27">
      <c r="B129" s="108">
        <v>1000</v>
      </c>
      <c r="C129" s="1">
        <v>800</v>
      </c>
      <c r="D129" s="1">
        <v>243</v>
      </c>
      <c r="E129" s="109">
        <f t="shared" si="14"/>
        <v>1043</v>
      </c>
      <c r="F129" s="115" t="s">
        <v>730</v>
      </c>
      <c r="Q129" s="16">
        <v>117</v>
      </c>
      <c r="R129" s="16">
        <f>节奏总纲!P120</f>
        <v>3325.985815475135</v>
      </c>
      <c r="S129" s="16">
        <f>节奏总纲!Q120</f>
        <v>2826.7553445723174</v>
      </c>
      <c r="T129" s="16">
        <f>节奏总纲!R120</f>
        <v>2262.6681502677343</v>
      </c>
      <c r="U129" s="16">
        <f>节奏总纲!S120</f>
        <v>1618.0920992286531</v>
      </c>
      <c r="V129" s="16">
        <f>节奏总纲!T120</f>
        <v>873.07127656222303</v>
      </c>
      <c r="W129" s="1">
        <f>MAX(求节点(节奏总纲!$O$4:$O$163,节奏总纲!P$4:P$163,$Q129)-INT(R$4),0)*C$13</f>
        <v>2114595.0459597432</v>
      </c>
      <c r="X129" s="1">
        <f>MAX(求节点(节奏总纲!$O$4:$O$163,节奏总纲!Q$4:Q$163,$Q129)-INT(S$4),0)*D$13</f>
        <v>2621535.4857366327</v>
      </c>
      <c r="Y129" s="1">
        <f>MAX(求节点(节奏总纲!$O$4:$O$163,节奏总纲!R$4:R$163,$Q129)-INT(T$4),0)*E$13</f>
        <v>2758026.8123654444</v>
      </c>
      <c r="Z129" s="1">
        <f>MAX(求节点(节奏总纲!$O$4:$O$163,节奏总纲!S$4:S$163,$Q129)-INT(U$4),0)*F$13</f>
        <v>2445054.0818594322</v>
      </c>
      <c r="AA129" s="1">
        <f>MAX(求节点(节奏总纲!$O$4:$O$163,节奏总纲!T$4:T$163,$Q129)-INT(V$4),0)*G$13</f>
        <v>1318696.5507206321</v>
      </c>
    </row>
    <row r="130" spans="2:27">
      <c r="B130" s="108">
        <v>1500</v>
      </c>
      <c r="C130" s="1">
        <v>600</v>
      </c>
      <c r="D130" s="1">
        <v>243</v>
      </c>
      <c r="E130" s="109">
        <f t="shared" si="14"/>
        <v>843</v>
      </c>
      <c r="F130" s="115" t="s">
        <v>729</v>
      </c>
      <c r="Q130" s="16">
        <v>118</v>
      </c>
      <c r="R130" s="16">
        <f>节奏总纲!P121</f>
        <v>3564.7751072609281</v>
      </c>
      <c r="S130" s="16">
        <f>节奏总纲!Q121</f>
        <v>3030.4153186825147</v>
      </c>
      <c r="T130" s="16">
        <f>节奏总纲!R121</f>
        <v>2426.1859380017877</v>
      </c>
      <c r="U130" s="16">
        <f>节奏总纲!S121</f>
        <v>1737.4713872789764</v>
      </c>
      <c r="V130" s="16">
        <f>节奏总纲!T121</f>
        <v>936.10994316671975</v>
      </c>
      <c r="W130" s="1">
        <f>MAX(求节点(节奏总纲!$O$4:$O$163,节奏总纲!P$4:P$163,$Q130)-INT(R$4),0)*C$13</f>
        <v>2266732.681222938</v>
      </c>
      <c r="X130" s="1">
        <f>MAX(求节点(节奏总纲!$O$4:$O$163,节奏总纲!Q$4:Q$163,$Q130)-INT(S$4),0)*D$13</f>
        <v>2810811.6844617068</v>
      </c>
      <c r="Y130" s="1">
        <f>MAX(求节点(节奏总纲!$O$4:$O$163,节奏总纲!R$4:R$163,$Q130)-INT(T$4),0)*E$13</f>
        <v>2957784.444068633</v>
      </c>
      <c r="Z130" s="1">
        <f>MAX(求节点(节奏总纲!$O$4:$O$163,节奏总纲!S$4:S$163,$Q130)-INT(U$4),0)*F$13</f>
        <v>2625779.8842308996</v>
      </c>
      <c r="AA130" s="1">
        <f>MAX(求节点(节奏总纲!$O$4:$O$163,节奏总纲!T$4:T$163,$Q130)-INT(V$4),0)*G$13</f>
        <v>1414129.4670044233</v>
      </c>
    </row>
    <row r="131" spans="2:27">
      <c r="B131" s="108">
        <v>2000</v>
      </c>
      <c r="C131" s="1">
        <v>600</v>
      </c>
      <c r="D131" s="1">
        <v>243</v>
      </c>
      <c r="E131" s="109">
        <f t="shared" si="14"/>
        <v>843</v>
      </c>
      <c r="F131" s="115" t="s">
        <v>730</v>
      </c>
      <c r="Q131" s="16">
        <v>119</v>
      </c>
      <c r="R131" s="16">
        <f>节奏总纲!P122</f>
        <v>3820.7031333347636</v>
      </c>
      <c r="S131" s="16">
        <f>节奏总纲!Q122</f>
        <v>3250.2721555278836</v>
      </c>
      <c r="T131" s="16">
        <f>节奏总纲!R122</f>
        <v>2604.5733259943081</v>
      </c>
      <c r="U131" s="16">
        <f>节奏总纲!S122</f>
        <v>1863.3569181273642</v>
      </c>
      <c r="V131" s="16">
        <f>节奏总纲!T122</f>
        <v>1000.260080307041</v>
      </c>
      <c r="W131" s="1">
        <f>MAX(求节点(节奏总纲!$O$4:$O$163,节奏总纲!P$4:P$163,$Q131)-INT(R$4),0)*C$13</f>
        <v>2429789.7613510475</v>
      </c>
      <c r="X131" s="1">
        <f>MAX(求节点(节奏总纲!$O$4:$O$163,节奏总纲!Q$4:Q$163,$Q131)-INT(S$4),0)*D$13</f>
        <v>3015140.8194506657</v>
      </c>
      <c r="Y131" s="1">
        <f>MAX(求节点(节奏总纲!$O$4:$O$163,节奏总纲!R$4:R$163,$Q131)-INT(T$4),0)*E$13</f>
        <v>3175707.1706716828</v>
      </c>
      <c r="Z131" s="1">
        <f>MAX(求节点(节奏总纲!$O$4:$O$163,节奏总纲!S$4:S$163,$Q131)-INT(U$4),0)*F$13</f>
        <v>2816355.3512243247</v>
      </c>
      <c r="AA131" s="1">
        <f>MAX(求节点(节奏总纲!$O$4:$O$163,节奏总纲!T$4:T$163,$Q131)-INT(V$4),0)*G$13</f>
        <v>1511245.0152395328</v>
      </c>
    </row>
    <row r="132" spans="2:27">
      <c r="B132" s="108">
        <v>3000</v>
      </c>
      <c r="C132" s="1">
        <v>400</v>
      </c>
      <c r="D132" s="1">
        <v>243</v>
      </c>
      <c r="E132" s="109">
        <f t="shared" si="14"/>
        <v>643</v>
      </c>
      <c r="F132" s="115" t="s">
        <v>729</v>
      </c>
      <c r="Q132" s="16">
        <v>120</v>
      </c>
      <c r="R132" s="16">
        <f>节奏总纲!P123</f>
        <v>4095</v>
      </c>
      <c r="S132" s="16">
        <f>节奏总纲!Q123</f>
        <v>3486.0735</v>
      </c>
      <c r="T132" s="16">
        <f>节奏总纲!R123</f>
        <v>2791.971</v>
      </c>
      <c r="U132" s="16">
        <f>节奏总纲!S123</f>
        <v>1988.5319999999999</v>
      </c>
      <c r="V132" s="16">
        <f>节奏总纲!T123</f>
        <v>1067.9759999999999</v>
      </c>
      <c r="W132" s="1">
        <f>MAX(求节点(节奏总纲!$O$4:$O$163,节奏总纲!P$4:P$163,$Q132)-INT(R$4),0)*C$13</f>
        <v>2604550.0127110113</v>
      </c>
      <c r="X132" s="1">
        <f>MAX(求节点(节奏总纲!$O$4:$O$163,节奏总纲!Q$4:Q$163,$Q132)-INT(S$4),0)*D$13</f>
        <v>3234288.3585336008</v>
      </c>
      <c r="Y132" s="1">
        <f>MAX(求节点(节奏总纲!$O$4:$O$163,节奏总纲!R$4:R$163,$Q132)-INT(T$4),0)*E$13</f>
        <v>3404637.0997320386</v>
      </c>
      <c r="Z132" s="1">
        <f>MAX(求节点(节奏总纲!$O$4:$O$163,节奏总纲!S$4:S$163,$Q132)-INT(U$4),0)*F$13</f>
        <v>3005855.2844020962</v>
      </c>
      <c r="AA132" s="1">
        <f>MAX(求节点(节奏总纲!$O$4:$O$163,节奏总纲!T$4:T$163,$Q132)-INT(V$4),0)*G$13</f>
        <v>1613758.7269536874</v>
      </c>
    </row>
    <row r="133" spans="2:27">
      <c r="B133" s="110">
        <v>4000</v>
      </c>
      <c r="C133" s="111">
        <v>400</v>
      </c>
      <c r="D133" s="111">
        <v>243</v>
      </c>
      <c r="E133" s="112">
        <f t="shared" si="14"/>
        <v>643</v>
      </c>
      <c r="F133" s="115" t="s">
        <v>730</v>
      </c>
      <c r="Q133" s="16">
        <v>121</v>
      </c>
      <c r="R133" s="16">
        <f>节奏总纲!P124</f>
        <v>4388.9841025486576</v>
      </c>
      <c r="S133" s="16">
        <f>节奏总纲!Q124</f>
        <v>3731.5142839868686</v>
      </c>
      <c r="T133" s="16">
        <f>节奏总纲!R124</f>
        <v>2978.8035103997736</v>
      </c>
      <c r="U133" s="16">
        <f>节奏总纲!S124</f>
        <v>2122.0738135822758</v>
      </c>
      <c r="V133" s="16">
        <f>节奏总纲!T124</f>
        <v>1143.3303587139253</v>
      </c>
      <c r="W133" s="1">
        <f>MAX(求节点(节奏总纲!$O$4:$O$163,节奏总纲!P$4:P$163,$Q133)-INT(R$4),0)*C$13</f>
        <v>2791853.4124247935</v>
      </c>
      <c r="X133" s="1">
        <f>MAX(求节点(节奏总纲!$O$4:$O$163,节奏总纲!Q$4:Q$163,$Q133)-INT(S$4),0)*D$13</f>
        <v>3462394.5380031122</v>
      </c>
      <c r="Y133" s="1">
        <f>MAX(求节点(节奏总纲!$O$4:$O$163,节奏总纲!R$4:R$163,$Q133)-INT(T$4),0)*E$13</f>
        <v>3632876.6100617624</v>
      </c>
      <c r="Z133" s="1">
        <f>MAX(求节点(节奏总纲!$O$4:$O$163,节奏总纲!S$4:S$163,$Q133)-INT(U$4),0)*F$13</f>
        <v>3208021.4373751651</v>
      </c>
      <c r="AA133" s="1">
        <f>MAX(求节点(节奏总纲!$O$4:$O$163,节奏总纲!T$4:T$163,$Q133)-INT(V$4),0)*G$13</f>
        <v>1727836.1114244408</v>
      </c>
    </row>
    <row r="134" spans="2:27">
      <c r="E134" s="139">
        <f>SUM(E128:E133)</f>
        <v>5058</v>
      </c>
      <c r="Q134" s="16">
        <v>122</v>
      </c>
      <c r="R134" s="16">
        <f>节奏总纲!P125</f>
        <v>4704.0684620678521</v>
      </c>
      <c r="S134" s="16">
        <f>节奏总纲!Q125</f>
        <v>3989.5204626797454</v>
      </c>
      <c r="T134" s="16">
        <f>节奏总纲!R125</f>
        <v>3183.7135351275219</v>
      </c>
      <c r="U134" s="16">
        <f>节奏总纲!S125</f>
        <v>2271.1242534863591</v>
      </c>
      <c r="V134" s="16">
        <f>节奏总纲!T125</f>
        <v>1223.9986138300551</v>
      </c>
      <c r="W134" s="1">
        <f>MAX(求节点(节奏总纲!$O$4:$O$163,节奏总纲!P$4:P$163,$Q134)-INT(R$4),0)*C$13</f>
        <v>2992600.22568085</v>
      </c>
      <c r="X134" s="1">
        <f>MAX(求节点(节奏总纲!$O$4:$O$163,节奏总纲!Q$4:Q$163,$Q134)-INT(S$4),0)*D$13</f>
        <v>3702178.6633027964</v>
      </c>
      <c r="Y134" s="1">
        <f>MAX(求节点(节奏总纲!$O$4:$O$163,节奏总纲!R$4:R$163,$Q134)-INT(T$4),0)*E$13</f>
        <v>3883200.0875199423</v>
      </c>
      <c r="Z134" s="1">
        <f>MAX(求节点(节奏总纲!$O$4:$O$163,节奏总纲!S$4:S$163,$Q134)-INT(U$4),0)*F$13</f>
        <v>3433665.7747256313</v>
      </c>
      <c r="AA134" s="1">
        <f>MAX(求节点(节奏总纲!$O$4:$O$163,节奏总纲!T$4:T$163,$Q134)-INT(V$4),0)*G$13</f>
        <v>1849958.0922962248</v>
      </c>
    </row>
    <row r="135" spans="2:27">
      <c r="Q135" s="16">
        <v>123</v>
      </c>
      <c r="R135" s="16">
        <f>节奏总纲!P126</f>
        <v>5041.7675170607781</v>
      </c>
      <c r="S135" s="16">
        <f>节奏总纲!Q126</f>
        <v>4275.9230312192458</v>
      </c>
      <c r="T135" s="16">
        <f>节奏总纲!R126</f>
        <v>3419.8309068223257</v>
      </c>
      <c r="U135" s="16">
        <f>节奏总纲!S126</f>
        <v>2442.7363620159467</v>
      </c>
      <c r="V135" s="16">
        <f>节奏总纲!T126</f>
        <v>1316.4054987045693</v>
      </c>
      <c r="W135" s="1">
        <f>MAX(求节点(节奏总纲!$O$4:$O$163,节奏总纲!P$4:P$163,$Q135)-INT(R$4),0)*C$13</f>
        <v>3207755.332817426</v>
      </c>
      <c r="X135" s="1">
        <f>MAX(求节点(节奏总纲!$O$4:$O$163,节奏总纲!Q$4:Q$163,$Q135)-INT(S$4),0)*D$13</f>
        <v>3968353.6430213074</v>
      </c>
      <c r="Y135" s="1">
        <f>MAX(求节点(节奏总纲!$O$4:$O$163,节奏总纲!R$4:R$163,$Q135)-INT(T$4),0)*E$13</f>
        <v>4171647.2811087342</v>
      </c>
      <c r="Z135" s="1">
        <f>MAX(求节点(节奏总纲!$O$4:$O$163,节奏总纲!S$4:S$163,$Q135)-INT(U$4),0)*F$13</f>
        <v>3693465.7493878617</v>
      </c>
      <c r="AA135" s="1">
        <f>MAX(求节点(节奏总纲!$O$4:$O$163,节奏总纲!T$4:T$163,$Q135)-INT(V$4),0)*G$13</f>
        <v>1989850.9387551055</v>
      </c>
    </row>
    <row r="136" spans="2:27">
      <c r="B136" s="1" t="s">
        <v>703</v>
      </c>
      <c r="Q136" s="16">
        <v>124</v>
      </c>
      <c r="R136" s="16">
        <f>节奏总纲!P127</f>
        <v>5403.704402525771</v>
      </c>
      <c r="S136" s="16">
        <f>节奏总纲!Q127</f>
        <v>4591.5276308261473</v>
      </c>
      <c r="T136" s="16">
        <f>节奏总纲!R127</f>
        <v>3671.276771076009</v>
      </c>
      <c r="U136" s="16">
        <f>节奏总纲!S127</f>
        <v>2624.0388578665143</v>
      </c>
      <c r="V136" s="16">
        <f>节奏总纲!T127</f>
        <v>1415.7705534617521</v>
      </c>
      <c r="W136" s="1">
        <f>MAX(求节点(节奏总纲!$O$4:$O$163,节奏总纲!P$4:P$163,$Q136)-INT(R$4),0)*C$13</f>
        <v>3438352.8669755547</v>
      </c>
      <c r="X136" s="1">
        <f>MAX(求节点(节奏总纲!$O$4:$O$163,节奏总纲!Q$4:Q$163,$Q136)-INT(S$4),0)*D$13</f>
        <v>4261668.2188221524</v>
      </c>
      <c r="Y136" s="1">
        <f>MAX(求节点(节奏总纲!$O$4:$O$163,节奏总纲!R$4:R$163,$Q136)-INT(T$4),0)*E$13</f>
        <v>4478820.16450518</v>
      </c>
      <c r="Z136" s="1">
        <f>MAX(求节点(节奏总纲!$O$4:$O$163,节奏总纲!S$4:S$163,$Q136)-INT(U$4),0)*F$13</f>
        <v>3967935.7983358097</v>
      </c>
      <c r="AA136" s="1">
        <f>MAX(求节点(节奏总纲!$O$4:$O$163,节奏总纲!T$4:T$163,$Q136)-INT(V$4),0)*G$13</f>
        <v>2140277.612778381</v>
      </c>
    </row>
    <row r="137" spans="2:27">
      <c r="B137" s="115" t="s">
        <v>731</v>
      </c>
      <c r="Q137" s="16">
        <v>125</v>
      </c>
      <c r="R137" s="16">
        <f>节奏总纲!P128</f>
        <v>5791.6187514801986</v>
      </c>
      <c r="S137" s="16">
        <f>节奏总纲!Q128</f>
        <v>4918.821805632133</v>
      </c>
      <c r="T137" s="16">
        <f>节奏总纲!R128</f>
        <v>3940.0382366319791</v>
      </c>
      <c r="U137" s="16">
        <f>节奏总纲!S128</f>
        <v>2816.4641988448207</v>
      </c>
      <c r="V137" s="16">
        <f>节奏总纲!T128</f>
        <v>1509.8750085108877</v>
      </c>
      <c r="W137" s="1">
        <f>MAX(求节点(节奏总纲!$O$4:$O$163,节奏总纲!P$4:P$163,$Q137)-INT(R$4),0)*C$13</f>
        <v>3685501.1846125508</v>
      </c>
      <c r="X137" s="1">
        <f>MAX(求节点(节奏总纲!$O$4:$O$163,节奏总纲!Q$4:Q$163,$Q137)-INT(S$4),0)*D$13</f>
        <v>4565846.7769448068</v>
      </c>
      <c r="Y137" s="1">
        <f>MAX(求节点(节奏总纲!$O$4:$O$163,节奏总纲!R$4:R$163,$Q137)-INT(T$4),0)*E$13</f>
        <v>4807146.2420317167</v>
      </c>
      <c r="Z137" s="1">
        <f>MAX(求节点(节奏总纲!$O$4:$O$163,节奏总纲!S$4:S$163,$Q137)-INT(U$4),0)*F$13</f>
        <v>4259244.4894233961</v>
      </c>
      <c r="AA137" s="1">
        <f>MAX(求节点(节奏总纲!$O$4:$O$163,节奏总纲!T$4:T$163,$Q137)-INT(V$4),0)*G$13</f>
        <v>2282740.3751489818</v>
      </c>
    </row>
    <row r="138" spans="2:27">
      <c r="B138" s="105" t="s">
        <v>704</v>
      </c>
      <c r="C138" s="107" t="s">
        <v>483</v>
      </c>
      <c r="Q138" s="16">
        <v>126</v>
      </c>
      <c r="R138" s="16">
        <f>节奏总纲!P129</f>
        <v>6207.3750564265865</v>
      </c>
      <c r="S138" s="16">
        <f>节奏总纲!Q129</f>
        <v>5279.3724854908123</v>
      </c>
      <c r="T138" s="16">
        <f>节奏总纲!R129</f>
        <v>4225.9809384152195</v>
      </c>
      <c r="U138" s="16">
        <f>节奏总纲!S129</f>
        <v>3006.8524773330387</v>
      </c>
      <c r="V138" s="16">
        <f>节奏总纲!T129</f>
        <v>1610.1930896370566</v>
      </c>
      <c r="W138" s="1">
        <f>MAX(求节点(节奏总纲!$O$4:$O$163,节奏总纲!P$4:P$163,$Q138)-INT(R$4),0)*C$13</f>
        <v>3950388.1927663661</v>
      </c>
      <c r="X138" s="1">
        <f>MAX(求节点(节奏总纲!$O$4:$O$163,节奏总纲!Q$4:Q$163,$Q138)-INT(S$4),0)*D$13</f>
        <v>4900933.052142242</v>
      </c>
      <c r="Y138" s="1">
        <f>MAX(求节点(节奏总纲!$O$4:$O$163,节奏总纲!R$4:R$163,$Q138)-INT(T$4),0)*E$13</f>
        <v>5156461.3697775155</v>
      </c>
      <c r="Z138" s="1">
        <f>MAX(求节点(节奏总纲!$O$4:$O$163,节奏总纲!S$4:S$163,$Q138)-INT(U$4),0)*F$13</f>
        <v>4547469.3142975494</v>
      </c>
      <c r="AA138" s="1">
        <f>MAX(求节点(节奏总纲!$O$4:$O$163,节奏总纲!T$4:T$163,$Q138)-INT(V$4),0)*G$13</f>
        <v>2434609.8158198814</v>
      </c>
    </row>
    <row r="139" spans="2:27">
      <c r="B139" s="108">
        <v>1</v>
      </c>
      <c r="C139" s="109">
        <v>500</v>
      </c>
      <c r="Q139" s="16">
        <v>127</v>
      </c>
      <c r="R139" s="16">
        <f>节奏总纲!P130</f>
        <v>6652.971630950271</v>
      </c>
      <c r="S139" s="16">
        <f>节奏总纲!Q130</f>
        <v>5658.3523721232059</v>
      </c>
      <c r="T139" s="16">
        <f>节奏总纲!R130</f>
        <v>4508.7188742949984</v>
      </c>
      <c r="U139" s="16">
        <f>节奏总纲!S130</f>
        <v>3203.4058403025556</v>
      </c>
      <c r="V139" s="16">
        <f>节奏总纲!T130</f>
        <v>1719.793166600645</v>
      </c>
      <c r="W139" s="1">
        <f>MAX(求节点(节奏总纲!$O$4:$O$163,节奏总纲!P$4:P$163,$Q139)-INT(R$4),0)*C$13</f>
        <v>4234287.0586762596</v>
      </c>
      <c r="X139" s="1">
        <f>MAX(求节点(节奏总纲!$O$4:$O$163,节奏总纲!Q$4:Q$163,$Q139)-INT(S$4),0)*D$13</f>
        <v>5253146.9451687932</v>
      </c>
      <c r="Y139" s="1">
        <f>MAX(求节点(节奏总纲!$O$4:$O$163,节奏总纲!R$4:R$163,$Q139)-INT(T$4),0)*E$13</f>
        <v>5501861.4711771905</v>
      </c>
      <c r="Z139" s="1">
        <f>MAX(求节点(节奏总纲!$O$4:$O$163,节奏总纲!S$4:S$163,$Q139)-INT(U$4),0)*F$13</f>
        <v>4845027.3313674964</v>
      </c>
      <c r="AA139" s="1">
        <f>MAX(求节点(节奏总纲!$O$4:$O$163,节奏总纲!T$4:T$163,$Q139)-INT(V$4),0)*G$13</f>
        <v>2600531.075468116</v>
      </c>
    </row>
    <row r="140" spans="2:27">
      <c r="B140" s="108">
        <v>2</v>
      </c>
      <c r="C140" s="109">
        <v>400</v>
      </c>
      <c r="Q140" s="16">
        <v>128</v>
      </c>
      <c r="R140" s="16">
        <f>节奏总纲!P131</f>
        <v>7130.5502145218443</v>
      </c>
      <c r="S140" s="16">
        <f>节奏总纲!Q131</f>
        <v>6036.010756592741</v>
      </c>
      <c r="T140" s="16">
        <f>节奏总纲!R131</f>
        <v>4805.9908445877236</v>
      </c>
      <c r="U140" s="16">
        <f>节奏总纲!S131</f>
        <v>3419.0988278632244</v>
      </c>
      <c r="V140" s="16">
        <f>节奏总纲!T131</f>
        <v>1838.9689003251838</v>
      </c>
      <c r="W140" s="1">
        <f>MAX(求节点(节奏总纲!$O$4:$O$163,节奏总纲!P$4:P$163,$Q140)-INT(R$4),0)*C$13</f>
        <v>4538562.3292026417</v>
      </c>
      <c r="X140" s="1">
        <f>MAX(求节点(节奏总纲!$O$4:$O$163,节奏总纲!Q$4:Q$163,$Q140)-INT(S$4),0)*D$13</f>
        <v>5604132.6690026214</v>
      </c>
      <c r="Y140" s="1">
        <f>MAX(求节点(节奏总纲!$O$4:$O$163,节奏总纲!R$4:R$163,$Q140)-INT(T$4),0)*E$13</f>
        <v>5865016.7314109895</v>
      </c>
      <c r="Z140" s="1">
        <f>MAX(求节点(节奏总纲!$O$4:$O$163,节奏总纲!S$4:S$163,$Q140)-INT(U$4),0)*F$13</f>
        <v>5171560.4250006955</v>
      </c>
      <c r="AA140" s="1">
        <f>MAX(求节点(节奏总纲!$O$4:$O$163,节奏总纲!T$4:T$163,$Q140)-INT(V$4),0)*G$13</f>
        <v>2780948.7212116257</v>
      </c>
    </row>
    <row r="141" spans="2:27">
      <c r="B141" s="108">
        <v>3</v>
      </c>
      <c r="C141" s="109">
        <v>300</v>
      </c>
      <c r="Q141" s="16">
        <v>129</v>
      </c>
      <c r="R141" s="16">
        <f>节奏总纲!P132</f>
        <v>7642.4062666695281</v>
      </c>
      <c r="S141" s="16">
        <f>节奏总纲!Q132</f>
        <v>6469.2969047357556</v>
      </c>
      <c r="T141" s="16">
        <f>节奏总纲!R132</f>
        <v>5159.388470628599</v>
      </c>
      <c r="U141" s="16">
        <f>节奏总纲!S132</f>
        <v>3676.7616548947103</v>
      </c>
      <c r="V141" s="16">
        <f>节奏总纲!T132</f>
        <v>1975.5620199340731</v>
      </c>
      <c r="W141" s="1">
        <f>MAX(求节点(节奏总纲!$O$4:$O$163,节奏总纲!P$4:P$163,$Q141)-INT(R$4),0)*C$13</f>
        <v>4864676.4894588692</v>
      </c>
      <c r="X141" s="1">
        <f>MAX(求节点(节奏总纲!$O$4:$O$163,节奏总纲!Q$4:Q$163,$Q141)-INT(S$4),0)*D$13</f>
        <v>6006817.3665680084</v>
      </c>
      <c r="Y141" s="1">
        <f>MAX(求节点(节奏总纲!$O$4:$O$163,节奏总纲!R$4:R$163,$Q141)-INT(T$4),0)*E$13</f>
        <v>6296736.5693913614</v>
      </c>
      <c r="Z141" s="1">
        <f>MAX(求节点(节奏总纲!$O$4:$O$163,节奏总纲!S$4:S$163,$Q141)-INT(U$4),0)*F$13</f>
        <v>5561630.7790552136</v>
      </c>
      <c r="AA141" s="1">
        <f>MAX(求节点(节奏总纲!$O$4:$O$163,节奏总纲!T$4:T$163,$Q141)-INT(V$4),0)*G$13</f>
        <v>2987734.1824327731</v>
      </c>
    </row>
    <row r="142" spans="2:27">
      <c r="B142" s="108" t="s">
        <v>705</v>
      </c>
      <c r="C142" s="109">
        <v>100</v>
      </c>
      <c r="Q142" s="16">
        <v>130</v>
      </c>
      <c r="R142" s="16">
        <f>节奏总纲!P133</f>
        <v>8191</v>
      </c>
      <c r="S142" s="16">
        <f>节奏总纲!Q133</f>
        <v>6941.8725000000004</v>
      </c>
      <c r="T142" s="16">
        <f>节奏总纲!R133</f>
        <v>5542.0306</v>
      </c>
      <c r="U142" s="16">
        <f>节奏总纲!S133</f>
        <v>3951.3384000000001</v>
      </c>
      <c r="V142" s="16">
        <f>节奏总纲!T133</f>
        <v>2124.7454000000002</v>
      </c>
      <c r="W142" s="1">
        <f>MAX(求节点(节奏总纲!$O$4:$O$163,节奏总纲!P$4:P$163,$Q142)-INT(R$4),0)*C$13</f>
        <v>5214196.9921787959</v>
      </c>
      <c r="X142" s="1">
        <f>MAX(求节点(节奏总纲!$O$4:$O$163,节奏总纲!Q$4:Q$163,$Q142)-INT(S$4),0)*D$13</f>
        <v>6446016.6381610464</v>
      </c>
      <c r="Y142" s="1">
        <f>MAX(求节点(节奏总纲!$O$4:$O$163,节奏总纲!R$4:R$163,$Q142)-INT(T$4),0)*E$13</f>
        <v>6764182.2620728919</v>
      </c>
      <c r="Z142" s="1">
        <f>MAX(求节点(节奏总纲!$O$4:$O$163,节奏总纲!S$4:S$163,$Q142)-INT(U$4),0)*F$13</f>
        <v>5977306.7592200572</v>
      </c>
      <c r="AA142" s="1">
        <f>MAX(求节点(节奏总纲!$O$4:$O$163,节奏总纲!T$4:T$163,$Q142)-INT(V$4),0)*G$13</f>
        <v>3213579.7751082545</v>
      </c>
    </row>
    <row r="143" spans="2:27">
      <c r="B143" s="132" t="s">
        <v>755</v>
      </c>
      <c r="C143" s="112">
        <v>50</v>
      </c>
      <c r="Q143" s="16">
        <v>131</v>
      </c>
      <c r="R143" s="16">
        <f>节奏总纲!P134</f>
        <v>8778.9682050973151</v>
      </c>
      <c r="S143" s="16">
        <f>节奏总纲!Q134</f>
        <v>7443.6871411020138</v>
      </c>
      <c r="T143" s="16">
        <f>节奏总纲!R134</f>
        <v>5945.117268491902</v>
      </c>
      <c r="U143" s="16">
        <f>节奏总纲!S134</f>
        <v>4244.6311271645518</v>
      </c>
      <c r="V143" s="16">
        <f>节奏总纲!T134</f>
        <v>2275.5085587612239</v>
      </c>
      <c r="W143" s="1">
        <f>MAX(求节点(节奏总纲!$O$4:$O$163,节奏总纲!P$4:P$163,$Q143)-INT(R$4),0)*C$13</f>
        <v>5588803.7916063601</v>
      </c>
      <c r="X143" s="1">
        <f>MAX(求节点(节奏总纲!$O$4:$O$163,节奏总纲!Q$4:Q$163,$Q143)-INT(S$4),0)*D$13</f>
        <v>6912389.9063859731</v>
      </c>
      <c r="Y143" s="1">
        <f>MAX(求节点(节奏总纲!$O$4:$O$163,节奏总纲!R$4:R$163,$Q143)-INT(T$4),0)*E$13</f>
        <v>7256603.5416466361</v>
      </c>
      <c r="Z143" s="1">
        <f>MAX(求节点(节奏总纲!$O$4:$O$163,节奏总纲!S$4:S$163,$Q143)-INT(U$4),0)*F$13</f>
        <v>6421316.4723973162</v>
      </c>
      <c r="AA143" s="1">
        <f>MAX(求节点(节奏总纲!$O$4:$O$163,节奏总纲!T$4:T$163,$Q143)-INT(V$4),0)*G$13</f>
        <v>3441816.9616434379</v>
      </c>
    </row>
    <row r="144" spans="2:27">
      <c r="B144" s="14"/>
      <c r="Q144" s="16">
        <v>132</v>
      </c>
      <c r="R144" s="16">
        <f>节奏总纲!P135</f>
        <v>9409.1369241357042</v>
      </c>
      <c r="S144" s="16">
        <f>节奏总纲!Q135</f>
        <v>7983.6526801291457</v>
      </c>
      <c r="T144" s="16">
        <f>节奏总纲!R135</f>
        <v>6385.9812304109018</v>
      </c>
      <c r="U144" s="16">
        <f>节奏总纲!S135</f>
        <v>4544.6131343575453</v>
      </c>
      <c r="V144" s="16">
        <f>节奏总纲!T135</f>
        <v>2431.3209811966663</v>
      </c>
      <c r="W144" s="1">
        <f>MAX(求节点(节奏总纲!$O$4:$O$163,节奏总纲!P$4:P$163,$Q144)-INT(R$4),0)*C$13</f>
        <v>5990297.4181184731</v>
      </c>
      <c r="X144" s="1">
        <f>MAX(求节点(节奏总纲!$O$4:$O$163,节奏总纲!Q$4:Q$163,$Q144)-INT(S$4),0)*D$13</f>
        <v>7414219.6110990411</v>
      </c>
      <c r="Y144" s="1">
        <f>MAX(求节点(节奏总纲!$O$4:$O$163,节奏总纲!R$4:R$163,$Q144)-INT(T$4),0)*E$13</f>
        <v>7795174.5568040526</v>
      </c>
      <c r="Z144" s="1">
        <f>MAX(求节点(节奏总纲!$O$4:$O$163,节奏总纲!S$4:S$163,$Q144)-INT(U$4),0)*F$13</f>
        <v>6875452.9464237271</v>
      </c>
      <c r="AA144" s="1">
        <f>MAX(求节点(节奏总纲!$O$4:$O$163,节奏总纲!T$4:T$163,$Q144)-INT(V$4),0)*G$13</f>
        <v>3677698.1226386102</v>
      </c>
    </row>
    <row r="145" spans="2:27">
      <c r="B145" s="14"/>
      <c r="Q145" s="16">
        <v>133</v>
      </c>
      <c r="R145" s="16">
        <f>节奏总纲!P136</f>
        <v>10084.535034121556</v>
      </c>
      <c r="S145" s="16">
        <f>节奏总纲!Q136</f>
        <v>8562.7786974726132</v>
      </c>
      <c r="T145" s="16">
        <f>节奏总纲!R136</f>
        <v>6827.2302181002942</v>
      </c>
      <c r="U145" s="16">
        <f>节奏总纲!S136</f>
        <v>4847.6359909022322</v>
      </c>
      <c r="V145" s="16">
        <f>节奏总纲!T136</f>
        <v>2595.759317782889</v>
      </c>
      <c r="W145" s="1">
        <f>MAX(求节点(节奏总纲!$O$4:$O$163,节奏总纲!P$4:P$163,$Q145)-INT(R$4),0)*C$13</f>
        <v>6420607.6323916251</v>
      </c>
      <c r="X145" s="1">
        <f>MAX(求节点(节奏总纲!$O$4:$O$163,节奏总纲!Q$4:Q$163,$Q145)-INT(S$4),0)*D$13</f>
        <v>7952444.0296401735</v>
      </c>
      <c r="Y145" s="1">
        <f>MAX(求节点(节奏总纲!$O$4:$O$163,节奏总纲!R$4:R$163,$Q145)-INT(T$4),0)*E$13</f>
        <v>8334215.9295727359</v>
      </c>
      <c r="Z145" s="1">
        <f>MAX(求节点(节奏总纲!$O$4:$O$163,节奏总纲!S$4:S$163,$Q145)-INT(U$4),0)*F$13</f>
        <v>7334192.8985571936</v>
      </c>
      <c r="AA145" s="1">
        <f>MAX(求节点(节奏总纲!$O$4:$O$163,节奏总纲!T$4:T$163,$Q145)-INT(V$4),0)*G$13</f>
        <v>3926637.8742950871</v>
      </c>
    </row>
    <row r="146" spans="2:27">
      <c r="Q146" s="16">
        <v>134</v>
      </c>
      <c r="R146" s="16">
        <f>节奏总纲!P137</f>
        <v>10808.408805051544</v>
      </c>
      <c r="S146" s="16">
        <f>节奏总纲!Q137</f>
        <v>9151.4797352371424</v>
      </c>
      <c r="T146" s="16">
        <f>节奏总纲!R137</f>
        <v>7283.7866937242361</v>
      </c>
      <c r="U146" s="16">
        <f>节奏总纲!S137</f>
        <v>5175.0661358586794</v>
      </c>
      <c r="V146" s="16">
        <f>节奏总纲!T137</f>
        <v>2775.5993811372364</v>
      </c>
      <c r="W146" s="1">
        <f>MAX(求节点(节奏总纲!$O$4:$O$163,节奏总纲!P$4:P$163,$Q146)-INT(R$4),0)*C$13</f>
        <v>6881802.7007078845</v>
      </c>
      <c r="X146" s="1">
        <f>MAX(求节点(节奏总纲!$O$4:$O$163,节奏总纲!Q$4:Q$163,$Q146)-INT(S$4),0)*D$13</f>
        <v>8499567.2191643231</v>
      </c>
      <c r="Y146" s="1">
        <f>MAX(求节点(节奏总纲!$O$4:$O$163,节奏总纲!R$4:R$163,$Q146)-INT(T$4),0)*E$13</f>
        <v>8891957.3323473539</v>
      </c>
      <c r="Z146" s="1">
        <f>MAX(求节点(节奏总纲!$O$4:$O$163,节奏总纲!S$4:S$163,$Q146)-INT(U$4),0)*F$13</f>
        <v>7829882.5331185507</v>
      </c>
      <c r="AA146" s="1">
        <f>MAX(求节点(节奏总纲!$O$4:$O$163,节奏总纲!T$4:T$163,$Q146)-INT(V$4),0)*G$13</f>
        <v>4198893.9773349138</v>
      </c>
    </row>
    <row r="147" spans="2:27">
      <c r="Q147" s="16">
        <v>135</v>
      </c>
      <c r="R147" s="16">
        <f>节奏总纲!P138</f>
        <v>11584.237502960397</v>
      </c>
      <c r="S147" s="16">
        <f>节奏总纲!Q138</f>
        <v>9796.789656253608</v>
      </c>
      <c r="T147" s="16">
        <f>节奏总纲!R138</f>
        <v>7796.1918394923478</v>
      </c>
      <c r="U147" s="16">
        <f>节奏总纲!S138</f>
        <v>5548.8497639180305</v>
      </c>
      <c r="V147" s="16">
        <f>节奏总纲!T138</f>
        <v>2979.465885761414</v>
      </c>
      <c r="W147" s="1">
        <f>MAX(求节点(节奏总纲!$O$4:$O$163,节奏总纲!P$4:P$163,$Q147)-INT(R$4),0)*C$13</f>
        <v>7376099.3359818738</v>
      </c>
      <c r="X147" s="1">
        <f>MAX(求节点(节奏总纲!$O$4:$O$163,节奏总纲!Q$4:Q$163,$Q147)-INT(S$4),0)*D$13</f>
        <v>9099301.2090325803</v>
      </c>
      <c r="Y147" s="1">
        <f>MAX(求节点(节奏总纲!$O$4:$O$163,节奏总纲!R$4:R$163,$Q147)-INT(T$4),0)*E$13</f>
        <v>9517924.9399671368</v>
      </c>
      <c r="Z147" s="1">
        <f>MAX(求节点(节奏总纲!$O$4:$O$163,节奏总纲!S$4:S$163,$Q147)-INT(U$4),0)*F$13</f>
        <v>8395745.7343286984</v>
      </c>
      <c r="AA147" s="1">
        <f>MAX(求节点(节奏总纲!$O$4:$O$163,节奏总纲!T$4:T$163,$Q147)-INT(V$4),0)*G$13</f>
        <v>4507523.2062958013</v>
      </c>
    </row>
    <row r="148" spans="2:27">
      <c r="Q148" s="16">
        <v>136</v>
      </c>
      <c r="R148" s="16">
        <f>节奏总纲!P139</f>
        <v>12415.750112853173</v>
      </c>
      <c r="S148" s="16">
        <f>节奏总纲!Q139</f>
        <v>10507.449320507641</v>
      </c>
      <c r="T148" s="16">
        <f>节奏总纲!R139</f>
        <v>8384.3560512097483</v>
      </c>
      <c r="U148" s="16">
        <f>节奏总纲!S139</f>
        <v>5967.009504237235</v>
      </c>
      <c r="V148" s="16">
        <f>节奏总纲!T139</f>
        <v>3204.5051041274041</v>
      </c>
      <c r="W148" s="1">
        <f>MAX(求节点(节奏总纲!$O$4:$O$163,节奏总纲!P$4:P$163,$Q148)-INT(R$4),0)*C$13</f>
        <v>7905873.3522895053</v>
      </c>
      <c r="X148" s="1">
        <f>MAX(求节点(节奏总纲!$O$4:$O$163,节奏总纲!Q$4:Q$163,$Q148)-INT(S$4),0)*D$13</f>
        <v>9759769.5235599075</v>
      </c>
      <c r="Y148" s="1">
        <f>MAX(求节点(节奏总纲!$O$4:$O$163,节奏总纲!R$4:R$163,$Q148)-INT(T$4),0)*E$13</f>
        <v>10236441.815796742</v>
      </c>
      <c r="Z148" s="1">
        <f>MAX(求节点(节奏总纲!$O$4:$O$163,节奏总纲!S$4:S$163,$Q148)-INT(U$4),0)*F$13</f>
        <v>9028789.00190771</v>
      </c>
      <c r="AA148" s="1">
        <f>MAX(求节点(节奏总纲!$O$4:$O$163,节奏总纲!T$4:T$163,$Q148)-INT(V$4),0)*G$13</f>
        <v>4848205.3628780814</v>
      </c>
    </row>
    <row r="149" spans="2:27">
      <c r="Q149" s="16">
        <v>137</v>
      </c>
      <c r="R149" s="16">
        <f>节奏总纲!P140</f>
        <v>13306.943261900544</v>
      </c>
      <c r="S149" s="16">
        <f>节奏总纲!Q140</f>
        <v>11274.973025808331</v>
      </c>
      <c r="T149" s="16">
        <f>节奏总纲!R140</f>
        <v>8995.4936450447676</v>
      </c>
      <c r="U149" s="16">
        <f>节奏总纲!S140</f>
        <v>6407.293180605112</v>
      </c>
      <c r="V149" s="16">
        <f>节奏总纲!T140</f>
        <v>3438.5141388751008</v>
      </c>
      <c r="W149" s="1">
        <f>MAX(求节点(节奏总纲!$O$4:$O$163,节奏总纲!P$4:P$163,$Q149)-INT(R$4),0)*C$13</f>
        <v>8473671.0841092933</v>
      </c>
      <c r="X149" s="1">
        <f>MAX(求节点(节奏总纲!$O$4:$O$163,节奏总纲!Q$4:Q$163,$Q149)-INT(S$4),0)*D$13</f>
        <v>10473085.775343841</v>
      </c>
      <c r="Y149" s="1">
        <f>MAX(求节点(节奏总纲!$O$4:$O$163,节奏总纲!R$4:R$163,$Q149)-INT(T$4),0)*E$13</f>
        <v>10983023.57965854</v>
      </c>
      <c r="Z149" s="1">
        <f>MAX(求节点(节奏总纲!$O$4:$O$163,节奏总纲!S$4:S$163,$Q149)-INT(U$4),0)*F$13</f>
        <v>9695325.2326238938</v>
      </c>
      <c r="AA149" s="1">
        <f>MAX(求节点(节奏总纲!$O$4:$O$163,节奏总纲!T$4:T$163,$Q149)-INT(V$4),0)*G$13</f>
        <v>5202466.7365019759</v>
      </c>
    </row>
    <row r="150" spans="2:27">
      <c r="Q150" s="16">
        <v>138</v>
      </c>
      <c r="R150" s="16">
        <f>节奏总纲!P141</f>
        <v>14262.10042904369</v>
      </c>
      <c r="S150" s="16">
        <f>节奏总纲!Q141</f>
        <v>12084.27769352872</v>
      </c>
      <c r="T150" s="16">
        <f>节奏总纲!R141</f>
        <v>9648.3109402480568</v>
      </c>
      <c r="U150" s="16">
        <f>节奏总纲!S141</f>
        <v>6871.4799867132497</v>
      </c>
      <c r="V150" s="16">
        <f>节奏总纲!T141</f>
        <v>3671.064650435846</v>
      </c>
      <c r="W150" s="1">
        <f>MAX(求节点(节奏总纲!$O$4:$O$163,节奏总纲!P$4:P$163,$Q150)-INT(R$4),0)*C$13</f>
        <v>9082221.6251620576</v>
      </c>
      <c r="X150" s="1">
        <f>MAX(求节点(节奏总纲!$O$4:$O$163,节奏总纲!Q$4:Q$163,$Q150)-INT(S$4),0)*D$13</f>
        <v>11225232.14964167</v>
      </c>
      <c r="Y150" s="1">
        <f>MAX(求节点(节奏总纲!$O$4:$O$163,节奏总纲!R$4:R$163,$Q150)-INT(T$4),0)*E$13</f>
        <v>11780522.363318592</v>
      </c>
      <c r="Z150" s="1">
        <f>MAX(求节点(节奏总纲!$O$4:$O$163,节奏总纲!S$4:S$163,$Q150)-INT(U$4),0)*F$13</f>
        <v>10398047.910520738</v>
      </c>
      <c r="AA150" s="1">
        <f>MAX(求节点(节奏总纲!$O$4:$O$163,节奏总纲!T$4:T$163,$Q150)-INT(V$4),0)*G$13</f>
        <v>5554520.0824391237</v>
      </c>
    </row>
    <row r="151" spans="2:27">
      <c r="Q151" s="16">
        <v>139</v>
      </c>
      <c r="R151" s="16">
        <f>节奏总纲!P142</f>
        <v>15285.812533339058</v>
      </c>
      <c r="S151" s="16">
        <f>节奏总纲!Q142</f>
        <v>12957.783284511519</v>
      </c>
      <c r="T151" s="16">
        <f>节奏总纲!R142</f>
        <v>10342.380760057207</v>
      </c>
      <c r="U151" s="16">
        <f>节奏总纲!S142</f>
        <v>7335.6614347494142</v>
      </c>
      <c r="V151" s="16">
        <f>节奏总纲!T142</f>
        <v>3920.8109148014687</v>
      </c>
      <c r="W151" s="1">
        <f>MAX(求节点(节奏总纲!$O$4:$O$163,节奏总纲!P$4:P$163,$Q151)-INT(R$4),0)*C$13</f>
        <v>9734449.9456745125</v>
      </c>
      <c r="X151" s="1">
        <f>MAX(求节点(节奏总纲!$O$4:$O$163,节奏总纲!Q$4:Q$163,$Q151)-INT(S$4),0)*D$13</f>
        <v>12037045.165668396</v>
      </c>
      <c r="Y151" s="1">
        <f>MAX(求节点(节奏总纲!$O$4:$O$163,节奏总纲!R$4:R$163,$Q151)-INT(T$4),0)*E$13</f>
        <v>12628416.31640478</v>
      </c>
      <c r="Z151" s="1">
        <f>MAX(求节点(节奏总纲!$O$4:$O$163,节奏总纲!S$4:S$163,$Q151)-INT(U$4),0)*F$13</f>
        <v>11100762.476944709</v>
      </c>
      <c r="AA151" s="1">
        <f>MAX(求节点(节奏总纲!$O$4:$O$163,节奏总纲!T$4:T$163,$Q151)-INT(V$4),0)*G$13</f>
        <v>5932605.7181796152</v>
      </c>
    </row>
    <row r="152" spans="2:27">
      <c r="Q152" s="16">
        <v>140</v>
      </c>
      <c r="R152" s="16">
        <f>节奏总纲!P143</f>
        <v>16383</v>
      </c>
      <c r="S152" s="16">
        <f>节奏总纲!Q143</f>
        <v>13881.315900000001</v>
      </c>
      <c r="T152" s="16">
        <f>节奏总纲!R143</f>
        <v>11037.2271</v>
      </c>
      <c r="U152" s="16">
        <f>节奏总纲!S143</f>
        <v>7827.7974000000004</v>
      </c>
      <c r="V152" s="16">
        <f>节奏总纲!T143</f>
        <v>4192.4097000000002</v>
      </c>
      <c r="W152" s="1">
        <f>MAX(求节点(节奏总纲!$O$4:$O$163,节奏总纲!P$4:P$163,$Q152)-INT(R$4),0)*C$13</f>
        <v>10433490.951114366</v>
      </c>
      <c r="X152" s="1">
        <f>MAX(求节点(节奏总纲!$O$4:$O$163,节奏总纲!Q$4:Q$163,$Q152)-INT(S$4),0)*D$13</f>
        <v>12895351.976429859</v>
      </c>
      <c r="Y152" s="1">
        <f>MAX(求节点(节奏总纲!$O$4:$O$163,节奏总纲!R$4:R$163,$Q152)-INT(T$4),0)*E$13</f>
        <v>13477258.886916727</v>
      </c>
      <c r="Z152" s="1">
        <f>MAX(求节点(节奏总纲!$O$4:$O$163,节奏总纲!S$4:S$163,$Q152)-INT(U$4),0)*F$13</f>
        <v>11845796.801142355</v>
      </c>
      <c r="AA152" s="1">
        <f>MAX(求节点(节奏总纲!$O$4:$O$163,节奏总纲!T$4:T$163,$Q152)-INT(V$4),0)*G$13</f>
        <v>6343773.4272501292</v>
      </c>
    </row>
    <row r="153" spans="2:27">
      <c r="Q153" s="16">
        <v>141</v>
      </c>
      <c r="R153" s="16">
        <f>节奏总纲!P144</f>
        <v>17558.936410194601</v>
      </c>
      <c r="S153" s="16">
        <f>节奏总纲!Q144</f>
        <v>14839.057160255457</v>
      </c>
      <c r="T153" s="16">
        <f>节奏总纲!R144</f>
        <v>11789.069905804656</v>
      </c>
      <c r="U153" s="16">
        <f>节奏总纲!S144</f>
        <v>8380.8803485858825</v>
      </c>
      <c r="V153" s="16">
        <f>节奏总纲!T144</f>
        <v>4489.820040086759</v>
      </c>
      <c r="W153" s="1">
        <f>MAX(求节点(节奏总纲!$O$4:$O$163,节奏总纲!P$4:P$163,$Q153)-INT(R$4),0)*C$13</f>
        <v>11182704.549969476</v>
      </c>
      <c r="X153" s="1">
        <f>MAX(求节点(节奏总纲!$O$4:$O$163,节奏总纲!Q$4:Q$163,$Q153)-INT(S$4),0)*D$13</f>
        <v>13785451.397758611</v>
      </c>
      <c r="Y153" s="1">
        <f>MAX(求节点(节奏总纲!$O$4:$O$163,节奏总纲!R$4:R$163,$Q153)-INT(T$4),0)*E$13</f>
        <v>14395729.83972146</v>
      </c>
      <c r="Z153" s="1">
        <f>MAX(求节点(节奏总纲!$O$4:$O$163,节奏总纲!S$4:S$163,$Q153)-INT(U$4),0)*F$13</f>
        <v>12683097.48615754</v>
      </c>
      <c r="AA153" s="1">
        <f>MAX(求节点(节奏总纲!$O$4:$O$163,节奏总纲!T$4:T$163,$Q153)-INT(V$4),0)*G$13</f>
        <v>6794016.7083383258</v>
      </c>
    </row>
    <row r="154" spans="2:27">
      <c r="Q154" s="16">
        <v>142</v>
      </c>
      <c r="R154" s="16">
        <f>节奏总纲!P145</f>
        <v>18819.273848271412</v>
      </c>
      <c r="S154" s="16">
        <f>节奏总纲!Q145</f>
        <v>15904.16832917417</v>
      </c>
      <c r="T154" s="16">
        <f>节奏总纲!R145</f>
        <v>12667.253227271489</v>
      </c>
      <c r="U154" s="16">
        <f>节奏总纲!S145</f>
        <v>9003.140609013044</v>
      </c>
      <c r="V154" s="16">
        <f>节奏总纲!T145</f>
        <v>4823.3798873119622</v>
      </c>
      <c r="W154" s="1">
        <f>MAX(求节点(节奏总纲!$O$4:$O$163,节奏总纲!P$4:P$163,$Q154)-INT(R$4),0)*C$13</f>
        <v>11985691.802993722</v>
      </c>
      <c r="X154" s="1">
        <f>MAX(求节点(节奏总纲!$O$4:$O$163,节奏总纲!Q$4:Q$163,$Q154)-INT(S$4),0)*D$13</f>
        <v>14775337.575213745</v>
      </c>
      <c r="Y154" s="1">
        <f>MAX(求节点(节奏总纲!$O$4:$O$163,节奏总纲!R$4:R$163,$Q154)-INT(T$4),0)*E$13</f>
        <v>15468541.690520011</v>
      </c>
      <c r="Z154" s="1">
        <f>MAX(求节点(节奏总纲!$O$4:$O$163,节奏总纲!S$4:S$163,$Q154)-INT(U$4),0)*F$13</f>
        <v>13625124.253834115</v>
      </c>
      <c r="AA154" s="1">
        <f>MAX(求节点(节奏总纲!$O$4:$O$163,节奏总纲!T$4:T$163,$Q154)-INT(V$4),0)*G$13</f>
        <v>7298985.9707054058</v>
      </c>
    </row>
    <row r="155" spans="2:27">
      <c r="Q155" s="16">
        <v>143</v>
      </c>
      <c r="R155" s="16">
        <f>节奏总纲!P146</f>
        <v>20170.070068243116</v>
      </c>
      <c r="S155" s="16">
        <f>节奏总纲!Q146</f>
        <v>17065.896284740498</v>
      </c>
      <c r="T155" s="16">
        <f>节奏总纲!R146</f>
        <v>13594.62722599586</v>
      </c>
      <c r="U155" s="16">
        <f>节奏总纲!S146</f>
        <v>9669.5315907157492</v>
      </c>
      <c r="V155" s="16">
        <f>节奏总纲!T146</f>
        <v>5185.7250145453054</v>
      </c>
      <c r="W155" s="1">
        <f>MAX(求节点(节奏总纲!$O$4:$O$163,节奏总纲!P$4:P$163,$Q155)-INT(R$4),0)*C$13</f>
        <v>12846312.231540026</v>
      </c>
      <c r="X155" s="1">
        <f>MAX(求节点(节奏总纲!$O$4:$O$163,节奏总纲!Q$4:Q$163,$Q155)-INT(S$4),0)*D$13</f>
        <v>15855016.841318674</v>
      </c>
      <c r="Y155" s="1">
        <f>MAX(求节点(节奏总纲!$O$4:$O$163,节奏总纲!R$4:R$163,$Q155)-INT(T$4),0)*E$13</f>
        <v>16601446.166879417</v>
      </c>
      <c r="Z155" s="1">
        <f>MAX(求节点(节奏总纲!$O$4:$O$163,节奏总纲!S$4:S$163,$Q155)-INT(U$4),0)*F$13</f>
        <v>14633959.595611019</v>
      </c>
      <c r="AA155" s="1">
        <f>MAX(求节点(节奏总纲!$O$4:$O$163,节奏总纲!T$4:T$163,$Q155)-INT(V$4),0)*G$13</f>
        <v>7847532.6652294397</v>
      </c>
    </row>
    <row r="156" spans="2:27">
      <c r="Q156" s="16">
        <v>144</v>
      </c>
      <c r="R156" s="16">
        <f>节奏总纲!P147</f>
        <v>21617.817610103088</v>
      </c>
      <c r="S156" s="16">
        <f>节奏总纲!Q147</f>
        <v>18290.835479908223</v>
      </c>
      <c r="T156" s="16">
        <f>节奏总纲!R147</f>
        <v>14585.541541536553</v>
      </c>
      <c r="U156" s="16">
        <f>节奏总纲!S147</f>
        <v>10380.876016371503</v>
      </c>
      <c r="V156" s="16">
        <f>节奏总纲!T147</f>
        <v>5547.1319987524521</v>
      </c>
      <c r="W156" s="1">
        <f>MAX(求节点(节奏总纲!$O$4:$O$163,节奏总纲!P$4:P$163,$Q156)-INT(R$4),0)*C$13</f>
        <v>13768702.368172541</v>
      </c>
      <c r="X156" s="1">
        <f>MAX(求节点(节奏总纲!$O$4:$O$163,节奏总纲!Q$4:Q$163,$Q156)-INT(S$4),0)*D$13</f>
        <v>16993442.963307906</v>
      </c>
      <c r="Y156" s="1">
        <f>MAX(求节点(节奏总纲!$O$4:$O$163,节奏总纲!R$4:R$163,$Q156)-INT(T$4),0)*E$13</f>
        <v>17811973.166028466</v>
      </c>
      <c r="Z156" s="1">
        <f>MAX(求节点(节奏总纲!$O$4:$O$163,节奏总纲!S$4:S$163,$Q156)-INT(U$4),0)*F$13</f>
        <v>15710849.014108088</v>
      </c>
      <c r="AA156" s="1">
        <f>MAX(求节点(节奏总纲!$O$4:$O$163,节奏总纲!T$4:T$163,$Q156)-INT(V$4),0)*G$13</f>
        <v>8394659.1246865913</v>
      </c>
    </row>
    <row r="157" spans="2:27">
      <c r="Q157" s="16">
        <v>145</v>
      </c>
      <c r="R157" s="16">
        <f>节奏总纲!P148</f>
        <v>23169.475005920798</v>
      </c>
      <c r="S157" s="16">
        <f>节奏总纲!Q148</f>
        <v>19631.496172516694</v>
      </c>
      <c r="T157" s="16">
        <f>节奏总纲!R148</f>
        <v>15650.9803664995</v>
      </c>
      <c r="U157" s="16">
        <f>节奏总纲!S148</f>
        <v>11105.129370337838</v>
      </c>
      <c r="V157" s="16">
        <f>节奏总纲!T148</f>
        <v>5926.7517065145412</v>
      </c>
      <c r="W157" s="1">
        <f>MAX(求节点(节奏总纲!$O$4:$O$163,节奏总纲!P$4:P$163,$Q157)-INT(R$4),0)*C$13</f>
        <v>14757295.638720524</v>
      </c>
      <c r="X157" s="1">
        <f>MAX(求节点(节奏总纲!$O$4:$O$163,节奏总纲!Q$4:Q$163,$Q157)-INT(S$4),0)*D$13</f>
        <v>18239417.587363165</v>
      </c>
      <c r="Y157" s="1">
        <f>MAX(求节点(节奏总纲!$O$4:$O$163,节奏总纲!R$4:R$163,$Q157)-INT(T$4),0)*E$13</f>
        <v>19113541.266652316</v>
      </c>
      <c r="Z157" s="1">
        <f>MAX(求节点(节奏总纲!$O$4:$O$163,节奏总纲!S$4:S$163,$Q157)-INT(U$4),0)*F$13</f>
        <v>16807280.988644712</v>
      </c>
      <c r="AA157" s="1">
        <f>MAX(求节点(节奏总纲!$O$4:$O$163,节奏总纲!T$4:T$163,$Q157)-INT(V$4),0)*G$13</f>
        <v>8969357.4446531571</v>
      </c>
    </row>
    <row r="158" spans="2:27">
      <c r="Q158" s="16">
        <v>146</v>
      </c>
      <c r="R158" s="16">
        <f>节奏总纲!P149</f>
        <v>24832.50022570635</v>
      </c>
      <c r="S158" s="16">
        <f>节奏总纲!Q149</f>
        <v>21035.61094119585</v>
      </c>
      <c r="T158" s="16">
        <f>节奏总纲!R149</f>
        <v>16719.722401968087</v>
      </c>
      <c r="U158" s="16">
        <f>节奏总纲!S149</f>
        <v>11847.5858576845</v>
      </c>
      <c r="V158" s="16">
        <f>节奏总纲!T149</f>
        <v>6324.8378074874072</v>
      </c>
      <c r="W158" s="1">
        <f>MAX(求节点(节奏总纲!$O$4:$O$163,节奏总纲!P$4:P$163,$Q158)-INT(R$4),0)*C$13</f>
        <v>15816843.671335787</v>
      </c>
      <c r="X158" s="1">
        <f>MAX(求节点(节奏总纲!$O$4:$O$163,节奏总纲!Q$4:Q$163,$Q158)-INT(S$4),0)*D$13</f>
        <v>19544364.753100928</v>
      </c>
      <c r="Y158" s="1">
        <f>MAX(求节点(节奏总纲!$O$4:$O$163,节奏总纲!R$4:R$163,$Q158)-INT(T$4),0)*E$13</f>
        <v>20419144.656138424</v>
      </c>
      <c r="Z158" s="1">
        <f>MAX(求节点(节奏总纲!$O$4:$O$163,节奏总纲!S$4:S$163,$Q158)-INT(U$4),0)*F$13</f>
        <v>17931270.305326376</v>
      </c>
      <c r="AA158" s="1">
        <f>MAX(求节点(节奏总纲!$O$4:$O$163,节奏总纲!T$4:T$163,$Q158)-INT(V$4),0)*G$13</f>
        <v>9572011.6503049992</v>
      </c>
    </row>
    <row r="159" spans="2:27">
      <c r="Q159" s="16">
        <v>147</v>
      </c>
      <c r="R159" s="16">
        <f>节奏总纲!P150</f>
        <v>26614.886523801088</v>
      </c>
      <c r="S159" s="16">
        <f>节奏总纲!Q150</f>
        <v>22470.948692045258</v>
      </c>
      <c r="T159" s="16">
        <f>节奏总纲!R150</f>
        <v>17837.296948251489</v>
      </c>
      <c r="U159" s="16">
        <f>节奏总纲!S150</f>
        <v>12631.425144195997</v>
      </c>
      <c r="V159" s="16">
        <f>节奏总纲!T150</f>
        <v>6754.8581997407164</v>
      </c>
      <c r="W159" s="1">
        <f>MAX(求节点(节奏总纲!$O$4:$O$163,节奏总纲!P$4:P$163,$Q159)-INT(R$4),0)*C$13</f>
        <v>16952439.134975359</v>
      </c>
      <c r="X159" s="1">
        <f>MAX(求节点(节奏总纲!$O$4:$O$163,节奏总纲!Q$4:Q$163,$Q159)-INT(S$4),0)*D$13</f>
        <v>20878329.733477362</v>
      </c>
      <c r="Y159" s="1">
        <f>MAX(求节点(节奏总纲!$O$4:$O$163,节奏总纲!R$4:R$163,$Q159)-INT(T$4),0)*E$13</f>
        <v>21784403.125635479</v>
      </c>
      <c r="Z159" s="1">
        <f>MAX(求节点(节奏总纲!$O$4:$O$163,节奏总纲!S$4:S$163,$Q159)-INT(U$4),0)*F$13</f>
        <v>19117908.174412623</v>
      </c>
      <c r="AA159" s="1">
        <f>MAX(求节点(节奏总纲!$O$4:$O$163,节奏总纲!T$4:T$163,$Q159)-INT(V$4),0)*G$13</f>
        <v>10223010.510285737</v>
      </c>
    </row>
    <row r="160" spans="2:27">
      <c r="Q160" s="16">
        <v>148</v>
      </c>
      <c r="R160" s="16">
        <f>节奏总纲!P151</f>
        <v>28525.200858087381</v>
      </c>
      <c r="S160" s="16">
        <f>节奏总纲!Q151</f>
        <v>24083.827084483179</v>
      </c>
      <c r="T160" s="16">
        <f>节奏总纲!R151</f>
        <v>19128.999695433398</v>
      </c>
      <c r="U160" s="16">
        <f>节奏总纲!S151</f>
        <v>13566.58552810636</v>
      </c>
      <c r="V160" s="16">
        <f>节奏总纲!T151</f>
        <v>7242.5484978683862</v>
      </c>
      <c r="W160" s="1">
        <f>MAX(求节点(节奏总纲!$O$4:$O$163,节奏总纲!P$4:P$163,$Q160)-INT(R$4),0)*C$13</f>
        <v>18169540.217080887</v>
      </c>
      <c r="X160" s="1">
        <f>MAX(求节点(节奏总纲!$O$4:$O$163,节奏总纲!Q$4:Q$163,$Q160)-INT(S$4),0)*D$13</f>
        <v>22377296.295072209</v>
      </c>
      <c r="Y160" s="1">
        <f>MAX(求节点(节奏总纲!$O$4:$O$163,节奏总纲!R$4:R$163,$Q160)-INT(T$4),0)*E$13</f>
        <v>23362381.186720908</v>
      </c>
      <c r="Z160" s="1">
        <f>MAX(求节点(节奏总纲!$O$4:$O$163,节奏总纲!S$4:S$163,$Q160)-INT(U$4),0)*F$13</f>
        <v>20533627.881644968</v>
      </c>
      <c r="AA160" s="1">
        <f>MAX(求节点(节奏总纲!$O$4:$O$163,节奏总纲!T$4:T$163,$Q160)-INT(V$4),0)*G$13</f>
        <v>10961314.632192958</v>
      </c>
    </row>
    <row r="161" spans="2:27">
      <c r="Q161" s="16">
        <v>149</v>
      </c>
      <c r="R161" s="16">
        <f>节奏总纲!P152</f>
        <v>30572.62506667812</v>
      </c>
      <c r="S161" s="16">
        <f>节奏总纲!Q152</f>
        <v>25818.581868809673</v>
      </c>
      <c r="T161" s="16">
        <f>节奏总纲!R152</f>
        <v>20520.345944754354</v>
      </c>
      <c r="U161" s="16">
        <f>节奏总纲!S152</f>
        <v>14549.512269232117</v>
      </c>
      <c r="V161" s="16">
        <f>节奏总纲!T152</f>
        <v>7768.50402944291</v>
      </c>
      <c r="W161" s="1">
        <f>MAX(求节点(节奏总纲!$O$4:$O$163,节奏总纲!P$4:P$163,$Q161)-INT(R$4),0)*C$13</f>
        <v>19473996.858105801</v>
      </c>
      <c r="X161" s="1">
        <f>MAX(求节点(节奏总纲!$O$4:$O$163,节奏总纲!Q$4:Q$163,$Q161)-INT(S$4),0)*D$13</f>
        <v>23989531.55500498</v>
      </c>
      <c r="Y161" s="1">
        <f>MAX(求节点(节奏总纲!$O$4:$O$163,节奏总纲!R$4:R$163,$Q161)-INT(T$4),0)*E$13</f>
        <v>25062086.37167301</v>
      </c>
      <c r="Z161" s="1">
        <f>MAX(求节点(节奏总纲!$O$4:$O$163,节奏总纲!S$4:S$163,$Q161)-INT(U$4),0)*F$13</f>
        <v>22021660.076035686</v>
      </c>
      <c r="AA161" s="1">
        <f>MAX(求节点(节奏总纲!$O$4:$O$163,节奏总纲!T$4:T$163,$Q161)-INT(V$4),0)*G$13</f>
        <v>11757547.689098511</v>
      </c>
    </row>
    <row r="162" spans="2:27">
      <c r="Q162" s="16">
        <v>150</v>
      </c>
      <c r="R162" s="16">
        <f>节奏总纲!P153</f>
        <v>32767</v>
      </c>
      <c r="S162" s="16">
        <f>节奏总纲!Q153</f>
        <v>27671.731500000002</v>
      </c>
      <c r="T162" s="16">
        <f>节奏总纲!R153</f>
        <v>21996.487099999998</v>
      </c>
      <c r="U162" s="16">
        <f>节奏总纲!S153</f>
        <v>15603.645400000001</v>
      </c>
      <c r="V162" s="16">
        <f>节奏总纲!T153</f>
        <v>8355.5850000000009</v>
      </c>
      <c r="W162" s="1">
        <f>MAX(求节点(节奏总纲!$O$4:$O$163,节奏总纲!P$4:P$163,$Q162)-INT(R$4),0)*C$13</f>
        <v>20872078.868985504</v>
      </c>
      <c r="X162" s="1">
        <f>MAX(求节点(节奏总纲!$O$4:$O$163,节奏总纲!Q$4:Q$163,$Q162)-INT(S$4),0)*D$13</f>
        <v>25711799.857320927</v>
      </c>
      <c r="Y162" s="1">
        <f>MAX(求节点(节奏总纲!$O$4:$O$163,节奏总纲!R$4:R$163,$Q162)-INT(T$4),0)*E$13</f>
        <v>26865379.244684834</v>
      </c>
      <c r="Z162" s="1">
        <f>MAX(求节点(节奏总纲!$O$4:$O$163,节奏总纲!S$4:S$163,$Q162)-INT(U$4),0)*F$13</f>
        <v>23617490.13144752</v>
      </c>
      <c r="AA162" s="1">
        <f>MAX(求节点(节奏总纲!$O$4:$O$163,节奏总纲!T$4:T$163,$Q162)-INT(V$4),0)*G$13</f>
        <v>12646317.267086146</v>
      </c>
    </row>
    <row r="163" spans="2:27">
      <c r="Q163" s="16">
        <v>151</v>
      </c>
      <c r="R163" s="16">
        <f>节奏总纲!P154</f>
        <v>35118.87282038921</v>
      </c>
      <c r="S163" s="16">
        <f>节奏总纲!Q154</f>
        <v>29671.935645946844</v>
      </c>
      <c r="T163" s="16">
        <f>节奏总纲!R154</f>
        <v>23592.858760737468</v>
      </c>
      <c r="U163" s="16">
        <f>节奏总纲!S154</f>
        <v>16804.380644556237</v>
      </c>
      <c r="V163" s="16">
        <f>节奏总纲!T154</f>
        <v>9095.7880604808051</v>
      </c>
      <c r="W163" s="1">
        <f>MAX(求节点(节奏总纲!$O$4:$O$163,节奏总纲!P$4:P$163,$Q163)-INT(R$4),0)*C$13</f>
        <v>22370506.066695727</v>
      </c>
      <c r="X163" s="1">
        <f>MAX(求节点(节奏总纲!$O$4:$O$163,节奏总纲!Q$4:Q$163,$Q163)-INT(S$4),0)*D$13</f>
        <v>27570736.740098409</v>
      </c>
      <c r="Y163" s="1">
        <f>MAX(求节点(节奏总纲!$O$4:$O$163,节奏总纲!R$4:R$163,$Q163)-INT(T$4),0)*E$13</f>
        <v>28815548.866509974</v>
      </c>
      <c r="Z163" s="1">
        <f>MAX(求节点(节奏总纲!$O$4:$O$163,节奏总纲!S$4:S$163,$Q163)-INT(U$4),0)*F$13</f>
        <v>25435258.054612298</v>
      </c>
      <c r="AA163" s="1">
        <f>MAX(求节点(节奏总纲!$O$4:$O$163,节奏总纲!T$4:T$163,$Q163)-INT(V$4),0)*G$13</f>
        <v>13766895.168060206</v>
      </c>
    </row>
    <row r="164" spans="2:27">
      <c r="Q164" s="16">
        <v>152</v>
      </c>
      <c r="R164" s="16">
        <f>节奏总纲!P155</f>
        <v>37639.547696542824</v>
      </c>
      <c r="S164" s="16">
        <f>节奏总纲!Q155</f>
        <v>31794.125939269725</v>
      </c>
      <c r="T164" s="16">
        <f>节奏总纲!R155</f>
        <v>25425.514469014677</v>
      </c>
      <c r="U164" s="16">
        <f>节奏总纲!S155</f>
        <v>18255.180632823271</v>
      </c>
      <c r="V164" s="16">
        <f>节奏总纲!T155</f>
        <v>14114.830386203559</v>
      </c>
      <c r="W164" s="1">
        <f>MAX(求节点(节奏总纲!$O$4:$O$163,节奏总纲!P$4:P$163,$Q164)-INT(R$4),0)*C$13</f>
        <v>23976480.572744217</v>
      </c>
      <c r="X164" s="1">
        <f>MAX(求节点(节奏总纲!$O$4:$O$163,节奏总纲!Q$4:Q$163,$Q164)-INT(S$4),0)*D$13</f>
        <v>29543044.325063843</v>
      </c>
      <c r="Y164" s="1">
        <f>MAX(求节点(节奏总纲!$O$4:$O$163,节奏总纲!R$4:R$163,$Q164)-INT(T$4),0)*E$13</f>
        <v>31054369.297521379</v>
      </c>
      <c r="Z164" s="1">
        <f>MAX(求节点(节奏总纲!$O$4:$O$163,节奏总纲!S$4:S$163,$Q164)-INT(U$4),0)*F$13</f>
        <v>27631593.752723917</v>
      </c>
      <c r="AA164" s="1">
        <f>MAX(求节点(节奏总纲!$O$4:$O$163,节奏总纲!T$4:T$163,$Q164)-INT(V$4),0)*G$13</f>
        <v>21365118.161903434</v>
      </c>
    </row>
    <row r="165" spans="2:27">
      <c r="Q165" s="16">
        <v>153</v>
      </c>
      <c r="R165" s="16">
        <f>节奏总纲!P156</f>
        <v>40341.140136486232</v>
      </c>
      <c r="S165" s="16">
        <f>节奏总纲!Q156</f>
        <v>34330.31025614978</v>
      </c>
      <c r="T165" s="16">
        <f>节奏总纲!R156</f>
        <v>27552.998713220099</v>
      </c>
      <c r="U165" s="16">
        <f>节奏总纲!S156</f>
        <v>24204.684081891737</v>
      </c>
      <c r="V165" s="16">
        <f>节奏总纲!T156</f>
        <v>24204.684081891737</v>
      </c>
      <c r="W165" s="1">
        <f>MAX(求节点(节奏总纲!$O$4:$O$163,节奏总纲!P$4:P$163,$Q165)-INT(R$4),0)*C$13</f>
        <v>25697721.429836825</v>
      </c>
      <c r="X165" s="1">
        <f>MAX(求节点(节奏总纲!$O$4:$O$163,节奏总纲!Q$4:Q$163,$Q165)-INT(S$4),0)*D$13</f>
        <v>31900107.016751435</v>
      </c>
      <c r="Y165" s="1">
        <f>MAX(求节点(节奏总纲!$O$4:$O$163,节奏总纲!R$4:R$163,$Q165)-INT(T$4),0)*E$13</f>
        <v>33653360.02505932</v>
      </c>
      <c r="Z165" s="1">
        <f>MAX(求节点(节奏总纲!$O$4:$O$163,节奏总纲!S$4:S$163,$Q165)-INT(U$4),0)*F$13</f>
        <v>36638422.341712132</v>
      </c>
      <c r="AA165" s="1">
        <f>MAX(求节点(节奏总纲!$O$4:$O$163,节奏总纲!T$4:T$163,$Q165)-INT(V$4),0)*G$13</f>
        <v>36639936.220755331</v>
      </c>
    </row>
    <row r="166" spans="2:27">
      <c r="Q166" s="16">
        <v>154</v>
      </c>
      <c r="R166" s="16">
        <f>节奏总纲!P157</f>
        <v>43236.635220206183</v>
      </c>
      <c r="S166" s="16">
        <f>节奏总纲!Q157</f>
        <v>36967.323113276288</v>
      </c>
      <c r="T166" s="16">
        <f>节奏总纲!R157</f>
        <v>33940.758647861854</v>
      </c>
      <c r="U166" s="16">
        <f>节奏总纲!S157</f>
        <v>34156.941823962887</v>
      </c>
      <c r="V166" s="16">
        <f>节奏总纲!T157</f>
        <v>34156.941823962887</v>
      </c>
      <c r="W166" s="1">
        <f>MAX(求节点(节奏总纲!$O$4:$O$163,节奏总纲!P$4:P$163,$Q166)-INT(R$4),0)*C$13</f>
        <v>27542501.703101858</v>
      </c>
      <c r="X166" s="1">
        <f>MAX(求节点(节奏总纲!$O$4:$O$163,节奏总纲!Q$4:Q$163,$Q166)-INT(S$4),0)*D$13</f>
        <v>34350877.089598373</v>
      </c>
      <c r="Y166" s="1">
        <f>MAX(求节点(节奏总纲!$O$4:$O$163,节奏总纲!R$4:R$163,$Q166)-INT(T$4),0)*E$13</f>
        <v>41456815.625301741</v>
      </c>
      <c r="Z166" s="1">
        <f>MAX(求节点(节奏总纲!$O$4:$O$163,节奏总纲!S$4:S$163,$Q166)-INT(U$4),0)*F$13</f>
        <v>51704936.769954152</v>
      </c>
      <c r="AA166" s="1">
        <f>MAX(求节点(节奏总纲!$O$4:$O$163,节奏总纲!T$4:T$163,$Q166)-INT(V$4),0)*G$13</f>
        <v>51706450.648997359</v>
      </c>
    </row>
    <row r="167" spans="2:27">
      <c r="Q167" s="16">
        <v>155</v>
      </c>
      <c r="R167" s="16">
        <f>节奏总纲!P158</f>
        <v>46339.950011841604</v>
      </c>
      <c r="S167" s="16">
        <f>节奏总纲!Q158</f>
        <v>44078.560451263736</v>
      </c>
      <c r="T167" s="16">
        <f>节奏总纲!R158</f>
        <v>44402.940101346627</v>
      </c>
      <c r="U167" s="16">
        <f>节奏总纲!S158</f>
        <v>44402.940101346627</v>
      </c>
      <c r="V167" s="16">
        <f>节奏总纲!T158</f>
        <v>44541.959951382152</v>
      </c>
      <c r="W167" s="1">
        <f>MAX(求节点(节奏总纲!$O$4:$O$163,节奏总纲!P$4:P$163,$Q167)-INT(R$4),0)*C$13</f>
        <v>29519688.244197827</v>
      </c>
      <c r="X167" s="1">
        <f>MAX(求节点(节奏总纲!$O$4:$O$163,节奏总纲!Q$4:Q$163,$Q167)-INT(S$4),0)*D$13</f>
        <v>40959873.174601249</v>
      </c>
      <c r="Y167" s="1">
        <f>MAX(求节点(节奏总纲!$O$4:$O$163,节奏总纲!R$4:R$163,$Q167)-INT(T$4),0)*E$13</f>
        <v>54237691.752345309</v>
      </c>
      <c r="Z167" s="1">
        <f>MAX(求节点(节奏总纲!$O$4:$O$163,节奏总纲!S$4:S$163,$Q167)-INT(U$4),0)*F$13</f>
        <v>67216138.838744134</v>
      </c>
      <c r="AA167" s="1">
        <f>MAX(求节点(节奏总纲!$O$4:$O$163,节奏总纲!T$4:T$163,$Q167)-INT(V$4),0)*G$13</f>
        <v>67428111.955344856</v>
      </c>
    </row>
    <row r="168" spans="2:27">
      <c r="B168" s="115"/>
      <c r="Q168" s="16">
        <v>156</v>
      </c>
      <c r="R168" s="16">
        <f>节奏总纲!P159</f>
        <v>49666.000451412707</v>
      </c>
      <c r="S168" s="16">
        <f>节奏总纲!Q159</f>
        <v>49666.000451412707</v>
      </c>
      <c r="T168" s="16">
        <f>节奏总纲!R159</f>
        <v>50162.660455926831</v>
      </c>
      <c r="U168" s="16">
        <f>节奏总纲!S159</f>
        <v>50162.660455926831</v>
      </c>
      <c r="V168" s="16">
        <f>节奏总纲!T159</f>
        <v>50311.658457281068</v>
      </c>
      <c r="W168" s="1">
        <f>MAX(求节点(节奏总纲!$O$4:$O$163,节奏总纲!P$4:P$163,$Q168)-INT(R$4),0)*C$13</f>
        <v>31638784.309428349</v>
      </c>
      <c r="X168" s="1">
        <f>MAX(求节点(节奏总纲!$O$4:$O$163,节奏总纲!Q$4:Q$163,$Q168)-INT(S$4),0)*D$13</f>
        <v>46152692.276406661</v>
      </c>
      <c r="Y168" s="1">
        <f>MAX(求节点(节奏总纲!$O$4:$O$163,节奏总纲!R$4:R$163,$Q168)-INT(T$4),0)*E$13</f>
        <v>61273917.677654728</v>
      </c>
      <c r="Z168" s="1">
        <f>MAX(求节点(节奏总纲!$O$4:$O$163,节奏总纲!S$4:S$163,$Q168)-INT(U$4),0)*F$13</f>
        <v>75935658.778233007</v>
      </c>
      <c r="AA168" s="1">
        <f>MAX(求节点(节奏总纲!$O$4:$O$163,节奏总纲!T$4:T$163,$Q168)-INT(V$4),0)*G$13</f>
        <v>76162737.609005004</v>
      </c>
    </row>
    <row r="169" spans="2:27">
      <c r="B169" s="115"/>
      <c r="Q169" s="16">
        <v>157</v>
      </c>
      <c r="R169" s="16">
        <f>节奏总纲!P160</f>
        <v>53230.773047602182</v>
      </c>
      <c r="S169" s="16">
        <f>节奏总纲!Q160</f>
        <v>53230.773047602182</v>
      </c>
      <c r="T169" s="16">
        <f>节奏总纲!R160</f>
        <v>53763.080778078205</v>
      </c>
      <c r="U169" s="16">
        <f>节奏总纲!S160</f>
        <v>53763.080778078205</v>
      </c>
      <c r="V169" s="16">
        <f>节奏总纲!T160</f>
        <v>53763.080778078205</v>
      </c>
      <c r="W169" s="1">
        <f>MAX(求节点(节奏总纲!$O$4:$O$163,节奏总纲!P$4:P$163,$Q169)-INT(R$4),0)*C$13</f>
        <v>33909975.236707501</v>
      </c>
      <c r="X169" s="1">
        <f>MAX(求节点(节奏总纲!$O$4:$O$163,节奏总纲!Q$4:Q$163,$Q169)-INT(S$4),0)*D$13</f>
        <v>49465697.736973867</v>
      </c>
      <c r="Y169" s="1">
        <f>MAX(求节点(节奏总纲!$O$4:$O$163,节奏总纲!R$4:R$163,$Q169)-INT(T$4),0)*E$13</f>
        <v>65672285.871448547</v>
      </c>
      <c r="Z169" s="1">
        <f>MAX(求节点(节奏总纲!$O$4:$O$163,节奏总纲!S$4:S$163,$Q169)-INT(U$4),0)*F$13</f>
        <v>81386259.650647759</v>
      </c>
      <c r="AA169" s="1">
        <f>MAX(求节点(节奏总纲!$O$4:$O$163,节奏总纲!T$4:T$163,$Q169)-INT(V$4),0)*G$13</f>
        <v>81387773.529690951</v>
      </c>
    </row>
    <row r="170" spans="2:27">
      <c r="B170" s="115"/>
      <c r="Q170" s="16">
        <v>158</v>
      </c>
      <c r="R170" s="16">
        <f>节奏总纲!P161</f>
        <v>57051.401716174769</v>
      </c>
      <c r="S170" s="16">
        <f>节奏总纲!Q161</f>
        <v>57051.401716174769</v>
      </c>
      <c r="T170" s="16">
        <f>节奏总纲!R161</f>
        <v>57621.915733336515</v>
      </c>
      <c r="U170" s="16">
        <f>节奏总纲!S161</f>
        <v>57621.915733336515</v>
      </c>
      <c r="V170" s="16">
        <f>节奏总纲!T161</f>
        <v>57621.915733336515</v>
      </c>
      <c r="W170" s="1">
        <f>MAX(求节点(节奏总纲!$O$4:$O$163,节奏总纲!P$4:P$163,$Q170)-INT(R$4),0)*C$13</f>
        <v>36344177.400918551</v>
      </c>
      <c r="X170" s="1">
        <f>MAX(求节点(节奏总纲!$O$4:$O$163,节奏总纲!Q$4:Q$163,$Q170)-INT(S$4),0)*D$13</f>
        <v>53016489.07084772</v>
      </c>
      <c r="Y170" s="1">
        <f>MAX(求节点(节奏总纲!$O$4:$O$163,节奏总纲!R$4:R$163,$Q170)-INT(T$4),0)*E$13</f>
        <v>70386340.180020571</v>
      </c>
      <c r="Z170" s="1">
        <f>MAX(求节点(节奏总纲!$O$4:$O$163,节奏总纲!S$4:S$163,$Q170)-INT(U$4),0)*F$13</f>
        <v>87228069.020579189</v>
      </c>
      <c r="AA170" s="1">
        <f>MAX(求节点(节奏总纲!$O$4:$O$163,节奏总纲!T$4:T$163,$Q170)-INT(V$4),0)*G$13</f>
        <v>87229582.899622396</v>
      </c>
    </row>
    <row r="171" spans="2:27">
      <c r="B171" s="115"/>
      <c r="Q171" s="16">
        <v>159</v>
      </c>
      <c r="R171" s="16">
        <f>节奏总纲!P162</f>
        <v>61146.25013335624</v>
      </c>
      <c r="S171" s="16">
        <f>节奏总纲!Q162</f>
        <v>61146.25013335624</v>
      </c>
      <c r="T171" s="16">
        <f>节奏总纲!R162</f>
        <v>61757.7126346898</v>
      </c>
      <c r="U171" s="16">
        <f>节奏总纲!S162</f>
        <v>61757.7126346898</v>
      </c>
      <c r="V171" s="16">
        <f>节奏总纲!T162</f>
        <v>61757.7126346898</v>
      </c>
      <c r="W171" s="1">
        <f>MAX(求节点(节奏总纲!$O$4:$O$163,节奏总纲!P$4:P$163,$Q171)-INT(R$4),0)*C$13</f>
        <v>38953090.682968371</v>
      </c>
      <c r="X171" s="1">
        <f>MAX(求节点(节奏总纲!$O$4:$O$163,节奏总纲!Q$4:Q$163,$Q171)-INT(S$4),0)*D$13</f>
        <v>56822132.993497558</v>
      </c>
      <c r="Y171" s="1">
        <f>MAX(求节点(节奏总纲!$O$4:$O$163,节奏总纲!R$4:R$163,$Q171)-INT(T$4),0)*E$13</f>
        <v>75438738.488902926</v>
      </c>
      <c r="Z171" s="1">
        <f>MAX(求节点(节奏总纲!$O$4:$O$163,节奏总纲!S$4:S$163,$Q171)-INT(U$4),0)*F$13</f>
        <v>93489165.276467592</v>
      </c>
      <c r="AA171" s="1">
        <f>MAX(求节点(节奏总纲!$O$4:$O$163,节奏总纲!T$4:T$163,$Q171)-INT(V$4),0)*G$13</f>
        <v>93490679.155510783</v>
      </c>
    </row>
    <row r="172" spans="2:27">
      <c r="B172" s="115"/>
      <c r="Q172" s="16">
        <v>160</v>
      </c>
      <c r="R172" s="16">
        <f>节奏总纲!P163</f>
        <v>65535</v>
      </c>
      <c r="S172" s="16">
        <f>节奏总纲!Q163</f>
        <v>65535</v>
      </c>
      <c r="T172" s="16">
        <f>节奏总纲!R163</f>
        <v>66190.350000000006</v>
      </c>
      <c r="U172" s="16">
        <f>节奏总纲!S163</f>
        <v>66190.350000000006</v>
      </c>
      <c r="V172" s="16">
        <f>节奏总纲!T163</f>
        <v>66190.350000000006</v>
      </c>
      <c r="W172" s="1">
        <f>MAX(求节点(节奏总纲!$O$4:$O$163,节奏总纲!P$4:P$163,$Q172)-INT(R$4),0)*C$13</f>
        <v>41749254.704727776</v>
      </c>
      <c r="X172" s="1">
        <f>MAX(求节点(节奏总纲!$O$4:$O$163,节奏总纲!Q$4:Q$163,$Q172)-INT(S$4),0)*D$13</f>
        <v>60900921.157656111</v>
      </c>
      <c r="Y172" s="1">
        <f>MAX(求节点(节奏总纲!$O$4:$O$163,节奏总纲!R$4:R$163,$Q172)-INT(T$4),0)*E$13</f>
        <v>80853764.918526202</v>
      </c>
      <c r="Z172" s="1">
        <f>MAX(求节点(节奏总纲!$O$4:$O$163,节奏总纲!S$4:S$163,$Q172)-INT(U$4),0)*F$13</f>
        <v>100199642.08991399</v>
      </c>
      <c r="AA172" s="1">
        <f>MAX(求节点(节奏总纲!$O$4:$O$163,节奏总纲!T$4:T$163,$Q172)-INT(V$4),0)*G$13</f>
        <v>100201155.96895719</v>
      </c>
    </row>
    <row r="173" spans="2:27">
      <c r="B173" s="115"/>
    </row>
    <row r="174" spans="2:27">
      <c r="B174" s="115"/>
    </row>
  </sheetData>
  <mergeCells count="6">
    <mergeCell ref="E103:G103"/>
    <mergeCell ref="W11:AA11"/>
    <mergeCell ref="Q11:Q12"/>
    <mergeCell ref="R11:V11"/>
    <mergeCell ref="G53:G60"/>
    <mergeCell ref="G61:G67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9"/>
  <dimension ref="C5:M134"/>
  <sheetViews>
    <sheetView workbookViewId="0">
      <selection activeCell="I22" sqref="I22"/>
    </sheetView>
  </sheetViews>
  <sheetFormatPr defaultColWidth="6.625" defaultRowHeight="11.25"/>
  <cols>
    <col min="1" max="9" width="6.625" style="16"/>
    <col min="10" max="13" width="6.625" style="16" customWidth="1"/>
    <col min="14" max="16384" width="6.625" style="16"/>
  </cols>
  <sheetData>
    <row r="5" spans="3:13">
      <c r="C5" s="16">
        <v>1</v>
      </c>
      <c r="D5" s="17" t="s">
        <v>74</v>
      </c>
      <c r="E5" s="178" t="s">
        <v>158</v>
      </c>
      <c r="F5" s="171" t="s">
        <v>554</v>
      </c>
      <c r="G5" s="173"/>
      <c r="H5" s="173"/>
      <c r="I5" s="172"/>
      <c r="J5" s="171" t="s">
        <v>555</v>
      </c>
      <c r="K5" s="173"/>
      <c r="L5" s="173"/>
      <c r="M5" s="172"/>
    </row>
    <row r="6" spans="3:13">
      <c r="C6" s="16">
        <v>2</v>
      </c>
      <c r="D6" s="17" t="s">
        <v>161</v>
      </c>
      <c r="E6" s="178"/>
      <c r="F6" s="54" t="s">
        <v>1</v>
      </c>
      <c r="G6" s="54" t="s">
        <v>2</v>
      </c>
      <c r="H6" s="54" t="s">
        <v>0</v>
      </c>
      <c r="I6" s="54" t="s">
        <v>205</v>
      </c>
      <c r="J6" s="54" t="s">
        <v>1</v>
      </c>
      <c r="K6" s="54" t="s">
        <v>2</v>
      </c>
      <c r="L6" s="54" t="s">
        <v>0</v>
      </c>
      <c r="M6" s="54" t="s">
        <v>205</v>
      </c>
    </row>
    <row r="7" spans="3:13">
      <c r="C7" s="16">
        <v>3</v>
      </c>
      <c r="D7" s="17">
        <f>投放验证!O17</f>
        <v>50</v>
      </c>
      <c r="E7" s="17">
        <f>投放验证!P17</f>
        <v>31</v>
      </c>
      <c r="F7" s="17">
        <f>求节点(宝物升星!$C$31:$C$36,宝物升星!D$31:D$36,投放验证!AP17)</f>
        <v>0.02</v>
      </c>
      <c r="G7" s="17">
        <f>求节点(宝物升星!$C$31:$C$36,宝物升星!E$31:E$36,投放验证!AQ17)</f>
        <v>0.03</v>
      </c>
      <c r="H7" s="17">
        <f>求节点(宝物升星!$C$31:$C$36,宝物升星!F$31:F$36,投放验证!AR17)</f>
        <v>0.04</v>
      </c>
      <c r="I7" s="17">
        <f>求节点(宝物升星!$C$31:$C$36,宝物升星!G$31:G$36,投放验证!AS17)</f>
        <v>0.06</v>
      </c>
      <c r="J7" s="17">
        <f>求节点(宝物升星!$C$43:$C$48,宝物升星!D$43:D$48,投放验证!AP17)</f>
        <v>0</v>
      </c>
      <c r="K7" s="17">
        <f>求节点(宝物升星!$C$43:$C$48,宝物升星!E$43:E$48,投放验证!AQ17)</f>
        <v>0</v>
      </c>
      <c r="L7" s="17">
        <f>求节点(宝物升星!$C$43:$C$48,宝物升星!F$43:F$48,投放验证!AR17)</f>
        <v>0.02</v>
      </c>
      <c r="M7" s="17">
        <f>求节点(宝物升星!$C$43:$C$48,宝物升星!G$43:G$48,投放验证!AS17)</f>
        <v>0.03</v>
      </c>
    </row>
    <row r="8" spans="3:13">
      <c r="C8" s="16">
        <v>4</v>
      </c>
      <c r="D8" s="17">
        <f>投放验证!O18</f>
        <v>60</v>
      </c>
      <c r="E8" s="17">
        <f>投放验证!P18</f>
        <v>63</v>
      </c>
      <c r="F8" s="17">
        <f>求节点(宝物升星!$C$31:$C$36,宝物升星!D$31:D$36,投放验证!AP18)</f>
        <v>0.02</v>
      </c>
      <c r="G8" s="17">
        <f>求节点(宝物升星!$C$31:$C$36,宝物升星!E$31:E$36,投放验证!AQ18)</f>
        <v>0.11279104262023834</v>
      </c>
      <c r="H8" s="17">
        <f>求节点(宝物升星!$C$31:$C$36,宝物升星!F$31:F$36,投放验证!AR18)</f>
        <v>0.04</v>
      </c>
      <c r="I8" s="17">
        <f>求节点(宝物升星!$C$31:$C$36,宝物升星!G$31:G$36,投放验证!AS18)</f>
        <v>0.06</v>
      </c>
      <c r="J8" s="17">
        <f>求节点(宝物升星!$C$43:$C$48,宝物升星!D$43:D$48,投放验证!AP18)</f>
        <v>0</v>
      </c>
      <c r="K8" s="17">
        <f>求节点(宝物升星!$C$43:$C$48,宝物升星!E$43:E$48,投放验证!AQ18)</f>
        <v>0</v>
      </c>
      <c r="L8" s="17">
        <f>求节点(宝物升星!$C$43:$C$48,宝物升星!F$43:F$48,投放验证!AR18)</f>
        <v>0.02</v>
      </c>
      <c r="M8" s="17">
        <f>求节点(宝物升星!$C$43:$C$48,宝物升星!G$43:G$48,投放验证!AS18)</f>
        <v>0.03</v>
      </c>
    </row>
    <row r="9" spans="3:13">
      <c r="C9" s="16">
        <v>5</v>
      </c>
      <c r="D9" s="17">
        <f>投放验证!O19</f>
        <v>70</v>
      </c>
      <c r="E9" s="17">
        <f>投放验证!P19</f>
        <v>127</v>
      </c>
      <c r="F9" s="17">
        <f>求节点(宝物升星!$C$31:$C$36,宝物升星!D$31:D$36,投放验证!AP19)</f>
        <v>0.02</v>
      </c>
      <c r="G9" s="17">
        <f>求节点(宝物升星!$C$31:$C$36,宝物升星!E$31:E$36,投放验证!AQ19)</f>
        <v>0.12</v>
      </c>
      <c r="H9" s="17">
        <f>求节点(宝物升星!$C$31:$C$36,宝物升星!F$31:F$36,投放验证!AR19)</f>
        <v>6.1300696232644232E-2</v>
      </c>
      <c r="I9" s="17">
        <f>求节点(宝物升星!$C$31:$C$36,宝物升星!G$31:G$36,投放验证!AS19)</f>
        <v>0.06</v>
      </c>
      <c r="J9" s="17">
        <f>求节点(宝物升星!$C$43:$C$48,宝物升星!D$43:D$48,投放验证!AP19)</f>
        <v>0</v>
      </c>
      <c r="K9" s="17">
        <f>求节点(宝物升星!$C$43:$C$48,宝物升星!E$43:E$48,投放验证!AQ19)</f>
        <v>0</v>
      </c>
      <c r="L9" s="17">
        <f>求节点(宝物升星!$C$43:$C$48,宝物升星!F$43:F$48,投放验证!AR19)</f>
        <v>3.0650348116322116E-2</v>
      </c>
      <c r="M9" s="17">
        <f>求节点(宝物升星!$C$43:$C$48,宝物升星!G$43:G$48,投放验证!AS19)</f>
        <v>0.03</v>
      </c>
    </row>
    <row r="10" spans="3:13">
      <c r="C10" s="16">
        <v>6</v>
      </c>
      <c r="D10" s="17">
        <f>投放验证!O20</f>
        <v>75</v>
      </c>
      <c r="E10" s="17">
        <f>投放验证!P20</f>
        <v>180.01933598375612</v>
      </c>
      <c r="F10" s="17">
        <f>求节点(宝物升星!$C$31:$C$36,宝物升星!D$31:D$36,投放验证!AP20)</f>
        <v>0.02</v>
      </c>
      <c r="G10" s="17">
        <f>求节点(宝物升星!$C$31:$C$36,宝物升星!E$31:E$36,投放验证!AQ20)</f>
        <v>0.12</v>
      </c>
      <c r="H10" s="17">
        <f>求节点(宝物升星!$C$31:$C$36,宝物升星!F$31:F$36,投放验证!AR20)</f>
        <v>8.3327321495899762E-2</v>
      </c>
      <c r="I10" s="17">
        <f>求节点(宝物升星!$C$31:$C$36,宝物升星!G$31:G$36,投放验证!AS20)</f>
        <v>0.06</v>
      </c>
      <c r="J10" s="17">
        <f>求节点(宝物升星!$C$43:$C$48,宝物升星!D$43:D$48,投放验证!AP20)</f>
        <v>0</v>
      </c>
      <c r="K10" s="17">
        <f>求节点(宝物升星!$C$43:$C$48,宝物升星!E$43:E$48,投放验证!AQ20)</f>
        <v>0</v>
      </c>
      <c r="L10" s="17">
        <f>求节点(宝物升星!$C$43:$C$48,宝物升星!F$43:F$48,投放验证!AR20)</f>
        <v>4.1663660747949881E-2</v>
      </c>
      <c r="M10" s="17">
        <f>求节点(宝物升星!$C$43:$C$48,宝物升星!G$43:G$48,投放验证!AS20)</f>
        <v>0.03</v>
      </c>
    </row>
    <row r="11" spans="3:13">
      <c r="C11" s="16">
        <v>7</v>
      </c>
      <c r="D11" s="17">
        <f>投放验证!O21</f>
        <v>80</v>
      </c>
      <c r="E11" s="17">
        <f>投放验证!P21</f>
        <v>255</v>
      </c>
      <c r="F11" s="17">
        <f>求节点(宝物升星!$C$31:$C$36,宝物升星!D$31:D$36,投放验证!AP21)</f>
        <v>0.02</v>
      </c>
      <c r="G11" s="17">
        <f>求节点(宝物升星!$C$31:$C$36,宝物升星!E$31:E$36,投放验证!AQ21)</f>
        <v>0.12</v>
      </c>
      <c r="H11" s="17">
        <f>求节点(宝物升星!$C$31:$C$36,宝物升星!F$31:F$36,投放验证!AR21)</f>
        <v>0.11220125761640282</v>
      </c>
      <c r="I11" s="17">
        <f>求节点(宝物升星!$C$31:$C$36,宝物升星!G$31:G$36,投放验证!AS21)</f>
        <v>0.06</v>
      </c>
      <c r="J11" s="17">
        <f>求节点(宝物升星!$C$43:$C$48,宝物升星!D$43:D$48,投放验证!AP21)</f>
        <v>0</v>
      </c>
      <c r="K11" s="17">
        <f>求节点(宝物升星!$C$43:$C$48,宝物升星!E$43:E$48,投放验证!AQ21)</f>
        <v>0</v>
      </c>
      <c r="L11" s="17">
        <f>求节点(宝物升星!$C$43:$C$48,宝物升星!F$43:F$48,投放验证!AR21)</f>
        <v>5.6100628808201408E-2</v>
      </c>
      <c r="M11" s="17">
        <f>求节点(宝物升星!$C$43:$C$48,宝物升星!G$43:G$48,投放验证!AS21)</f>
        <v>0.03</v>
      </c>
    </row>
    <row r="12" spans="3:13">
      <c r="C12" s="16">
        <v>8</v>
      </c>
      <c r="D12" s="17">
        <f>投放验证!O22</f>
        <v>85</v>
      </c>
      <c r="E12" s="17">
        <f>投放验证!P22</f>
        <v>361.0386719675123</v>
      </c>
      <c r="F12" s="17">
        <f>求节点(宝物升星!$C$31:$C$36,宝物升星!D$31:D$36,投放验证!AP22)</f>
        <v>0.02</v>
      </c>
      <c r="G12" s="17">
        <f>求节点(宝物升星!$C$31:$C$36,宝物升星!E$31:E$36,投放验证!AQ22)</f>
        <v>0.12</v>
      </c>
      <c r="H12" s="17">
        <f>求节点(宝物升星!$C$31:$C$36,宝物升星!F$31:F$36,投放验证!AR22)</f>
        <v>0.15301017778432857</v>
      </c>
      <c r="I12" s="17">
        <f>求节点(宝物升星!$C$31:$C$36,宝物升星!G$31:G$36,投放验证!AS22)</f>
        <v>7.480369143215139E-2</v>
      </c>
      <c r="J12" s="17">
        <f>求节点(宝物升星!$C$43:$C$48,宝物升星!D$43:D$48,投放验证!AP22)</f>
        <v>0</v>
      </c>
      <c r="K12" s="17">
        <f>求节点(宝物升星!$C$43:$C$48,宝物升星!E$43:E$48,投放验证!AQ22)</f>
        <v>0</v>
      </c>
      <c r="L12" s="17">
        <f>求节点(宝物升星!$C$43:$C$48,宝物升星!F$43:F$48,投放验证!AR22)</f>
        <v>7.6505088892164286E-2</v>
      </c>
      <c r="M12" s="17">
        <f>求节点(宝物升星!$C$43:$C$48,宝物升星!G$43:G$48,投放验证!AS22)</f>
        <v>3.7401845716075695E-2</v>
      </c>
    </row>
    <row r="13" spans="3:13">
      <c r="C13" s="16">
        <v>9</v>
      </c>
      <c r="D13" s="17">
        <f>投放验证!O23</f>
        <v>90</v>
      </c>
      <c r="E13" s="17">
        <f>投放验证!P23</f>
        <v>511</v>
      </c>
      <c r="F13" s="17">
        <f>求节点(宝物升星!$C$31:$C$36,宝物升星!D$31:D$36,投放验证!AP23)</f>
        <v>0.02</v>
      </c>
      <c r="G13" s="17">
        <f>求节点(宝物升星!$C$31:$C$36,宝物升星!E$31:E$36,投放验证!AQ23)</f>
        <v>0.12</v>
      </c>
      <c r="H13" s="17">
        <f>求节点(宝物升星!$C$31:$C$36,宝物升星!F$31:F$36,投放验证!AR23)</f>
        <v>0.20714977181126915</v>
      </c>
      <c r="I13" s="17">
        <f>求节点(宝物升星!$C$31:$C$36,宝物升星!G$31:G$36,投放验证!AS23)</f>
        <v>9.8899847874179408E-2</v>
      </c>
      <c r="J13" s="17">
        <f>求节点(宝物升星!$C$43:$C$48,宝物升星!D$43:D$48,投放验证!AP23)</f>
        <v>0</v>
      </c>
      <c r="K13" s="17">
        <f>求节点(宝物升星!$C$43:$C$48,宝物升星!E$43:E$48,投放验证!AQ23)</f>
        <v>0</v>
      </c>
      <c r="L13" s="17">
        <f>求节点(宝物升星!$C$43:$C$48,宝物升星!F$43:F$48,投放验证!AR23)</f>
        <v>0.10357488590563457</v>
      </c>
      <c r="M13" s="17">
        <f>求节点(宝物升星!$C$43:$C$48,宝物升星!G$43:G$48,投放验证!AS23)</f>
        <v>4.9449923937089704E-2</v>
      </c>
    </row>
    <row r="14" spans="3:13">
      <c r="C14" s="16">
        <v>10</v>
      </c>
      <c r="D14" s="17">
        <f>投放验证!O24</f>
        <v>95</v>
      </c>
      <c r="E14" s="17">
        <f>投放验证!P24</f>
        <v>723.0773439350246</v>
      </c>
      <c r="F14" s="17">
        <f>求节点(宝物升星!$C$31:$C$36,宝物升星!D$31:D$36,投放验证!AP24)</f>
        <v>0.02</v>
      </c>
      <c r="G14" s="17">
        <f>求节点(宝物升星!$C$31:$C$36,宝物升星!E$31:E$36,投放验证!AQ24)</f>
        <v>0.12</v>
      </c>
      <c r="H14" s="17">
        <f>求节点(宝物升星!$C$31:$C$36,宝物升星!F$31:F$36,投放验证!AR24)</f>
        <v>0.24000000000000002</v>
      </c>
      <c r="I14" s="17">
        <f>求节点(宝物升星!$C$31:$C$36,宝物升星!G$31:G$36,投放验证!AS24)</f>
        <v>0.13293917012714893</v>
      </c>
      <c r="J14" s="17">
        <f>求节点(宝物升星!$C$43:$C$48,宝物升星!D$43:D$48,投放验证!AP24)</f>
        <v>0</v>
      </c>
      <c r="K14" s="17">
        <f>求节点(宝物升星!$C$43:$C$48,宝物升星!E$43:E$48,投放验证!AQ24)</f>
        <v>0</v>
      </c>
      <c r="L14" s="17">
        <f>求节点(宝物升星!$C$43:$C$48,宝物升星!F$43:F$48,投放验证!AR24)</f>
        <v>0.12000000000000001</v>
      </c>
      <c r="M14" s="17">
        <f>求节点(宝物升星!$C$43:$C$48,宝物升星!G$43:G$48,投放验证!AS24)</f>
        <v>6.6469585063574463E-2</v>
      </c>
    </row>
    <row r="15" spans="3:13">
      <c r="C15" s="16">
        <v>11</v>
      </c>
      <c r="D15" s="17">
        <f>投放验证!O25</f>
        <v>100</v>
      </c>
      <c r="E15" s="17">
        <f>投放验证!P25</f>
        <v>1023</v>
      </c>
      <c r="F15" s="17">
        <f>求节点(宝物升星!$C$31:$C$36,宝物升星!D$31:D$36,投放验证!AP25)</f>
        <v>0.02</v>
      </c>
      <c r="G15" s="17">
        <f>求节点(宝物升星!$C$31:$C$36,宝物升星!E$31:E$36,投放验证!AQ25)</f>
        <v>0.12</v>
      </c>
      <c r="H15" s="17">
        <f>求节点(宝物升星!$C$31:$C$36,宝物升星!F$31:F$36,投放验证!AR25)</f>
        <v>0.24000000000000002</v>
      </c>
      <c r="I15" s="17">
        <f>求节点(宝物升星!$C$31:$C$36,宝物升星!G$31:G$36,投放验证!AS25)</f>
        <v>0.1774485102875466</v>
      </c>
      <c r="J15" s="17">
        <f>求节点(宝物升星!$C$43:$C$48,宝物升星!D$43:D$48,投放验证!AP25)</f>
        <v>0</v>
      </c>
      <c r="K15" s="17">
        <f>求节点(宝物升星!$C$43:$C$48,宝物升星!E$43:E$48,投放验证!AQ25)</f>
        <v>0</v>
      </c>
      <c r="L15" s="17">
        <f>求节点(宝物升星!$C$43:$C$48,宝物升星!F$43:F$48,投放验证!AR25)</f>
        <v>0.12000000000000001</v>
      </c>
      <c r="M15" s="17">
        <f>求节点(宝物升星!$C$43:$C$48,宝物升星!G$43:G$48,投放验证!AS25)</f>
        <v>8.8724255143773301E-2</v>
      </c>
    </row>
    <row r="16" spans="3:13">
      <c r="C16" s="16">
        <v>12</v>
      </c>
      <c r="D16" s="17">
        <f>投放验证!O26</f>
        <v>105</v>
      </c>
      <c r="E16" s="17">
        <f>投放验证!P26</f>
        <v>1447.1546878700494</v>
      </c>
      <c r="F16" s="17">
        <f>求节点(宝物升星!$C$31:$C$36,宝物升星!D$31:D$36,投放验证!AP26)</f>
        <v>0.02</v>
      </c>
      <c r="G16" s="17">
        <f>求节点(宝物升星!$C$31:$C$36,宝物升星!E$31:E$36,投放验证!AQ26)</f>
        <v>0.12</v>
      </c>
      <c r="H16" s="17">
        <f>求节点(宝物升星!$C$31:$C$36,宝物升星!F$31:F$36,投放验证!AR26)</f>
        <v>0.24000000000000002</v>
      </c>
      <c r="I16" s="17">
        <f>求节点(宝物升星!$C$31:$C$36,宝物升星!G$31:G$36,投放验证!AS26)</f>
        <v>0.24033254552814903</v>
      </c>
      <c r="J16" s="17">
        <f>求节点(宝物升星!$C$43:$C$48,宝物升星!D$43:D$48,投放验证!AP26)</f>
        <v>0</v>
      </c>
      <c r="K16" s="17">
        <f>求节点(宝物升星!$C$43:$C$48,宝物升星!E$43:E$48,投放验证!AQ26)</f>
        <v>0</v>
      </c>
      <c r="L16" s="17">
        <f>求节点(宝物升星!$C$43:$C$48,宝物升星!F$43:F$48,投放验证!AR26)</f>
        <v>0.12000000000000001</v>
      </c>
      <c r="M16" s="17">
        <f>求节点(宝物升星!$C$43:$C$48,宝物升星!G$43:G$48,投放验证!AS26)</f>
        <v>0.12022169701876602</v>
      </c>
    </row>
    <row r="17" spans="3:13">
      <c r="C17" s="16">
        <v>13</v>
      </c>
      <c r="D17" s="17">
        <f>投放验证!O27</f>
        <v>110</v>
      </c>
      <c r="E17" s="17">
        <f>投放验证!P27</f>
        <v>2047</v>
      </c>
      <c r="F17" s="17">
        <f>求节点(宝物升星!$C$31:$C$36,宝物升星!D$31:D$36,投放验证!AP27)</f>
        <v>0.02</v>
      </c>
      <c r="G17" s="17">
        <f>求节点(宝物升星!$C$31:$C$36,宝物升星!E$31:E$36,投放验证!AQ27)</f>
        <v>0.12</v>
      </c>
      <c r="H17" s="17">
        <f>求节点(宝物升星!$C$31:$C$36,宝物升星!F$31:F$36,投放验证!AR27)</f>
        <v>0.24000000000000002</v>
      </c>
      <c r="I17" s="17">
        <f>求节点(宝物升星!$C$31:$C$36,宝物升星!G$31:G$36,投放验证!AS27)</f>
        <v>0.32418023588367961</v>
      </c>
      <c r="J17" s="17">
        <f>求节点(宝物升星!$C$43:$C$48,宝物升星!D$43:D$48,投放验证!AP27)</f>
        <v>0</v>
      </c>
      <c r="K17" s="17">
        <f>求节点(宝物升星!$C$43:$C$48,宝物升星!E$43:E$48,投放验证!AQ27)</f>
        <v>0</v>
      </c>
      <c r="L17" s="17">
        <f>求节点(宝物升星!$C$43:$C$48,宝物升星!F$43:F$48,投放验证!AR27)</f>
        <v>0.12000000000000001</v>
      </c>
      <c r="M17" s="17">
        <f>求节点(宝物升星!$C$43:$C$48,宝物升星!G$43:G$48,投放验证!AS27)</f>
        <v>0.17612015725578642</v>
      </c>
    </row>
    <row r="18" spans="3:13">
      <c r="C18" s="16">
        <v>14</v>
      </c>
      <c r="D18" s="17">
        <f>投放验证!O28</f>
        <v>115</v>
      </c>
      <c r="E18" s="17">
        <f>投放验证!P28</f>
        <v>2895.3093757400989</v>
      </c>
      <c r="F18" s="17">
        <f>求节点(宝物升星!$C$31:$C$36,宝物升星!D$31:D$36,投放验证!AP28)</f>
        <v>0.02</v>
      </c>
      <c r="G18" s="17">
        <f>求节点(宝物升星!$C$31:$C$36,宝物升星!E$31:E$36,投放验证!AQ28)</f>
        <v>0.12</v>
      </c>
      <c r="H18" s="17">
        <f>求节点(宝物升星!$C$31:$C$36,宝物升星!F$31:F$36,投放验证!AR28)</f>
        <v>0.24000000000000002</v>
      </c>
      <c r="I18" s="17">
        <f>求节点(宝物升星!$C$31:$C$36,宝物升星!G$31:G$36,投放验证!AS28)</f>
        <v>0.36</v>
      </c>
      <c r="J18" s="17">
        <f>求节点(宝物升星!$C$43:$C$48,宝物升星!D$43:D$48,投放验证!AP28)</f>
        <v>0</v>
      </c>
      <c r="K18" s="17">
        <f>求节点(宝物升星!$C$43:$C$48,宝物升星!E$43:E$48,投放验证!AQ28)</f>
        <v>0</v>
      </c>
      <c r="L18" s="17">
        <f>求节点(宝物升星!$C$43:$C$48,宝物升星!F$43:F$48,投放验证!AR28)</f>
        <v>0.12000000000000001</v>
      </c>
      <c r="M18" s="17">
        <f>求节点(宝物升星!$C$43:$C$48,宝物升星!G$43:G$48,投放验证!AS28)</f>
        <v>0.2</v>
      </c>
    </row>
    <row r="19" spans="3:13">
      <c r="C19" s="16">
        <v>15</v>
      </c>
      <c r="D19" s="17">
        <f>投放验证!O29</f>
        <v>120</v>
      </c>
      <c r="E19" s="17">
        <f>投放验证!P29</f>
        <v>4095</v>
      </c>
      <c r="F19" s="17">
        <f>求节点(宝物升星!$C$31:$C$36,宝物升星!D$31:D$36,投放验证!AP29)</f>
        <v>0.02</v>
      </c>
      <c r="G19" s="17">
        <f>求节点(宝物升星!$C$31:$C$36,宝物升星!E$31:E$36,投放验证!AQ29)</f>
        <v>0.12</v>
      </c>
      <c r="H19" s="17">
        <f>求节点(宝物升星!$C$31:$C$36,宝物升星!F$31:F$36,投放验证!AR29)</f>
        <v>0.24000000000000002</v>
      </c>
      <c r="I19" s="17">
        <f>求节点(宝物升星!$C$31:$C$36,宝物升星!G$31:G$36,投放验证!AS29)</f>
        <v>0.36</v>
      </c>
      <c r="J19" s="17">
        <f>求节点(宝物升星!$C$43:$C$48,宝物升星!D$43:D$48,投放验证!AP29)</f>
        <v>0</v>
      </c>
      <c r="K19" s="17">
        <f>求节点(宝物升星!$C$43:$C$48,宝物升星!E$43:E$48,投放验证!AQ29)</f>
        <v>0</v>
      </c>
      <c r="L19" s="17">
        <f>求节点(宝物升星!$C$43:$C$48,宝物升星!F$43:F$48,投放验证!AR29)</f>
        <v>0.12000000000000001</v>
      </c>
      <c r="M19" s="17">
        <f>求节点(宝物升星!$C$43:$C$48,宝物升星!G$43:G$48,投放验证!AS29)</f>
        <v>0.2</v>
      </c>
    </row>
    <row r="20" spans="3:13">
      <c r="C20" s="16">
        <v>16</v>
      </c>
      <c r="D20" s="17">
        <f>投放验证!O30</f>
        <v>125</v>
      </c>
      <c r="E20" s="17">
        <f>投放验证!P30</f>
        <v>5791.6187514801986</v>
      </c>
      <c r="F20" s="17">
        <f>求节点(宝物升星!$C$31:$C$36,宝物升星!D$31:D$36,投放验证!AP30)</f>
        <v>0.02</v>
      </c>
      <c r="G20" s="17">
        <f>求节点(宝物升星!$C$31:$C$36,宝物升星!E$31:E$36,投放验证!AQ30)</f>
        <v>0.12</v>
      </c>
      <c r="H20" s="17">
        <f>求节点(宝物升星!$C$31:$C$36,宝物升星!F$31:F$36,投放验证!AR30)</f>
        <v>0.24000000000000002</v>
      </c>
      <c r="I20" s="17">
        <f>求节点(宝物升星!$C$31:$C$36,宝物升星!G$31:G$36,投放验证!AS30)</f>
        <v>0.36</v>
      </c>
      <c r="J20" s="17">
        <f>求节点(宝物升星!$C$43:$C$48,宝物升星!D$43:D$48,投放验证!AP30)</f>
        <v>0</v>
      </c>
      <c r="K20" s="17">
        <f>求节点(宝物升星!$C$43:$C$48,宝物升星!E$43:E$48,投放验证!AQ30)</f>
        <v>0</v>
      </c>
      <c r="L20" s="17">
        <f>求节点(宝物升星!$C$43:$C$48,宝物升星!F$43:F$48,投放验证!AR30)</f>
        <v>0.12000000000000001</v>
      </c>
      <c r="M20" s="17">
        <f>求节点(宝物升星!$C$43:$C$48,宝物升星!G$43:G$48,投放验证!AS30)</f>
        <v>0.2</v>
      </c>
    </row>
    <row r="21" spans="3:13">
      <c r="C21" s="16">
        <v>17</v>
      </c>
      <c r="D21" s="17">
        <f>投放验证!O31</f>
        <v>130</v>
      </c>
      <c r="E21" s="17">
        <f>投放验证!P31</f>
        <v>8191</v>
      </c>
      <c r="F21" s="17">
        <f>求节点(宝物升星!$C$31:$C$36,宝物升星!D$31:D$36,投放验证!AP31)</f>
        <v>0.02</v>
      </c>
      <c r="G21" s="17">
        <f>求节点(宝物升星!$C$31:$C$36,宝物升星!E$31:E$36,投放验证!AQ31)</f>
        <v>0.12</v>
      </c>
      <c r="H21" s="17">
        <f>求节点(宝物升星!$C$31:$C$36,宝物升星!F$31:F$36,投放验证!AR31)</f>
        <v>0.24000000000000002</v>
      </c>
      <c r="I21" s="17">
        <f>求节点(宝物升星!$C$31:$C$36,宝物升星!G$31:G$36,投放验证!AS31)</f>
        <v>0.36</v>
      </c>
      <c r="J21" s="17">
        <f>求节点(宝物升星!$C$43:$C$48,宝物升星!D$43:D$48,投放验证!AP31)</f>
        <v>0</v>
      </c>
      <c r="K21" s="17">
        <f>求节点(宝物升星!$C$43:$C$48,宝物升星!E$43:E$48,投放验证!AQ31)</f>
        <v>0</v>
      </c>
      <c r="L21" s="17">
        <f>求节点(宝物升星!$C$43:$C$48,宝物升星!F$43:F$48,投放验证!AR31)</f>
        <v>0.12000000000000001</v>
      </c>
      <c r="M21" s="17">
        <f>求节点(宝物升星!$C$43:$C$48,宝物升星!G$43:G$48,投放验证!AS31)</f>
        <v>0.2</v>
      </c>
    </row>
    <row r="22" spans="3:13">
      <c r="C22" s="16">
        <v>18</v>
      </c>
      <c r="D22" s="17">
        <f>投放验证!O32</f>
        <v>135</v>
      </c>
      <c r="E22" s="17">
        <f>投放验证!P32</f>
        <v>11584.237502960397</v>
      </c>
      <c r="F22" s="17">
        <f>求节点(宝物升星!$C$31:$C$36,宝物升星!D$31:D$36,投放验证!AP32)</f>
        <v>0.02</v>
      </c>
      <c r="G22" s="17">
        <f>求节点(宝物升星!$C$31:$C$36,宝物升星!E$31:E$36,投放验证!AQ32)</f>
        <v>0.12</v>
      </c>
      <c r="H22" s="17">
        <f>求节点(宝物升星!$C$31:$C$36,宝物升星!F$31:F$36,投放验证!AR32)</f>
        <v>0.24000000000000002</v>
      </c>
      <c r="I22" s="17">
        <f>求节点(宝物升星!$C$31:$C$36,宝物升星!G$31:G$36,投放验证!AS32)</f>
        <v>0.36</v>
      </c>
      <c r="J22" s="17">
        <f>求节点(宝物升星!$C$43:$C$48,宝物升星!D$43:D$48,投放验证!AP32)</f>
        <v>0</v>
      </c>
      <c r="K22" s="17">
        <f>求节点(宝物升星!$C$43:$C$48,宝物升星!E$43:E$48,投放验证!AQ32)</f>
        <v>0</v>
      </c>
      <c r="L22" s="17">
        <f>求节点(宝物升星!$C$43:$C$48,宝物升星!F$43:F$48,投放验证!AR32)</f>
        <v>0.12000000000000001</v>
      </c>
      <c r="M22" s="17">
        <f>求节点(宝物升星!$C$43:$C$48,宝物升星!G$43:G$48,投放验证!AS32)</f>
        <v>0.2</v>
      </c>
    </row>
    <row r="23" spans="3:13">
      <c r="C23" s="16">
        <v>19</v>
      </c>
      <c r="D23" s="17">
        <f>投放验证!O33</f>
        <v>140</v>
      </c>
      <c r="E23" s="17">
        <f>投放验证!P33</f>
        <v>16383</v>
      </c>
      <c r="F23" s="17">
        <f>求节点(宝物升星!$C$31:$C$36,宝物升星!D$31:D$36,投放验证!AP33)</f>
        <v>0.02</v>
      </c>
      <c r="G23" s="17">
        <f>求节点(宝物升星!$C$31:$C$36,宝物升星!E$31:E$36,投放验证!AQ33)</f>
        <v>0.12</v>
      </c>
      <c r="H23" s="17">
        <f>求节点(宝物升星!$C$31:$C$36,宝物升星!F$31:F$36,投放验证!AR33)</f>
        <v>0.24000000000000002</v>
      </c>
      <c r="I23" s="17">
        <f>求节点(宝物升星!$C$31:$C$36,宝物升星!G$31:G$36,投放验证!AS33)</f>
        <v>0.36</v>
      </c>
      <c r="J23" s="17">
        <f>求节点(宝物升星!$C$43:$C$48,宝物升星!D$43:D$48,投放验证!AP33)</f>
        <v>0</v>
      </c>
      <c r="K23" s="17">
        <f>求节点(宝物升星!$C$43:$C$48,宝物升星!E$43:E$48,投放验证!AQ33)</f>
        <v>0</v>
      </c>
      <c r="L23" s="17">
        <f>求节点(宝物升星!$C$43:$C$48,宝物升星!F$43:F$48,投放验证!AR33)</f>
        <v>0.12000000000000001</v>
      </c>
      <c r="M23" s="17">
        <f>求节点(宝物升星!$C$43:$C$48,宝物升星!G$43:G$48,投放验证!AS33)</f>
        <v>0.2</v>
      </c>
    </row>
    <row r="24" spans="3:13">
      <c r="C24" s="16">
        <v>20</v>
      </c>
      <c r="D24" s="17">
        <f>投放验证!O34</f>
        <v>145</v>
      </c>
      <c r="E24" s="17">
        <f>投放验证!P34</f>
        <v>23169.475005920798</v>
      </c>
      <c r="F24" s="17">
        <f>求节点(宝物升星!$C$31:$C$36,宝物升星!D$31:D$36,投放验证!AP34)</f>
        <v>0.02</v>
      </c>
      <c r="G24" s="17">
        <f>求节点(宝物升星!$C$31:$C$36,宝物升星!E$31:E$36,投放验证!AQ34)</f>
        <v>0.12</v>
      </c>
      <c r="H24" s="17">
        <f>求节点(宝物升星!$C$31:$C$36,宝物升星!F$31:F$36,投放验证!AR34)</f>
        <v>0.24000000000000002</v>
      </c>
      <c r="I24" s="17">
        <f>求节点(宝物升星!$C$31:$C$36,宝物升星!G$31:G$36,投放验证!AS34)</f>
        <v>0.36</v>
      </c>
      <c r="J24" s="17">
        <f>求节点(宝物升星!$C$43:$C$48,宝物升星!D$43:D$48,投放验证!AP34)</f>
        <v>0</v>
      </c>
      <c r="K24" s="17">
        <f>求节点(宝物升星!$C$43:$C$48,宝物升星!E$43:E$48,投放验证!AQ34)</f>
        <v>0</v>
      </c>
      <c r="L24" s="17">
        <f>求节点(宝物升星!$C$43:$C$48,宝物升星!F$43:F$48,投放验证!AR34)</f>
        <v>0.12000000000000001</v>
      </c>
      <c r="M24" s="17">
        <f>求节点(宝物升星!$C$43:$C$48,宝物升星!G$43:G$48,投放验证!AS34)</f>
        <v>0.2</v>
      </c>
    </row>
    <row r="25" spans="3:13">
      <c r="C25" s="16">
        <v>21</v>
      </c>
      <c r="D25" s="17">
        <f>投放验证!O35</f>
        <v>150</v>
      </c>
      <c r="E25" s="17">
        <f>投放验证!P35</f>
        <v>32767</v>
      </c>
      <c r="F25" s="17">
        <f>求节点(宝物升星!$C$31:$C$36,宝物升星!D$31:D$36,投放验证!AP35)</f>
        <v>0.02</v>
      </c>
      <c r="G25" s="17">
        <f>求节点(宝物升星!$C$31:$C$36,宝物升星!E$31:E$36,投放验证!AQ35)</f>
        <v>0.12</v>
      </c>
      <c r="H25" s="17">
        <f>求节点(宝物升星!$C$31:$C$36,宝物升星!F$31:F$36,投放验证!AR35)</f>
        <v>0.24000000000000002</v>
      </c>
      <c r="I25" s="17">
        <f>求节点(宝物升星!$C$31:$C$36,宝物升星!G$31:G$36,投放验证!AS35)</f>
        <v>0.36</v>
      </c>
      <c r="J25" s="17">
        <f>求节点(宝物升星!$C$43:$C$48,宝物升星!D$43:D$48,投放验证!AP35)</f>
        <v>0</v>
      </c>
      <c r="K25" s="17">
        <f>求节点(宝物升星!$C$43:$C$48,宝物升星!E$43:E$48,投放验证!AQ35)</f>
        <v>0</v>
      </c>
      <c r="L25" s="17">
        <f>求节点(宝物升星!$C$43:$C$48,宝物升星!F$43:F$48,投放验证!AR35)</f>
        <v>0.12000000000000001</v>
      </c>
      <c r="M25" s="17">
        <f>求节点(宝物升星!$C$43:$C$48,宝物升星!G$43:G$48,投放验证!AS35)</f>
        <v>0.2</v>
      </c>
    </row>
    <row r="26" spans="3:13">
      <c r="C26" s="16">
        <v>22</v>
      </c>
      <c r="D26" s="17">
        <f>投放验证!O36</f>
        <v>155</v>
      </c>
      <c r="E26" s="17">
        <f>投放验证!P36</f>
        <v>46339.950011841604</v>
      </c>
      <c r="F26" s="17">
        <f>求节点(宝物升星!$C$31:$C$36,宝物升星!D$31:D$36,投放验证!AP36)</f>
        <v>0.02</v>
      </c>
      <c r="G26" s="17">
        <f>求节点(宝物升星!$C$31:$C$36,宝物升星!E$31:E$36,投放验证!AQ36)</f>
        <v>0.12</v>
      </c>
      <c r="H26" s="17">
        <f>求节点(宝物升星!$C$31:$C$36,宝物升星!F$31:F$36,投放验证!AR36)</f>
        <v>0.24000000000000002</v>
      </c>
      <c r="I26" s="17">
        <f>求节点(宝物升星!$C$31:$C$36,宝物升星!G$31:G$36,投放验证!AS36)</f>
        <v>0.36</v>
      </c>
      <c r="J26" s="17">
        <f>求节点(宝物升星!$C$43:$C$48,宝物升星!D$43:D$48,投放验证!AP36)</f>
        <v>0</v>
      </c>
      <c r="K26" s="17">
        <f>求节点(宝物升星!$C$43:$C$48,宝物升星!E$43:E$48,投放验证!AQ36)</f>
        <v>0</v>
      </c>
      <c r="L26" s="17">
        <f>求节点(宝物升星!$C$43:$C$48,宝物升星!F$43:F$48,投放验证!AR36)</f>
        <v>0.12000000000000001</v>
      </c>
      <c r="M26" s="17">
        <f>求节点(宝物升星!$C$43:$C$48,宝物升星!G$43:G$48,投放验证!AS36)</f>
        <v>0.2</v>
      </c>
    </row>
    <row r="27" spans="3:13">
      <c r="C27" s="16">
        <v>23</v>
      </c>
      <c r="D27" s="17">
        <f>投放验证!O37</f>
        <v>160</v>
      </c>
      <c r="E27" s="17">
        <f>投放验证!P37</f>
        <v>65535</v>
      </c>
      <c r="F27" s="17">
        <f>求节点(宝物升星!$C$31:$C$36,宝物升星!D$31:D$36,投放验证!AP37)</f>
        <v>0.02</v>
      </c>
      <c r="G27" s="17">
        <f>求节点(宝物升星!$C$31:$C$36,宝物升星!E$31:E$36,投放验证!AQ37)</f>
        <v>0.12</v>
      </c>
      <c r="H27" s="17">
        <f>求节点(宝物升星!$C$31:$C$36,宝物升星!F$31:F$36,投放验证!AR37)</f>
        <v>0.24000000000000002</v>
      </c>
      <c r="I27" s="17">
        <f>求节点(宝物升星!$C$31:$C$36,宝物升星!G$31:G$36,投放验证!AS37)</f>
        <v>0.36</v>
      </c>
      <c r="J27" s="17">
        <f>求节点(宝物升星!$C$43:$C$48,宝物升星!D$43:D$48,投放验证!AP37)</f>
        <v>0</v>
      </c>
      <c r="K27" s="17">
        <f>求节点(宝物升星!$C$43:$C$48,宝物升星!E$43:E$48,投放验证!AQ37)</f>
        <v>0</v>
      </c>
      <c r="L27" s="17">
        <f>求节点(宝物升星!$C$43:$C$48,宝物升星!F$43:F$48,投放验证!AR37)</f>
        <v>0.12000000000000001</v>
      </c>
      <c r="M27" s="93">
        <f>求节点(宝物升星!$C$43:$C$48,宝物升星!G$43:G$48,投放验证!AS37)</f>
        <v>0.2</v>
      </c>
    </row>
    <row r="28" spans="3:13">
      <c r="C28" s="16">
        <v>24</v>
      </c>
    </row>
    <row r="29" spans="3:13">
      <c r="C29" s="16">
        <v>25</v>
      </c>
    </row>
    <row r="30" spans="3:13">
      <c r="C30" s="16">
        <v>26</v>
      </c>
    </row>
    <row r="31" spans="3:13">
      <c r="C31" s="16">
        <v>1</v>
      </c>
      <c r="D31" s="17" t="s">
        <v>75</v>
      </c>
      <c r="E31" s="186" t="s">
        <v>158</v>
      </c>
      <c r="F31" s="170" t="s">
        <v>554</v>
      </c>
      <c r="G31" s="170"/>
      <c r="H31" s="170"/>
      <c r="I31" s="170"/>
      <c r="J31" s="170" t="s">
        <v>555</v>
      </c>
      <c r="K31" s="170"/>
      <c r="L31" s="170"/>
      <c r="M31" s="170"/>
    </row>
    <row r="32" spans="3:13">
      <c r="C32" s="16">
        <v>2</v>
      </c>
      <c r="D32" s="17" t="s">
        <v>161</v>
      </c>
      <c r="E32" s="187"/>
      <c r="F32" s="54" t="s">
        <v>1</v>
      </c>
      <c r="G32" s="54" t="s">
        <v>2</v>
      </c>
      <c r="H32" s="54" t="s">
        <v>0</v>
      </c>
      <c r="I32" s="54" t="s">
        <v>205</v>
      </c>
      <c r="J32" s="54" t="s">
        <v>1</v>
      </c>
      <c r="K32" s="54" t="s">
        <v>2</v>
      </c>
      <c r="L32" s="54" t="s">
        <v>0</v>
      </c>
      <c r="M32" s="54" t="s">
        <v>205</v>
      </c>
    </row>
    <row r="33" spans="3:13">
      <c r="C33" s="16">
        <v>3</v>
      </c>
      <c r="D33" s="17">
        <f>投放验证!O43</f>
        <v>50</v>
      </c>
      <c r="E33" s="17">
        <f>投放验证!P43</f>
        <v>27.0351</v>
      </c>
      <c r="F33" s="17">
        <f>求节点(宝物升星!$C$31:$C$36,宝物升星!D$31:D$36,投放验证!AP43)</f>
        <v>0.02</v>
      </c>
      <c r="G33" s="17">
        <f>求节点(宝物升星!$C$31:$C$36,宝物升星!E$31:E$36,投放验证!AQ43)</f>
        <v>0.03</v>
      </c>
      <c r="H33" s="17">
        <f>求节点(宝物升星!$C$31:$C$36,宝物升星!F$31:F$36,投放验证!AR43)</f>
        <v>0.04</v>
      </c>
      <c r="I33" s="17">
        <f>求节点(宝物升星!$C$31:$C$36,宝物升星!G$31:G$36,投放验证!AS43)</f>
        <v>0.06</v>
      </c>
      <c r="J33" s="17">
        <f>求节点(宝物升星!$C$43:$C$48,宝物升星!D$43:D$48,投放验证!AP43)</f>
        <v>0</v>
      </c>
      <c r="K33" s="17">
        <f>求节点(宝物升星!$C$43:$C$48,宝物升星!E$43:E$48,投放验证!AQ43)</f>
        <v>0</v>
      </c>
      <c r="L33" s="17">
        <f>求节点(宝物升星!$C$43:$C$48,宝物升星!F$43:F$48,投放验证!AR43)</f>
        <v>0.02</v>
      </c>
      <c r="M33" s="17">
        <f>求节点(宝物升星!$C$43:$C$48,宝物升星!G$43:G$48,投放验证!AS43)</f>
        <v>0.03</v>
      </c>
    </row>
    <row r="34" spans="3:13">
      <c r="C34" s="16">
        <v>4</v>
      </c>
      <c r="D34" s="17">
        <f>投放验证!O44</f>
        <v>60</v>
      </c>
      <c r="E34" s="17">
        <f>投放验证!P44</f>
        <v>54.589500000000001</v>
      </c>
      <c r="F34" s="17">
        <f>求节点(宝物升星!$C$31:$C$36,宝物升星!D$31:D$36,投放验证!AP44)</f>
        <v>0.02</v>
      </c>
      <c r="G34" s="17">
        <f>求节点(宝物升星!$C$31:$C$36,宝物升星!E$31:E$36,投放验证!AQ44)</f>
        <v>0.12</v>
      </c>
      <c r="H34" s="17">
        <f>求节点(宝物升星!$C$31:$C$36,宝物升星!F$31:F$36,投放验证!AR44)</f>
        <v>0.04</v>
      </c>
      <c r="I34" s="17">
        <f>求节点(宝物升星!$C$31:$C$36,宝物升星!G$31:G$36,投放验证!AS44)</f>
        <v>0.06</v>
      </c>
      <c r="J34" s="17">
        <f>求节点(宝物升星!$C$43:$C$48,宝物升星!D$43:D$48,投放验证!AP44)</f>
        <v>0</v>
      </c>
      <c r="K34" s="17">
        <f>求节点(宝物升星!$C$43:$C$48,宝物升星!E$43:E$48,投放验证!AQ44)</f>
        <v>0</v>
      </c>
      <c r="L34" s="17">
        <f>求节点(宝物升星!$C$43:$C$48,宝物升星!F$43:F$48,投放验证!AR44)</f>
        <v>0.02</v>
      </c>
      <c r="M34" s="17">
        <f>求节点(宝物升星!$C$43:$C$48,宝物升星!G$43:G$48,投放验证!AS44)</f>
        <v>0.03</v>
      </c>
    </row>
    <row r="35" spans="3:13">
      <c r="C35" s="16">
        <v>5</v>
      </c>
      <c r="D35" s="17">
        <f>投放验证!O45</f>
        <v>70</v>
      </c>
      <c r="E35" s="17">
        <f>投放验证!P45</f>
        <v>109.9693</v>
      </c>
      <c r="F35" s="17">
        <f>求节点(宝物升星!$C$31:$C$36,宝物升星!D$31:D$36,投放验证!AP45)</f>
        <v>0.02</v>
      </c>
      <c r="G35" s="17">
        <f>求节点(宝物升星!$C$31:$C$36,宝物升星!E$31:E$36,投放验证!AQ45)</f>
        <v>0.12</v>
      </c>
      <c r="H35" s="17">
        <f>求节点(宝物升星!$C$31:$C$36,宝物升星!F$31:F$36,投放验证!AR45)</f>
        <v>7.170837476165523E-2</v>
      </c>
      <c r="I35" s="17">
        <f>求节点(宝物升星!$C$31:$C$36,宝物升星!G$31:G$36,投放验证!AS45)</f>
        <v>0.06</v>
      </c>
      <c r="J35" s="17">
        <f>求节点(宝物升星!$C$43:$C$48,宝物升星!D$43:D$48,投放验证!AP45)</f>
        <v>0</v>
      </c>
      <c r="K35" s="17">
        <f>求节点(宝物升星!$C$43:$C$48,宝物升星!E$43:E$48,投放验证!AQ45)</f>
        <v>0</v>
      </c>
      <c r="L35" s="17">
        <f>求节点(宝物升星!$C$43:$C$48,宝物升星!F$43:F$48,投放验证!AR45)</f>
        <v>3.5854187380827615E-2</v>
      </c>
      <c r="M35" s="17">
        <f>求节点(宝物升星!$C$43:$C$48,宝物升星!G$43:G$48,投放验证!AS45)</f>
        <v>0.03</v>
      </c>
    </row>
    <row r="36" spans="3:13">
      <c r="C36" s="16">
        <v>6</v>
      </c>
      <c r="D36" s="17">
        <f>投放验证!O46</f>
        <v>75</v>
      </c>
      <c r="E36" s="17">
        <f>投放验证!P46</f>
        <v>155.75272949314578</v>
      </c>
      <c r="F36" s="17">
        <f>求节点(宝物升星!$C$31:$C$36,宝物升星!D$31:D$36,投放验证!AP46)</f>
        <v>0.02</v>
      </c>
      <c r="G36" s="17">
        <f>求节点(宝物升星!$C$31:$C$36,宝物升星!E$31:E$36,投放验证!AQ46)</f>
        <v>0.12</v>
      </c>
      <c r="H36" s="17">
        <f>求节点(宝物升星!$C$31:$C$36,宝物升星!F$31:F$36,投放验证!AR46)</f>
        <v>9.7326368584945935E-2</v>
      </c>
      <c r="I36" s="17">
        <f>求节点(宝物升星!$C$31:$C$36,宝物升星!G$31:G$36,投放验证!AS46)</f>
        <v>0.06</v>
      </c>
      <c r="J36" s="17">
        <f>求节点(宝物升星!$C$43:$C$48,宝物升星!D$43:D$48,投放验证!AP46)</f>
        <v>0</v>
      </c>
      <c r="K36" s="17">
        <f>求节点(宝物升星!$C$43:$C$48,宝物升星!E$43:E$48,投放验证!AQ46)</f>
        <v>0</v>
      </c>
      <c r="L36" s="17">
        <f>求节点(宝物升星!$C$43:$C$48,宝物升星!F$43:F$48,投放验证!AR46)</f>
        <v>4.8663184292472968E-2</v>
      </c>
      <c r="M36" s="17">
        <f>求节点(宝物升星!$C$43:$C$48,宝物升星!G$43:G$48,投放验证!AS46)</f>
        <v>0.03</v>
      </c>
    </row>
    <row r="37" spans="3:13">
      <c r="C37" s="16">
        <v>7</v>
      </c>
      <c r="D37" s="17">
        <f>投放验证!O47</f>
        <v>80</v>
      </c>
      <c r="E37" s="17">
        <f>投放验证!P47</f>
        <v>221.08500000000001</v>
      </c>
      <c r="F37" s="17">
        <f>求节点(宝物升星!$C$31:$C$36,宝物升星!D$31:D$36,投放验证!AP47)</f>
        <v>0.02</v>
      </c>
      <c r="G37" s="17">
        <f>求节点(宝物升星!$C$31:$C$36,宝物升星!E$31:E$36,投放验证!AQ47)</f>
        <v>0.12</v>
      </c>
      <c r="H37" s="17">
        <f>求节点(宝物升星!$C$31:$C$36,宝物升星!F$31:F$36,投放验证!AR47)</f>
        <v>0.13251028628409015</v>
      </c>
      <c r="I37" s="17">
        <f>求节点(宝物升星!$C$31:$C$36,宝物升星!G$31:G$36,投放验证!AS47)</f>
        <v>7.2093390856060063E-2</v>
      </c>
      <c r="J37" s="17">
        <f>求节点(宝物升星!$C$43:$C$48,宝物升星!D$43:D$48,投放验证!AP47)</f>
        <v>0</v>
      </c>
      <c r="K37" s="17">
        <f>求节点(宝物升星!$C$43:$C$48,宝物升星!E$43:E$48,投放验证!AQ47)</f>
        <v>0</v>
      </c>
      <c r="L37" s="17">
        <f>求节点(宝物升星!$C$43:$C$48,宝物升星!F$43:F$48,投放验证!AR47)</f>
        <v>6.6255143142045073E-2</v>
      </c>
      <c r="M37" s="17">
        <f>求节点(宝物升星!$C$43:$C$48,宝物升星!G$43:G$48,投放验证!AS47)</f>
        <v>3.6046695428030032E-2</v>
      </c>
    </row>
    <row r="38" spans="3:13">
      <c r="C38" s="16">
        <v>8</v>
      </c>
      <c r="D38" s="17">
        <f>投放验证!O48</f>
        <v>85</v>
      </c>
      <c r="E38" s="17">
        <f>投放验证!P48</f>
        <v>311.72078937675008</v>
      </c>
      <c r="F38" s="17">
        <f>求节点(宝物升星!$C$31:$C$36,宝物升星!D$31:D$36,投放验证!AP48)</f>
        <v>0.02</v>
      </c>
      <c r="G38" s="17">
        <f>求节点(宝物升星!$C$31:$C$36,宝物升星!E$31:E$36,投放验证!AQ48)</f>
        <v>0.12</v>
      </c>
      <c r="H38" s="17">
        <f>求节点(宝物升星!$C$31:$C$36,宝物升星!F$31:F$36,投放验证!AR48)</f>
        <v>0.18019731521549465</v>
      </c>
      <c r="I38" s="17">
        <f>求节点(宝物升星!$C$31:$C$36,宝物升星!G$31:G$36,投放验证!AS48)</f>
        <v>9.6633880326856381E-2</v>
      </c>
      <c r="J38" s="17">
        <f>求节点(宝物升星!$C$43:$C$48,宝物升星!D$43:D$48,投放验证!AP48)</f>
        <v>0</v>
      </c>
      <c r="K38" s="17">
        <f>求节点(宝物升星!$C$43:$C$48,宝物升星!E$43:E$48,投放验证!AQ48)</f>
        <v>0</v>
      </c>
      <c r="L38" s="17">
        <f>求节点(宝物升星!$C$43:$C$48,宝物升星!F$43:F$48,投放验证!AR48)</f>
        <v>9.0098657607747323E-2</v>
      </c>
      <c r="M38" s="17">
        <f>求节点(宝物升星!$C$43:$C$48,宝物升星!G$43:G$48,投放验证!AS48)</f>
        <v>4.831694016342819E-2</v>
      </c>
    </row>
    <row r="39" spans="3:13">
      <c r="C39" s="16">
        <v>9</v>
      </c>
      <c r="D39" s="17">
        <f>投放验证!O49</f>
        <v>90</v>
      </c>
      <c r="E39" s="17">
        <f>投放验证!P49</f>
        <v>438.13140000000004</v>
      </c>
      <c r="F39" s="17">
        <f>求节点(宝物升星!$C$31:$C$36,宝物升星!D$31:D$36,投放验证!AP49)</f>
        <v>0.02</v>
      </c>
      <c r="G39" s="17">
        <f>求节点(宝物升星!$C$31:$C$36,宝物升星!E$31:E$36,投放验证!AQ49)</f>
        <v>0.12</v>
      </c>
      <c r="H39" s="17">
        <f>求节点(宝物升星!$C$31:$C$36,宝物升星!F$31:F$36,投放验证!AR49)</f>
        <v>0.24000000000000002</v>
      </c>
      <c r="I39" s="17">
        <f>求节点(宝物升星!$C$31:$C$36,宝物升星!G$31:G$36,投放验证!AS49)</f>
        <v>0.1294821078090044</v>
      </c>
      <c r="J39" s="17">
        <f>求节点(宝物升星!$C$43:$C$48,宝物升星!D$43:D$48,投放验证!AP49)</f>
        <v>0</v>
      </c>
      <c r="K39" s="17">
        <f>求节点(宝物升星!$C$43:$C$48,宝物升星!E$43:E$48,投放验证!AQ49)</f>
        <v>0</v>
      </c>
      <c r="L39" s="17">
        <f>求节点(宝物升星!$C$43:$C$48,宝物升星!F$43:F$48,投放验证!AR49)</f>
        <v>0.12000000000000001</v>
      </c>
      <c r="M39" s="17">
        <f>求节点(宝物升星!$C$43:$C$48,宝物升星!G$43:G$48,投放验证!AS49)</f>
        <v>6.4741053904502202E-2</v>
      </c>
    </row>
    <row r="40" spans="3:13">
      <c r="C40" s="16">
        <v>10</v>
      </c>
      <c r="D40" s="17">
        <f>投放验证!O50</f>
        <v>95</v>
      </c>
      <c r="E40" s="17">
        <f>投放验证!P50</f>
        <v>618.15882133005255</v>
      </c>
      <c r="F40" s="17">
        <f>求节点(宝物升星!$C$31:$C$36,宝物升星!D$31:D$36,投放验证!AP50)</f>
        <v>0.02</v>
      </c>
      <c r="G40" s="17">
        <f>求节点(宝物升星!$C$31:$C$36,宝物升星!E$31:E$36,投放验证!AQ50)</f>
        <v>0.12</v>
      </c>
      <c r="H40" s="17">
        <f>求节点(宝物升星!$C$31:$C$36,宝物升星!F$31:F$36,投放验证!AR50)</f>
        <v>0.24000000000000002</v>
      </c>
      <c r="I40" s="17">
        <f>求节点(宝物升星!$C$31:$C$36,宝物升星!G$31:G$36,投放验证!AS50)</f>
        <v>0.17504963194766165</v>
      </c>
      <c r="J40" s="17">
        <f>求节点(宝物升星!$C$43:$C$48,宝物升星!D$43:D$48,投放验证!AP50)</f>
        <v>0</v>
      </c>
      <c r="K40" s="17">
        <f>求节点(宝物升星!$C$43:$C$48,宝物升星!E$43:E$48,投放验证!AQ50)</f>
        <v>0</v>
      </c>
      <c r="L40" s="17">
        <f>求节点(宝物升星!$C$43:$C$48,宝物升星!F$43:F$48,投放验证!AR50)</f>
        <v>0.12000000000000001</v>
      </c>
      <c r="M40" s="17">
        <f>求节点(宝物升星!$C$43:$C$48,宝物升星!G$43:G$48,投放验证!AS50)</f>
        <v>8.7524815973830827E-2</v>
      </c>
    </row>
    <row r="41" spans="3:13">
      <c r="C41" s="16">
        <v>11</v>
      </c>
      <c r="D41" s="17">
        <f>投放验证!O51</f>
        <v>100</v>
      </c>
      <c r="E41" s="17">
        <f>投放验证!P51</f>
        <v>875.38110000000006</v>
      </c>
      <c r="F41" s="17">
        <f>求节点(宝物升星!$C$31:$C$36,宝物升星!D$31:D$36,投放验证!AP51)</f>
        <v>0.02</v>
      </c>
      <c r="G41" s="17">
        <f>求节点(宝物升星!$C$31:$C$36,宝物升星!E$31:E$36,投放验证!AQ51)</f>
        <v>0.12</v>
      </c>
      <c r="H41" s="17">
        <f>求节点(宝物升星!$C$31:$C$36,宝物升星!F$31:F$36,投放验证!AR51)</f>
        <v>0.24000000000000002</v>
      </c>
      <c r="I41" s="17">
        <f>求节点(宝物升星!$C$31:$C$36,宝物升星!G$31:G$36,投放验证!AS51)</f>
        <v>0.23805743866218868</v>
      </c>
      <c r="J41" s="17">
        <f>求节点(宝物升星!$C$43:$C$48,宝物升星!D$43:D$48,投放验证!AP51)</f>
        <v>0</v>
      </c>
      <c r="K41" s="17">
        <f>求节点(宝物升星!$C$43:$C$48,宝物升星!E$43:E$48,投放验证!AQ51)</f>
        <v>0</v>
      </c>
      <c r="L41" s="17">
        <f>求节点(宝物升星!$C$43:$C$48,宝物升星!F$43:F$48,投放验证!AR51)</f>
        <v>0.12000000000000001</v>
      </c>
      <c r="M41" s="17">
        <f>求节点(宝物升星!$C$43:$C$48,宝物升星!G$43:G$48,投放验证!AS51)</f>
        <v>0.11902871933109434</v>
      </c>
    </row>
    <row r="42" spans="3:13">
      <c r="C42" s="16">
        <v>12</v>
      </c>
      <c r="D42" s="17">
        <f>投放验证!O52</f>
        <v>105</v>
      </c>
      <c r="E42" s="17">
        <f>投放验证!P52</f>
        <v>1234.8570951595132</v>
      </c>
      <c r="F42" s="17">
        <f>求节点(宝物升星!$C$31:$C$36,宝物升星!D$31:D$36,投放验证!AP52)</f>
        <v>0.02</v>
      </c>
      <c r="G42" s="17">
        <f>求节点(宝物升星!$C$31:$C$36,宝物升星!E$31:E$36,投放验证!AQ52)</f>
        <v>0.12</v>
      </c>
      <c r="H42" s="17">
        <f>求节点(宝物升星!$C$31:$C$36,宝物升星!F$31:F$36,投放验证!AR52)</f>
        <v>0.24000000000000002</v>
      </c>
      <c r="I42" s="17">
        <f>求节点(宝物升星!$C$31:$C$36,宝物升星!G$31:G$36,投放验证!AS52)</f>
        <v>0.32419027275469098</v>
      </c>
      <c r="J42" s="17">
        <f>求节点(宝物升星!$C$43:$C$48,宝物升星!D$43:D$48,投放验证!AP52)</f>
        <v>0</v>
      </c>
      <c r="K42" s="17">
        <f>求节点(宝物升星!$C$43:$C$48,宝物升星!E$43:E$48,投放验证!AQ52)</f>
        <v>0</v>
      </c>
      <c r="L42" s="17">
        <f>求节点(宝物升星!$C$43:$C$48,宝物升星!F$43:F$48,投放验证!AR52)</f>
        <v>0.12000000000000001</v>
      </c>
      <c r="M42" s="17">
        <f>求节点(宝物升星!$C$43:$C$48,宝物升星!G$43:G$48,投放验证!AS52)</f>
        <v>0.17612684850312732</v>
      </c>
    </row>
    <row r="43" spans="3:13">
      <c r="C43" s="16">
        <v>13</v>
      </c>
      <c r="D43" s="17">
        <f>投放验证!O53</f>
        <v>110</v>
      </c>
      <c r="E43" s="17">
        <f>投放验证!P53</f>
        <v>1741.3829000000001</v>
      </c>
      <c r="F43" s="17">
        <f>求节点(宝物升星!$C$31:$C$36,宝物升星!D$31:D$36,投放验证!AP53)</f>
        <v>0.02</v>
      </c>
      <c r="G43" s="17">
        <f>求节点(宝物升星!$C$31:$C$36,宝物升星!E$31:E$36,投放验证!AQ53)</f>
        <v>0.12</v>
      </c>
      <c r="H43" s="17">
        <f>求节点(宝物升星!$C$31:$C$36,宝物升星!F$31:F$36,投放验证!AR53)</f>
        <v>0.24000000000000002</v>
      </c>
      <c r="I43" s="17">
        <f>求节点(宝物升星!$C$31:$C$36,宝物升星!G$31:G$36,投放验证!AS53)</f>
        <v>0.36</v>
      </c>
      <c r="J43" s="17">
        <f>求节点(宝物升星!$C$43:$C$48,宝物升星!D$43:D$48,投放验证!AP53)</f>
        <v>0</v>
      </c>
      <c r="K43" s="17">
        <f>求节点(宝物升星!$C$43:$C$48,宝物升星!E$43:E$48,投放验证!AQ53)</f>
        <v>0</v>
      </c>
      <c r="L43" s="17">
        <f>求节点(宝物升星!$C$43:$C$48,宝物升星!F$43:F$48,投放验证!AR53)</f>
        <v>0.12000000000000001</v>
      </c>
      <c r="M43" s="17">
        <f>求节点(宝物升星!$C$43:$C$48,宝物升星!G$43:G$48,投放验证!AS53)</f>
        <v>0.2</v>
      </c>
    </row>
    <row r="44" spans="3:13">
      <c r="C44" s="16">
        <v>14</v>
      </c>
      <c r="D44" s="17">
        <f>投放验证!O54</f>
        <v>115</v>
      </c>
      <c r="E44" s="17">
        <f>投放验证!P54</f>
        <v>2463.0396859421021</v>
      </c>
      <c r="F44" s="17">
        <f>求节点(宝物升星!$C$31:$C$36,宝物升星!D$31:D$36,投放验证!AP54)</f>
        <v>0.02</v>
      </c>
      <c r="G44" s="17">
        <f>求节点(宝物升星!$C$31:$C$36,宝物升星!E$31:E$36,投放验证!AQ54)</f>
        <v>0.12</v>
      </c>
      <c r="H44" s="17">
        <f>求节点(宝物升星!$C$31:$C$36,宝物升星!F$31:F$36,投放验证!AR54)</f>
        <v>0.24000000000000002</v>
      </c>
      <c r="I44" s="17">
        <f>求节点(宝物升星!$C$31:$C$36,宝物升星!G$31:G$36,投放验证!AS54)</f>
        <v>0.36</v>
      </c>
      <c r="J44" s="17">
        <f>求节点(宝物升星!$C$43:$C$48,宝物升星!D$43:D$48,投放验证!AP54)</f>
        <v>0</v>
      </c>
      <c r="K44" s="17">
        <f>求节点(宝物升星!$C$43:$C$48,宝物升星!E$43:E$48,投放验证!AQ54)</f>
        <v>0</v>
      </c>
      <c r="L44" s="17">
        <f>求节点(宝物升星!$C$43:$C$48,宝物升星!F$43:F$48,投放验证!AR54)</f>
        <v>0.12000000000000001</v>
      </c>
      <c r="M44" s="17">
        <f>求节点(宝物升星!$C$43:$C$48,宝物升星!G$43:G$48,投放验证!AS54)</f>
        <v>0.2</v>
      </c>
    </row>
    <row r="45" spans="3:13">
      <c r="C45" s="16">
        <v>15</v>
      </c>
      <c r="D45" s="17">
        <f>投放验证!O55</f>
        <v>120</v>
      </c>
      <c r="E45" s="17">
        <f>投放验证!P55</f>
        <v>3486.0735</v>
      </c>
      <c r="F45" s="17">
        <f>求节点(宝物升星!$C$31:$C$36,宝物升星!D$31:D$36,投放验证!AP55)</f>
        <v>0.02</v>
      </c>
      <c r="G45" s="17">
        <f>求节点(宝物升星!$C$31:$C$36,宝物升星!E$31:E$36,投放验证!AQ55)</f>
        <v>0.12</v>
      </c>
      <c r="H45" s="17">
        <f>求节点(宝物升星!$C$31:$C$36,宝物升星!F$31:F$36,投放验证!AR55)</f>
        <v>0.24000000000000002</v>
      </c>
      <c r="I45" s="17">
        <f>求节点(宝物升星!$C$31:$C$36,宝物升星!G$31:G$36,投放验证!AS55)</f>
        <v>0.36</v>
      </c>
      <c r="J45" s="17">
        <f>求节点(宝物升星!$C$43:$C$48,宝物升星!D$43:D$48,投放验证!AP55)</f>
        <v>0</v>
      </c>
      <c r="K45" s="17">
        <f>求节点(宝物升星!$C$43:$C$48,宝物升星!E$43:E$48,投放验证!AQ55)</f>
        <v>0</v>
      </c>
      <c r="L45" s="17">
        <f>求节点(宝物升星!$C$43:$C$48,宝物升星!F$43:F$48,投放验证!AR55)</f>
        <v>0.12000000000000001</v>
      </c>
      <c r="M45" s="17">
        <f>求节点(宝物升星!$C$43:$C$48,宝物升星!G$43:G$48,投放验证!AS55)</f>
        <v>0.2</v>
      </c>
    </row>
    <row r="46" spans="3:13">
      <c r="C46" s="16">
        <v>16</v>
      </c>
      <c r="D46" s="17">
        <f>投放验证!O56</f>
        <v>125</v>
      </c>
      <c r="E46" s="17">
        <f>投放验证!P56</f>
        <v>4918.821805632133</v>
      </c>
      <c r="F46" s="17">
        <f>求节点(宝物升星!$C$31:$C$36,宝物升星!D$31:D$36,投放验证!AP56)</f>
        <v>0.02</v>
      </c>
      <c r="G46" s="17">
        <f>求节点(宝物升星!$C$31:$C$36,宝物升星!E$31:E$36,投放验证!AQ56)</f>
        <v>0.12</v>
      </c>
      <c r="H46" s="17">
        <f>求节点(宝物升星!$C$31:$C$36,宝物升星!F$31:F$36,投放验证!AR56)</f>
        <v>0.24000000000000002</v>
      </c>
      <c r="I46" s="17">
        <f>求节点(宝物升星!$C$31:$C$36,宝物升星!G$31:G$36,投放验证!AS56)</f>
        <v>0.36</v>
      </c>
      <c r="J46" s="17">
        <f>求节点(宝物升星!$C$43:$C$48,宝物升星!D$43:D$48,投放验证!AP56)</f>
        <v>0</v>
      </c>
      <c r="K46" s="17">
        <f>求节点(宝物升星!$C$43:$C$48,宝物升星!E$43:E$48,投放验证!AQ56)</f>
        <v>0</v>
      </c>
      <c r="L46" s="17">
        <f>求节点(宝物升星!$C$43:$C$48,宝物升星!F$43:F$48,投放验证!AR56)</f>
        <v>0.12000000000000001</v>
      </c>
      <c r="M46" s="17">
        <f>求节点(宝物升星!$C$43:$C$48,宝物升星!G$43:G$48,投放验证!AS56)</f>
        <v>0.2</v>
      </c>
    </row>
    <row r="47" spans="3:13">
      <c r="C47" s="16">
        <v>17</v>
      </c>
      <c r="D47" s="17">
        <f>投放验证!O57</f>
        <v>130</v>
      </c>
      <c r="E47" s="17">
        <f>投放验证!P57</f>
        <v>6941.8725000000004</v>
      </c>
      <c r="F47" s="17">
        <f>求节点(宝物升星!$C$31:$C$36,宝物升星!D$31:D$36,投放验证!AP57)</f>
        <v>0.02</v>
      </c>
      <c r="G47" s="17">
        <f>求节点(宝物升星!$C$31:$C$36,宝物升星!E$31:E$36,投放验证!AQ57)</f>
        <v>0.12</v>
      </c>
      <c r="H47" s="17">
        <f>求节点(宝物升星!$C$31:$C$36,宝物升星!F$31:F$36,投放验证!AR57)</f>
        <v>0.24000000000000002</v>
      </c>
      <c r="I47" s="17">
        <f>求节点(宝物升星!$C$31:$C$36,宝物升星!G$31:G$36,投放验证!AS57)</f>
        <v>0.36</v>
      </c>
      <c r="J47" s="17">
        <f>求节点(宝物升星!$C$43:$C$48,宝物升星!D$43:D$48,投放验证!AP57)</f>
        <v>0</v>
      </c>
      <c r="K47" s="17">
        <f>求节点(宝物升星!$C$43:$C$48,宝物升星!E$43:E$48,投放验证!AQ57)</f>
        <v>0</v>
      </c>
      <c r="L47" s="17">
        <f>求节点(宝物升星!$C$43:$C$48,宝物升星!F$43:F$48,投放验证!AR57)</f>
        <v>0.12000000000000001</v>
      </c>
      <c r="M47" s="17">
        <f>求节点(宝物升星!$C$43:$C$48,宝物升星!G$43:G$48,投放验证!AS57)</f>
        <v>0.2</v>
      </c>
    </row>
    <row r="48" spans="3:13">
      <c r="C48" s="16">
        <v>18</v>
      </c>
      <c r="D48" s="17">
        <f>投放验证!O58</f>
        <v>135</v>
      </c>
      <c r="E48" s="17">
        <f>投放验证!P58</f>
        <v>9796.789656253608</v>
      </c>
      <c r="F48" s="17">
        <f>求节点(宝物升星!$C$31:$C$36,宝物升星!D$31:D$36,投放验证!AP58)</f>
        <v>0.02</v>
      </c>
      <c r="G48" s="17">
        <f>求节点(宝物升星!$C$31:$C$36,宝物升星!E$31:E$36,投放验证!AQ58)</f>
        <v>0.12</v>
      </c>
      <c r="H48" s="17">
        <f>求节点(宝物升星!$C$31:$C$36,宝物升星!F$31:F$36,投放验证!AR58)</f>
        <v>0.24000000000000002</v>
      </c>
      <c r="I48" s="17">
        <f>求节点(宝物升星!$C$31:$C$36,宝物升星!G$31:G$36,投放验证!AS58)</f>
        <v>0.36</v>
      </c>
      <c r="J48" s="17">
        <f>求节点(宝物升星!$C$43:$C$48,宝物升星!D$43:D$48,投放验证!AP58)</f>
        <v>0</v>
      </c>
      <c r="K48" s="17">
        <f>求节点(宝物升星!$C$43:$C$48,宝物升星!E$43:E$48,投放验证!AQ58)</f>
        <v>0</v>
      </c>
      <c r="L48" s="17">
        <f>求节点(宝物升星!$C$43:$C$48,宝物升星!F$43:F$48,投放验证!AR58)</f>
        <v>0.12000000000000001</v>
      </c>
      <c r="M48" s="17">
        <f>求节点(宝物升星!$C$43:$C$48,宝物升星!G$43:G$48,投放验证!AS58)</f>
        <v>0.2</v>
      </c>
    </row>
    <row r="49" spans="3:13">
      <c r="C49" s="16">
        <v>19</v>
      </c>
      <c r="D49" s="17">
        <f>投放验证!O59</f>
        <v>140</v>
      </c>
      <c r="E49" s="17">
        <f>投放验证!P59</f>
        <v>13881.315900000001</v>
      </c>
      <c r="F49" s="17">
        <f>求节点(宝物升星!$C$31:$C$36,宝物升星!D$31:D$36,投放验证!AP59)</f>
        <v>0.02</v>
      </c>
      <c r="G49" s="17">
        <f>求节点(宝物升星!$C$31:$C$36,宝物升星!E$31:E$36,投放验证!AQ59)</f>
        <v>0.12</v>
      </c>
      <c r="H49" s="17">
        <f>求节点(宝物升星!$C$31:$C$36,宝物升星!F$31:F$36,投放验证!AR59)</f>
        <v>0.24000000000000002</v>
      </c>
      <c r="I49" s="17">
        <f>求节点(宝物升星!$C$31:$C$36,宝物升星!G$31:G$36,投放验证!AS59)</f>
        <v>0.36</v>
      </c>
      <c r="J49" s="17">
        <f>求节点(宝物升星!$C$43:$C$48,宝物升星!D$43:D$48,投放验证!AP59)</f>
        <v>0</v>
      </c>
      <c r="K49" s="17">
        <f>求节点(宝物升星!$C$43:$C$48,宝物升星!E$43:E$48,投放验证!AQ59)</f>
        <v>0</v>
      </c>
      <c r="L49" s="17">
        <f>求节点(宝物升星!$C$43:$C$48,宝物升星!F$43:F$48,投放验证!AR59)</f>
        <v>0.12000000000000001</v>
      </c>
      <c r="M49" s="17">
        <f>求节点(宝物升星!$C$43:$C$48,宝物升星!G$43:G$48,投放验证!AS59)</f>
        <v>0.2</v>
      </c>
    </row>
    <row r="50" spans="3:13">
      <c r="C50" s="16">
        <v>20</v>
      </c>
      <c r="D50" s="17">
        <f>投放验证!O60</f>
        <v>145</v>
      </c>
      <c r="E50" s="17">
        <f>投放验证!P60</f>
        <v>19631.496172516694</v>
      </c>
      <c r="F50" s="17">
        <f>求节点(宝物升星!$C$31:$C$36,宝物升星!D$31:D$36,投放验证!AP60)</f>
        <v>0.02</v>
      </c>
      <c r="G50" s="17">
        <f>求节点(宝物升星!$C$31:$C$36,宝物升星!E$31:E$36,投放验证!AQ60)</f>
        <v>0.12</v>
      </c>
      <c r="H50" s="17">
        <f>求节点(宝物升星!$C$31:$C$36,宝物升星!F$31:F$36,投放验证!AR60)</f>
        <v>0.24000000000000002</v>
      </c>
      <c r="I50" s="17">
        <f>求节点(宝物升星!$C$31:$C$36,宝物升星!G$31:G$36,投放验证!AS60)</f>
        <v>0.36</v>
      </c>
      <c r="J50" s="17">
        <f>求节点(宝物升星!$C$43:$C$48,宝物升星!D$43:D$48,投放验证!AP60)</f>
        <v>0</v>
      </c>
      <c r="K50" s="17">
        <f>求节点(宝物升星!$C$43:$C$48,宝物升星!E$43:E$48,投放验证!AQ60)</f>
        <v>0</v>
      </c>
      <c r="L50" s="17">
        <f>求节点(宝物升星!$C$43:$C$48,宝物升星!F$43:F$48,投放验证!AR60)</f>
        <v>0.12000000000000001</v>
      </c>
      <c r="M50" s="17">
        <f>求节点(宝物升星!$C$43:$C$48,宝物升星!G$43:G$48,投放验证!AS60)</f>
        <v>0.2</v>
      </c>
    </row>
    <row r="51" spans="3:13">
      <c r="C51" s="16">
        <v>21</v>
      </c>
      <c r="D51" s="17">
        <f>投放验证!O61</f>
        <v>150</v>
      </c>
      <c r="E51" s="17">
        <f>投放验证!P61</f>
        <v>27671.731500000002</v>
      </c>
      <c r="F51" s="17">
        <f>求节点(宝物升星!$C$31:$C$36,宝物升星!D$31:D$36,投放验证!AP61)</f>
        <v>0.02</v>
      </c>
      <c r="G51" s="17">
        <f>求节点(宝物升星!$C$31:$C$36,宝物升星!E$31:E$36,投放验证!AQ61)</f>
        <v>0.12</v>
      </c>
      <c r="H51" s="17">
        <f>求节点(宝物升星!$C$31:$C$36,宝物升星!F$31:F$36,投放验证!AR61)</f>
        <v>0.24000000000000002</v>
      </c>
      <c r="I51" s="17">
        <f>求节点(宝物升星!$C$31:$C$36,宝物升星!G$31:G$36,投放验证!AS61)</f>
        <v>0.36</v>
      </c>
      <c r="J51" s="17">
        <f>求节点(宝物升星!$C$43:$C$48,宝物升星!D$43:D$48,投放验证!AP61)</f>
        <v>0</v>
      </c>
      <c r="K51" s="17">
        <f>求节点(宝物升星!$C$43:$C$48,宝物升星!E$43:E$48,投放验证!AQ61)</f>
        <v>0</v>
      </c>
      <c r="L51" s="17">
        <f>求节点(宝物升星!$C$43:$C$48,宝物升星!F$43:F$48,投放验证!AR61)</f>
        <v>0.12000000000000001</v>
      </c>
      <c r="M51" s="17">
        <f>求节点(宝物升星!$C$43:$C$48,宝物升星!G$43:G$48,投放验证!AS61)</f>
        <v>0.2</v>
      </c>
    </row>
    <row r="52" spans="3:13">
      <c r="C52" s="16">
        <v>22</v>
      </c>
      <c r="D52" s="17">
        <f>投放验证!O62</f>
        <v>155</v>
      </c>
      <c r="E52" s="17">
        <f>投放验证!P62</f>
        <v>44078.560451263736</v>
      </c>
      <c r="F52" s="17">
        <f>求节点(宝物升星!$C$31:$C$36,宝物升星!D$31:D$36,投放验证!AP62)</f>
        <v>0.02</v>
      </c>
      <c r="G52" s="17">
        <f>求节点(宝物升星!$C$31:$C$36,宝物升星!E$31:E$36,投放验证!AQ62)</f>
        <v>0.12</v>
      </c>
      <c r="H52" s="17">
        <f>求节点(宝物升星!$C$31:$C$36,宝物升星!F$31:F$36,投放验证!AR62)</f>
        <v>0.24000000000000002</v>
      </c>
      <c r="I52" s="17">
        <f>求节点(宝物升星!$C$31:$C$36,宝物升星!G$31:G$36,投放验证!AS62)</f>
        <v>0.36</v>
      </c>
      <c r="J52" s="17">
        <f>求节点(宝物升星!$C$43:$C$48,宝物升星!D$43:D$48,投放验证!AP62)</f>
        <v>0</v>
      </c>
      <c r="K52" s="17">
        <f>求节点(宝物升星!$C$43:$C$48,宝物升星!E$43:E$48,投放验证!AQ62)</f>
        <v>0</v>
      </c>
      <c r="L52" s="17">
        <f>求节点(宝物升星!$C$43:$C$48,宝物升星!F$43:F$48,投放验证!AR62)</f>
        <v>0.12000000000000001</v>
      </c>
      <c r="M52" s="17">
        <f>求节点(宝物升星!$C$43:$C$48,宝物升星!G$43:G$48,投放验证!AS62)</f>
        <v>0.2</v>
      </c>
    </row>
    <row r="53" spans="3:13">
      <c r="C53" s="16">
        <v>23</v>
      </c>
      <c r="D53" s="17">
        <f>投放验证!O63</f>
        <v>160</v>
      </c>
      <c r="E53" s="17">
        <f>投放验证!P63</f>
        <v>65535</v>
      </c>
      <c r="F53" s="17">
        <f>求节点(宝物升星!$C$31:$C$36,宝物升星!D$31:D$36,投放验证!AP63)</f>
        <v>0.02</v>
      </c>
      <c r="G53" s="17">
        <f>求节点(宝物升星!$C$31:$C$36,宝物升星!E$31:E$36,投放验证!AQ63)</f>
        <v>0.12</v>
      </c>
      <c r="H53" s="17">
        <f>求节点(宝物升星!$C$31:$C$36,宝物升星!F$31:F$36,投放验证!AR63)</f>
        <v>0.24000000000000002</v>
      </c>
      <c r="I53" s="17">
        <f>求节点(宝物升星!$C$31:$C$36,宝物升星!G$31:G$36,投放验证!AS63)</f>
        <v>0.36</v>
      </c>
      <c r="J53" s="17">
        <f>求节点(宝物升星!$C$43:$C$48,宝物升星!D$43:D$48,投放验证!AP63)</f>
        <v>0</v>
      </c>
      <c r="K53" s="17">
        <f>求节点(宝物升星!$C$43:$C$48,宝物升星!E$43:E$48,投放验证!AQ63)</f>
        <v>0</v>
      </c>
      <c r="L53" s="17">
        <f>求节点(宝物升星!$C$43:$C$48,宝物升星!F$43:F$48,投放验证!AR63)</f>
        <v>0.12000000000000001</v>
      </c>
      <c r="M53" s="93">
        <f>求节点(宝物升星!$C$43:$C$48,宝物升星!G$43:G$48,投放验证!AS63)</f>
        <v>0.2</v>
      </c>
    </row>
    <row r="54" spans="3:13">
      <c r="C54" s="16">
        <v>24</v>
      </c>
    </row>
    <row r="55" spans="3:13">
      <c r="C55" s="16">
        <v>25</v>
      </c>
    </row>
    <row r="56" spans="3:13">
      <c r="C56" s="16">
        <v>26</v>
      </c>
    </row>
    <row r="57" spans="3:13">
      <c r="C57" s="16">
        <v>1</v>
      </c>
      <c r="D57" s="17" t="s">
        <v>76</v>
      </c>
      <c r="E57" s="186" t="s">
        <v>158</v>
      </c>
      <c r="F57" s="170" t="s">
        <v>554</v>
      </c>
      <c r="G57" s="170"/>
      <c r="H57" s="170"/>
      <c r="I57" s="170"/>
      <c r="J57" s="170" t="s">
        <v>555</v>
      </c>
      <c r="K57" s="170"/>
      <c r="L57" s="170"/>
      <c r="M57" s="170"/>
    </row>
    <row r="58" spans="3:13">
      <c r="C58" s="16">
        <v>2</v>
      </c>
      <c r="D58" s="17" t="s">
        <v>161</v>
      </c>
      <c r="E58" s="187"/>
      <c r="F58" s="54" t="s">
        <v>1</v>
      </c>
      <c r="G58" s="54" t="s">
        <v>2</v>
      </c>
      <c r="H58" s="54" t="s">
        <v>0</v>
      </c>
      <c r="I58" s="54" t="s">
        <v>205</v>
      </c>
      <c r="J58" s="54" t="s">
        <v>1</v>
      </c>
      <c r="K58" s="54" t="s">
        <v>2</v>
      </c>
      <c r="L58" s="54" t="s">
        <v>0</v>
      </c>
      <c r="M58" s="54" t="s">
        <v>205</v>
      </c>
    </row>
    <row r="59" spans="3:13">
      <c r="C59" s="16">
        <v>3</v>
      </c>
      <c r="D59" s="17">
        <f>投放验证!O69</f>
        <v>50</v>
      </c>
      <c r="E59" s="17">
        <f>投放验证!P69</f>
        <v>22.205300000000001</v>
      </c>
      <c r="F59" s="17">
        <f>求节点(宝物升星!$C$31:$C$36,宝物升星!D$31:D$36,投放验证!AP69)</f>
        <v>0.02</v>
      </c>
      <c r="G59" s="17">
        <f>求节点(宝物升星!$C$31:$C$36,宝物升星!E$31:E$36,投放验证!AQ69)</f>
        <v>0.03</v>
      </c>
      <c r="H59" s="17">
        <f>求节点(宝物升星!$C$31:$C$36,宝物升星!F$31:F$36,投放验证!AR69)</f>
        <v>0.04</v>
      </c>
      <c r="I59" s="17">
        <f>求节点(宝物升星!$C$31:$C$36,宝物升星!G$31:G$36,投放验证!AS69)</f>
        <v>0.06</v>
      </c>
      <c r="J59" s="17">
        <f>求节点(宝物升星!$C$43:$C$48,宝物升星!D$43:D$48,投放验证!AP69)</f>
        <v>0</v>
      </c>
      <c r="K59" s="17">
        <f>求节点(宝物升星!$C$43:$C$48,宝物升星!E$43:E$48,投放验证!AQ69)</f>
        <v>0</v>
      </c>
      <c r="L59" s="17">
        <f>求节点(宝物升星!$C$43:$C$48,宝物升星!F$43:F$48,投放验证!AR69)</f>
        <v>0.02</v>
      </c>
      <c r="M59" s="17">
        <f>求节点(宝物升星!$C$43:$C$48,宝物升星!G$43:G$48,投放验证!AS69)</f>
        <v>0.03</v>
      </c>
    </row>
    <row r="60" spans="3:13">
      <c r="C60" s="16">
        <v>4</v>
      </c>
      <c r="D60" s="17">
        <f>投放验证!O70</f>
        <v>60</v>
      </c>
      <c r="E60" s="17">
        <f>投放验证!P70</f>
        <v>44.717399999999998</v>
      </c>
      <c r="F60" s="17">
        <f>求节点(宝物升星!$C$31:$C$36,宝物升星!D$31:D$36,投放验证!AP70)</f>
        <v>0.02</v>
      </c>
      <c r="G60" s="17">
        <f>求节点(宝物升星!$C$31:$C$36,宝物升星!E$31:E$36,投放验证!AQ70)</f>
        <v>0.12</v>
      </c>
      <c r="H60" s="17">
        <f>求节点(宝物升星!$C$31:$C$36,宝物升星!F$31:F$36,投放验证!AR70)</f>
        <v>4.6829839180065211E-2</v>
      </c>
      <c r="I60" s="17">
        <f>求节点(宝物升星!$C$31:$C$36,宝物升星!G$31:G$36,投放验证!AS70)</f>
        <v>8.0166411665485826E-2</v>
      </c>
      <c r="J60" s="17">
        <f>求节点(宝物升星!$C$43:$C$48,宝物升星!D$43:D$48,投放验证!AP70)</f>
        <v>0</v>
      </c>
      <c r="K60" s="17">
        <f>求节点(宝物升星!$C$43:$C$48,宝物升星!E$43:E$48,投放验证!AQ70)</f>
        <v>0</v>
      </c>
      <c r="L60" s="17">
        <f>求节点(宝物升星!$C$43:$C$48,宝物升星!F$43:F$48,投放验证!AR70)</f>
        <v>2.3414919590032605E-2</v>
      </c>
      <c r="M60" s="17">
        <f>求节点(宝物升星!$C$43:$C$48,宝物升星!G$43:G$48,投放验证!AS70)</f>
        <v>4.0083205832742913E-2</v>
      </c>
    </row>
    <row r="61" spans="3:13">
      <c r="C61" s="16">
        <v>5</v>
      </c>
      <c r="D61" s="17">
        <f>投放验证!O71</f>
        <v>70</v>
      </c>
      <c r="E61" s="17">
        <f>投放验证!P71</f>
        <v>90.106499999999997</v>
      </c>
      <c r="F61" s="17">
        <f>求节点(宝物升星!$C$31:$C$36,宝物升星!D$31:D$36,投放验证!AP71)</f>
        <v>0.02</v>
      </c>
      <c r="G61" s="17">
        <f>求节点(宝物升星!$C$31:$C$36,宝物升星!E$31:E$36,投放验证!AQ71)</f>
        <v>0.12</v>
      </c>
      <c r="H61" s="17">
        <f>求节点(宝物升星!$C$31:$C$36,宝物升星!F$31:F$36,投放验证!AR71)</f>
        <v>9.3955077453155997E-2</v>
      </c>
      <c r="I61" s="17">
        <f>求节点(宝物升星!$C$31:$C$36,宝物升星!G$31:G$36,投放验证!AS71)</f>
        <v>8.0166411665485826E-2</v>
      </c>
      <c r="J61" s="17">
        <f>求节点(宝物升星!$C$43:$C$48,宝物升星!D$43:D$48,投放验证!AP71)</f>
        <v>0</v>
      </c>
      <c r="K61" s="17">
        <f>求节点(宝物升星!$C$43:$C$48,宝物升星!E$43:E$48,投放验证!AQ71)</f>
        <v>0</v>
      </c>
      <c r="L61" s="17">
        <f>求节点(宝物升星!$C$43:$C$48,宝物升星!F$43:F$48,投放验证!AR71)</f>
        <v>4.6977538726577998E-2</v>
      </c>
      <c r="M61" s="17">
        <f>求节点(宝物升星!$C$43:$C$48,宝物升星!G$43:G$48,投放验证!AS71)</f>
        <v>4.0083205832742913E-2</v>
      </c>
    </row>
    <row r="62" spans="3:13">
      <c r="C62" s="16">
        <v>6</v>
      </c>
      <c r="D62" s="17">
        <f>投放验证!O72</f>
        <v>75</v>
      </c>
      <c r="E62" s="17">
        <f>投放验证!P72</f>
        <v>127.38168214210583</v>
      </c>
      <c r="F62" s="17">
        <f>求节点(宝物升星!$C$31:$C$36,宝物升星!D$31:D$36,投放验证!AP72)</f>
        <v>0.02</v>
      </c>
      <c r="G62" s="17">
        <f>求节点(宝物升星!$C$31:$C$36,宝物升星!E$31:E$36,投放验证!AQ72)</f>
        <v>0.12</v>
      </c>
      <c r="H62" s="17">
        <f>求节点(宝物升星!$C$31:$C$36,宝物升星!F$31:F$36,投放验证!AR72)</f>
        <v>0.12776543717258337</v>
      </c>
      <c r="I62" s="17">
        <f>求节点(宝物升星!$C$31:$C$36,宝物升星!G$31:G$36,投放验证!AS72)</f>
        <v>8.2693555525488627E-2</v>
      </c>
      <c r="J62" s="17">
        <f>求节点(宝物升星!$C$43:$C$48,宝物升星!D$43:D$48,投放验证!AP72)</f>
        <v>0</v>
      </c>
      <c r="K62" s="17">
        <f>求节点(宝物升星!$C$43:$C$48,宝物升星!E$43:E$48,投放验证!AQ72)</f>
        <v>0</v>
      </c>
      <c r="L62" s="17">
        <f>求节点(宝物升星!$C$43:$C$48,宝物升星!F$43:F$48,投放验证!AR72)</f>
        <v>6.3882718586291687E-2</v>
      </c>
      <c r="M62" s="17">
        <f>求节点(宝物升星!$C$43:$C$48,宝物升星!G$43:G$48,投放验证!AS72)</f>
        <v>4.1346777762744313E-2</v>
      </c>
    </row>
    <row r="63" spans="3:13">
      <c r="C63" s="16">
        <v>7</v>
      </c>
      <c r="D63" s="17">
        <f>投放验证!O73</f>
        <v>80</v>
      </c>
      <c r="E63" s="17">
        <f>投放验证!P73</f>
        <v>180.33600000000001</v>
      </c>
      <c r="F63" s="17">
        <f>求节点(宝物升星!$C$31:$C$36,宝物升星!D$31:D$36,投放验证!AP73)</f>
        <v>0.02</v>
      </c>
      <c r="G63" s="17">
        <f>求节点(宝物升星!$C$31:$C$36,宝物升星!E$31:E$36,投放验证!AQ73)</f>
        <v>0.12</v>
      </c>
      <c r="H63" s="17">
        <f>求节点(宝物升星!$C$31:$C$36,宝物升星!F$31:F$36,投放验证!AR73)</f>
        <v>0.17578516962000046</v>
      </c>
      <c r="I63" s="17">
        <f>求节点(宝物升星!$C$31:$C$36,宝物升星!G$31:G$36,投放验证!AS73)</f>
        <v>0.10396323308000027</v>
      </c>
      <c r="J63" s="17">
        <f>求节点(宝物升星!$C$43:$C$48,宝物升星!D$43:D$48,投放验证!AP73)</f>
        <v>0</v>
      </c>
      <c r="K63" s="17">
        <f>求节点(宝物升星!$C$43:$C$48,宝物升星!E$43:E$48,投放验证!AQ73)</f>
        <v>0</v>
      </c>
      <c r="L63" s="17">
        <f>求节点(宝物升星!$C$43:$C$48,宝物升星!F$43:F$48,投放验证!AR73)</f>
        <v>8.7892584810000229E-2</v>
      </c>
      <c r="M63" s="17">
        <f>求节点(宝物升星!$C$43:$C$48,宝物升星!G$43:G$48,投放验证!AS73)</f>
        <v>5.1981616540000136E-2</v>
      </c>
    </row>
    <row r="64" spans="3:13">
      <c r="C64" s="16">
        <v>8</v>
      </c>
      <c r="D64" s="17">
        <f>投放验证!O74</f>
        <v>85</v>
      </c>
      <c r="E64" s="17">
        <f>投放验证!P74</f>
        <v>253.91849799475142</v>
      </c>
      <c r="F64" s="17">
        <f>求节点(宝物升星!$C$31:$C$36,宝物升星!D$31:D$36,投放验证!AP74)</f>
        <v>0.02</v>
      </c>
      <c r="G64" s="17">
        <f>求节点(宝物升星!$C$31:$C$36,宝物升星!E$31:E$36,投放验证!AQ74)</f>
        <v>0.12</v>
      </c>
      <c r="H64" s="17">
        <f>求节点(宝物升星!$C$31:$C$36,宝物升星!F$31:F$36,投放验证!AR74)</f>
        <v>0.23982390132100098</v>
      </c>
      <c r="I64" s="17">
        <f>求节点(宝物升星!$C$31:$C$36,宝物升星!G$31:G$36,投放验证!AS74)</f>
        <v>0.14076912104108716</v>
      </c>
      <c r="J64" s="17">
        <f>求节点(宝物升星!$C$43:$C$48,宝物升星!D$43:D$48,投放验证!AP74)</f>
        <v>0</v>
      </c>
      <c r="K64" s="17">
        <f>求节点(宝物升星!$C$43:$C$48,宝物升星!E$43:E$48,投放验证!AQ74)</f>
        <v>0</v>
      </c>
      <c r="L64" s="17">
        <f>求节点(宝物升星!$C$43:$C$48,宝物升星!F$43:F$48,投放验证!AR74)</f>
        <v>0.11991195066050049</v>
      </c>
      <c r="M64" s="17">
        <f>求节点(宝物升星!$C$43:$C$48,宝物升星!G$43:G$48,投放验证!AS74)</f>
        <v>7.0384560520543579E-2</v>
      </c>
    </row>
    <row r="65" spans="3:13">
      <c r="C65" s="16">
        <v>9</v>
      </c>
      <c r="D65" s="17">
        <f>投放验证!O75</f>
        <v>90</v>
      </c>
      <c r="E65" s="17">
        <f>投放验证!P75</f>
        <v>354.12299999999999</v>
      </c>
      <c r="F65" s="17">
        <f>求节点(宝物升星!$C$31:$C$36,宝物升星!D$31:D$36,投放验证!AP75)</f>
        <v>0.02</v>
      </c>
      <c r="G65" s="17">
        <f>求节点(宝物升星!$C$31:$C$36,宝物升星!E$31:E$36,投放验证!AQ75)</f>
        <v>0.12</v>
      </c>
      <c r="H65" s="17">
        <f>求节点(宝物升星!$C$31:$C$36,宝物升星!F$31:F$36,投放验证!AR75)</f>
        <v>0.24000000000000002</v>
      </c>
      <c r="I65" s="17">
        <f>求节点(宝物升星!$C$31:$C$36,宝物升星!G$31:G$36,投放验证!AS75)</f>
        <v>0.19089130735589208</v>
      </c>
      <c r="J65" s="17">
        <f>求节点(宝物升星!$C$43:$C$48,宝物升星!D$43:D$48,投放验证!AP75)</f>
        <v>0</v>
      </c>
      <c r="K65" s="17">
        <f>求节点(宝物升星!$C$43:$C$48,宝物升星!E$43:E$48,投放验证!AQ75)</f>
        <v>0</v>
      </c>
      <c r="L65" s="17">
        <f>求节点(宝物升星!$C$43:$C$48,宝物升星!F$43:F$48,投放验证!AR75)</f>
        <v>0.12000000000000001</v>
      </c>
      <c r="M65" s="17">
        <f>求节点(宝物升星!$C$43:$C$48,宝物升星!G$43:G$48,投放验证!AS75)</f>
        <v>9.5445653677946038E-2</v>
      </c>
    </row>
    <row r="66" spans="3:13">
      <c r="C66" s="16">
        <v>10</v>
      </c>
      <c r="D66" s="17">
        <f>投放验证!O76</f>
        <v>95</v>
      </c>
      <c r="E66" s="17">
        <f>投放验证!P76</f>
        <v>495.95875020503337</v>
      </c>
      <c r="F66" s="17">
        <f>求节点(宝物升星!$C$31:$C$36,宝物升星!D$31:D$36,投放验证!AP76)</f>
        <v>0.02</v>
      </c>
      <c r="G66" s="17">
        <f>求节点(宝物升星!$C$31:$C$36,宝物升星!E$31:E$36,投放验证!AQ76)</f>
        <v>0.12</v>
      </c>
      <c r="H66" s="17">
        <f>求节点(宝物升星!$C$31:$C$36,宝物升星!F$31:F$36,投放验证!AR76)</f>
        <v>0.24000000000000002</v>
      </c>
      <c r="I66" s="17">
        <f>求节点(宝物升星!$C$31:$C$36,宝物升星!G$31:G$36,投放验证!AS76)</f>
        <v>0.25919850574125125</v>
      </c>
      <c r="J66" s="17">
        <f>求节点(宝物升星!$C$43:$C$48,宝物升星!D$43:D$48,投放验证!AP76)</f>
        <v>0</v>
      </c>
      <c r="K66" s="17">
        <f>求节点(宝物升星!$C$43:$C$48,宝物升星!E$43:E$48,投放验证!AQ76)</f>
        <v>0</v>
      </c>
      <c r="L66" s="17">
        <f>求节点(宝物升星!$C$43:$C$48,宝物升星!F$43:F$48,投放验证!AR76)</f>
        <v>0.12000000000000001</v>
      </c>
      <c r="M66" s="17">
        <f>求节点(宝物升星!$C$43:$C$48,宝物升星!G$43:G$48,投放验证!AS76)</f>
        <v>0.13279900382750084</v>
      </c>
    </row>
    <row r="67" spans="3:13">
      <c r="C67" s="16">
        <v>11</v>
      </c>
      <c r="D67" s="17">
        <f>投放验证!O77</f>
        <v>100</v>
      </c>
      <c r="E67" s="17">
        <f>投放验证!P77</f>
        <v>706.6884</v>
      </c>
      <c r="F67" s="17">
        <f>求节点(宝物升星!$C$31:$C$36,宝物升星!D$31:D$36,投放验证!AP77)</f>
        <v>0.02</v>
      </c>
      <c r="G67" s="17">
        <f>求节点(宝物升星!$C$31:$C$36,宝物升星!E$31:E$36,投放验证!AQ77)</f>
        <v>0.12</v>
      </c>
      <c r="H67" s="17">
        <f>求节点(宝物升星!$C$31:$C$36,宝物升星!F$31:F$36,投放验证!AR77)</f>
        <v>0.24000000000000002</v>
      </c>
      <c r="I67" s="17">
        <f>求节点(宝物升星!$C$31:$C$36,宝物升星!G$31:G$36,投放验证!AS77)</f>
        <v>0.36</v>
      </c>
      <c r="J67" s="17">
        <f>求节点(宝物升星!$C$43:$C$48,宝物升星!D$43:D$48,投放验证!AP77)</f>
        <v>0</v>
      </c>
      <c r="K67" s="17">
        <f>求节点(宝物升星!$C$43:$C$48,宝物升星!E$43:E$48,投放验证!AQ77)</f>
        <v>0</v>
      </c>
      <c r="L67" s="17">
        <f>求节点(宝物升星!$C$43:$C$48,宝物升星!F$43:F$48,投放验证!AR77)</f>
        <v>0.12000000000000001</v>
      </c>
      <c r="M67" s="17">
        <f>求节点(宝物升星!$C$43:$C$48,宝物升星!G$43:G$48,投放验证!AS77)</f>
        <v>0.2</v>
      </c>
    </row>
    <row r="68" spans="3:13">
      <c r="C68" s="16">
        <v>12</v>
      </c>
      <c r="D68" s="17">
        <f>投放验证!O78</f>
        <v>105</v>
      </c>
      <c r="E68" s="17">
        <f>投放验证!P78</f>
        <v>993.18226228521496</v>
      </c>
      <c r="F68" s="17">
        <f>求节点(宝物升星!$C$31:$C$36,宝物升星!D$31:D$36,投放验证!AP78)</f>
        <v>0.02</v>
      </c>
      <c r="G68" s="17">
        <f>求节点(宝物升星!$C$31:$C$36,宝物升星!E$31:E$36,投放验证!AQ78)</f>
        <v>0.12</v>
      </c>
      <c r="H68" s="17">
        <f>求节点(宝物升星!$C$31:$C$36,宝物升星!F$31:F$36,投放验证!AR78)</f>
        <v>0.24000000000000002</v>
      </c>
      <c r="I68" s="17">
        <f>求节点(宝物升星!$C$31:$C$36,宝物升星!G$31:G$36,投放验证!AS78)</f>
        <v>0.36</v>
      </c>
      <c r="J68" s="17">
        <f>求节点(宝物升星!$C$43:$C$48,宝物升星!D$43:D$48,投放验证!AP78)</f>
        <v>0</v>
      </c>
      <c r="K68" s="17">
        <f>求节点(宝物升星!$C$43:$C$48,宝物升星!E$43:E$48,投放验证!AQ78)</f>
        <v>0</v>
      </c>
      <c r="L68" s="17">
        <f>求节点(宝物升星!$C$43:$C$48,宝物升星!F$43:F$48,投放验证!AR78)</f>
        <v>0.12000000000000001</v>
      </c>
      <c r="M68" s="17">
        <f>求节点(宝物升星!$C$43:$C$48,宝物升星!G$43:G$48,投放验证!AS78)</f>
        <v>0.2</v>
      </c>
    </row>
    <row r="69" spans="3:13">
      <c r="C69" s="16">
        <v>13</v>
      </c>
      <c r="D69" s="17">
        <f>投放验证!O79</f>
        <v>110</v>
      </c>
      <c r="E69" s="17">
        <f>投放验证!P79</f>
        <v>1397.2821999999999</v>
      </c>
      <c r="F69" s="17">
        <f>求节点(宝物升星!$C$31:$C$36,宝物升星!D$31:D$36,投放验证!AP79)</f>
        <v>0.02</v>
      </c>
      <c r="G69" s="17">
        <f>求节点(宝物升星!$C$31:$C$36,宝物升星!E$31:E$36,投放验证!AQ79)</f>
        <v>0.12</v>
      </c>
      <c r="H69" s="17">
        <f>求节点(宝物升星!$C$31:$C$36,宝物升星!F$31:F$36,投放验证!AR79)</f>
        <v>0.24000000000000002</v>
      </c>
      <c r="I69" s="17">
        <f>求节点(宝物升星!$C$31:$C$36,宝物升星!G$31:G$36,投放验证!AS79)</f>
        <v>0.36</v>
      </c>
      <c r="J69" s="17">
        <f>求节点(宝物升星!$C$43:$C$48,宝物升星!D$43:D$48,投放验证!AP79)</f>
        <v>0</v>
      </c>
      <c r="K69" s="17">
        <f>求节点(宝物升星!$C$43:$C$48,宝物升星!E$43:E$48,投放验证!AQ79)</f>
        <v>0</v>
      </c>
      <c r="L69" s="17">
        <f>求节点(宝物升星!$C$43:$C$48,宝物升星!F$43:F$48,投放验证!AR79)</f>
        <v>0.12000000000000001</v>
      </c>
      <c r="M69" s="17">
        <f>求节点(宝物升星!$C$43:$C$48,宝物升星!G$43:G$48,投放验证!AS79)</f>
        <v>0.2</v>
      </c>
    </row>
    <row r="70" spans="3:13">
      <c r="C70" s="16">
        <v>14</v>
      </c>
      <c r="D70" s="17">
        <f>投放验证!O80</f>
        <v>115</v>
      </c>
      <c r="E70" s="17">
        <f>投放验证!P80</f>
        <v>1969.9684992535633</v>
      </c>
      <c r="F70" s="17">
        <f>求节点(宝物升星!$C$31:$C$36,宝物升星!D$31:D$36,投放验证!AP80)</f>
        <v>0.02</v>
      </c>
      <c r="G70" s="17">
        <f>求节点(宝物升星!$C$31:$C$36,宝物升星!E$31:E$36,投放验证!AQ80)</f>
        <v>0.12</v>
      </c>
      <c r="H70" s="17">
        <f>求节点(宝物升星!$C$31:$C$36,宝物升星!F$31:F$36,投放验证!AR80)</f>
        <v>0.24000000000000002</v>
      </c>
      <c r="I70" s="17">
        <f>求节点(宝物升星!$C$31:$C$36,宝物升星!G$31:G$36,投放验证!AS80)</f>
        <v>0.36</v>
      </c>
      <c r="J70" s="17">
        <f>求节点(宝物升星!$C$43:$C$48,宝物升星!D$43:D$48,投放验证!AP80)</f>
        <v>0</v>
      </c>
      <c r="K70" s="17">
        <f>求节点(宝物升星!$C$43:$C$48,宝物升星!E$43:E$48,投放验证!AQ80)</f>
        <v>0</v>
      </c>
      <c r="L70" s="17">
        <f>求节点(宝物升星!$C$43:$C$48,宝物升星!F$43:F$48,投放验证!AR80)</f>
        <v>0.12000000000000001</v>
      </c>
      <c r="M70" s="17">
        <f>求节点(宝物升星!$C$43:$C$48,宝物升星!G$43:G$48,投放验证!AS80)</f>
        <v>0.2</v>
      </c>
    </row>
    <row r="71" spans="3:13">
      <c r="C71" s="16">
        <v>15</v>
      </c>
      <c r="D71" s="17">
        <f>投放验证!O81</f>
        <v>120</v>
      </c>
      <c r="E71" s="17">
        <f>投放验证!P81</f>
        <v>2791.971</v>
      </c>
      <c r="F71" s="17">
        <f>求节点(宝物升星!$C$31:$C$36,宝物升星!D$31:D$36,投放验证!AP81)</f>
        <v>0.02</v>
      </c>
      <c r="G71" s="17">
        <f>求节点(宝物升星!$C$31:$C$36,宝物升星!E$31:E$36,投放验证!AQ81)</f>
        <v>0.12</v>
      </c>
      <c r="H71" s="17">
        <f>求节点(宝物升星!$C$31:$C$36,宝物升星!F$31:F$36,投放验证!AR81)</f>
        <v>0.24000000000000002</v>
      </c>
      <c r="I71" s="17">
        <f>求节点(宝物升星!$C$31:$C$36,宝物升星!G$31:G$36,投放验证!AS81)</f>
        <v>0.36</v>
      </c>
      <c r="J71" s="17">
        <f>求节点(宝物升星!$C$43:$C$48,宝物升星!D$43:D$48,投放验证!AP81)</f>
        <v>0</v>
      </c>
      <c r="K71" s="17">
        <f>求节点(宝物升星!$C$43:$C$48,宝物升星!E$43:E$48,投放验证!AQ81)</f>
        <v>0</v>
      </c>
      <c r="L71" s="17">
        <f>求节点(宝物升星!$C$43:$C$48,宝物升星!F$43:F$48,投放验证!AR81)</f>
        <v>0.12000000000000001</v>
      </c>
      <c r="M71" s="17">
        <f>求节点(宝物升星!$C$43:$C$48,宝物升星!G$43:G$48,投放验证!AS81)</f>
        <v>0.2</v>
      </c>
    </row>
    <row r="72" spans="3:13">
      <c r="C72" s="16">
        <v>16</v>
      </c>
      <c r="D72" s="17">
        <f>投放验证!O82</f>
        <v>125</v>
      </c>
      <c r="E72" s="17">
        <f>投放验证!P82</f>
        <v>3940.0382366319791</v>
      </c>
      <c r="F72" s="17">
        <f>求节点(宝物升星!$C$31:$C$36,宝物升星!D$31:D$36,投放验证!AP82)</f>
        <v>0.02</v>
      </c>
      <c r="G72" s="17">
        <f>求节点(宝物升星!$C$31:$C$36,宝物升星!E$31:E$36,投放验证!AQ82)</f>
        <v>0.12</v>
      </c>
      <c r="H72" s="17">
        <f>求节点(宝物升星!$C$31:$C$36,宝物升星!F$31:F$36,投放验证!AR82)</f>
        <v>0.24000000000000002</v>
      </c>
      <c r="I72" s="17">
        <f>求节点(宝物升星!$C$31:$C$36,宝物升星!G$31:G$36,投放验证!AS82)</f>
        <v>0.36</v>
      </c>
      <c r="J72" s="17">
        <f>求节点(宝物升星!$C$43:$C$48,宝物升星!D$43:D$48,投放验证!AP82)</f>
        <v>0</v>
      </c>
      <c r="K72" s="17">
        <f>求节点(宝物升星!$C$43:$C$48,宝物升星!E$43:E$48,投放验证!AQ82)</f>
        <v>0</v>
      </c>
      <c r="L72" s="17">
        <f>求节点(宝物升星!$C$43:$C$48,宝物升星!F$43:F$48,投放验证!AR82)</f>
        <v>0.12000000000000001</v>
      </c>
      <c r="M72" s="17">
        <f>求节点(宝物升星!$C$43:$C$48,宝物升星!G$43:G$48,投放验证!AS82)</f>
        <v>0.2</v>
      </c>
    </row>
    <row r="73" spans="3:13">
      <c r="C73" s="16">
        <v>17</v>
      </c>
      <c r="D73" s="17">
        <f>投放验证!O83</f>
        <v>130</v>
      </c>
      <c r="E73" s="17">
        <f>投放验证!P83</f>
        <v>5542.0306</v>
      </c>
      <c r="F73" s="17">
        <f>求节点(宝物升星!$C$31:$C$36,宝物升星!D$31:D$36,投放验证!AP83)</f>
        <v>0.02</v>
      </c>
      <c r="G73" s="17">
        <f>求节点(宝物升星!$C$31:$C$36,宝物升星!E$31:E$36,投放验证!AQ83)</f>
        <v>0.12</v>
      </c>
      <c r="H73" s="17">
        <f>求节点(宝物升星!$C$31:$C$36,宝物升星!F$31:F$36,投放验证!AR83)</f>
        <v>0.24000000000000002</v>
      </c>
      <c r="I73" s="17">
        <f>求节点(宝物升星!$C$31:$C$36,宝物升星!G$31:G$36,投放验证!AS83)</f>
        <v>0.36</v>
      </c>
      <c r="J73" s="17">
        <f>求节点(宝物升星!$C$43:$C$48,宝物升星!D$43:D$48,投放验证!AP83)</f>
        <v>0</v>
      </c>
      <c r="K73" s="17">
        <f>求节点(宝物升星!$C$43:$C$48,宝物升星!E$43:E$48,投放验证!AQ83)</f>
        <v>0</v>
      </c>
      <c r="L73" s="17">
        <f>求节点(宝物升星!$C$43:$C$48,宝物升星!F$43:F$48,投放验证!AR83)</f>
        <v>0.12000000000000001</v>
      </c>
      <c r="M73" s="17">
        <f>求节点(宝物升星!$C$43:$C$48,宝物升星!G$43:G$48,投放验证!AS83)</f>
        <v>0.2</v>
      </c>
    </row>
    <row r="74" spans="3:13">
      <c r="C74" s="16">
        <v>18</v>
      </c>
      <c r="D74" s="17">
        <f>投放验证!O84</f>
        <v>135</v>
      </c>
      <c r="E74" s="17">
        <f>投放验证!P84</f>
        <v>7796.1918394923478</v>
      </c>
      <c r="F74" s="17">
        <f>求节点(宝物升星!$C$31:$C$36,宝物升星!D$31:D$36,投放验证!AP84)</f>
        <v>0.02</v>
      </c>
      <c r="G74" s="17">
        <f>求节点(宝物升星!$C$31:$C$36,宝物升星!E$31:E$36,投放验证!AQ84)</f>
        <v>0.12</v>
      </c>
      <c r="H74" s="17">
        <f>求节点(宝物升星!$C$31:$C$36,宝物升星!F$31:F$36,投放验证!AR84)</f>
        <v>0.24000000000000002</v>
      </c>
      <c r="I74" s="17">
        <f>求节点(宝物升星!$C$31:$C$36,宝物升星!G$31:G$36,投放验证!AS84)</f>
        <v>0.36</v>
      </c>
      <c r="J74" s="17">
        <f>求节点(宝物升星!$C$43:$C$48,宝物升星!D$43:D$48,投放验证!AP84)</f>
        <v>0</v>
      </c>
      <c r="K74" s="17">
        <f>求节点(宝物升星!$C$43:$C$48,宝物升星!E$43:E$48,投放验证!AQ84)</f>
        <v>0</v>
      </c>
      <c r="L74" s="17">
        <f>求节点(宝物升星!$C$43:$C$48,宝物升星!F$43:F$48,投放验证!AR84)</f>
        <v>0.12000000000000001</v>
      </c>
      <c r="M74" s="17">
        <f>求节点(宝物升星!$C$43:$C$48,宝物升星!G$43:G$48,投放验证!AS84)</f>
        <v>0.2</v>
      </c>
    </row>
    <row r="75" spans="3:13">
      <c r="C75" s="16">
        <v>19</v>
      </c>
      <c r="D75" s="17">
        <f>投放验证!O85</f>
        <v>140</v>
      </c>
      <c r="E75" s="17">
        <f>投放验证!P85</f>
        <v>11037.2271</v>
      </c>
      <c r="F75" s="17">
        <f>求节点(宝物升星!$C$31:$C$36,宝物升星!D$31:D$36,投放验证!AP85)</f>
        <v>0.02</v>
      </c>
      <c r="G75" s="17">
        <f>求节点(宝物升星!$C$31:$C$36,宝物升星!E$31:E$36,投放验证!AQ85)</f>
        <v>0.12</v>
      </c>
      <c r="H75" s="17">
        <f>求节点(宝物升星!$C$31:$C$36,宝物升星!F$31:F$36,投放验证!AR85)</f>
        <v>0.24000000000000002</v>
      </c>
      <c r="I75" s="17">
        <f>求节点(宝物升星!$C$31:$C$36,宝物升星!G$31:G$36,投放验证!AS85)</f>
        <v>0.36</v>
      </c>
      <c r="J75" s="17">
        <f>求节点(宝物升星!$C$43:$C$48,宝物升星!D$43:D$48,投放验证!AP85)</f>
        <v>0</v>
      </c>
      <c r="K75" s="17">
        <f>求节点(宝物升星!$C$43:$C$48,宝物升星!E$43:E$48,投放验证!AQ85)</f>
        <v>0</v>
      </c>
      <c r="L75" s="17">
        <f>求节点(宝物升星!$C$43:$C$48,宝物升星!F$43:F$48,投放验证!AR85)</f>
        <v>0.12000000000000001</v>
      </c>
      <c r="M75" s="17">
        <f>求节点(宝物升星!$C$43:$C$48,宝物升星!G$43:G$48,投放验证!AS85)</f>
        <v>0.2</v>
      </c>
    </row>
    <row r="76" spans="3:13">
      <c r="C76" s="16">
        <v>20</v>
      </c>
      <c r="D76" s="17">
        <f>投放验证!O86</f>
        <v>145</v>
      </c>
      <c r="E76" s="17">
        <f>投放验证!P86</f>
        <v>15650.9803664995</v>
      </c>
      <c r="F76" s="17">
        <f>求节点(宝物升星!$C$31:$C$36,宝物升星!D$31:D$36,投放验证!AP86)</f>
        <v>0.02</v>
      </c>
      <c r="G76" s="17">
        <f>求节点(宝物升星!$C$31:$C$36,宝物升星!E$31:E$36,投放验证!AQ86)</f>
        <v>0.12</v>
      </c>
      <c r="H76" s="17">
        <f>求节点(宝物升星!$C$31:$C$36,宝物升星!F$31:F$36,投放验证!AR86)</f>
        <v>0.24000000000000002</v>
      </c>
      <c r="I76" s="17">
        <f>求节点(宝物升星!$C$31:$C$36,宝物升星!G$31:G$36,投放验证!AS86)</f>
        <v>0.36</v>
      </c>
      <c r="J76" s="17">
        <f>求节点(宝物升星!$C$43:$C$48,宝物升星!D$43:D$48,投放验证!AP86)</f>
        <v>0</v>
      </c>
      <c r="K76" s="17">
        <f>求节点(宝物升星!$C$43:$C$48,宝物升星!E$43:E$48,投放验证!AQ86)</f>
        <v>0</v>
      </c>
      <c r="L76" s="17">
        <f>求节点(宝物升星!$C$43:$C$48,宝物升星!F$43:F$48,投放验证!AR86)</f>
        <v>0.12000000000000001</v>
      </c>
      <c r="M76" s="17">
        <f>求节点(宝物升星!$C$43:$C$48,宝物升星!G$43:G$48,投放验证!AS86)</f>
        <v>0.2</v>
      </c>
    </row>
    <row r="77" spans="3:13">
      <c r="C77" s="16">
        <v>21</v>
      </c>
      <c r="D77" s="17">
        <f>投放验证!O87</f>
        <v>150</v>
      </c>
      <c r="E77" s="17">
        <f>投放验证!P87</f>
        <v>21996.487099999998</v>
      </c>
      <c r="F77" s="17">
        <f>求节点(宝物升星!$C$31:$C$36,宝物升星!D$31:D$36,投放验证!AP87)</f>
        <v>0.02</v>
      </c>
      <c r="G77" s="17">
        <f>求节点(宝物升星!$C$31:$C$36,宝物升星!E$31:E$36,投放验证!AQ87)</f>
        <v>0.12</v>
      </c>
      <c r="H77" s="17">
        <f>求节点(宝物升星!$C$31:$C$36,宝物升星!F$31:F$36,投放验证!AR87)</f>
        <v>0.24000000000000002</v>
      </c>
      <c r="I77" s="17">
        <f>求节点(宝物升星!$C$31:$C$36,宝物升星!G$31:G$36,投放验证!AS87)</f>
        <v>0.36</v>
      </c>
      <c r="J77" s="17">
        <f>求节点(宝物升星!$C$43:$C$48,宝物升星!D$43:D$48,投放验证!AP87)</f>
        <v>0</v>
      </c>
      <c r="K77" s="17">
        <f>求节点(宝物升星!$C$43:$C$48,宝物升星!E$43:E$48,投放验证!AQ87)</f>
        <v>0</v>
      </c>
      <c r="L77" s="17">
        <f>求节点(宝物升星!$C$43:$C$48,宝物升星!F$43:F$48,投放验证!AR87)</f>
        <v>0.12000000000000001</v>
      </c>
      <c r="M77" s="17">
        <f>求节点(宝物升星!$C$43:$C$48,宝物升星!G$43:G$48,投放验证!AS87)</f>
        <v>0.2</v>
      </c>
    </row>
    <row r="78" spans="3:13">
      <c r="C78" s="16">
        <v>22</v>
      </c>
      <c r="D78" s="17">
        <f>投放验证!O88</f>
        <v>155</v>
      </c>
      <c r="E78" s="17">
        <f>投放验证!P88</f>
        <v>44402.940101346627</v>
      </c>
      <c r="F78" s="17">
        <f>求节点(宝物升星!$C$31:$C$36,宝物升星!D$31:D$36,投放验证!AP88)</f>
        <v>0.02</v>
      </c>
      <c r="G78" s="17">
        <f>求节点(宝物升星!$C$31:$C$36,宝物升星!E$31:E$36,投放验证!AQ88)</f>
        <v>0.12</v>
      </c>
      <c r="H78" s="17">
        <f>求节点(宝物升星!$C$31:$C$36,宝物升星!F$31:F$36,投放验证!AR88)</f>
        <v>0.24000000000000002</v>
      </c>
      <c r="I78" s="17">
        <f>求节点(宝物升星!$C$31:$C$36,宝物升星!G$31:G$36,投放验证!AS88)</f>
        <v>0.36</v>
      </c>
      <c r="J78" s="17">
        <f>求节点(宝物升星!$C$43:$C$48,宝物升星!D$43:D$48,投放验证!AP88)</f>
        <v>0</v>
      </c>
      <c r="K78" s="17">
        <f>求节点(宝物升星!$C$43:$C$48,宝物升星!E$43:E$48,投放验证!AQ88)</f>
        <v>0</v>
      </c>
      <c r="L78" s="17">
        <f>求节点(宝物升星!$C$43:$C$48,宝物升星!F$43:F$48,投放验证!AR88)</f>
        <v>0.12000000000000001</v>
      </c>
      <c r="M78" s="17">
        <f>求节点(宝物升星!$C$43:$C$48,宝物升星!G$43:G$48,投放验证!AS88)</f>
        <v>0.2</v>
      </c>
    </row>
    <row r="79" spans="3:13">
      <c r="C79" s="16">
        <v>23</v>
      </c>
      <c r="D79" s="17">
        <f>投放验证!O89</f>
        <v>160</v>
      </c>
      <c r="E79" s="17">
        <f>投放验证!P89</f>
        <v>66190.350000000006</v>
      </c>
      <c r="F79" s="17">
        <f>求节点(宝物升星!$C$31:$C$36,宝物升星!D$31:D$36,投放验证!AP89)</f>
        <v>0.02</v>
      </c>
      <c r="G79" s="17">
        <f>求节点(宝物升星!$C$31:$C$36,宝物升星!E$31:E$36,投放验证!AQ89)</f>
        <v>0.12</v>
      </c>
      <c r="H79" s="17">
        <f>求节点(宝物升星!$C$31:$C$36,宝物升星!F$31:F$36,投放验证!AR89)</f>
        <v>0.24000000000000002</v>
      </c>
      <c r="I79" s="17">
        <f>求节点(宝物升星!$C$31:$C$36,宝物升星!G$31:G$36,投放验证!AS89)</f>
        <v>0.36</v>
      </c>
      <c r="J79" s="17">
        <f>求节点(宝物升星!$C$43:$C$48,宝物升星!D$43:D$48,投放验证!AP89)</f>
        <v>0</v>
      </c>
      <c r="K79" s="17">
        <f>求节点(宝物升星!$C$43:$C$48,宝物升星!E$43:E$48,投放验证!AQ89)</f>
        <v>0</v>
      </c>
      <c r="L79" s="17">
        <f>求节点(宝物升星!$C$43:$C$48,宝物升星!F$43:F$48,投放验证!AR89)</f>
        <v>0.12000000000000001</v>
      </c>
      <c r="M79" s="93">
        <f>求节点(宝物升星!$C$43:$C$48,宝物升星!G$43:G$48,投放验证!AS89)</f>
        <v>0.2</v>
      </c>
    </row>
    <row r="80" spans="3:13">
      <c r="C80" s="16">
        <v>24</v>
      </c>
    </row>
    <row r="81" spans="3:13">
      <c r="C81" s="16">
        <v>25</v>
      </c>
    </row>
    <row r="82" spans="3:13">
      <c r="C82" s="16">
        <v>26</v>
      </c>
    </row>
    <row r="83" spans="3:13">
      <c r="C83" s="16">
        <v>1</v>
      </c>
      <c r="D83" s="17" t="s">
        <v>77</v>
      </c>
      <c r="E83" s="186" t="s">
        <v>158</v>
      </c>
      <c r="F83" s="170" t="s">
        <v>554</v>
      </c>
      <c r="G83" s="170"/>
      <c r="H83" s="170"/>
      <c r="I83" s="170"/>
      <c r="J83" s="170" t="s">
        <v>555</v>
      </c>
      <c r="K83" s="170"/>
      <c r="L83" s="170"/>
      <c r="M83" s="170"/>
    </row>
    <row r="84" spans="3:13">
      <c r="C84" s="16">
        <v>2</v>
      </c>
      <c r="D84" s="17" t="s">
        <v>161</v>
      </c>
      <c r="E84" s="187"/>
      <c r="F84" s="54" t="s">
        <v>1</v>
      </c>
      <c r="G84" s="54" t="s">
        <v>2</v>
      </c>
      <c r="H84" s="54" t="s">
        <v>0</v>
      </c>
      <c r="I84" s="54" t="s">
        <v>205</v>
      </c>
      <c r="J84" s="54" t="s">
        <v>1</v>
      </c>
      <c r="K84" s="54" t="s">
        <v>2</v>
      </c>
      <c r="L84" s="54" t="s">
        <v>0</v>
      </c>
      <c r="M84" s="54" t="s">
        <v>205</v>
      </c>
    </row>
    <row r="85" spans="3:13">
      <c r="C85" s="16">
        <v>3</v>
      </c>
      <c r="D85" s="17">
        <f>投放验证!O95</f>
        <v>50</v>
      </c>
      <c r="E85" s="17">
        <f>投放验证!P95</f>
        <v>16.386599999999998</v>
      </c>
      <c r="F85" s="17">
        <f>求节点(宝物升星!$C$31:$C$36,宝物升星!D$31:D$36,投放验证!AP95)</f>
        <v>0.02</v>
      </c>
      <c r="G85" s="17">
        <f>求节点(宝物升星!$C$31:$C$36,宝物升星!E$31:E$36,投放验证!AQ95)</f>
        <v>0.03</v>
      </c>
      <c r="H85" s="17">
        <f>求节点(宝物升星!$C$31:$C$36,宝物升星!F$31:F$36,投放验证!AR95)</f>
        <v>0.04</v>
      </c>
      <c r="I85" s="17">
        <f>求节点(宝物升星!$C$31:$C$36,宝物升星!G$31:G$36,投放验证!AS95)</f>
        <v>0.06</v>
      </c>
      <c r="J85" s="17">
        <f>求节点(宝物升星!$C$43:$C$48,宝物升星!D$43:D$48,投放验证!AP95)</f>
        <v>0</v>
      </c>
      <c r="K85" s="17">
        <f>求节点(宝物升星!$C$43:$C$48,宝物升星!E$43:E$48,投放验证!AQ95)</f>
        <v>0</v>
      </c>
      <c r="L85" s="17">
        <f>求节点(宝物升星!$C$43:$C$48,宝物升星!F$43:F$48,投放验证!AR95)</f>
        <v>0.02</v>
      </c>
      <c r="M85" s="17">
        <f>求节点(宝物升星!$C$43:$C$48,宝物升星!G$43:G$48,投放验证!AS95)</f>
        <v>0.03</v>
      </c>
    </row>
    <row r="86" spans="3:13">
      <c r="C86" s="16">
        <v>4</v>
      </c>
      <c r="D86" s="17">
        <f>投放验证!O96</f>
        <v>60</v>
      </c>
      <c r="E86" s="17">
        <f>投放验证!P96</f>
        <v>32.810400000000001</v>
      </c>
      <c r="F86" s="17">
        <f>求节点(宝物升星!$C$31:$C$36,宝物升星!D$31:D$36,投放验证!AP96)</f>
        <v>0.02</v>
      </c>
      <c r="G86" s="17">
        <f>求节点(宝物升星!$C$31:$C$36,宝物升星!E$31:E$36,投放验证!AQ96)</f>
        <v>0.12</v>
      </c>
      <c r="H86" s="17">
        <f>求节点(宝物升星!$C$31:$C$36,宝物升星!F$31:F$36,投放验证!AR96)</f>
        <v>8.5010064149392411E-2</v>
      </c>
      <c r="I86" s="17">
        <f>求节点(宝物升星!$C$31:$C$36,宝物升星!G$31:G$36,投放验证!AS96)</f>
        <v>0.1479282012346379</v>
      </c>
      <c r="J86" s="17">
        <f>求节点(宝物升星!$C$43:$C$48,宝物升星!D$43:D$48,投放验证!AP96)</f>
        <v>0</v>
      </c>
      <c r="K86" s="17">
        <f>求节点(宝物升星!$C$43:$C$48,宝物升星!E$43:E$48,投放验证!AQ96)</f>
        <v>0</v>
      </c>
      <c r="L86" s="17">
        <f>求节点(宝物升星!$C$43:$C$48,宝物升星!F$43:F$48,投放验证!AR96)</f>
        <v>4.2505032074696206E-2</v>
      </c>
      <c r="M86" s="17">
        <f>求节点(宝物升星!$C$43:$C$48,宝物升星!G$43:G$48,投放验证!AS96)</f>
        <v>7.3964100617318951E-2</v>
      </c>
    </row>
    <row r="87" spans="3:13">
      <c r="C87" s="16">
        <v>5</v>
      </c>
      <c r="D87" s="17">
        <f>投放验证!O97</f>
        <v>70</v>
      </c>
      <c r="E87" s="17">
        <f>投放验证!P97</f>
        <v>65.925700000000006</v>
      </c>
      <c r="F87" s="17">
        <f>求节点(宝物升星!$C$31:$C$36,宝物升星!D$31:D$36,投放验证!AP97)</f>
        <v>0.02</v>
      </c>
      <c r="G87" s="17">
        <f>求节点(宝物升星!$C$31:$C$36,宝物升星!E$31:E$36,投放验证!AQ97)</f>
        <v>0.12</v>
      </c>
      <c r="H87" s="17">
        <f>求节点(宝物升星!$C$31:$C$36,宝物升星!F$31:F$36,投放验证!AR97)</f>
        <v>0.16764646588021134</v>
      </c>
      <c r="I87" s="17">
        <f>求节点(宝物升星!$C$31:$C$36,宝物升星!G$31:G$36,投放验证!AS97)</f>
        <v>0.1479282012346379</v>
      </c>
      <c r="J87" s="17">
        <f>求节点(宝物升星!$C$43:$C$48,宝物升星!D$43:D$48,投放验证!AP97)</f>
        <v>0</v>
      </c>
      <c r="K87" s="17">
        <f>求节点(宝物升星!$C$43:$C$48,宝物升星!E$43:E$48,投放验证!AQ97)</f>
        <v>0</v>
      </c>
      <c r="L87" s="17">
        <f>求节点(宝物升星!$C$43:$C$48,宝物升星!F$43:F$48,投放验证!AR97)</f>
        <v>8.3823232940105671E-2</v>
      </c>
      <c r="M87" s="17">
        <f>求节点(宝物升星!$C$43:$C$48,宝物升星!G$43:G$48,投放验证!AS97)</f>
        <v>7.3964100617318951E-2</v>
      </c>
    </row>
    <row r="88" spans="3:13">
      <c r="C88" s="16">
        <v>6</v>
      </c>
      <c r="D88" s="17">
        <f>投放验证!O98</f>
        <v>75</v>
      </c>
      <c r="E88" s="17">
        <f>投放验证!P98</f>
        <v>93.214012172388934</v>
      </c>
      <c r="F88" s="17">
        <f>求节点(宝物升星!$C$31:$C$36,宝物升星!D$31:D$36,投放验证!AP98)</f>
        <v>0.02</v>
      </c>
      <c r="G88" s="17">
        <f>求节点(宝物升星!$C$31:$C$36,宝物升星!E$31:E$36,投放验证!AQ98)</f>
        <v>0.12</v>
      </c>
      <c r="H88" s="17">
        <f>求节点(宝物升星!$C$31:$C$36,宝物升星!F$31:F$36,投放验证!AR98)</f>
        <v>0.23527717083290553</v>
      </c>
      <c r="I88" s="17">
        <f>求节点(宝物升星!$C$31:$C$36,宝物升星!G$31:G$36,投放验证!AS98)</f>
        <v>0.16131911118550998</v>
      </c>
      <c r="J88" s="17">
        <f>求节点(宝物升星!$C$43:$C$48,宝物升星!D$43:D$48,投放验证!AP98)</f>
        <v>0</v>
      </c>
      <c r="K88" s="17">
        <f>求节点(宝物升星!$C$43:$C$48,宝物升星!E$43:E$48,投放验证!AQ98)</f>
        <v>0</v>
      </c>
      <c r="L88" s="17">
        <f>求节点(宝物升星!$C$43:$C$48,宝物升星!F$43:F$48,投放验证!AR98)</f>
        <v>0.11763858541645277</v>
      </c>
      <c r="M88" s="17">
        <f>求节点(宝物升星!$C$43:$C$48,宝物升星!G$43:G$48,投放验证!AS98)</f>
        <v>8.0659555592754992E-2</v>
      </c>
    </row>
    <row r="89" spans="3:13">
      <c r="C89" s="16">
        <v>7</v>
      </c>
      <c r="D89" s="17">
        <f>投放验证!O99</f>
        <v>80</v>
      </c>
      <c r="E89" s="17">
        <f>投放验证!P99</f>
        <v>131.58000000000001</v>
      </c>
      <c r="F89" s="17">
        <f>求节点(宝物升星!$C$31:$C$36,宝物升星!D$31:D$36,投放验证!AP99)</f>
        <v>0.02</v>
      </c>
      <c r="G89" s="17">
        <f>求节点(宝物升星!$C$31:$C$36,宝物升星!E$31:E$36,投放验证!AQ99)</f>
        <v>0.12</v>
      </c>
      <c r="H89" s="17">
        <f>求节点(宝物升星!$C$31:$C$36,宝物升星!F$31:F$36,投放验证!AR99)</f>
        <v>0.24000000000000002</v>
      </c>
      <c r="I89" s="17">
        <f>求节点(宝物升星!$C$31:$C$36,宝物升星!G$31:G$36,投放验证!AS99)</f>
        <v>0.20733100123207401</v>
      </c>
      <c r="J89" s="17">
        <f>求节点(宝物升星!$C$43:$C$48,宝物升星!D$43:D$48,投放验证!AP99)</f>
        <v>0</v>
      </c>
      <c r="K89" s="17">
        <f>求节点(宝物升星!$C$43:$C$48,宝物升星!E$43:E$48,投放验证!AQ99)</f>
        <v>0</v>
      </c>
      <c r="L89" s="17">
        <f>求节点(宝物升星!$C$43:$C$48,宝物升星!F$43:F$48,投放验证!AR99)</f>
        <v>0.12000000000000001</v>
      </c>
      <c r="M89" s="17">
        <f>求节点(宝物升星!$C$43:$C$48,宝物升星!G$43:G$48,投放验证!AS99)</f>
        <v>0.10366550061603701</v>
      </c>
    </row>
    <row r="90" spans="3:13">
      <c r="C90" s="16">
        <v>8</v>
      </c>
      <c r="D90" s="17">
        <f>投放验证!O100</f>
        <v>85</v>
      </c>
      <c r="E90" s="17">
        <f>投放验证!P100</f>
        <v>185.57387739130132</v>
      </c>
      <c r="F90" s="17">
        <f>求节点(宝物升星!$C$31:$C$36,宝物升星!D$31:D$36,投放验证!AP100)</f>
        <v>0.02</v>
      </c>
      <c r="G90" s="17">
        <f>求节点(宝物升星!$C$31:$C$36,宝物升星!E$31:E$36,投放验证!AQ100)</f>
        <v>0.12</v>
      </c>
      <c r="H90" s="17">
        <f>求节点(宝物升星!$C$31:$C$36,宝物升星!F$31:F$36,投放验证!AR100)</f>
        <v>0.24000000000000002</v>
      </c>
      <c r="I90" s="17">
        <f>求节点(宝物升星!$C$31:$C$36,宝物升星!G$31:G$36,投放验证!AS100)</f>
        <v>0.28747876364110236</v>
      </c>
      <c r="J90" s="17">
        <f>求节点(宝物升星!$C$43:$C$48,宝物升星!D$43:D$48,投放验证!AP100)</f>
        <v>0</v>
      </c>
      <c r="K90" s="17">
        <f>求节点(宝物升星!$C$43:$C$48,宝物升星!E$43:E$48,投放验证!AQ100)</f>
        <v>0</v>
      </c>
      <c r="L90" s="17">
        <f>求节点(宝物升星!$C$43:$C$48,宝物升星!F$43:F$48,投放验证!AR100)</f>
        <v>0.12000000000000001</v>
      </c>
      <c r="M90" s="17">
        <f>求节点(宝物升星!$C$43:$C$48,宝物升星!G$43:G$48,投放验证!AS100)</f>
        <v>0.15165250909406824</v>
      </c>
    </row>
    <row r="91" spans="3:13">
      <c r="C91" s="16">
        <v>9</v>
      </c>
      <c r="D91" s="17">
        <f>投放验证!O101</f>
        <v>90</v>
      </c>
      <c r="E91" s="17">
        <f>投放验证!P101</f>
        <v>254.88680000000002</v>
      </c>
      <c r="F91" s="17">
        <f>求节点(宝物升星!$C$31:$C$36,宝物升星!D$31:D$36,投放验证!AP101)</f>
        <v>0.02</v>
      </c>
      <c r="G91" s="17">
        <f>求节点(宝物升星!$C$31:$C$36,宝物升星!E$31:E$36,投放验证!AQ101)</f>
        <v>0.12</v>
      </c>
      <c r="H91" s="17">
        <f>求节点(宝物升星!$C$31:$C$36,宝物升星!F$31:F$36,投放验证!AR101)</f>
        <v>0.24000000000000002</v>
      </c>
      <c r="I91" s="17">
        <f>求节点(宝物升星!$C$31:$C$36,宝物升星!G$31:G$36,投放验证!AS101)</f>
        <v>0.36</v>
      </c>
      <c r="J91" s="17">
        <f>求节点(宝物升星!$C$43:$C$48,宝物升星!D$43:D$48,投放验证!AP101)</f>
        <v>0</v>
      </c>
      <c r="K91" s="17">
        <f>求节点(宝物升星!$C$43:$C$48,宝物升星!E$43:E$48,投放验证!AQ101)</f>
        <v>0</v>
      </c>
      <c r="L91" s="17">
        <f>求节点(宝物升星!$C$43:$C$48,宝物升星!F$43:F$48,投放验证!AR101)</f>
        <v>0.12000000000000001</v>
      </c>
      <c r="M91" s="17">
        <f>求节点(宝物升星!$C$43:$C$48,宝物升星!G$43:G$48,投放验证!AS101)</f>
        <v>0.2</v>
      </c>
    </row>
    <row r="92" spans="3:13">
      <c r="C92" s="16">
        <v>10</v>
      </c>
      <c r="D92" s="17">
        <f>投放验证!O102</f>
        <v>95</v>
      </c>
      <c r="E92" s="17">
        <f>投放验证!P102</f>
        <v>355.39251454406457</v>
      </c>
      <c r="F92" s="17">
        <f>求节点(宝物升星!$C$31:$C$36,宝物升星!D$31:D$36,投放验证!AP102)</f>
        <v>0.02</v>
      </c>
      <c r="G92" s="17">
        <f>求节点(宝物升星!$C$31:$C$36,宝物升星!E$31:E$36,投放验证!AQ102)</f>
        <v>0.12</v>
      </c>
      <c r="H92" s="17">
        <f>求节点(宝物升星!$C$31:$C$36,宝物升星!F$31:F$36,投放验证!AR102)</f>
        <v>0.24000000000000002</v>
      </c>
      <c r="I92" s="17">
        <f>求节点(宝物升星!$C$31:$C$36,宝物升星!G$31:G$36,投放验证!AS102)</f>
        <v>0.36</v>
      </c>
      <c r="J92" s="17">
        <f>求节点(宝物升星!$C$43:$C$48,宝物升星!D$43:D$48,投放验证!AP102)</f>
        <v>0</v>
      </c>
      <c r="K92" s="17">
        <f>求节点(宝物升星!$C$43:$C$48,宝物升星!E$43:E$48,投放验证!AQ102)</f>
        <v>0</v>
      </c>
      <c r="L92" s="17">
        <f>求节点(宝物升星!$C$43:$C$48,宝物升星!F$43:F$48,投放验证!AR102)</f>
        <v>0.12000000000000001</v>
      </c>
      <c r="M92" s="17">
        <f>求节点(宝物升星!$C$43:$C$48,宝物升星!G$43:G$48,投放验证!AS102)</f>
        <v>0.2</v>
      </c>
    </row>
    <row r="93" spans="3:13">
      <c r="C93" s="16">
        <v>11</v>
      </c>
      <c r="D93" s="17">
        <f>投放验证!O103</f>
        <v>100</v>
      </c>
      <c r="E93" s="17">
        <f>投放验证!P103</f>
        <v>508.22640000000001</v>
      </c>
      <c r="F93" s="17">
        <f>求节点(宝物升星!$C$31:$C$36,宝物升星!D$31:D$36,投放验证!AP103)</f>
        <v>0.02</v>
      </c>
      <c r="G93" s="17">
        <f>求节点(宝物升星!$C$31:$C$36,宝物升星!E$31:E$36,投放验证!AQ103)</f>
        <v>0.12</v>
      </c>
      <c r="H93" s="17">
        <f>求节点(宝物升星!$C$31:$C$36,宝物升星!F$31:F$36,投放验证!AR103)</f>
        <v>0.24000000000000002</v>
      </c>
      <c r="I93" s="17">
        <f>求节点(宝物升星!$C$31:$C$36,宝物升星!G$31:G$36,投放验证!AS103)</f>
        <v>0.36</v>
      </c>
      <c r="J93" s="17">
        <f>求节点(宝物升星!$C$43:$C$48,宝物升星!D$43:D$48,投放验证!AP103)</f>
        <v>0</v>
      </c>
      <c r="K93" s="17">
        <f>求节点(宝物升星!$C$43:$C$48,宝物升星!E$43:E$48,投放验证!AQ103)</f>
        <v>0</v>
      </c>
      <c r="L93" s="17">
        <f>求节点(宝物升星!$C$43:$C$48,宝物升星!F$43:F$48,投放验证!AR103)</f>
        <v>0.12000000000000001</v>
      </c>
      <c r="M93" s="17">
        <f>求节点(宝物升星!$C$43:$C$48,宝物升星!G$43:G$48,投放验证!AS103)</f>
        <v>0.2</v>
      </c>
    </row>
    <row r="94" spans="3:13">
      <c r="C94" s="16">
        <v>12</v>
      </c>
      <c r="D94" s="17">
        <f>投放验证!O104</f>
        <v>105</v>
      </c>
      <c r="E94" s="17">
        <f>投放验证!P104</f>
        <v>713.59197658872131</v>
      </c>
      <c r="F94" s="17">
        <f>求节点(宝物升星!$C$31:$C$36,宝物升星!D$31:D$36,投放验证!AP104)</f>
        <v>0.02</v>
      </c>
      <c r="G94" s="17">
        <f>求节点(宝物升星!$C$31:$C$36,宝物升星!E$31:E$36,投放验证!AQ104)</f>
        <v>0.12</v>
      </c>
      <c r="H94" s="17">
        <f>求节点(宝物升星!$C$31:$C$36,宝物升星!F$31:F$36,投放验证!AR104)</f>
        <v>0.24000000000000002</v>
      </c>
      <c r="I94" s="17">
        <f>求节点(宝物升星!$C$31:$C$36,宝物升星!G$31:G$36,投放验证!AS104)</f>
        <v>0.36</v>
      </c>
      <c r="J94" s="17">
        <f>求节点(宝物升星!$C$43:$C$48,宝物升星!D$43:D$48,投放验证!AP104)</f>
        <v>0</v>
      </c>
      <c r="K94" s="17">
        <f>求节点(宝物升星!$C$43:$C$48,宝物升星!E$43:E$48,投放验证!AQ104)</f>
        <v>0</v>
      </c>
      <c r="L94" s="17">
        <f>求节点(宝物升星!$C$43:$C$48,宝物升星!F$43:F$48,投放验证!AR104)</f>
        <v>0.12000000000000001</v>
      </c>
      <c r="M94" s="17">
        <f>求节点(宝物升星!$C$43:$C$48,宝物升星!G$43:G$48,投放验证!AS104)</f>
        <v>0.2</v>
      </c>
    </row>
    <row r="95" spans="3:13">
      <c r="C95" s="16">
        <v>13</v>
      </c>
      <c r="D95" s="17">
        <f>投放验证!O105</f>
        <v>110</v>
      </c>
      <c r="E95" s="17">
        <f>投放验证!P105</f>
        <v>1001.3924000000001</v>
      </c>
      <c r="F95" s="17">
        <f>求节点(宝物升星!$C$31:$C$36,宝物升星!D$31:D$36,投放验证!AP105)</f>
        <v>0.02</v>
      </c>
      <c r="G95" s="17">
        <f>求节点(宝物升星!$C$31:$C$36,宝物升星!E$31:E$36,投放验证!AQ105)</f>
        <v>0.12</v>
      </c>
      <c r="H95" s="17">
        <f>求节点(宝物升星!$C$31:$C$36,宝物升星!F$31:F$36,投放验证!AR105)</f>
        <v>0.24000000000000002</v>
      </c>
      <c r="I95" s="17">
        <f>求节点(宝物升星!$C$31:$C$36,宝物升星!G$31:G$36,投放验证!AS105)</f>
        <v>0.36</v>
      </c>
      <c r="J95" s="17">
        <f>求节点(宝物升星!$C$43:$C$48,宝物升星!D$43:D$48,投放验证!AP105)</f>
        <v>0</v>
      </c>
      <c r="K95" s="17">
        <f>求节点(宝物升星!$C$43:$C$48,宝物升星!E$43:E$48,投放验证!AQ105)</f>
        <v>0</v>
      </c>
      <c r="L95" s="17">
        <f>求节点(宝物升星!$C$43:$C$48,宝物升星!F$43:F$48,投放验证!AR105)</f>
        <v>0.12000000000000001</v>
      </c>
      <c r="M95" s="17">
        <f>求节点(宝物升星!$C$43:$C$48,宝物升星!G$43:G$48,投放验证!AS105)</f>
        <v>0.2</v>
      </c>
    </row>
    <row r="96" spans="3:13">
      <c r="C96" s="16">
        <v>14</v>
      </c>
      <c r="D96" s="17">
        <f>投放验证!O106</f>
        <v>115</v>
      </c>
      <c r="E96" s="17">
        <f>投放验证!P106</f>
        <v>1407.1203566096881</v>
      </c>
      <c r="F96" s="17">
        <f>求节点(宝物升星!$C$31:$C$36,宝物升星!D$31:D$36,投放验证!AP106)</f>
        <v>0.02</v>
      </c>
      <c r="G96" s="17">
        <f>求节点(宝物升星!$C$31:$C$36,宝物升星!E$31:E$36,投放验证!AQ106)</f>
        <v>0.12</v>
      </c>
      <c r="H96" s="17">
        <f>求节点(宝物升星!$C$31:$C$36,宝物升星!F$31:F$36,投放验证!AR106)</f>
        <v>0.24000000000000002</v>
      </c>
      <c r="I96" s="17">
        <f>求节点(宝物升星!$C$31:$C$36,宝物升星!G$31:G$36,投放验证!AS106)</f>
        <v>0.36</v>
      </c>
      <c r="J96" s="17">
        <f>求节点(宝物升星!$C$43:$C$48,宝物升星!D$43:D$48,投放验证!AP106)</f>
        <v>0</v>
      </c>
      <c r="K96" s="17">
        <f>求节点(宝物升星!$C$43:$C$48,宝物升星!E$43:E$48,投放验证!AQ106)</f>
        <v>0</v>
      </c>
      <c r="L96" s="17">
        <f>求节点(宝物升星!$C$43:$C$48,宝物升星!F$43:F$48,投放验证!AR106)</f>
        <v>0.12000000000000001</v>
      </c>
      <c r="M96" s="17">
        <f>求节点(宝物升星!$C$43:$C$48,宝物升星!G$43:G$48,投放验证!AS106)</f>
        <v>0.2</v>
      </c>
    </row>
    <row r="97" spans="3:13">
      <c r="C97" s="16">
        <v>15</v>
      </c>
      <c r="D97" s="17">
        <f>投放验证!O107</f>
        <v>120</v>
      </c>
      <c r="E97" s="17">
        <f>投放验证!P107</f>
        <v>1988.5319999999999</v>
      </c>
      <c r="F97" s="17">
        <f>求节点(宝物升星!$C$31:$C$36,宝物升星!D$31:D$36,投放验证!AP107)</f>
        <v>0.02</v>
      </c>
      <c r="G97" s="17">
        <f>求节点(宝物升星!$C$31:$C$36,宝物升星!E$31:E$36,投放验证!AQ107)</f>
        <v>0.12</v>
      </c>
      <c r="H97" s="17">
        <f>求节点(宝物升星!$C$31:$C$36,宝物升星!F$31:F$36,投放验证!AR107)</f>
        <v>0.24000000000000002</v>
      </c>
      <c r="I97" s="17">
        <f>求节点(宝物升星!$C$31:$C$36,宝物升星!G$31:G$36,投放验证!AS107)</f>
        <v>0.36</v>
      </c>
      <c r="J97" s="17">
        <f>求节点(宝物升星!$C$43:$C$48,宝物升星!D$43:D$48,投放验证!AP107)</f>
        <v>0</v>
      </c>
      <c r="K97" s="17">
        <f>求节点(宝物升星!$C$43:$C$48,宝物升星!E$43:E$48,投放验证!AQ107)</f>
        <v>0</v>
      </c>
      <c r="L97" s="17">
        <f>求节点(宝物升星!$C$43:$C$48,宝物升星!F$43:F$48,投放验证!AR107)</f>
        <v>0.12000000000000001</v>
      </c>
      <c r="M97" s="17">
        <f>求节点(宝物升星!$C$43:$C$48,宝物升星!G$43:G$48,投放验证!AS107)</f>
        <v>0.2</v>
      </c>
    </row>
    <row r="98" spans="3:13">
      <c r="C98" s="16">
        <v>16</v>
      </c>
      <c r="D98" s="17">
        <f>投放验证!O108</f>
        <v>125</v>
      </c>
      <c r="E98" s="17">
        <f>投放验证!P108</f>
        <v>2816.4641988448207</v>
      </c>
      <c r="F98" s="17">
        <f>求节点(宝物升星!$C$31:$C$36,宝物升星!D$31:D$36,投放验证!AP108)</f>
        <v>0.02</v>
      </c>
      <c r="G98" s="17">
        <f>求节点(宝物升星!$C$31:$C$36,宝物升星!E$31:E$36,投放验证!AQ108)</f>
        <v>0.12</v>
      </c>
      <c r="H98" s="17">
        <f>求节点(宝物升星!$C$31:$C$36,宝物升星!F$31:F$36,投放验证!AR108)</f>
        <v>0.24000000000000002</v>
      </c>
      <c r="I98" s="17">
        <f>求节点(宝物升星!$C$31:$C$36,宝物升星!G$31:G$36,投放验证!AS108)</f>
        <v>0.36</v>
      </c>
      <c r="J98" s="17">
        <f>求节点(宝物升星!$C$43:$C$48,宝物升星!D$43:D$48,投放验证!AP108)</f>
        <v>0</v>
      </c>
      <c r="K98" s="17">
        <f>求节点(宝物升星!$C$43:$C$48,宝物升星!E$43:E$48,投放验证!AQ108)</f>
        <v>0</v>
      </c>
      <c r="L98" s="17">
        <f>求节点(宝物升星!$C$43:$C$48,宝物升星!F$43:F$48,投放验证!AR108)</f>
        <v>0.12000000000000001</v>
      </c>
      <c r="M98" s="17">
        <f>求节点(宝物升星!$C$43:$C$48,宝物升星!G$43:G$48,投放验证!AS108)</f>
        <v>0.2</v>
      </c>
    </row>
    <row r="99" spans="3:13">
      <c r="C99" s="16">
        <v>17</v>
      </c>
      <c r="D99" s="17">
        <f>投放验证!O109</f>
        <v>130</v>
      </c>
      <c r="E99" s="17">
        <f>投放验证!P109</f>
        <v>3951.3384000000001</v>
      </c>
      <c r="F99" s="17">
        <f>求节点(宝物升星!$C$31:$C$36,宝物升星!D$31:D$36,投放验证!AP109)</f>
        <v>0.02</v>
      </c>
      <c r="G99" s="17">
        <f>求节点(宝物升星!$C$31:$C$36,宝物升星!E$31:E$36,投放验证!AQ109)</f>
        <v>0.12</v>
      </c>
      <c r="H99" s="17">
        <f>求节点(宝物升星!$C$31:$C$36,宝物升星!F$31:F$36,投放验证!AR109)</f>
        <v>0.24000000000000002</v>
      </c>
      <c r="I99" s="17">
        <f>求节点(宝物升星!$C$31:$C$36,宝物升星!G$31:G$36,投放验证!AS109)</f>
        <v>0.36</v>
      </c>
      <c r="J99" s="17">
        <f>求节点(宝物升星!$C$43:$C$48,宝物升星!D$43:D$48,投放验证!AP109)</f>
        <v>0</v>
      </c>
      <c r="K99" s="17">
        <f>求节点(宝物升星!$C$43:$C$48,宝物升星!E$43:E$48,投放验证!AQ109)</f>
        <v>0</v>
      </c>
      <c r="L99" s="17">
        <f>求节点(宝物升星!$C$43:$C$48,宝物升星!F$43:F$48,投放验证!AR109)</f>
        <v>0.12000000000000001</v>
      </c>
      <c r="M99" s="17">
        <f>求节点(宝物升星!$C$43:$C$48,宝物升星!G$43:G$48,投放验证!AS109)</f>
        <v>0.2</v>
      </c>
    </row>
    <row r="100" spans="3:13">
      <c r="C100" s="16">
        <v>18</v>
      </c>
      <c r="D100" s="17">
        <f>投放验证!O110</f>
        <v>135</v>
      </c>
      <c r="E100" s="17">
        <f>投放验证!P110</f>
        <v>5548.8497639180305</v>
      </c>
      <c r="F100" s="17">
        <f>求节点(宝物升星!$C$31:$C$36,宝物升星!D$31:D$36,投放验证!AP110)</f>
        <v>0.02</v>
      </c>
      <c r="G100" s="17">
        <f>求节点(宝物升星!$C$31:$C$36,宝物升星!E$31:E$36,投放验证!AQ110)</f>
        <v>0.12</v>
      </c>
      <c r="H100" s="17">
        <f>求节点(宝物升星!$C$31:$C$36,宝物升星!F$31:F$36,投放验证!AR110)</f>
        <v>0.24000000000000002</v>
      </c>
      <c r="I100" s="17">
        <f>求节点(宝物升星!$C$31:$C$36,宝物升星!G$31:G$36,投放验证!AS110)</f>
        <v>0.36</v>
      </c>
      <c r="J100" s="17">
        <f>求节点(宝物升星!$C$43:$C$48,宝物升星!D$43:D$48,投放验证!AP110)</f>
        <v>0</v>
      </c>
      <c r="K100" s="17">
        <f>求节点(宝物升星!$C$43:$C$48,宝物升星!E$43:E$48,投放验证!AQ110)</f>
        <v>0</v>
      </c>
      <c r="L100" s="17">
        <f>求节点(宝物升星!$C$43:$C$48,宝物升星!F$43:F$48,投放验证!AR110)</f>
        <v>0.12000000000000001</v>
      </c>
      <c r="M100" s="17">
        <f>求节点(宝物升星!$C$43:$C$48,宝物升星!G$43:G$48,投放验证!AS110)</f>
        <v>0.2</v>
      </c>
    </row>
    <row r="101" spans="3:13">
      <c r="C101" s="16">
        <v>19</v>
      </c>
      <c r="D101" s="17">
        <f>投放验证!O111</f>
        <v>140</v>
      </c>
      <c r="E101" s="17">
        <f>投放验证!P111</f>
        <v>7827.7974000000004</v>
      </c>
      <c r="F101" s="17">
        <f>求节点(宝物升星!$C$31:$C$36,宝物升星!D$31:D$36,投放验证!AP111)</f>
        <v>0.02</v>
      </c>
      <c r="G101" s="17">
        <f>求节点(宝物升星!$C$31:$C$36,宝物升星!E$31:E$36,投放验证!AQ111)</f>
        <v>0.12</v>
      </c>
      <c r="H101" s="17">
        <f>求节点(宝物升星!$C$31:$C$36,宝物升星!F$31:F$36,投放验证!AR111)</f>
        <v>0.24000000000000002</v>
      </c>
      <c r="I101" s="17">
        <f>求节点(宝物升星!$C$31:$C$36,宝物升星!G$31:G$36,投放验证!AS111)</f>
        <v>0.36</v>
      </c>
      <c r="J101" s="17">
        <f>求节点(宝物升星!$C$43:$C$48,宝物升星!D$43:D$48,投放验证!AP111)</f>
        <v>0</v>
      </c>
      <c r="K101" s="17">
        <f>求节点(宝物升星!$C$43:$C$48,宝物升星!E$43:E$48,投放验证!AQ111)</f>
        <v>0</v>
      </c>
      <c r="L101" s="17">
        <f>求节点(宝物升星!$C$43:$C$48,宝物升星!F$43:F$48,投放验证!AR111)</f>
        <v>0.12000000000000001</v>
      </c>
      <c r="M101" s="17">
        <f>求节点(宝物升星!$C$43:$C$48,宝物升星!G$43:G$48,投放验证!AS111)</f>
        <v>0.2</v>
      </c>
    </row>
    <row r="102" spans="3:13">
      <c r="C102" s="16">
        <v>20</v>
      </c>
      <c r="D102" s="17">
        <f>投放验证!O112</f>
        <v>145</v>
      </c>
      <c r="E102" s="17">
        <f>投放验证!P112</f>
        <v>11105.129370337838</v>
      </c>
      <c r="F102" s="17">
        <f>求节点(宝物升星!$C$31:$C$36,宝物升星!D$31:D$36,投放验证!AP112)</f>
        <v>0.02</v>
      </c>
      <c r="G102" s="17">
        <f>求节点(宝物升星!$C$31:$C$36,宝物升星!E$31:E$36,投放验证!AQ112)</f>
        <v>0.12</v>
      </c>
      <c r="H102" s="17">
        <f>求节点(宝物升星!$C$31:$C$36,宝物升星!F$31:F$36,投放验证!AR112)</f>
        <v>0.24000000000000002</v>
      </c>
      <c r="I102" s="17">
        <f>求节点(宝物升星!$C$31:$C$36,宝物升星!G$31:G$36,投放验证!AS112)</f>
        <v>0.36</v>
      </c>
      <c r="J102" s="17">
        <f>求节点(宝物升星!$C$43:$C$48,宝物升星!D$43:D$48,投放验证!AP112)</f>
        <v>0</v>
      </c>
      <c r="K102" s="17">
        <f>求节点(宝物升星!$C$43:$C$48,宝物升星!E$43:E$48,投放验证!AQ112)</f>
        <v>0</v>
      </c>
      <c r="L102" s="17">
        <f>求节点(宝物升星!$C$43:$C$48,宝物升星!F$43:F$48,投放验证!AR112)</f>
        <v>0.12000000000000001</v>
      </c>
      <c r="M102" s="17">
        <f>求节点(宝物升星!$C$43:$C$48,宝物升星!G$43:G$48,投放验证!AS112)</f>
        <v>0.2</v>
      </c>
    </row>
    <row r="103" spans="3:13">
      <c r="C103" s="16">
        <v>21</v>
      </c>
      <c r="D103" s="17">
        <f>投放验证!O113</f>
        <v>150</v>
      </c>
      <c r="E103" s="17">
        <f>投放验证!P113</f>
        <v>15603.645400000001</v>
      </c>
      <c r="F103" s="17">
        <f>求节点(宝物升星!$C$31:$C$36,宝物升星!D$31:D$36,投放验证!AP113)</f>
        <v>0.02</v>
      </c>
      <c r="G103" s="17">
        <f>求节点(宝物升星!$C$31:$C$36,宝物升星!E$31:E$36,投放验证!AQ113)</f>
        <v>0.12</v>
      </c>
      <c r="H103" s="17">
        <f>求节点(宝物升星!$C$31:$C$36,宝物升星!F$31:F$36,投放验证!AR113)</f>
        <v>0.24000000000000002</v>
      </c>
      <c r="I103" s="17">
        <f>求节点(宝物升星!$C$31:$C$36,宝物升星!G$31:G$36,投放验证!AS113)</f>
        <v>0.36</v>
      </c>
      <c r="J103" s="17">
        <f>求节点(宝物升星!$C$43:$C$48,宝物升星!D$43:D$48,投放验证!AP113)</f>
        <v>0</v>
      </c>
      <c r="K103" s="17">
        <f>求节点(宝物升星!$C$43:$C$48,宝物升星!E$43:E$48,投放验证!AQ113)</f>
        <v>0</v>
      </c>
      <c r="L103" s="17">
        <f>求节点(宝物升星!$C$43:$C$48,宝物升星!F$43:F$48,投放验证!AR113)</f>
        <v>0.12000000000000001</v>
      </c>
      <c r="M103" s="17">
        <f>求节点(宝物升星!$C$43:$C$48,宝物升星!G$43:G$48,投放验证!AS113)</f>
        <v>0.2</v>
      </c>
    </row>
    <row r="104" spans="3:13">
      <c r="C104" s="16">
        <v>22</v>
      </c>
      <c r="D104" s="17">
        <f>投放验证!O114</f>
        <v>155</v>
      </c>
      <c r="E104" s="17">
        <f>投放验证!P114</f>
        <v>44402.940101346627</v>
      </c>
      <c r="F104" s="17">
        <f>求节点(宝物升星!$C$31:$C$36,宝物升星!D$31:D$36,投放验证!AP114)</f>
        <v>0.02</v>
      </c>
      <c r="G104" s="17">
        <f>求节点(宝物升星!$C$31:$C$36,宝物升星!E$31:E$36,投放验证!AQ114)</f>
        <v>0.12</v>
      </c>
      <c r="H104" s="17">
        <f>求节点(宝物升星!$C$31:$C$36,宝物升星!F$31:F$36,投放验证!AR114)</f>
        <v>0.24000000000000002</v>
      </c>
      <c r="I104" s="17">
        <f>求节点(宝物升星!$C$31:$C$36,宝物升星!G$31:G$36,投放验证!AS114)</f>
        <v>0.36</v>
      </c>
      <c r="J104" s="17">
        <f>求节点(宝物升星!$C$43:$C$48,宝物升星!D$43:D$48,投放验证!AP114)</f>
        <v>0</v>
      </c>
      <c r="K104" s="17">
        <f>求节点(宝物升星!$C$43:$C$48,宝物升星!E$43:E$48,投放验证!AQ114)</f>
        <v>0</v>
      </c>
      <c r="L104" s="17">
        <f>求节点(宝物升星!$C$43:$C$48,宝物升星!F$43:F$48,投放验证!AR114)</f>
        <v>0.12000000000000001</v>
      </c>
      <c r="M104" s="17">
        <f>求节点(宝物升星!$C$43:$C$48,宝物升星!G$43:G$48,投放验证!AS114)</f>
        <v>0.2</v>
      </c>
    </row>
    <row r="105" spans="3:13">
      <c r="C105" s="16">
        <v>23</v>
      </c>
      <c r="D105" s="17">
        <f>投放验证!O115</f>
        <v>160</v>
      </c>
      <c r="E105" s="17">
        <f>投放验证!P115</f>
        <v>66190.350000000006</v>
      </c>
      <c r="F105" s="17">
        <f>求节点(宝物升星!$C$31:$C$36,宝物升星!D$31:D$36,投放验证!AP115)</f>
        <v>0.02</v>
      </c>
      <c r="G105" s="17">
        <f>求节点(宝物升星!$C$31:$C$36,宝物升星!E$31:E$36,投放验证!AQ115)</f>
        <v>0.12</v>
      </c>
      <c r="H105" s="17">
        <f>求节点(宝物升星!$C$31:$C$36,宝物升星!F$31:F$36,投放验证!AR115)</f>
        <v>0.24000000000000002</v>
      </c>
      <c r="I105" s="17">
        <f>求节点(宝物升星!$C$31:$C$36,宝物升星!G$31:G$36,投放验证!AS115)</f>
        <v>0.36</v>
      </c>
      <c r="J105" s="17">
        <f>求节点(宝物升星!$C$43:$C$48,宝物升星!D$43:D$48,投放验证!AP115)</f>
        <v>0</v>
      </c>
      <c r="K105" s="17">
        <f>求节点(宝物升星!$C$43:$C$48,宝物升星!E$43:E$48,投放验证!AQ115)</f>
        <v>0</v>
      </c>
      <c r="L105" s="17">
        <f>求节点(宝物升星!$C$43:$C$48,宝物升星!F$43:F$48,投放验证!AR115)</f>
        <v>0.12000000000000001</v>
      </c>
      <c r="M105" s="93">
        <f>求节点(宝物升星!$C$43:$C$48,宝物升星!G$43:G$48,投放验证!AS115)</f>
        <v>0.2</v>
      </c>
    </row>
    <row r="106" spans="3:13">
      <c r="C106" s="16">
        <v>24</v>
      </c>
    </row>
    <row r="107" spans="3:13">
      <c r="C107" s="16">
        <v>25</v>
      </c>
    </row>
    <row r="108" spans="3:13">
      <c r="C108" s="16">
        <v>26</v>
      </c>
    </row>
    <row r="109" spans="3:13">
      <c r="C109" s="16">
        <v>1</v>
      </c>
      <c r="D109" s="17" t="s">
        <v>78</v>
      </c>
      <c r="E109" s="186" t="s">
        <v>158</v>
      </c>
      <c r="F109" s="170" t="s">
        <v>554</v>
      </c>
      <c r="G109" s="170"/>
      <c r="H109" s="170"/>
      <c r="I109" s="170"/>
      <c r="J109" s="170" t="s">
        <v>555</v>
      </c>
      <c r="K109" s="170"/>
      <c r="L109" s="170"/>
      <c r="M109" s="170"/>
    </row>
    <row r="110" spans="3:13">
      <c r="C110" s="16">
        <v>2</v>
      </c>
      <c r="D110" s="17" t="s">
        <v>161</v>
      </c>
      <c r="E110" s="187"/>
      <c r="F110" s="54" t="s">
        <v>1</v>
      </c>
      <c r="G110" s="54" t="s">
        <v>2</v>
      </c>
      <c r="H110" s="54" t="s">
        <v>0</v>
      </c>
      <c r="I110" s="54" t="s">
        <v>205</v>
      </c>
      <c r="J110" s="54" t="s">
        <v>1</v>
      </c>
      <c r="K110" s="54" t="s">
        <v>2</v>
      </c>
      <c r="L110" s="54" t="s">
        <v>0</v>
      </c>
      <c r="M110" s="54" t="s">
        <v>205</v>
      </c>
    </row>
    <row r="111" spans="3:13">
      <c r="C111" s="16">
        <v>3</v>
      </c>
      <c r="D111" s="17">
        <f>投放验证!O121</f>
        <v>50</v>
      </c>
      <c r="E111" s="17">
        <f>投放验证!P121</f>
        <v>9.1883999999999997</v>
      </c>
      <c r="F111" s="17">
        <f>求节点(宝物升星!$C$31:$C$36,宝物升星!D$31:D$36,投放验证!AP121)</f>
        <v>0.02</v>
      </c>
      <c r="G111" s="17">
        <f>求节点(宝物升星!$C$31:$C$36,宝物升星!E$31:E$36,投放验证!AQ121)</f>
        <v>0.03</v>
      </c>
      <c r="H111" s="17">
        <f>求节点(宝物升星!$C$31:$C$36,宝物升星!F$31:F$36,投放验证!AR121)</f>
        <v>0.04</v>
      </c>
      <c r="I111" s="17">
        <f>求节点(宝物升星!$C$31:$C$36,宝物升星!G$31:G$36,投放验证!AS121)</f>
        <v>0.06</v>
      </c>
      <c r="J111" s="17">
        <f>求节点(宝物升星!$C$43:$C$48,宝物升星!D$43:D$48,投放验证!AP121)</f>
        <v>0</v>
      </c>
      <c r="K111" s="17">
        <f>求节点(宝物升星!$C$43:$C$48,宝物升星!E$43:E$48,投放验证!AQ121)</f>
        <v>0</v>
      </c>
      <c r="L111" s="17">
        <f>求节点(宝物升星!$C$43:$C$48,宝物升星!F$43:F$48,投放验证!AR121)</f>
        <v>0.02</v>
      </c>
      <c r="M111" s="17">
        <f>求节点(宝物升星!$C$43:$C$48,宝物升星!G$43:G$48,投放验证!AS121)</f>
        <v>0.03</v>
      </c>
    </row>
    <row r="112" spans="3:13">
      <c r="C112" s="16">
        <v>4</v>
      </c>
      <c r="D112" s="17">
        <f>投放验证!O122</f>
        <v>60</v>
      </c>
      <c r="E112" s="17">
        <f>投放验证!P122</f>
        <v>18.276300000000003</v>
      </c>
      <c r="F112" s="17">
        <f>求节点(宝物升星!$C$31:$C$36,宝物升星!D$31:D$36,投放验证!AP122)</f>
        <v>0.02</v>
      </c>
      <c r="G112" s="17">
        <f>求节点(宝物升星!$C$31:$C$36,宝物升星!E$31:E$36,投放验证!AQ122)</f>
        <v>0.12</v>
      </c>
      <c r="H112" s="17">
        <f>求节点(宝物升星!$C$31:$C$36,宝物升星!F$31:F$36,投放验证!AR122)</f>
        <v>0.11721224537466324</v>
      </c>
      <c r="I112" s="17">
        <f>求节点(宝物升星!$C$31:$C$36,宝物升星!G$31:G$36,投放验证!AS122)</f>
        <v>0.20547740567917147</v>
      </c>
      <c r="J112" s="17">
        <f>求节点(宝物升星!$C$43:$C$48,宝物升星!D$43:D$48,投放验证!AP122)</f>
        <v>0</v>
      </c>
      <c r="K112" s="17">
        <f>求节点(宝物升星!$C$43:$C$48,宝物升星!E$43:E$48,投放验证!AQ122)</f>
        <v>0</v>
      </c>
      <c r="L112" s="17">
        <f>求节点(宝物升星!$C$43:$C$48,宝物升星!F$43:F$48,投放验证!AR122)</f>
        <v>5.8606122687331619E-2</v>
      </c>
      <c r="M112" s="17">
        <f>求节点(宝物升星!$C$43:$C$48,宝物升星!G$43:G$48,投放验证!AS122)</f>
        <v>0.10273870283958574</v>
      </c>
    </row>
    <row r="113" spans="3:13">
      <c r="C113" s="16">
        <v>5</v>
      </c>
      <c r="D113" s="17">
        <f>投放验证!O123</f>
        <v>70</v>
      </c>
      <c r="E113" s="17">
        <f>投放验证!P123</f>
        <v>36.4998</v>
      </c>
      <c r="F113" s="17">
        <f>求节点(宝物升星!$C$31:$C$36,宝物升星!D$31:D$36,投放验证!AP123)</f>
        <v>0.02</v>
      </c>
      <c r="G113" s="17">
        <f>求节点(宝物升星!$C$31:$C$36,宝物升星!E$31:E$36,投放验证!AQ123)</f>
        <v>0.12</v>
      </c>
      <c r="H113" s="17">
        <f>求节点(宝物升星!$C$31:$C$36,宝物升星!F$31:F$36,投放验证!AR123)</f>
        <v>0.21755603384297678</v>
      </c>
      <c r="I113" s="17">
        <f>求节点(宝物升星!$C$31:$C$36,宝物升星!G$31:G$36,投放验证!AS123)</f>
        <v>0.20547740567917147</v>
      </c>
      <c r="J113" s="17">
        <f>求节点(宝物升星!$C$43:$C$48,宝物升星!D$43:D$48,投放验证!AP123)</f>
        <v>0</v>
      </c>
      <c r="K113" s="17">
        <f>求节点(宝物升星!$C$43:$C$48,宝物升星!E$43:E$48,投放验证!AQ123)</f>
        <v>0</v>
      </c>
      <c r="L113" s="17">
        <f>求节点(宝物升星!$C$43:$C$48,宝物升星!F$43:F$48,投放验证!AR123)</f>
        <v>0.10877801692148839</v>
      </c>
      <c r="M113" s="17">
        <f>求节点(宝物升星!$C$43:$C$48,宝物升星!G$43:G$48,投放验证!AS123)</f>
        <v>0.10273870283958574</v>
      </c>
    </row>
    <row r="114" spans="3:13">
      <c r="C114" s="16">
        <v>6</v>
      </c>
      <c r="D114" s="17">
        <f>投放验证!O124</f>
        <v>75</v>
      </c>
      <c r="E114" s="17">
        <f>投放验证!P124</f>
        <v>51.755559095329879</v>
      </c>
      <c r="F114" s="17">
        <f>求节点(宝物升星!$C$31:$C$36,宝物升星!D$31:D$36,投放验证!AP124)</f>
        <v>0.02</v>
      </c>
      <c r="G114" s="17">
        <f>求节点(宝物升星!$C$31:$C$36,宝物升星!E$31:E$36,投放验证!AQ124)</f>
        <v>0.12</v>
      </c>
      <c r="H114" s="17">
        <f>求节点(宝物升星!$C$31:$C$36,宝物升星!F$31:F$36,投放验证!AR124)</f>
        <v>0.24000000000000002</v>
      </c>
      <c r="I114" s="17">
        <f>求节点(宝物升星!$C$31:$C$36,宝物升星!G$31:G$36,投放验证!AS124)</f>
        <v>0.2134642922527023</v>
      </c>
      <c r="J114" s="17">
        <f>求节点(宝物升星!$C$43:$C$48,宝物升星!D$43:D$48,投放验证!AP124)</f>
        <v>0</v>
      </c>
      <c r="K114" s="17">
        <f>求节点(宝物升星!$C$43:$C$48,宝物升星!E$43:E$48,投放验证!AQ124)</f>
        <v>0</v>
      </c>
      <c r="L114" s="17">
        <f>求节点(宝物升星!$C$43:$C$48,宝物升星!F$43:F$48,投放验证!AR124)</f>
        <v>0.12000000000000001</v>
      </c>
      <c r="M114" s="17">
        <f>求节点(宝物升星!$C$43:$C$48,宝物升星!G$43:G$48,投放验证!AS124)</f>
        <v>0.10673214612635115</v>
      </c>
    </row>
    <row r="115" spans="3:13">
      <c r="C115" s="16">
        <v>7</v>
      </c>
      <c r="D115" s="17">
        <f>投放验证!O125</f>
        <v>80</v>
      </c>
      <c r="E115" s="17">
        <f>投放验证!P125</f>
        <v>72.777000000000001</v>
      </c>
      <c r="F115" s="17">
        <f>求节点(宝物升星!$C$31:$C$36,宝物升星!D$31:D$36,投放验证!AP125)</f>
        <v>0.02</v>
      </c>
      <c r="G115" s="17">
        <f>求节点(宝物升星!$C$31:$C$36,宝物升星!E$31:E$36,投放验证!AQ125)</f>
        <v>0.12</v>
      </c>
      <c r="H115" s="17">
        <f>求节点(宝物升星!$C$31:$C$36,宝物升星!F$31:F$36,投放验证!AR125)</f>
        <v>0.24000000000000002</v>
      </c>
      <c r="I115" s="17">
        <f>求节点(宝物升星!$C$31:$C$36,宝物升星!G$31:G$36,投放验证!AS125)</f>
        <v>0.27810649078528182</v>
      </c>
      <c r="J115" s="17">
        <f>求节点(宝物升星!$C$43:$C$48,宝物升星!D$43:D$48,投放验证!AP125)</f>
        <v>0</v>
      </c>
      <c r="K115" s="17">
        <f>求节点(宝物升星!$C$43:$C$48,宝物升星!E$43:E$48,投放验证!AQ125)</f>
        <v>0</v>
      </c>
      <c r="L115" s="17">
        <f>求节点(宝物升星!$C$43:$C$48,宝物升星!F$43:F$48,投放验证!AR125)</f>
        <v>0.12000000000000001</v>
      </c>
      <c r="M115" s="17">
        <f>求节点(宝物升星!$C$43:$C$48,宝物升星!G$43:G$48,投放验证!AS125)</f>
        <v>0.14540432719018789</v>
      </c>
    </row>
    <row r="116" spans="3:13">
      <c r="C116" s="16">
        <v>8</v>
      </c>
      <c r="D116" s="17">
        <f>投放验证!O126</f>
        <v>85</v>
      </c>
      <c r="E116" s="17">
        <f>投放验证!P126</f>
        <v>102.53498283877349</v>
      </c>
      <c r="F116" s="17">
        <f>求节点(宝物升星!$C$31:$C$36,宝物升星!D$31:D$36,投放验证!AP126)</f>
        <v>0.02</v>
      </c>
      <c r="G116" s="17">
        <f>求节点(宝物升星!$C$31:$C$36,宝物升星!E$31:E$36,投放验证!AQ126)</f>
        <v>0.12</v>
      </c>
      <c r="H116" s="17">
        <f>求节点(宝物升星!$C$31:$C$36,宝物升星!F$31:F$36,投放验证!AR126)</f>
        <v>0.24000000000000002</v>
      </c>
      <c r="I116" s="17">
        <f>求节点(宝物升星!$C$31:$C$36,宝物升星!G$31:G$36,投放验证!AS126)</f>
        <v>0.36</v>
      </c>
      <c r="J116" s="17">
        <f>求节点(宝物升星!$C$43:$C$48,宝物升星!D$43:D$48,投放验证!AP126)</f>
        <v>0</v>
      </c>
      <c r="K116" s="17">
        <f>求节点(宝物升星!$C$43:$C$48,宝物升星!E$43:E$48,投放验证!AQ126)</f>
        <v>0</v>
      </c>
      <c r="L116" s="17">
        <f>求节点(宝物升星!$C$43:$C$48,宝物升星!F$43:F$48,投放验证!AR126)</f>
        <v>0.12000000000000001</v>
      </c>
      <c r="M116" s="17">
        <f>求节点(宝物升星!$C$43:$C$48,宝物升星!G$43:G$48,投放验证!AS126)</f>
        <v>0.2</v>
      </c>
    </row>
    <row r="117" spans="3:13">
      <c r="C117" s="16">
        <v>9</v>
      </c>
      <c r="D117" s="17">
        <f>投放验证!O127</f>
        <v>90</v>
      </c>
      <c r="E117" s="17">
        <f>投放验证!P127</f>
        <v>138.48100000000002</v>
      </c>
      <c r="F117" s="17">
        <f>求节点(宝物升星!$C$31:$C$36,宝物升星!D$31:D$36,投放验证!AP127)</f>
        <v>0.02</v>
      </c>
      <c r="G117" s="17">
        <f>求节点(宝物升星!$C$31:$C$36,宝物升星!E$31:E$36,投放验证!AQ127)</f>
        <v>0.12</v>
      </c>
      <c r="H117" s="17">
        <f>求节点(宝物升星!$C$31:$C$36,宝物升星!F$31:F$36,投放验证!AR127)</f>
        <v>0.24000000000000002</v>
      </c>
      <c r="I117" s="17">
        <f>求节点(宝物升星!$C$31:$C$36,宝物升星!G$31:G$36,投放验证!AS127)</f>
        <v>0.36</v>
      </c>
      <c r="J117" s="17">
        <f>求节点(宝物升星!$C$43:$C$48,宝物升星!D$43:D$48,投放验证!AP127)</f>
        <v>0</v>
      </c>
      <c r="K117" s="17">
        <f>求节点(宝物升星!$C$43:$C$48,宝物升星!E$43:E$48,投放验证!AQ127)</f>
        <v>0</v>
      </c>
      <c r="L117" s="17">
        <f>求节点(宝物升星!$C$43:$C$48,宝物升星!F$43:F$48,投放验证!AR127)</f>
        <v>0.12000000000000001</v>
      </c>
      <c r="M117" s="17">
        <f>求节点(宝物升星!$C$43:$C$48,宝物升星!G$43:G$48,投放验证!AS127)</f>
        <v>0.2</v>
      </c>
    </row>
    <row r="118" spans="3:13">
      <c r="C118" s="16">
        <v>10</v>
      </c>
      <c r="D118" s="17">
        <f>投放验证!O128</f>
        <v>95</v>
      </c>
      <c r="E118" s="17">
        <f>投放验证!P128</f>
        <v>192.84472762747106</v>
      </c>
      <c r="F118" s="17">
        <f>求节点(宝物升星!$C$31:$C$36,宝物升星!D$31:D$36,投放验证!AP128)</f>
        <v>0.02</v>
      </c>
      <c r="G118" s="17">
        <f>求节点(宝物升星!$C$31:$C$36,宝物升星!E$31:E$36,投放验证!AQ128)</f>
        <v>0.12</v>
      </c>
      <c r="H118" s="17">
        <f>求节点(宝物升星!$C$31:$C$36,宝物升星!F$31:F$36,投放验证!AR128)</f>
        <v>0.24000000000000002</v>
      </c>
      <c r="I118" s="17">
        <f>求节点(宝物升星!$C$31:$C$36,宝物升星!G$31:G$36,投放验证!AS128)</f>
        <v>0.36</v>
      </c>
      <c r="J118" s="17">
        <f>求节点(宝物升星!$C$43:$C$48,宝物升星!D$43:D$48,投放验证!AP128)</f>
        <v>0</v>
      </c>
      <c r="K118" s="17">
        <f>求节点(宝物升星!$C$43:$C$48,宝物升星!E$43:E$48,投放验证!AQ128)</f>
        <v>0</v>
      </c>
      <c r="L118" s="17">
        <f>求节点(宝物升星!$C$43:$C$48,宝物升星!F$43:F$48,投放验证!AR128)</f>
        <v>0.12000000000000001</v>
      </c>
      <c r="M118" s="17">
        <f>求节点(宝物升星!$C$43:$C$48,宝物升星!G$43:G$48,投放验证!AS128)</f>
        <v>0.2</v>
      </c>
    </row>
    <row r="119" spans="3:13">
      <c r="C119" s="16">
        <v>11</v>
      </c>
      <c r="D119" s="17">
        <f>投放验证!O129</f>
        <v>100</v>
      </c>
      <c r="E119" s="17">
        <f>投放验证!P129</f>
        <v>274.77780000000001</v>
      </c>
      <c r="F119" s="17">
        <f>求节点(宝物升星!$C$31:$C$36,宝物升星!D$31:D$36,投放验证!AP129)</f>
        <v>0.02</v>
      </c>
      <c r="G119" s="17">
        <f>求节点(宝物升星!$C$31:$C$36,宝物升星!E$31:E$36,投放验证!AQ129)</f>
        <v>0.12</v>
      </c>
      <c r="H119" s="17">
        <f>求节点(宝物升星!$C$31:$C$36,宝物升星!F$31:F$36,投放验证!AR129)</f>
        <v>0.24000000000000002</v>
      </c>
      <c r="I119" s="17">
        <f>求节点(宝物升星!$C$31:$C$36,宝物升星!G$31:G$36,投放验证!AS129)</f>
        <v>0.36</v>
      </c>
      <c r="J119" s="17">
        <f>求节点(宝物升星!$C$43:$C$48,宝物升星!D$43:D$48,投放验证!AP129)</f>
        <v>0</v>
      </c>
      <c r="K119" s="17">
        <f>求节点(宝物升星!$C$43:$C$48,宝物升星!E$43:E$48,投放验证!AQ129)</f>
        <v>0</v>
      </c>
      <c r="L119" s="17">
        <f>求节点(宝物升星!$C$43:$C$48,宝物升星!F$43:F$48,投放验证!AR129)</f>
        <v>0.12000000000000001</v>
      </c>
      <c r="M119" s="17">
        <f>求节点(宝物升星!$C$43:$C$48,宝物升星!G$43:G$48,投放验证!AS129)</f>
        <v>0.2</v>
      </c>
    </row>
    <row r="120" spans="3:13">
      <c r="C120" s="16">
        <v>12</v>
      </c>
      <c r="D120" s="17">
        <f>投放验证!O130</f>
        <v>105</v>
      </c>
      <c r="E120" s="17">
        <f>投放验证!P130</f>
        <v>386.39030166130323</v>
      </c>
      <c r="F120" s="17">
        <f>求节点(宝物升星!$C$31:$C$36,宝物升星!D$31:D$36,投放验证!AP130)</f>
        <v>0.02</v>
      </c>
      <c r="G120" s="17">
        <f>求节点(宝物升星!$C$31:$C$36,宝物升星!E$31:E$36,投放验证!AQ130)</f>
        <v>0.12</v>
      </c>
      <c r="H120" s="17">
        <f>求节点(宝物升星!$C$31:$C$36,宝物升星!F$31:F$36,投放验证!AR130)</f>
        <v>0.24000000000000002</v>
      </c>
      <c r="I120" s="17">
        <f>求节点(宝物升星!$C$31:$C$36,宝物升星!G$31:G$36,投放验证!AS130)</f>
        <v>0.36</v>
      </c>
      <c r="J120" s="17">
        <f>求节点(宝物升星!$C$43:$C$48,宝物升星!D$43:D$48,投放验证!AP130)</f>
        <v>0</v>
      </c>
      <c r="K120" s="17">
        <f>求节点(宝物升星!$C$43:$C$48,宝物升星!E$43:E$48,投放验证!AQ130)</f>
        <v>0</v>
      </c>
      <c r="L120" s="17">
        <f>求节点(宝物升星!$C$43:$C$48,宝物升星!F$43:F$48,投放验证!AR130)</f>
        <v>0.12000000000000001</v>
      </c>
      <c r="M120" s="17">
        <f>求节点(宝物升星!$C$43:$C$48,宝物升星!G$43:G$48,投放验证!AS130)</f>
        <v>0.2</v>
      </c>
    </row>
    <row r="121" spans="3:13">
      <c r="C121" s="16">
        <v>13</v>
      </c>
      <c r="D121" s="17">
        <f>投放验证!O131</f>
        <v>110</v>
      </c>
      <c r="E121" s="17">
        <f>投放验证!P131</f>
        <v>542.04559999999992</v>
      </c>
      <c r="F121" s="17">
        <f>求节点(宝物升星!$C$31:$C$36,宝物升星!D$31:D$36,投放验证!AP131)</f>
        <v>0.02</v>
      </c>
      <c r="G121" s="17">
        <f>求节点(宝物升星!$C$31:$C$36,宝物升星!E$31:E$36,投放验证!AQ131)</f>
        <v>0.12</v>
      </c>
      <c r="H121" s="17">
        <f>求节点(宝物升星!$C$31:$C$36,宝物升星!F$31:F$36,投放验证!AR131)</f>
        <v>0.24000000000000002</v>
      </c>
      <c r="I121" s="17">
        <f>求节点(宝物升星!$C$31:$C$36,宝物升星!G$31:G$36,投放验证!AS131)</f>
        <v>0.36</v>
      </c>
      <c r="J121" s="17">
        <f>求节点(宝物升星!$C$43:$C$48,宝物升星!D$43:D$48,投放验证!AP131)</f>
        <v>0</v>
      </c>
      <c r="K121" s="17">
        <f>求节点(宝物升星!$C$43:$C$48,宝物升星!E$43:E$48,投放验证!AQ131)</f>
        <v>0</v>
      </c>
      <c r="L121" s="17">
        <f>求节点(宝物升星!$C$43:$C$48,宝物升星!F$43:F$48,投放验证!AR131)</f>
        <v>0.12000000000000001</v>
      </c>
      <c r="M121" s="17">
        <f>求节点(宝物升星!$C$43:$C$48,宝物升星!G$43:G$48,投放验证!AS131)</f>
        <v>0.2</v>
      </c>
    </row>
    <row r="122" spans="3:13">
      <c r="C122" s="16">
        <v>14</v>
      </c>
      <c r="D122" s="17">
        <f>投放验证!O132</f>
        <v>115</v>
      </c>
      <c r="E122" s="17">
        <f>投放验证!P132</f>
        <v>758.86058738147995</v>
      </c>
      <c r="F122" s="17">
        <f>求节点(宝物升星!$C$31:$C$36,宝物升星!D$31:D$36,投放验证!AP132)</f>
        <v>0.02</v>
      </c>
      <c r="G122" s="17">
        <f>求节点(宝物升星!$C$31:$C$36,宝物升星!E$31:E$36,投放验证!AQ132)</f>
        <v>0.12</v>
      </c>
      <c r="H122" s="17">
        <f>求节点(宝物升星!$C$31:$C$36,宝物升星!F$31:F$36,投放验证!AR132)</f>
        <v>0.24000000000000002</v>
      </c>
      <c r="I122" s="17">
        <f>求节点(宝物升星!$C$31:$C$36,宝物升星!G$31:G$36,投放验证!AS132)</f>
        <v>0.36</v>
      </c>
      <c r="J122" s="17">
        <f>求节点(宝物升星!$C$43:$C$48,宝物升星!D$43:D$48,投放验证!AP132)</f>
        <v>0</v>
      </c>
      <c r="K122" s="17">
        <f>求节点(宝物升星!$C$43:$C$48,宝物升星!E$43:E$48,投放验证!AQ132)</f>
        <v>0</v>
      </c>
      <c r="L122" s="17">
        <f>求节点(宝物升星!$C$43:$C$48,宝物升星!F$43:F$48,投放验证!AR132)</f>
        <v>0.12000000000000001</v>
      </c>
      <c r="M122" s="17">
        <f>求节点(宝物升星!$C$43:$C$48,宝物升星!G$43:G$48,投放验证!AS132)</f>
        <v>0.2</v>
      </c>
    </row>
    <row r="123" spans="3:13">
      <c r="C123" s="16">
        <v>15</v>
      </c>
      <c r="D123" s="17">
        <f>投放验证!O133</f>
        <v>120</v>
      </c>
      <c r="E123" s="17">
        <f>投放验证!P133</f>
        <v>1067.9759999999999</v>
      </c>
      <c r="F123" s="17">
        <f>求节点(宝物升星!$C$31:$C$36,宝物升星!D$31:D$36,投放验证!AP133)</f>
        <v>0.02</v>
      </c>
      <c r="G123" s="17">
        <f>求节点(宝物升星!$C$31:$C$36,宝物升星!E$31:E$36,投放验证!AQ133)</f>
        <v>0.12</v>
      </c>
      <c r="H123" s="17">
        <f>求节点(宝物升星!$C$31:$C$36,宝物升星!F$31:F$36,投放验证!AR133)</f>
        <v>0.24000000000000002</v>
      </c>
      <c r="I123" s="17">
        <f>求节点(宝物升星!$C$31:$C$36,宝物升星!G$31:G$36,投放验证!AS133)</f>
        <v>0.36</v>
      </c>
      <c r="J123" s="17">
        <f>求节点(宝物升星!$C$43:$C$48,宝物升星!D$43:D$48,投放验证!AP133)</f>
        <v>0</v>
      </c>
      <c r="K123" s="17">
        <f>求节点(宝物升星!$C$43:$C$48,宝物升星!E$43:E$48,投放验证!AQ133)</f>
        <v>0</v>
      </c>
      <c r="L123" s="17">
        <f>求节点(宝物升星!$C$43:$C$48,宝物升星!F$43:F$48,投放验证!AR133)</f>
        <v>0.12000000000000001</v>
      </c>
      <c r="M123" s="17">
        <f>求节点(宝物升星!$C$43:$C$48,宝物升星!G$43:G$48,投放验证!AS133)</f>
        <v>0.2</v>
      </c>
    </row>
    <row r="124" spans="3:13">
      <c r="C124" s="16">
        <v>16</v>
      </c>
      <c r="D124" s="17">
        <f>投放验证!O134</f>
        <v>125</v>
      </c>
      <c r="E124" s="17">
        <f>投放验证!P134</f>
        <v>1509.8750085108877</v>
      </c>
      <c r="F124" s="17">
        <f>求节点(宝物升星!$C$31:$C$36,宝物升星!D$31:D$36,投放验证!AP134)</f>
        <v>0.02</v>
      </c>
      <c r="G124" s="17">
        <f>求节点(宝物升星!$C$31:$C$36,宝物升星!E$31:E$36,投放验证!AQ134)</f>
        <v>0.12</v>
      </c>
      <c r="H124" s="17">
        <f>求节点(宝物升星!$C$31:$C$36,宝物升星!F$31:F$36,投放验证!AR134)</f>
        <v>0.24000000000000002</v>
      </c>
      <c r="I124" s="17">
        <f>求节点(宝物升星!$C$31:$C$36,宝物升星!G$31:G$36,投放验证!AS134)</f>
        <v>0.36</v>
      </c>
      <c r="J124" s="17">
        <f>求节点(宝物升星!$C$43:$C$48,宝物升星!D$43:D$48,投放验证!AP134)</f>
        <v>0</v>
      </c>
      <c r="K124" s="17">
        <f>求节点(宝物升星!$C$43:$C$48,宝物升星!E$43:E$48,投放验证!AQ134)</f>
        <v>0</v>
      </c>
      <c r="L124" s="17">
        <f>求节点(宝物升星!$C$43:$C$48,宝物升星!F$43:F$48,投放验证!AR134)</f>
        <v>0.12000000000000001</v>
      </c>
      <c r="M124" s="17">
        <f>求节点(宝物升星!$C$43:$C$48,宝物升星!G$43:G$48,投放验证!AS134)</f>
        <v>0.2</v>
      </c>
    </row>
    <row r="125" spans="3:13">
      <c r="C125" s="16">
        <v>17</v>
      </c>
      <c r="D125" s="17">
        <f>投放验证!O135</f>
        <v>130</v>
      </c>
      <c r="E125" s="17">
        <f>投放验证!P135</f>
        <v>2124.7454000000002</v>
      </c>
      <c r="F125" s="17">
        <f>求节点(宝物升星!$C$31:$C$36,宝物升星!D$31:D$36,投放验证!AP135)</f>
        <v>0.02</v>
      </c>
      <c r="G125" s="17">
        <f>求节点(宝物升星!$C$31:$C$36,宝物升星!E$31:E$36,投放验证!AQ135)</f>
        <v>0.12</v>
      </c>
      <c r="H125" s="17">
        <f>求节点(宝物升星!$C$31:$C$36,宝物升星!F$31:F$36,投放验证!AR135)</f>
        <v>0.24000000000000002</v>
      </c>
      <c r="I125" s="17">
        <f>求节点(宝物升星!$C$31:$C$36,宝物升星!G$31:G$36,投放验证!AS135)</f>
        <v>0.36</v>
      </c>
      <c r="J125" s="17">
        <f>求节点(宝物升星!$C$43:$C$48,宝物升星!D$43:D$48,投放验证!AP135)</f>
        <v>0</v>
      </c>
      <c r="K125" s="17">
        <f>求节点(宝物升星!$C$43:$C$48,宝物升星!E$43:E$48,投放验证!AQ135)</f>
        <v>0</v>
      </c>
      <c r="L125" s="17">
        <f>求节点(宝物升星!$C$43:$C$48,宝物升星!F$43:F$48,投放验证!AR135)</f>
        <v>0.12000000000000001</v>
      </c>
      <c r="M125" s="17">
        <f>求节点(宝物升星!$C$43:$C$48,宝物升星!G$43:G$48,投放验证!AS135)</f>
        <v>0.2</v>
      </c>
    </row>
    <row r="126" spans="3:13">
      <c r="C126" s="16">
        <v>18</v>
      </c>
      <c r="D126" s="17">
        <f>投放验证!O136</f>
        <v>135</v>
      </c>
      <c r="E126" s="17">
        <f>投放验证!P136</f>
        <v>2979.465885761414</v>
      </c>
      <c r="F126" s="17">
        <f>求节点(宝物升星!$C$31:$C$36,宝物升星!D$31:D$36,投放验证!AP136)</f>
        <v>0.02</v>
      </c>
      <c r="G126" s="17">
        <f>求节点(宝物升星!$C$31:$C$36,宝物升星!E$31:E$36,投放验证!AQ136)</f>
        <v>0.12</v>
      </c>
      <c r="H126" s="17">
        <f>求节点(宝物升星!$C$31:$C$36,宝物升星!F$31:F$36,投放验证!AR136)</f>
        <v>0.24000000000000002</v>
      </c>
      <c r="I126" s="17">
        <f>求节点(宝物升星!$C$31:$C$36,宝物升星!G$31:G$36,投放验证!AS136)</f>
        <v>0.36</v>
      </c>
      <c r="J126" s="17">
        <f>求节点(宝物升星!$C$43:$C$48,宝物升星!D$43:D$48,投放验证!AP136)</f>
        <v>0</v>
      </c>
      <c r="K126" s="17">
        <f>求节点(宝物升星!$C$43:$C$48,宝物升星!E$43:E$48,投放验证!AQ136)</f>
        <v>0</v>
      </c>
      <c r="L126" s="17">
        <f>求节点(宝物升星!$C$43:$C$48,宝物升星!F$43:F$48,投放验证!AR136)</f>
        <v>0.12000000000000001</v>
      </c>
      <c r="M126" s="17">
        <f>求节点(宝物升星!$C$43:$C$48,宝物升星!G$43:G$48,投放验证!AS136)</f>
        <v>0.2</v>
      </c>
    </row>
    <row r="127" spans="3:13">
      <c r="C127" s="16">
        <v>19</v>
      </c>
      <c r="D127" s="17">
        <f>投放验证!O137</f>
        <v>140</v>
      </c>
      <c r="E127" s="17">
        <f>投放验证!P137</f>
        <v>4192.4097000000002</v>
      </c>
      <c r="F127" s="17">
        <f>求节点(宝物升星!$C$31:$C$36,宝物升星!D$31:D$36,投放验证!AP137)</f>
        <v>0.02</v>
      </c>
      <c r="G127" s="17">
        <f>求节点(宝物升星!$C$31:$C$36,宝物升星!E$31:E$36,投放验证!AQ137)</f>
        <v>0.12</v>
      </c>
      <c r="H127" s="17">
        <f>求节点(宝物升星!$C$31:$C$36,宝物升星!F$31:F$36,投放验证!AR137)</f>
        <v>0.24000000000000002</v>
      </c>
      <c r="I127" s="17">
        <f>求节点(宝物升星!$C$31:$C$36,宝物升星!G$31:G$36,投放验证!AS137)</f>
        <v>0.36</v>
      </c>
      <c r="J127" s="17">
        <f>求节点(宝物升星!$C$43:$C$48,宝物升星!D$43:D$48,投放验证!AP137)</f>
        <v>0</v>
      </c>
      <c r="K127" s="17">
        <f>求节点(宝物升星!$C$43:$C$48,宝物升星!E$43:E$48,投放验证!AQ137)</f>
        <v>0</v>
      </c>
      <c r="L127" s="17">
        <f>求节点(宝物升星!$C$43:$C$48,宝物升星!F$43:F$48,投放验证!AR137)</f>
        <v>0.12000000000000001</v>
      </c>
      <c r="M127" s="17">
        <f>求节点(宝物升星!$C$43:$C$48,宝物升星!G$43:G$48,投放验证!AS137)</f>
        <v>0.2</v>
      </c>
    </row>
    <row r="128" spans="3:13">
      <c r="C128" s="16">
        <v>20</v>
      </c>
      <c r="D128" s="17">
        <f>投放验证!O138</f>
        <v>145</v>
      </c>
      <c r="E128" s="17">
        <f>投放验证!P138</f>
        <v>5926.7517065145412</v>
      </c>
      <c r="F128" s="17">
        <f>求节点(宝物升星!$C$31:$C$36,宝物升星!D$31:D$36,投放验证!AP138)</f>
        <v>0.02</v>
      </c>
      <c r="G128" s="17">
        <f>求节点(宝物升星!$C$31:$C$36,宝物升星!E$31:E$36,投放验证!AQ138)</f>
        <v>0.12</v>
      </c>
      <c r="H128" s="17">
        <f>求节点(宝物升星!$C$31:$C$36,宝物升星!F$31:F$36,投放验证!AR138)</f>
        <v>0.24000000000000002</v>
      </c>
      <c r="I128" s="17">
        <f>求节点(宝物升星!$C$31:$C$36,宝物升星!G$31:G$36,投放验证!AS138)</f>
        <v>0.36</v>
      </c>
      <c r="J128" s="17">
        <f>求节点(宝物升星!$C$43:$C$48,宝物升星!D$43:D$48,投放验证!AP138)</f>
        <v>0</v>
      </c>
      <c r="K128" s="17">
        <f>求节点(宝物升星!$C$43:$C$48,宝物升星!E$43:E$48,投放验证!AQ138)</f>
        <v>0</v>
      </c>
      <c r="L128" s="17">
        <f>求节点(宝物升星!$C$43:$C$48,宝物升星!F$43:F$48,投放验证!AR138)</f>
        <v>0.12000000000000001</v>
      </c>
      <c r="M128" s="17">
        <f>求节点(宝物升星!$C$43:$C$48,宝物升星!G$43:G$48,投放验证!AS138)</f>
        <v>0.2</v>
      </c>
    </row>
    <row r="129" spans="3:13">
      <c r="C129" s="16">
        <v>21</v>
      </c>
      <c r="D129" s="17">
        <f>投放验证!O139</f>
        <v>150</v>
      </c>
      <c r="E129" s="17">
        <f>投放验证!P139</f>
        <v>8355.5850000000009</v>
      </c>
      <c r="F129" s="17">
        <f>求节点(宝物升星!$C$31:$C$36,宝物升星!D$31:D$36,投放验证!AP139)</f>
        <v>0.02</v>
      </c>
      <c r="G129" s="17">
        <f>求节点(宝物升星!$C$31:$C$36,宝物升星!E$31:E$36,投放验证!AQ139)</f>
        <v>0.12</v>
      </c>
      <c r="H129" s="17">
        <f>求节点(宝物升星!$C$31:$C$36,宝物升星!F$31:F$36,投放验证!AR139)</f>
        <v>0.24000000000000002</v>
      </c>
      <c r="I129" s="17">
        <f>求节点(宝物升星!$C$31:$C$36,宝物升星!G$31:G$36,投放验证!AS139)</f>
        <v>0.36</v>
      </c>
      <c r="J129" s="17">
        <f>求节点(宝物升星!$C$43:$C$48,宝物升星!D$43:D$48,投放验证!AP139)</f>
        <v>0</v>
      </c>
      <c r="K129" s="17">
        <f>求节点(宝物升星!$C$43:$C$48,宝物升星!E$43:E$48,投放验证!AQ139)</f>
        <v>0</v>
      </c>
      <c r="L129" s="17">
        <f>求节点(宝物升星!$C$43:$C$48,宝物升星!F$43:F$48,投放验证!AR139)</f>
        <v>0.12000000000000001</v>
      </c>
      <c r="M129" s="17">
        <f>求节点(宝物升星!$C$43:$C$48,宝物升星!G$43:G$48,投放验证!AS139)</f>
        <v>0.2</v>
      </c>
    </row>
    <row r="130" spans="3:13">
      <c r="C130" s="16">
        <v>22</v>
      </c>
      <c r="D130" s="17">
        <f>投放验证!O140</f>
        <v>155</v>
      </c>
      <c r="E130" s="17">
        <f>投放验证!P140</f>
        <v>44541.959951382152</v>
      </c>
      <c r="F130" s="17">
        <f>求节点(宝物升星!$C$31:$C$36,宝物升星!D$31:D$36,投放验证!AP140)</f>
        <v>0.02</v>
      </c>
      <c r="G130" s="17">
        <f>求节点(宝物升星!$C$31:$C$36,宝物升星!E$31:E$36,投放验证!AQ140)</f>
        <v>0.12</v>
      </c>
      <c r="H130" s="17">
        <f>求节点(宝物升星!$C$31:$C$36,宝物升星!F$31:F$36,投放验证!AR140)</f>
        <v>0.24000000000000002</v>
      </c>
      <c r="I130" s="17">
        <f>求节点(宝物升星!$C$31:$C$36,宝物升星!G$31:G$36,投放验证!AS140)</f>
        <v>0.36</v>
      </c>
      <c r="J130" s="17">
        <f>求节点(宝物升星!$C$43:$C$48,宝物升星!D$43:D$48,投放验证!AP140)</f>
        <v>0</v>
      </c>
      <c r="K130" s="17">
        <f>求节点(宝物升星!$C$43:$C$48,宝物升星!E$43:E$48,投放验证!AQ140)</f>
        <v>0</v>
      </c>
      <c r="L130" s="17">
        <f>求节点(宝物升星!$C$43:$C$48,宝物升星!F$43:F$48,投放验证!AR140)</f>
        <v>0.12000000000000001</v>
      </c>
      <c r="M130" s="17">
        <f>求节点(宝物升星!$C$43:$C$48,宝物升星!G$43:G$48,投放验证!AS140)</f>
        <v>0.2</v>
      </c>
    </row>
    <row r="131" spans="3:13">
      <c r="C131" s="16">
        <v>23</v>
      </c>
      <c r="D131" s="17">
        <f>投放验证!O141</f>
        <v>160</v>
      </c>
      <c r="E131" s="17">
        <f>投放验证!P141</f>
        <v>66190.350000000006</v>
      </c>
      <c r="F131" s="17">
        <f>求节点(宝物升星!$C$31:$C$36,宝物升星!D$31:D$36,投放验证!AP141)</f>
        <v>0.02</v>
      </c>
      <c r="G131" s="17">
        <f>求节点(宝物升星!$C$31:$C$36,宝物升星!E$31:E$36,投放验证!AQ141)</f>
        <v>0.12</v>
      </c>
      <c r="H131" s="17">
        <f>求节点(宝物升星!$C$31:$C$36,宝物升星!F$31:F$36,投放验证!AR141)</f>
        <v>0.24000000000000002</v>
      </c>
      <c r="I131" s="17">
        <f>求节点(宝物升星!$C$31:$C$36,宝物升星!G$31:G$36,投放验证!AS141)</f>
        <v>0.36</v>
      </c>
      <c r="J131" s="17">
        <f>求节点(宝物升星!$C$43:$C$48,宝物升星!D$43:D$48,投放验证!AP141)</f>
        <v>0</v>
      </c>
      <c r="K131" s="17">
        <f>求节点(宝物升星!$C$43:$C$48,宝物升星!E$43:E$48,投放验证!AQ141)</f>
        <v>0</v>
      </c>
      <c r="L131" s="17">
        <f>求节点(宝物升星!$C$43:$C$48,宝物升星!F$43:F$48,投放验证!AR141)</f>
        <v>0.12000000000000001</v>
      </c>
      <c r="M131" s="93">
        <f>求节点(宝物升星!$C$43:$C$48,宝物升星!G$43:G$48,投放验证!AS141)</f>
        <v>0.2</v>
      </c>
    </row>
    <row r="132" spans="3:13">
      <c r="C132" s="16">
        <v>24</v>
      </c>
    </row>
    <row r="133" spans="3:13">
      <c r="C133" s="16">
        <v>25</v>
      </c>
    </row>
    <row r="134" spans="3:13">
      <c r="C134" s="16">
        <v>26</v>
      </c>
    </row>
  </sheetData>
  <mergeCells count="15">
    <mergeCell ref="F83:I83"/>
    <mergeCell ref="J83:M83"/>
    <mergeCell ref="F109:I109"/>
    <mergeCell ref="J109:M109"/>
    <mergeCell ref="E5:E6"/>
    <mergeCell ref="E31:E32"/>
    <mergeCell ref="E57:E58"/>
    <mergeCell ref="E83:E84"/>
    <mergeCell ref="E109:E110"/>
    <mergeCell ref="J5:M5"/>
    <mergeCell ref="F5:I5"/>
    <mergeCell ref="F31:I31"/>
    <mergeCell ref="J31:M31"/>
    <mergeCell ref="F57:I57"/>
    <mergeCell ref="J57:M57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Z144"/>
  <sheetViews>
    <sheetView workbookViewId="0">
      <selection activeCell="Q17" sqref="Q17"/>
    </sheetView>
  </sheetViews>
  <sheetFormatPr defaultColWidth="6.625" defaultRowHeight="11.25"/>
  <cols>
    <col min="1" max="3" width="6.625" style="16"/>
    <col min="4" max="4" width="15.375" style="16" bestFit="1" customWidth="1"/>
    <col min="5" max="11" width="6.625" style="16"/>
    <col min="12" max="12" width="6.625" style="13"/>
    <col min="13" max="16" width="6.625" style="16"/>
    <col min="17" max="17" width="8.875" style="16" customWidth="1"/>
    <col min="18" max="18" width="6.75" style="16" customWidth="1"/>
    <col min="19" max="27" width="6.625" style="16"/>
    <col min="28" max="28" width="10.75" style="16" customWidth="1"/>
    <col min="29" max="29" width="7" style="37" customWidth="1"/>
    <col min="30" max="31" width="6.625" style="37" customWidth="1"/>
    <col min="32" max="32" width="6.625" style="37"/>
    <col min="33" max="33" width="10.75" style="16" customWidth="1"/>
    <col min="34" max="37" width="6.625" style="37"/>
    <col min="38" max="41" width="6.625" style="16" customWidth="1"/>
    <col min="42" max="45" width="6.625" style="37" customWidth="1"/>
    <col min="46" max="46" width="8.25" style="16" customWidth="1"/>
    <col min="47" max="47" width="6.625" style="16" customWidth="1"/>
    <col min="48" max="50" width="6.625" style="38" customWidth="1"/>
    <col min="51" max="73" width="6.625" style="16" customWidth="1"/>
    <col min="74" max="16384" width="6.625" style="16"/>
  </cols>
  <sheetData>
    <row r="1" spans="1:73">
      <c r="A1" s="14" t="s">
        <v>168</v>
      </c>
      <c r="B1" s="14"/>
    </row>
    <row r="2" spans="1:73">
      <c r="A2" s="14" t="s">
        <v>558</v>
      </c>
      <c r="B2" s="14"/>
    </row>
    <row r="3" spans="1:73">
      <c r="A3" s="14" t="s">
        <v>557</v>
      </c>
      <c r="B3" s="14"/>
    </row>
    <row r="4" spans="1:73">
      <c r="B4" s="14"/>
      <c r="AV4" s="92"/>
      <c r="AW4" s="92"/>
      <c r="AX4" s="92"/>
    </row>
    <row r="5" spans="1:73">
      <c r="B5" s="14"/>
    </row>
    <row r="6" spans="1:73">
      <c r="A6" s="14"/>
    </row>
    <row r="7" spans="1:73">
      <c r="A7" s="14"/>
      <c r="D7" s="17" t="s">
        <v>210</v>
      </c>
      <c r="E7" s="17" t="s">
        <v>1</v>
      </c>
      <c r="F7" s="17" t="s">
        <v>2</v>
      </c>
      <c r="G7" s="17" t="s">
        <v>0</v>
      </c>
      <c r="H7" s="17" t="s">
        <v>167</v>
      </c>
      <c r="I7" s="17" t="s">
        <v>29</v>
      </c>
    </row>
    <row r="8" spans="1:73">
      <c r="A8" s="14"/>
      <c r="D8" s="17" t="s">
        <v>170</v>
      </c>
      <c r="E8" s="17">
        <f>基础状态预期!C6</f>
        <v>4</v>
      </c>
      <c r="F8" s="17">
        <f>基础状态预期!D6</f>
        <v>9</v>
      </c>
      <c r="G8" s="17">
        <f>基础状态预期!E6</f>
        <v>8</v>
      </c>
      <c r="H8" s="17">
        <f>基础状态预期!F6</f>
        <v>0</v>
      </c>
      <c r="I8" s="17">
        <f>基础状态预期!G6</f>
        <v>0</v>
      </c>
    </row>
    <row r="9" spans="1:73">
      <c r="A9" s="14"/>
      <c r="D9" s="17" t="s">
        <v>169</v>
      </c>
      <c r="E9" s="17">
        <f>基础状态预期!C7</f>
        <v>0</v>
      </c>
      <c r="F9" s="17">
        <f>基础状态预期!D7</f>
        <v>0</v>
      </c>
      <c r="G9" s="17">
        <f>基础状态预期!E7</f>
        <v>0</v>
      </c>
      <c r="H9" s="17">
        <f>基础状态预期!F7</f>
        <v>6</v>
      </c>
      <c r="I9" s="17">
        <f>基础状态预期!G7</f>
        <v>0</v>
      </c>
    </row>
    <row r="10" spans="1:73">
      <c r="A10" s="14"/>
      <c r="D10" s="17" t="s">
        <v>456</v>
      </c>
      <c r="E10" s="17">
        <v>100</v>
      </c>
      <c r="F10" s="17">
        <v>500</v>
      </c>
      <c r="G10" s="17">
        <v>2500</v>
      </c>
      <c r="H10" s="17">
        <v>10000</v>
      </c>
      <c r="I10" s="17">
        <f>H10*3</f>
        <v>30000</v>
      </c>
      <c r="O10" s="48" t="s">
        <v>358</v>
      </c>
      <c r="P10" s="16">
        <v>0.2</v>
      </c>
    </row>
    <row r="11" spans="1:73">
      <c r="A11" s="14"/>
      <c r="D11" s="17" t="s">
        <v>211</v>
      </c>
      <c r="E11" s="17"/>
      <c r="F11" s="17"/>
      <c r="G11" s="17"/>
      <c r="H11" s="17"/>
      <c r="I11" s="17"/>
      <c r="O11" s="48"/>
    </row>
    <row r="12" spans="1:73">
      <c r="D12" s="17" t="s">
        <v>212</v>
      </c>
      <c r="E12" s="17">
        <f>E10</f>
        <v>100</v>
      </c>
      <c r="F12" s="17">
        <f>F10</f>
        <v>500</v>
      </c>
      <c r="G12" s="17">
        <v>4000</v>
      </c>
      <c r="H12" s="17">
        <f>H10*2</f>
        <v>20000</v>
      </c>
      <c r="I12" s="17">
        <f>I10*2</f>
        <v>60000</v>
      </c>
    </row>
    <row r="14" spans="1:73">
      <c r="E14" s="16">
        <f>E10*E15*E16</f>
        <v>37.5</v>
      </c>
      <c r="F14" s="16">
        <f>F10*F15*F16</f>
        <v>62.5</v>
      </c>
      <c r="G14" s="16">
        <f>G10*G15*G16</f>
        <v>56.25</v>
      </c>
      <c r="H14" s="16">
        <f>H10*H15*H16</f>
        <v>75</v>
      </c>
      <c r="AV14" s="38" t="s">
        <v>430</v>
      </c>
    </row>
    <row r="15" spans="1:73">
      <c r="D15" s="17" t="s">
        <v>318</v>
      </c>
      <c r="E15" s="17">
        <f>1-SUM(F15:H15)</f>
        <v>0.375</v>
      </c>
      <c r="F15" s="17">
        <v>0.25</v>
      </c>
      <c r="G15" s="17">
        <v>0.22500000000000001</v>
      </c>
      <c r="H15" s="17">
        <v>0.15</v>
      </c>
      <c r="N15" s="16">
        <v>1</v>
      </c>
      <c r="O15" s="17" t="s">
        <v>217</v>
      </c>
      <c r="P15" s="175" t="s">
        <v>158</v>
      </c>
      <c r="Q15" s="175" t="s">
        <v>359</v>
      </c>
      <c r="R15" s="175" t="s">
        <v>360</v>
      </c>
      <c r="S15" s="196" t="s">
        <v>363</v>
      </c>
      <c r="T15" s="197"/>
      <c r="U15" s="197"/>
      <c r="V15" s="198"/>
      <c r="W15" s="175" t="s">
        <v>361</v>
      </c>
      <c r="X15" s="183" t="s">
        <v>362</v>
      </c>
      <c r="Y15" s="194"/>
      <c r="Z15" s="194"/>
      <c r="AA15" s="195"/>
      <c r="AB15" s="192" t="s">
        <v>493</v>
      </c>
      <c r="AC15" s="189" t="s">
        <v>340</v>
      </c>
      <c r="AD15" s="190"/>
      <c r="AE15" s="190"/>
      <c r="AF15" s="191"/>
      <c r="AG15" s="192" t="s">
        <v>494</v>
      </c>
      <c r="AH15" s="189" t="s">
        <v>497</v>
      </c>
      <c r="AI15" s="190"/>
      <c r="AJ15" s="190"/>
      <c r="AK15" s="191"/>
      <c r="AL15" s="171" t="s">
        <v>339</v>
      </c>
      <c r="AM15" s="173"/>
      <c r="AN15" s="173"/>
      <c r="AO15" s="172"/>
      <c r="AP15" s="189" t="s">
        <v>245</v>
      </c>
      <c r="AQ15" s="190"/>
      <c r="AR15" s="190"/>
      <c r="AS15" s="191"/>
      <c r="AV15" s="188" t="s">
        <v>1</v>
      </c>
      <c r="AW15" s="188"/>
      <c r="AX15" s="188"/>
      <c r="AY15" s="188" t="s">
        <v>2</v>
      </c>
      <c r="AZ15" s="188"/>
      <c r="BA15" s="188"/>
      <c r="BB15" s="188" t="s">
        <v>0</v>
      </c>
      <c r="BC15" s="188"/>
      <c r="BD15" s="188"/>
      <c r="BE15" s="188" t="s">
        <v>205</v>
      </c>
      <c r="BF15" s="188"/>
      <c r="BG15" s="188"/>
      <c r="BJ15" s="16" t="s">
        <v>552</v>
      </c>
      <c r="BN15" s="16" t="s">
        <v>498</v>
      </c>
      <c r="BR15" s="16" t="s">
        <v>553</v>
      </c>
    </row>
    <row r="16" spans="1:73">
      <c r="D16" s="17" t="s">
        <v>319</v>
      </c>
      <c r="E16" s="17">
        <v>1</v>
      </c>
      <c r="F16" s="17">
        <f>5/10</f>
        <v>0.5</v>
      </c>
      <c r="G16" s="17">
        <f>3/30</f>
        <v>0.1</v>
      </c>
      <c r="H16" s="17">
        <f>1.5/30</f>
        <v>0.05</v>
      </c>
      <c r="N16" s="16">
        <v>2</v>
      </c>
      <c r="O16" s="17" t="s">
        <v>161</v>
      </c>
      <c r="P16" s="177"/>
      <c r="Q16" s="177"/>
      <c r="R16" s="177"/>
      <c r="S16" s="54" t="s">
        <v>1</v>
      </c>
      <c r="T16" s="54" t="s">
        <v>2</v>
      </c>
      <c r="U16" s="54" t="s">
        <v>0</v>
      </c>
      <c r="V16" s="54" t="s">
        <v>205</v>
      </c>
      <c r="W16" s="177"/>
      <c r="X16" s="54" t="s">
        <v>1</v>
      </c>
      <c r="Y16" s="54" t="s">
        <v>2</v>
      </c>
      <c r="Z16" s="54" t="s">
        <v>0</v>
      </c>
      <c r="AA16" s="54" t="s">
        <v>205</v>
      </c>
      <c r="AB16" s="193"/>
      <c r="AC16" s="54" t="s">
        <v>1</v>
      </c>
      <c r="AD16" s="54" t="s">
        <v>2</v>
      </c>
      <c r="AE16" s="54" t="s">
        <v>0</v>
      </c>
      <c r="AF16" s="54" t="s">
        <v>205</v>
      </c>
      <c r="AG16" s="193"/>
      <c r="AH16" s="54" t="s">
        <v>1</v>
      </c>
      <c r="AI16" s="54" t="s">
        <v>2</v>
      </c>
      <c r="AJ16" s="54" t="s">
        <v>0</v>
      </c>
      <c r="AK16" s="54" t="s">
        <v>205</v>
      </c>
      <c r="AL16" s="17" t="s">
        <v>1</v>
      </c>
      <c r="AM16" s="17" t="s">
        <v>2</v>
      </c>
      <c r="AN16" s="17" t="s">
        <v>0</v>
      </c>
      <c r="AO16" s="17" t="s">
        <v>205</v>
      </c>
      <c r="AP16" s="54" t="s">
        <v>1</v>
      </c>
      <c r="AQ16" s="54" t="s">
        <v>2</v>
      </c>
      <c r="AR16" s="54" t="s">
        <v>0</v>
      </c>
      <c r="AS16" s="54" t="s">
        <v>205</v>
      </c>
      <c r="AV16" s="38" t="s">
        <v>428</v>
      </c>
      <c r="AW16" s="38" t="s">
        <v>556</v>
      </c>
      <c r="AX16" s="38" t="s">
        <v>429</v>
      </c>
      <c r="AY16" s="38" t="s">
        <v>428</v>
      </c>
      <c r="AZ16" s="38" t="s">
        <v>556</v>
      </c>
      <c r="BA16" s="38" t="s">
        <v>429</v>
      </c>
      <c r="BB16" s="38" t="s">
        <v>428</v>
      </c>
      <c r="BC16" s="38" t="s">
        <v>556</v>
      </c>
      <c r="BD16" s="38" t="s">
        <v>429</v>
      </c>
      <c r="BE16" s="38" t="s">
        <v>428</v>
      </c>
      <c r="BF16" s="38" t="s">
        <v>556</v>
      </c>
      <c r="BG16" s="38" t="s">
        <v>429</v>
      </c>
      <c r="BJ16" s="16" t="s">
        <v>79</v>
      </c>
      <c r="BK16" s="16" t="s">
        <v>80</v>
      </c>
      <c r="BL16" s="16" t="s">
        <v>81</v>
      </c>
      <c r="BM16" s="16" t="s">
        <v>205</v>
      </c>
      <c r="BN16" s="16" t="s">
        <v>79</v>
      </c>
      <c r="BO16" s="16" t="s">
        <v>80</v>
      </c>
      <c r="BP16" s="16" t="s">
        <v>81</v>
      </c>
      <c r="BQ16" s="16" t="s">
        <v>205</v>
      </c>
      <c r="BR16" s="16" t="s">
        <v>79</v>
      </c>
      <c r="BS16" s="16" t="s">
        <v>80</v>
      </c>
      <c r="BT16" s="16" t="s">
        <v>81</v>
      </c>
      <c r="BU16" s="16" t="s">
        <v>205</v>
      </c>
    </row>
    <row r="17" spans="4:78">
      <c r="D17" s="17" t="s">
        <v>320</v>
      </c>
      <c r="E17" s="17"/>
      <c r="F17" s="17"/>
      <c r="G17" s="17"/>
      <c r="H17" s="17"/>
      <c r="N17" s="16">
        <v>3</v>
      </c>
      <c r="O17" s="17">
        <v>50</v>
      </c>
      <c r="P17" s="17">
        <f>求节点(节奏总纲!$O$4:$O$163,节奏总纲!P$4:P$163,O17)</f>
        <v>31</v>
      </c>
      <c r="Q17" s="17">
        <f>INDEX(其他调用!$C$4:$C$163,$O17)*$P$10</f>
        <v>40492.816821134431</v>
      </c>
      <c r="R17" s="50">
        <v>1</v>
      </c>
      <c r="S17" s="17">
        <f t="shared" ref="S17:S37" si="0">E$15*E$16+E$17</f>
        <v>0.375</v>
      </c>
      <c r="T17" s="17">
        <f t="shared" ref="T17:T37" si="1">F$15*F$16+F$17</f>
        <v>0.125</v>
      </c>
      <c r="U17" s="17">
        <f t="shared" ref="U17:U37" si="2">G$15*G$16+G$17</f>
        <v>2.2500000000000003E-2</v>
      </c>
      <c r="V17" s="17">
        <f t="shared" ref="V17:V37" si="3">H$15*H$16+H$17</f>
        <v>7.4999999999999997E-3</v>
      </c>
      <c r="W17" s="51">
        <f>Q17</f>
        <v>40492.816821134431</v>
      </c>
      <c r="X17" s="51">
        <f>$W17/$E$25*S17*$R17</f>
        <v>46.014564569470949</v>
      </c>
      <c r="Y17" s="51">
        <f t="shared" ref="Y17:AA17" si="4">$W17/$E$25*T17*$R17</f>
        <v>15.338188189823649</v>
      </c>
      <c r="Z17" s="51">
        <f t="shared" si="4"/>
        <v>2.760873874168257</v>
      </c>
      <c r="AA17" s="51">
        <f t="shared" si="4"/>
        <v>0.9202912913894189</v>
      </c>
      <c r="AB17" s="17">
        <f>求节点(盗宝贼掉落!$CV$5:$CV$164,盗宝贼掉落!$DC$5:$DC$164,$O17)</f>
        <v>0</v>
      </c>
      <c r="AC17" s="17">
        <f>$AB17*INDEX(盗宝贼掉落!$D$64:$D$67,MATCH(AC$16,盗宝贼掉落!$B$64:$B$67,0))*INDEX(盗宝贼掉落!$F$64:$F$67,MATCH(AC$16,盗宝贼掉落!$B$64:$B$67,0))</f>
        <v>0</v>
      </c>
      <c r="AD17" s="17">
        <f>$AB17*INDEX(盗宝贼掉落!$D$64:$D$67,MATCH(AD$16,盗宝贼掉落!$B$64:$B$67,0))*INDEX(盗宝贼掉落!$F$64:$F$67,MATCH(AD$16,盗宝贼掉落!$B$64:$B$67,0))</f>
        <v>0</v>
      </c>
      <c r="AE17" s="17">
        <f>$AB17*INDEX(盗宝贼掉落!$D$64:$D$67,MATCH(AE$16,盗宝贼掉落!$B$64:$B$67,0))*INDEX(盗宝贼掉落!$F$64:$F$67,MATCH(AE$16,盗宝贼掉落!$B$64:$B$67,0))</f>
        <v>0</v>
      </c>
      <c r="AF17" s="17">
        <f>$AB17*INDEX(盗宝贼掉落!$D$64:$D$67,MATCH(AF$16,盗宝贼掉落!$B$64:$B$67,0))*INDEX(盗宝贼掉落!$F$64:$F$67,MATCH(AF$16,盗宝贼掉落!$B$64:$B$67,0))</f>
        <v>0</v>
      </c>
      <c r="AG17" s="17">
        <f>求节点(匈奴铁骑掉落!$J$7:$J$166,匈奴铁骑掉落!K$7:K$166,O17)</f>
        <v>12</v>
      </c>
      <c r="AH17" s="17">
        <f>$AG17*INDEX(盗宝贼掉落!$D$64:$D$67,MATCH(AH$16,盗宝贼掉落!$B$64:$B$67,0))*INDEX(盗宝贼掉落!$G$64:$G$67,MATCH(AH$16,盗宝贼掉落!$B$64:$B$67,0))</f>
        <v>3.6000000000000005</v>
      </c>
      <c r="AI17" s="17">
        <f>$AG17*INDEX(盗宝贼掉落!$D$64:$D$67,MATCH(AI$16,盗宝贼掉落!$B$64:$B$67,0))*INDEX(盗宝贼掉落!$G$64:$G$67,MATCH(AI$16,盗宝贼掉落!$B$64:$B$67,0))</f>
        <v>0.96000000000000019</v>
      </c>
      <c r="AJ17" s="17">
        <f>$AG17*INDEX(盗宝贼掉落!$D$64:$D$67,MATCH(AJ$16,盗宝贼掉落!$B$64:$B$67,0))*INDEX(盗宝贼掉落!$G$64:$G$67,MATCH(AJ$16,盗宝贼掉落!$B$64:$B$67,0))</f>
        <v>0.24</v>
      </c>
      <c r="AK17" s="17">
        <f>$AG17*INDEX(盗宝贼掉落!$D$64:$D$67,MATCH(AK$16,盗宝贼掉落!$B$64:$B$67,0))*INDEX(盗宝贼掉落!$G$64:$G$67,MATCH(AK$16,盗宝贼掉落!$B$64:$B$67,0))</f>
        <v>0</v>
      </c>
      <c r="AL17" s="17">
        <f>X17+AC17+AH17</f>
        <v>49.61456456947095</v>
      </c>
      <c r="AM17" s="17">
        <f t="shared" ref="AM17:AO17" si="5">Y17+AD17+AI17</f>
        <v>16.298188189823648</v>
      </c>
      <c r="AN17" s="17">
        <f t="shared" si="5"/>
        <v>3.0008738741682572</v>
      </c>
      <c r="AO17" s="17">
        <f t="shared" si="5"/>
        <v>0.9202912913894189</v>
      </c>
      <c r="AP17" s="85">
        <f>IFERROR(IF(基础状态预期!I17=0,0,MIN(求节点(宝物升星!D$67:D$72,宝物升星!$C$67:$C$72,AL17/基础状态预期!C$8),宝物升星!D$14)),0)</f>
        <v>0</v>
      </c>
      <c r="AQ17" s="85">
        <f>IFERROR(IF(基础状态预期!J17=0,0,MIN(求节点(宝物升星!E$67:E$72,宝物升星!$C$67:$C$72,AM17/基础状态预期!D$8),宝物升星!E$14)),0)</f>
        <v>0</v>
      </c>
      <c r="AR17" s="78">
        <f>IFERROR(MIN(求节点(宝物升星!F$67:F$72,宝物升星!$C$67:$C$72,AN17/基础状态预期!K17),宝物升星!F$14),0)</f>
        <v>0</v>
      </c>
      <c r="AS17" s="78">
        <f>IFERROR(MIN(求节点(宝物升星!G$67:G$72,宝物升星!$C$67:$C$72,AO17/基础状态预期!L17),宝物升星!G$14),0)</f>
        <v>0</v>
      </c>
      <c r="AT17" s="37">
        <f>SUM(AL17:AO17)</f>
        <v>69.833917924852273</v>
      </c>
      <c r="AV17" s="38">
        <f t="shared" ref="AV17:AV37" si="6">X17/AL17</f>
        <v>0.92744066120021607</v>
      </c>
      <c r="AW17" s="38">
        <f>AH17/AL17</f>
        <v>7.2559338799783976E-2</v>
      </c>
      <c r="AX17" s="38">
        <f>AC17/AL17</f>
        <v>0</v>
      </c>
      <c r="AY17" s="38">
        <f t="shared" ref="AY17:AY37" si="7">Y17/AM17</f>
        <v>0.94109774725761175</v>
      </c>
      <c r="AZ17" s="38">
        <f>AI17/AM17</f>
        <v>5.8902252742388278E-2</v>
      </c>
      <c r="BA17" s="38">
        <f>AD17/AM17</f>
        <v>0</v>
      </c>
      <c r="BB17" s="38">
        <f t="shared" ref="BB17:BB37" si="8">Z17/AN17</f>
        <v>0.92002329652507631</v>
      </c>
      <c r="BC17" s="38">
        <f>AJ17/AN17</f>
        <v>7.9976703474923624E-2</v>
      </c>
      <c r="BD17" s="38">
        <f>AE17/AN17</f>
        <v>0</v>
      </c>
      <c r="BE17" s="38">
        <f t="shared" ref="BE17:BE37" si="9">AA17/AO17</f>
        <v>1</v>
      </c>
      <c r="BF17" s="38">
        <f>AK17/AO17</f>
        <v>0</v>
      </c>
      <c r="BG17" s="38">
        <f>AF17/AO17</f>
        <v>0</v>
      </c>
      <c r="BJ17" s="16">
        <v>3.4499999999999997</v>
      </c>
      <c r="BK17" s="16">
        <v>1.5</v>
      </c>
      <c r="BL17" s="16">
        <v>0.1</v>
      </c>
      <c r="BM17" s="16">
        <v>3.5000000000000003E-2</v>
      </c>
      <c r="BN17" s="16">
        <v>49.444907937691525</v>
      </c>
      <c r="BO17" s="16">
        <v>16.831635979230509</v>
      </c>
      <c r="BP17" s="16">
        <v>2.8596944762614918</v>
      </c>
      <c r="BQ17" s="16">
        <v>0.95489815875383055</v>
      </c>
      <c r="BR17" s="16">
        <v>0</v>
      </c>
      <c r="BS17" s="16">
        <v>0</v>
      </c>
      <c r="BT17" s="16">
        <v>0</v>
      </c>
      <c r="BU17" s="16">
        <v>0</v>
      </c>
      <c r="BV17" s="37"/>
      <c r="BW17" s="37"/>
      <c r="BX17" s="37"/>
      <c r="BY17" s="37"/>
      <c r="BZ17" s="37"/>
    </row>
    <row r="18" spans="4:78">
      <c r="D18" s="17" t="s">
        <v>321</v>
      </c>
      <c r="E18" s="17"/>
      <c r="F18" s="17"/>
      <c r="G18" s="17"/>
      <c r="H18" s="17"/>
      <c r="N18" s="16">
        <v>4</v>
      </c>
      <c r="O18" s="17">
        <v>60</v>
      </c>
      <c r="P18" s="17">
        <f>求节点(节奏总纲!$O$4:$O$163,节奏总纲!P$4:P$163,O18)</f>
        <v>63</v>
      </c>
      <c r="Q18" s="17">
        <f>INDEX(其他调用!$C$4:$C$163,$O18)*$P$10</f>
        <v>78428.388994502602</v>
      </c>
      <c r="R18" s="50">
        <v>1</v>
      </c>
      <c r="S18" s="17">
        <f t="shared" si="0"/>
        <v>0.375</v>
      </c>
      <c r="T18" s="17">
        <f t="shared" si="1"/>
        <v>0.125</v>
      </c>
      <c r="U18" s="17">
        <f t="shared" si="2"/>
        <v>2.2500000000000003E-2</v>
      </c>
      <c r="V18" s="17">
        <f t="shared" si="3"/>
        <v>7.4999999999999997E-3</v>
      </c>
      <c r="W18" s="17">
        <f t="shared" ref="W18:W37" si="10">Q18-Q17</f>
        <v>37935.572173368171</v>
      </c>
      <c r="X18" s="17">
        <f>$W18/$E$25*S18*$R18+X17</f>
        <v>89.123169311934774</v>
      </c>
      <c r="Y18" s="17">
        <f t="shared" ref="Y18:AA18" si="11">$W18/$E$25*T18*$R18+Y17</f>
        <v>29.70772310397826</v>
      </c>
      <c r="Z18" s="17">
        <f t="shared" si="11"/>
        <v>5.3473901587160872</v>
      </c>
      <c r="AA18" s="17">
        <f t="shared" si="11"/>
        <v>1.7824633862386956</v>
      </c>
      <c r="AB18" s="17">
        <f>求节点(盗宝贼掉落!$CV$5:$CV$164,盗宝贼掉落!$DC$5:$DC$164,$O18)</f>
        <v>1.9517936418648121</v>
      </c>
      <c r="AC18" s="17">
        <f>$AB18*INDEX(盗宝贼掉落!$D$64:$D$67,MATCH(AC$16,盗宝贼掉落!$B$64:$B$67,0))*INDEX(盗宝贼掉落!$F$64:$F$67,MATCH(AC$16,盗宝贼掉落!$B$64:$B$67,0))</f>
        <v>1.463845231398609</v>
      </c>
      <c r="AD18" s="17">
        <f>$AB18*INDEX(盗宝贼掉落!$D$64:$D$67,MATCH(AD$16,盗宝贼掉落!$B$64:$B$67,0))*INDEX(盗宝贼掉落!$F$64:$F$67,MATCH(AD$16,盗宝贼掉落!$B$64:$B$67,0))</f>
        <v>9.7589682093240607E-2</v>
      </c>
      <c r="AE18" s="17">
        <f>$AB18*INDEX(盗宝贼掉落!$D$64:$D$67,MATCH(AE$16,盗宝贼掉落!$B$64:$B$67,0))*INDEX(盗宝贼掉落!$F$64:$F$67,MATCH(AE$16,盗宝贼掉落!$B$64:$B$67,0))</f>
        <v>0</v>
      </c>
      <c r="AF18" s="17">
        <f>$AB18*INDEX(盗宝贼掉落!$D$64:$D$67,MATCH(AF$16,盗宝贼掉落!$B$64:$B$67,0))*INDEX(盗宝贼掉落!$F$64:$F$67,MATCH(AF$16,盗宝贼掉落!$B$64:$B$67,0))</f>
        <v>0</v>
      </c>
      <c r="AG18" s="17">
        <f>求节点(匈奴铁骑掉落!$J$7:$J$166,匈奴铁骑掉落!K$7:K$166,O18)</f>
        <v>50.400000000000006</v>
      </c>
      <c r="AH18" s="17">
        <f>$AG18*INDEX(盗宝贼掉落!$D$64:$D$67,MATCH(AH$16,盗宝贼掉落!$B$64:$B$67,0))*INDEX(盗宝贼掉落!$G$64:$G$67,MATCH(AH$16,盗宝贼掉落!$B$64:$B$67,0))</f>
        <v>15.120000000000005</v>
      </c>
      <c r="AI18" s="17">
        <f>$AG18*INDEX(盗宝贼掉落!$D$64:$D$67,MATCH(AI$16,盗宝贼掉落!$B$64:$B$67,0))*INDEX(盗宝贼掉落!$G$64:$G$67,MATCH(AI$16,盗宝贼掉落!$B$64:$B$67,0))</f>
        <v>4.0320000000000009</v>
      </c>
      <c r="AJ18" s="17">
        <f>$AG18*INDEX(盗宝贼掉落!$D$64:$D$67,MATCH(AJ$16,盗宝贼掉落!$B$64:$B$67,0))*INDEX(盗宝贼掉落!$G$64:$G$67,MATCH(AJ$16,盗宝贼掉落!$B$64:$B$67,0))</f>
        <v>1.008</v>
      </c>
      <c r="AK18" s="17">
        <f>$AG18*INDEX(盗宝贼掉落!$D$64:$D$67,MATCH(AK$16,盗宝贼掉落!$B$64:$B$67,0))*INDEX(盗宝贼掉落!$G$64:$G$67,MATCH(AK$16,盗宝贼掉落!$B$64:$B$67,0))</f>
        <v>0</v>
      </c>
      <c r="AL18" s="17">
        <f t="shared" ref="AL18:AL37" si="12">X18+AC18+AH18</f>
        <v>105.70701454333339</v>
      </c>
      <c r="AM18" s="17">
        <f t="shared" ref="AM18:AM37" si="13">Y18+AD18+AI18</f>
        <v>33.8373127860715</v>
      </c>
      <c r="AN18" s="17">
        <f t="shared" ref="AN18:AN37" si="14">Z18+AE18+AJ18</f>
        <v>6.3553901587160873</v>
      </c>
      <c r="AO18" s="17">
        <f t="shared" ref="AO18:AO37" si="15">AA18+AF18+AK18</f>
        <v>1.7824633862386956</v>
      </c>
      <c r="AP18" s="84">
        <f>IFERROR(MAX(MIN(求节点(宝物升星!D$67:D$72,宝物升星!$C$67:$C$72,AL18/基础状态预期!C$8),宝物升星!D$14),AP17),AP17)</f>
        <v>0</v>
      </c>
      <c r="AQ18" s="84">
        <f>IFERROR(MAX(MIN(求节点(宝物升星!E$67:E$72,宝物升星!$C$67:$C$72,AM18/基础状态预期!D$8),宝物升星!E$14),AQ17),AQ17)</f>
        <v>2.7597014206746113</v>
      </c>
      <c r="AR18" s="84">
        <f>IFERROR(MAX(MIN(求节点(宝物升星!F$67:F$72,宝物升星!$C$67:$C$72,AN18/基础状态预期!E$8),宝物升星!F$14),AR17),AR17)</f>
        <v>0</v>
      </c>
      <c r="AS18" s="54">
        <f>IFERROR(MAX(MIN(求节点(宝物升星!G$67:G$72,宝物升星!$C$67:$C$72,AO18/MAX(基础状态预期!L18,基础状态预期!L17)),宝物升星!G$14),AS17),AS17)</f>
        <v>0</v>
      </c>
      <c r="AT18" s="37">
        <f t="shared" ref="AT18:AT37" si="16">SUM(AL18:AO18)</f>
        <v>147.68218087435969</v>
      </c>
      <c r="AV18" s="38">
        <f t="shared" si="6"/>
        <v>0.84311499758986896</v>
      </c>
      <c r="AW18" s="38">
        <f t="shared" ref="AW18:AW37" si="17">AH18/AL18</f>
        <v>0.14303686529527077</v>
      </c>
      <c r="AX18" s="38">
        <f t="shared" ref="AX18:AX37" si="18">AC18/AL18</f>
        <v>1.3848137114860267E-2</v>
      </c>
      <c r="AY18" s="38">
        <f t="shared" si="7"/>
        <v>0.87795751665619537</v>
      </c>
      <c r="AZ18" s="38">
        <f t="shared" ref="AZ18:AZ37" si="19">AI18/AM18</f>
        <v>0.11915839846655017</v>
      </c>
      <c r="BA18" s="38">
        <f t="shared" ref="BA18:BA37" si="20">AD18/AM18</f>
        <v>2.8840848772545432E-3</v>
      </c>
      <c r="BB18" s="38">
        <f t="shared" si="8"/>
        <v>0.84139447385184052</v>
      </c>
      <c r="BC18" s="38">
        <f t="shared" ref="BC18:BC37" si="21">AJ18/AN18</f>
        <v>0.15860552614815951</v>
      </c>
      <c r="BD18" s="38">
        <f t="shared" ref="BD18:BD37" si="22">AE18/AN18</f>
        <v>0</v>
      </c>
      <c r="BE18" s="38">
        <f t="shared" si="9"/>
        <v>1</v>
      </c>
      <c r="BF18" s="38">
        <f t="shared" ref="BF18:BF37" si="23">AK18/AO18</f>
        <v>0</v>
      </c>
      <c r="BG18" s="38">
        <f t="shared" ref="BG18:BG37" si="24">AF18/AO18</f>
        <v>0</v>
      </c>
      <c r="BJ18" s="16">
        <v>14.489999999999998</v>
      </c>
      <c r="BK18" s="16">
        <v>6.3000000000000007</v>
      </c>
      <c r="BL18" s="16">
        <v>0.42000000000000004</v>
      </c>
      <c r="BM18" s="16">
        <v>0.14700000000000002</v>
      </c>
      <c r="BN18" s="16">
        <v>105.01771493458774</v>
      </c>
      <c r="BO18" s="16">
        <v>36.085546249822954</v>
      </c>
      <c r="BP18" s="16">
        <v>5.763832182191349</v>
      </c>
      <c r="BQ18" s="16">
        <v>1.9282773940637832</v>
      </c>
      <c r="BR18" s="16">
        <v>0</v>
      </c>
      <c r="BS18" s="16">
        <v>3</v>
      </c>
      <c r="BT18" s="16">
        <v>0.48598246674708867</v>
      </c>
      <c r="BU18" s="16">
        <v>0</v>
      </c>
      <c r="BV18" s="37"/>
      <c r="BW18" s="37"/>
      <c r="BX18" s="37"/>
      <c r="BY18" s="37"/>
      <c r="BZ18" s="37"/>
    </row>
    <row r="19" spans="4:78">
      <c r="D19" s="17" t="s">
        <v>322</v>
      </c>
      <c r="E19" s="17"/>
      <c r="F19" s="17"/>
      <c r="G19" s="17"/>
      <c r="H19" s="17"/>
      <c r="N19" s="16">
        <v>5</v>
      </c>
      <c r="O19" s="17">
        <v>70</v>
      </c>
      <c r="P19" s="17">
        <f>求节点(节奏总纲!$O$4:$O$163,节奏总纲!P$4:P$163,O19)</f>
        <v>127</v>
      </c>
      <c r="Q19" s="17">
        <f>INDEX(其他调用!$C$4:$C$163,$O19)*$P$10</f>
        <v>142503.37561575638</v>
      </c>
      <c r="R19" s="50">
        <v>1</v>
      </c>
      <c r="S19" s="17">
        <f t="shared" si="0"/>
        <v>0.375</v>
      </c>
      <c r="T19" s="17">
        <f t="shared" si="1"/>
        <v>0.125</v>
      </c>
      <c r="U19" s="17">
        <f t="shared" si="2"/>
        <v>2.2500000000000003E-2</v>
      </c>
      <c r="V19" s="17">
        <f t="shared" si="3"/>
        <v>7.4999999999999997E-3</v>
      </c>
      <c r="W19" s="17">
        <f t="shared" si="10"/>
        <v>64074.986621253775</v>
      </c>
      <c r="X19" s="17">
        <f t="shared" ref="X19:X37" si="25">$W19/$E$25*S19*$R19+X18</f>
        <v>161.93565410881405</v>
      </c>
      <c r="Y19" s="17">
        <f t="shared" ref="Y19:Y37" si="26">$W19/$E$25*T19*$R19+Y18</f>
        <v>53.978551369604688</v>
      </c>
      <c r="Z19" s="17">
        <f t="shared" ref="Z19:Z37" si="27">$W19/$E$25*U19*$R19+Z18</f>
        <v>9.7161392465288454</v>
      </c>
      <c r="AA19" s="17">
        <f t="shared" ref="AA19:AA37" si="28">$W19/$E$25*V19*$R19+AA18</f>
        <v>3.2387130821762815</v>
      </c>
      <c r="AB19" s="17">
        <f>求节点(盗宝贼掉落!$CV$5:$CV$164,盗宝贼掉落!$DC$5:$DC$164,$O19)</f>
        <v>31.097393641864812</v>
      </c>
      <c r="AC19" s="17">
        <f>$AB19*INDEX(盗宝贼掉落!$D$64:$D$67,MATCH(AC$16,盗宝贼掉落!$B$64:$B$67,0))*INDEX(盗宝贼掉落!$F$64:$F$67,MATCH(AC$16,盗宝贼掉落!$B$64:$B$67,0))</f>
        <v>23.323045231398609</v>
      </c>
      <c r="AD19" s="17">
        <f>$AB19*INDEX(盗宝贼掉落!$D$64:$D$67,MATCH(AD$16,盗宝贼掉落!$B$64:$B$67,0))*INDEX(盗宝贼掉落!$F$64:$F$67,MATCH(AD$16,盗宝贼掉落!$B$64:$B$67,0))</f>
        <v>1.5548696820932406</v>
      </c>
      <c r="AE19" s="17">
        <f>$AB19*INDEX(盗宝贼掉落!$D$64:$D$67,MATCH(AE$16,盗宝贼掉落!$B$64:$B$67,0))*INDEX(盗宝贼掉落!$F$64:$F$67,MATCH(AE$16,盗宝贼掉落!$B$64:$B$67,0))</f>
        <v>0</v>
      </c>
      <c r="AF19" s="17">
        <f>$AB19*INDEX(盗宝贼掉落!$D$64:$D$67,MATCH(AF$16,盗宝贼掉落!$B$64:$B$67,0))*INDEX(盗宝贼掉落!$F$64:$F$67,MATCH(AF$16,盗宝贼掉落!$B$64:$B$67,0))</f>
        <v>0</v>
      </c>
      <c r="AG19" s="17">
        <f>求节点(匈奴铁骑掉落!$J$7:$J$166,匈奴铁骑掉落!K$7:K$166,O19)</f>
        <v>127.2</v>
      </c>
      <c r="AH19" s="17">
        <f>$AG19*INDEX(盗宝贼掉落!$D$64:$D$67,MATCH(AH$16,盗宝贼掉落!$B$64:$B$67,0))*INDEX(盗宝贼掉落!$G$64:$G$67,MATCH(AH$16,盗宝贼掉落!$B$64:$B$67,0))</f>
        <v>38.160000000000004</v>
      </c>
      <c r="AI19" s="17">
        <f>$AG19*INDEX(盗宝贼掉落!$D$64:$D$67,MATCH(AI$16,盗宝贼掉落!$B$64:$B$67,0))*INDEX(盗宝贼掉落!$G$64:$G$67,MATCH(AI$16,盗宝贼掉落!$B$64:$B$67,0))</f>
        <v>10.176000000000002</v>
      </c>
      <c r="AJ19" s="17">
        <f>$AG19*INDEX(盗宝贼掉落!$D$64:$D$67,MATCH(AJ$16,盗宝贼掉落!$B$64:$B$67,0))*INDEX(盗宝贼掉落!$G$64:$G$67,MATCH(AJ$16,盗宝贼掉落!$B$64:$B$67,0))</f>
        <v>2.544</v>
      </c>
      <c r="AK19" s="17">
        <f>$AG19*INDEX(盗宝贼掉落!$D$64:$D$67,MATCH(AK$16,盗宝贼掉落!$B$64:$B$67,0))*INDEX(盗宝贼掉落!$G$64:$G$67,MATCH(AK$16,盗宝贼掉落!$B$64:$B$67,0))</f>
        <v>0</v>
      </c>
      <c r="AL19" s="17">
        <f t="shared" si="12"/>
        <v>223.41869934021267</v>
      </c>
      <c r="AM19" s="17">
        <f t="shared" si="13"/>
        <v>65.70942105169793</v>
      </c>
      <c r="AN19" s="17">
        <f t="shared" si="14"/>
        <v>12.260139246528846</v>
      </c>
      <c r="AO19" s="17">
        <f t="shared" si="15"/>
        <v>3.2387130821762815</v>
      </c>
      <c r="AP19" s="84">
        <f>IFERROR(MAX(MIN(求节点(宝物升星!D$67:D$72,宝物升星!$C$67:$C$72,AL19/基础状态预期!C$8),宝物升星!D$14),AP18),AP18)</f>
        <v>0</v>
      </c>
      <c r="AQ19" s="84">
        <f>IFERROR(MAX(MIN(求节点(宝物升星!E$67:E$72,宝物升星!$C$67:$C$72,AM19/基础状态预期!D$8),宝物升星!E$14),AQ18),AQ18)</f>
        <v>3</v>
      </c>
      <c r="AR19" s="84">
        <f>IFERROR(MAX(MIN(求节点(宝物升星!F$67:F$72,宝物升星!$C$67:$C$72,AN19/基础状态预期!E$8),宝物升星!F$14),AR18),AR18)</f>
        <v>0.53251740581610574</v>
      </c>
      <c r="AS19" s="54">
        <f>IFERROR(MAX(MIN(求节点(宝物升星!G$67:G$72,宝物升星!$C$67:$C$72,AO19/MAX(基础状态预期!L19,基础状态预期!L18)),宝物升星!G$14),AS18),AS18)</f>
        <v>0</v>
      </c>
      <c r="AT19" s="37">
        <f t="shared" si="16"/>
        <v>304.62697272061575</v>
      </c>
      <c r="AV19" s="38">
        <f t="shared" si="6"/>
        <v>0.72480797080563608</v>
      </c>
      <c r="AW19" s="38">
        <f t="shared" si="17"/>
        <v>0.17080038561092664</v>
      </c>
      <c r="AX19" s="38">
        <f t="shared" si="18"/>
        <v>0.10439164358343725</v>
      </c>
      <c r="AY19" s="38">
        <f t="shared" si="7"/>
        <v>0.82147354984510068</v>
      </c>
      <c r="AZ19" s="38">
        <f t="shared" si="19"/>
        <v>0.15486363807700987</v>
      </c>
      <c r="BA19" s="38">
        <f t="shared" si="20"/>
        <v>2.3662812077889443E-2</v>
      </c>
      <c r="BB19" s="38">
        <f t="shared" si="8"/>
        <v>0.79249827845794896</v>
      </c>
      <c r="BC19" s="38">
        <f t="shared" si="21"/>
        <v>0.20750172154205104</v>
      </c>
      <c r="BD19" s="38">
        <f t="shared" si="22"/>
        <v>0</v>
      </c>
      <c r="BE19" s="38">
        <f t="shared" si="9"/>
        <v>1</v>
      </c>
      <c r="BF19" s="38">
        <f t="shared" si="23"/>
        <v>0</v>
      </c>
      <c r="BG19" s="38">
        <f t="shared" si="24"/>
        <v>0</v>
      </c>
      <c r="BJ19" s="16">
        <v>36.57</v>
      </c>
      <c r="BK19" s="16">
        <v>15.9</v>
      </c>
      <c r="BL19" s="16">
        <v>1.06</v>
      </c>
      <c r="BM19" s="16">
        <v>0.371</v>
      </c>
      <c r="BN19" s="16">
        <v>221.69909972052307</v>
      </c>
      <c r="BO19" s="16">
        <v>71.390221178468067</v>
      </c>
      <c r="BP19" s="16">
        <v>10.76836326934747</v>
      </c>
      <c r="BQ19" s="16">
        <v>3.6071210897824897</v>
      </c>
      <c r="BR19" s="16">
        <v>0</v>
      </c>
      <c r="BS19" s="16">
        <v>3</v>
      </c>
      <c r="BT19" s="16">
        <v>1.7762083468103431</v>
      </c>
      <c r="BU19" s="16">
        <v>0</v>
      </c>
      <c r="BV19" s="37"/>
      <c r="BW19" s="37"/>
      <c r="BX19" s="37"/>
      <c r="BY19" s="37"/>
      <c r="BZ19" s="37"/>
    </row>
    <row r="20" spans="4:78">
      <c r="D20" s="17" t="s">
        <v>323</v>
      </c>
      <c r="E20" s="17"/>
      <c r="F20" s="17"/>
      <c r="G20" s="17"/>
      <c r="H20" s="17"/>
      <c r="N20" s="16">
        <v>6</v>
      </c>
      <c r="O20" s="17">
        <v>75</v>
      </c>
      <c r="P20" s="17">
        <f>求节点(节奏总纲!$O$4:$O$163,节奏总纲!P$4:P$163,O20)</f>
        <v>180.01933598375612</v>
      </c>
      <c r="Q20" s="17">
        <f>INDEX(其他调用!$C$4:$C$163,$O20)*$P$10</f>
        <v>188452.00345502375</v>
      </c>
      <c r="R20" s="50">
        <v>1</v>
      </c>
      <c r="S20" s="17">
        <f t="shared" si="0"/>
        <v>0.375</v>
      </c>
      <c r="T20" s="17">
        <f t="shared" si="1"/>
        <v>0.125</v>
      </c>
      <c r="U20" s="17">
        <f t="shared" si="2"/>
        <v>2.2500000000000003E-2</v>
      </c>
      <c r="V20" s="17">
        <f t="shared" si="3"/>
        <v>7.4999999999999997E-3</v>
      </c>
      <c r="W20" s="17">
        <f t="shared" si="10"/>
        <v>45948.62783926737</v>
      </c>
      <c r="X20" s="17">
        <f t="shared" si="25"/>
        <v>214.15000392616332</v>
      </c>
      <c r="Y20" s="17">
        <f t="shared" si="26"/>
        <v>71.38333464205445</v>
      </c>
      <c r="Z20" s="17">
        <f t="shared" si="27"/>
        <v>12.849000235569804</v>
      </c>
      <c r="AA20" s="17">
        <f t="shared" si="28"/>
        <v>4.2830000785232674</v>
      </c>
      <c r="AB20" s="17">
        <f>求节点(盗宝贼掉落!$CV$5:$CV$164,盗宝贼掉落!$DC$5:$DC$164,$O20)</f>
        <v>55.242399248867343</v>
      </c>
      <c r="AC20" s="17">
        <f>$AB20*INDEX(盗宝贼掉落!$D$64:$D$67,MATCH(AC$16,盗宝贼掉落!$B$64:$B$67,0))*INDEX(盗宝贼掉落!$F$64:$F$67,MATCH(AC$16,盗宝贼掉落!$B$64:$B$67,0))</f>
        <v>41.431799436650508</v>
      </c>
      <c r="AD20" s="17">
        <f>$AB20*INDEX(盗宝贼掉落!$D$64:$D$67,MATCH(AD$16,盗宝贼掉落!$B$64:$B$67,0))*INDEX(盗宝贼掉落!$F$64:$F$67,MATCH(AD$16,盗宝贼掉落!$B$64:$B$67,0))</f>
        <v>2.7621199624433674</v>
      </c>
      <c r="AE20" s="17">
        <f>$AB20*INDEX(盗宝贼掉落!$D$64:$D$67,MATCH(AE$16,盗宝贼掉落!$B$64:$B$67,0))*INDEX(盗宝贼掉落!$F$64:$F$67,MATCH(AE$16,盗宝贼掉落!$B$64:$B$67,0))</f>
        <v>0</v>
      </c>
      <c r="AF20" s="17">
        <f>$AB20*INDEX(盗宝贼掉落!$D$64:$D$67,MATCH(AF$16,盗宝贼掉落!$B$64:$B$67,0))*INDEX(盗宝贼掉落!$F$64:$F$67,MATCH(AF$16,盗宝贼掉落!$B$64:$B$67,0))</f>
        <v>0</v>
      </c>
      <c r="AG20" s="17">
        <f>求节点(匈奴铁骑掉落!$J$7:$J$166,匈奴铁骑掉落!K$7:K$166,O20)</f>
        <v>190.82320318050733</v>
      </c>
      <c r="AH20" s="17">
        <f>$AG20*INDEX(盗宝贼掉落!$D$64:$D$67,MATCH(AH$16,盗宝贼掉落!$B$64:$B$67,0))*INDEX(盗宝贼掉落!$G$64:$G$67,MATCH(AH$16,盗宝贼掉落!$B$64:$B$67,0))</f>
        <v>57.246960954152208</v>
      </c>
      <c r="AI20" s="17">
        <f>$AG20*INDEX(盗宝贼掉落!$D$64:$D$67,MATCH(AI$16,盗宝贼掉落!$B$64:$B$67,0))*INDEX(盗宝贼掉落!$G$64:$G$67,MATCH(AI$16,盗宝贼掉落!$B$64:$B$67,0))</f>
        <v>15.265856254440587</v>
      </c>
      <c r="AJ20" s="17">
        <f>$AG20*INDEX(盗宝贼掉落!$D$64:$D$67,MATCH(AJ$16,盗宝贼掉落!$B$64:$B$67,0))*INDEX(盗宝贼掉落!$G$64:$G$67,MATCH(AJ$16,盗宝贼掉落!$B$64:$B$67,0))</f>
        <v>3.8164640636101463</v>
      </c>
      <c r="AK20" s="17">
        <f>$AG20*INDEX(盗宝贼掉落!$D$64:$D$67,MATCH(AK$16,盗宝贼掉落!$B$64:$B$67,0))*INDEX(盗宝贼掉落!$G$64:$G$67,MATCH(AK$16,盗宝贼掉落!$B$64:$B$67,0))</f>
        <v>0</v>
      </c>
      <c r="AL20" s="17">
        <f t="shared" si="12"/>
        <v>312.82876431696604</v>
      </c>
      <c r="AM20" s="17">
        <f t="shared" si="13"/>
        <v>89.411310858938407</v>
      </c>
      <c r="AN20" s="17">
        <f t="shared" si="14"/>
        <v>16.665464299179952</v>
      </c>
      <c r="AO20" s="17">
        <f t="shared" si="15"/>
        <v>4.2830000785232674</v>
      </c>
      <c r="AP20" s="84">
        <f>IFERROR(MAX(MIN(求节点(宝物升星!D$67:D$72,宝物升星!$C$67:$C$72,AL20/基础状态预期!C$8),宝物升星!D$14),AP19),AP19)</f>
        <v>0</v>
      </c>
      <c r="AQ20" s="84">
        <f>IFERROR(MAX(MIN(求节点(宝物升星!E$67:E$72,宝物升星!$C$67:$C$72,AM20/基础状态预期!D$8),宝物升星!E$14),AQ19),AQ19)</f>
        <v>3</v>
      </c>
      <c r="AR20" s="84">
        <f>IFERROR(MAX(MIN(求节点(宝物升星!F$67:F$72,宝物升星!$C$67:$C$72,AN20/基础状态预期!E$8),宝物升星!F$14),AR19),AR19)</f>
        <v>1.083183037397494</v>
      </c>
      <c r="AS20" s="54">
        <f>IFERROR(MAX(MIN(求节点(宝物升星!G$67:G$72,宝物升星!$C$67:$C$72,AO20/MAX(基础状态预期!L20,基础状态预期!L19)),宝物升星!G$14),AS19),AS19)</f>
        <v>0</v>
      </c>
      <c r="AT20" s="37">
        <f t="shared" si="16"/>
        <v>423.18853955360771</v>
      </c>
      <c r="AV20" s="38">
        <f t="shared" si="6"/>
        <v>0.68455982426597162</v>
      </c>
      <c r="AW20" s="38">
        <f t="shared" si="17"/>
        <v>0.18299775303318377</v>
      </c>
      <c r="AX20" s="38">
        <f t="shared" si="18"/>
        <v>0.13244242270084461</v>
      </c>
      <c r="AY20" s="38">
        <f t="shared" si="7"/>
        <v>0.7983702951707512</v>
      </c>
      <c r="AZ20" s="38">
        <f t="shared" si="19"/>
        <v>0.1707374168635675</v>
      </c>
      <c r="BA20" s="38">
        <f t="shared" si="20"/>
        <v>3.0892287965681241E-2</v>
      </c>
      <c r="BB20" s="38">
        <f t="shared" si="8"/>
        <v>0.77099563533924809</v>
      </c>
      <c r="BC20" s="38">
        <f t="shared" si="21"/>
        <v>0.2290043646607518</v>
      </c>
      <c r="BD20" s="38">
        <f t="shared" si="22"/>
        <v>0</v>
      </c>
      <c r="BE20" s="38">
        <f t="shared" si="9"/>
        <v>1</v>
      </c>
      <c r="BF20" s="38">
        <f t="shared" si="23"/>
        <v>0</v>
      </c>
      <c r="BG20" s="38">
        <f t="shared" si="24"/>
        <v>0</v>
      </c>
      <c r="BJ20" s="16">
        <v>54.861670914395852</v>
      </c>
      <c r="BK20" s="16">
        <v>23.852900397563417</v>
      </c>
      <c r="BL20" s="16">
        <v>1.5901933598375613</v>
      </c>
      <c r="BM20" s="16">
        <v>0.55656767594314649</v>
      </c>
      <c r="BN20" s="16">
        <v>310.26692338287228</v>
      </c>
      <c r="BO20" s="16">
        <v>97.939504703948757</v>
      </c>
      <c r="BP20" s="16">
        <v>14.428600541747118</v>
      </c>
      <c r="BQ20" s="16">
        <v>4.8360367365796648</v>
      </c>
      <c r="BR20" s="16">
        <v>0</v>
      </c>
      <c r="BS20" s="16">
        <v>3</v>
      </c>
      <c r="BT20" s="16">
        <v>5</v>
      </c>
      <c r="BU20" s="16">
        <v>0</v>
      </c>
      <c r="BV20" s="37"/>
      <c r="BW20" s="37"/>
      <c r="BX20" s="37"/>
      <c r="BY20" s="37"/>
      <c r="BZ20" s="37"/>
    </row>
    <row r="21" spans="4:78">
      <c r="D21" s="17" t="s">
        <v>324</v>
      </c>
      <c r="E21" s="17"/>
      <c r="F21" s="17"/>
      <c r="G21" s="17"/>
      <c r="H21" s="17"/>
      <c r="N21" s="16">
        <v>7</v>
      </c>
      <c r="O21" s="17">
        <v>80</v>
      </c>
      <c r="P21" s="17">
        <f>求节点(节奏总纲!$O$4:$O$163,节奏总纲!P$4:P$163,O21)</f>
        <v>255</v>
      </c>
      <c r="Q21" s="17">
        <f>INDEX(其他调用!$C$4:$C$163,$O21)*$P$10</f>
        <v>246755.68900811486</v>
      </c>
      <c r="R21" s="50">
        <v>1</v>
      </c>
      <c r="S21" s="17">
        <f t="shared" si="0"/>
        <v>0.375</v>
      </c>
      <c r="T21" s="17">
        <f t="shared" si="1"/>
        <v>0.125</v>
      </c>
      <c r="U21" s="17">
        <f t="shared" si="2"/>
        <v>2.2500000000000003E-2</v>
      </c>
      <c r="V21" s="17">
        <f t="shared" si="3"/>
        <v>7.4999999999999997E-3</v>
      </c>
      <c r="W21" s="17">
        <f t="shared" si="10"/>
        <v>58303.685553091113</v>
      </c>
      <c r="X21" s="17">
        <f t="shared" si="25"/>
        <v>280.40419205467595</v>
      </c>
      <c r="Y21" s="17">
        <f t="shared" si="26"/>
        <v>93.468064018225334</v>
      </c>
      <c r="Z21" s="17">
        <f t="shared" si="27"/>
        <v>16.824251523280562</v>
      </c>
      <c r="AA21" s="17">
        <f t="shared" si="28"/>
        <v>5.6080838410935199</v>
      </c>
      <c r="AB21" s="17">
        <f>求节点(盗宝贼掉落!$CV$5:$CV$164,盗宝贼掉落!$DC$5:$DC$164,$O21)</f>
        <v>89.388593641864787</v>
      </c>
      <c r="AC21" s="17">
        <f>$AB21*INDEX(盗宝贼掉落!$D$64:$D$67,MATCH(AC$16,盗宝贼掉落!$B$64:$B$67,0))*INDEX(盗宝贼掉落!$F$64:$F$67,MATCH(AC$16,盗宝贼掉落!$B$64:$B$67,0))</f>
        <v>67.041445231398598</v>
      </c>
      <c r="AD21" s="17">
        <f>$AB21*INDEX(盗宝贼掉落!$D$64:$D$67,MATCH(AD$16,盗宝贼掉落!$B$64:$B$67,0))*INDEX(盗宝贼掉落!$F$64:$F$67,MATCH(AD$16,盗宝贼掉落!$B$64:$B$67,0))</f>
        <v>4.4694296820932395</v>
      </c>
      <c r="AE21" s="17">
        <f>$AB21*INDEX(盗宝贼掉落!$D$64:$D$67,MATCH(AE$16,盗宝贼掉落!$B$64:$B$67,0))*INDEX(盗宝贼掉落!$F$64:$F$67,MATCH(AE$16,盗宝贼掉落!$B$64:$B$67,0))</f>
        <v>0</v>
      </c>
      <c r="AF21" s="17">
        <f>$AB21*INDEX(盗宝贼掉落!$D$64:$D$67,MATCH(AF$16,盗宝贼掉落!$B$64:$B$67,0))*INDEX(盗宝贼掉落!$F$64:$F$67,MATCH(AF$16,盗宝贼掉落!$B$64:$B$67,0))</f>
        <v>0</v>
      </c>
      <c r="AG21" s="17">
        <f>求节点(匈奴铁骑掉落!$J$7:$J$166,匈奴铁骑掉落!K$7:K$166,O21)</f>
        <v>280.8</v>
      </c>
      <c r="AH21" s="17">
        <f>$AG21*INDEX(盗宝贼掉落!$D$64:$D$67,MATCH(AH$16,盗宝贼掉落!$B$64:$B$67,0))*INDEX(盗宝贼掉落!$G$64:$G$67,MATCH(AH$16,盗宝贼掉落!$B$64:$B$67,0))</f>
        <v>84.240000000000009</v>
      </c>
      <c r="AI21" s="17">
        <f>$AG21*INDEX(盗宝贼掉落!$D$64:$D$67,MATCH(AI$16,盗宝贼掉落!$B$64:$B$67,0))*INDEX(盗宝贼掉落!$G$64:$G$67,MATCH(AI$16,盗宝贼掉落!$B$64:$B$67,0))</f>
        <v>22.464000000000002</v>
      </c>
      <c r="AJ21" s="17">
        <f>$AG21*INDEX(盗宝贼掉落!$D$64:$D$67,MATCH(AJ$16,盗宝贼掉落!$B$64:$B$67,0))*INDEX(盗宝贼掉落!$G$64:$G$67,MATCH(AJ$16,盗宝贼掉落!$B$64:$B$67,0))</f>
        <v>5.6159999999999997</v>
      </c>
      <c r="AK21" s="17">
        <f>$AG21*INDEX(盗宝贼掉落!$D$64:$D$67,MATCH(AK$16,盗宝贼掉落!$B$64:$B$67,0))*INDEX(盗宝贼掉落!$G$64:$G$67,MATCH(AK$16,盗宝贼掉落!$B$64:$B$67,0))</f>
        <v>0</v>
      </c>
      <c r="AL21" s="17">
        <f t="shared" si="12"/>
        <v>431.68563728607455</v>
      </c>
      <c r="AM21" s="17">
        <f t="shared" si="13"/>
        <v>120.40149370031857</v>
      </c>
      <c r="AN21" s="17">
        <f t="shared" si="14"/>
        <v>22.440251523280562</v>
      </c>
      <c r="AO21" s="17">
        <f t="shared" si="15"/>
        <v>5.6080838410935199</v>
      </c>
      <c r="AP21" s="84">
        <f>IFERROR(MAX(MIN(求节点(宝物升星!D$67:D$72,宝物升星!$C$67:$C$72,AL21/基础状态预期!C$8),宝物升星!D$14),AP20),AP20)</f>
        <v>0</v>
      </c>
      <c r="AQ21" s="84">
        <f>IFERROR(MAX(MIN(求节点(宝物升星!E$67:E$72,宝物升星!$C$67:$C$72,AM21/基础状态预期!D$8),宝物升星!E$14),AQ20),AQ20)</f>
        <v>3</v>
      </c>
      <c r="AR21" s="84">
        <f>IFERROR(MAX(MIN(求节点(宝物升星!F$67:F$72,宝物升星!$C$67:$C$72,AN21/基础状态预期!E$8),宝物升星!F$14),AR20),AR20)</f>
        <v>1.8050314404100702</v>
      </c>
      <c r="AS21" s="54">
        <f>IFERROR(MAX(MIN(求节点(宝物升星!G$67:G$72,宝物升星!$C$67:$C$72,AO21/MAX(基础状态预期!L21,基础状态预期!L20)),宝物升星!G$14),AS20),AS20)</f>
        <v>0</v>
      </c>
      <c r="AT21" s="37">
        <f t="shared" si="16"/>
        <v>580.13546635076727</v>
      </c>
      <c r="AV21" s="38">
        <f t="shared" si="6"/>
        <v>0.64955645459395805</v>
      </c>
      <c r="AW21" s="38">
        <f t="shared" si="17"/>
        <v>0.19514200317064254</v>
      </c>
      <c r="AX21" s="38">
        <f t="shared" si="18"/>
        <v>0.15530154223539935</v>
      </c>
      <c r="AY21" s="38">
        <f t="shared" si="7"/>
        <v>0.77630319313869134</v>
      </c>
      <c r="AZ21" s="38">
        <f t="shared" si="19"/>
        <v>0.18657575840307508</v>
      </c>
      <c r="BA21" s="38">
        <f t="shared" si="20"/>
        <v>3.7121048458233656E-2</v>
      </c>
      <c r="BB21" s="38">
        <f t="shared" si="8"/>
        <v>0.74973542546197847</v>
      </c>
      <c r="BC21" s="38">
        <f t="shared" si="21"/>
        <v>0.25026457453802153</v>
      </c>
      <c r="BD21" s="38">
        <f t="shared" si="22"/>
        <v>0</v>
      </c>
      <c r="BE21" s="38">
        <f t="shared" si="9"/>
        <v>1</v>
      </c>
      <c r="BF21" s="38">
        <f t="shared" si="23"/>
        <v>0</v>
      </c>
      <c r="BG21" s="38">
        <f t="shared" si="24"/>
        <v>0</v>
      </c>
      <c r="BJ21" s="16">
        <v>80.72999999999999</v>
      </c>
      <c r="BK21" s="16">
        <v>35.1</v>
      </c>
      <c r="BL21" s="16">
        <v>2.34</v>
      </c>
      <c r="BM21" s="16">
        <v>0.81900000000000006</v>
      </c>
      <c r="BN21" s="16">
        <v>450.62844422405249</v>
      </c>
      <c r="BO21" s="16">
        <v>140.52176267964452</v>
      </c>
      <c r="BP21" s="16">
        <v>20.511419939559236</v>
      </c>
      <c r="BQ21" s="16">
        <v>6.876139979853078</v>
      </c>
      <c r="BR21" s="16">
        <v>0</v>
      </c>
      <c r="BS21" s="16">
        <v>3</v>
      </c>
      <c r="BT21" s="16">
        <v>5</v>
      </c>
      <c r="BU21" s="16">
        <v>0.14602332997551293</v>
      </c>
      <c r="BV21" s="37"/>
      <c r="BW21" s="37"/>
      <c r="BX21" s="37"/>
      <c r="BY21" s="37"/>
      <c r="BZ21" s="37"/>
    </row>
    <row r="22" spans="4:78">
      <c r="N22" s="16">
        <v>8</v>
      </c>
      <c r="O22" s="17">
        <v>85</v>
      </c>
      <c r="P22" s="17">
        <f>求节点(节奏总纲!$O$4:$O$163,节奏总纲!P$4:P$163,O22)</f>
        <v>361.0386719675123</v>
      </c>
      <c r="Q22" s="17">
        <f>INDEX(其他调用!$C$4:$C$163,$O22)*$P$10</f>
        <v>329136.24230146612</v>
      </c>
      <c r="R22" s="50">
        <v>1</v>
      </c>
      <c r="S22" s="17">
        <f t="shared" si="0"/>
        <v>0.375</v>
      </c>
      <c r="T22" s="17">
        <f t="shared" si="1"/>
        <v>0.125</v>
      </c>
      <c r="U22" s="17">
        <f t="shared" si="2"/>
        <v>2.2500000000000003E-2</v>
      </c>
      <c r="V22" s="17">
        <f t="shared" si="3"/>
        <v>7.4999999999999997E-3</v>
      </c>
      <c r="W22" s="17">
        <f t="shared" si="10"/>
        <v>82380.553293351259</v>
      </c>
      <c r="X22" s="17">
        <f t="shared" si="25"/>
        <v>374.01845716075695</v>
      </c>
      <c r="Y22" s="17">
        <f t="shared" si="26"/>
        <v>124.67281905358566</v>
      </c>
      <c r="Z22" s="17">
        <f t="shared" si="27"/>
        <v>22.44110742964542</v>
      </c>
      <c r="AA22" s="17">
        <f t="shared" si="28"/>
        <v>7.4803691432151389</v>
      </c>
      <c r="AB22" s="17">
        <f>求节点(盗宝贼掉落!$CV$5:$CV$164,盗宝贼掉落!$DC$5:$DC$164,$O22)</f>
        <v>137.67860485586991</v>
      </c>
      <c r="AC22" s="17">
        <f>$AB22*INDEX(盗宝贼掉落!$D$64:$D$67,MATCH(AC$16,盗宝贼掉落!$B$64:$B$67,0))*INDEX(盗宝贼掉落!$F$64:$F$67,MATCH(AC$16,盗宝贼掉落!$B$64:$B$67,0))</f>
        <v>103.25895364190242</v>
      </c>
      <c r="AD22" s="17">
        <f>$AB22*INDEX(盗宝贼掉落!$D$64:$D$67,MATCH(AD$16,盗宝贼掉落!$B$64:$B$67,0))*INDEX(盗宝贼掉落!$F$64:$F$67,MATCH(AD$16,盗宝贼掉落!$B$64:$B$67,0))</f>
        <v>6.8839302427934959</v>
      </c>
      <c r="AE22" s="17">
        <f>$AB22*INDEX(盗宝贼掉落!$D$64:$D$67,MATCH(AE$16,盗宝贼掉落!$B$64:$B$67,0))*INDEX(盗宝贼掉落!$F$64:$F$67,MATCH(AE$16,盗宝贼掉落!$B$64:$B$67,0))</f>
        <v>0</v>
      </c>
      <c r="AF22" s="17">
        <f>$AB22*INDEX(盗宝贼掉落!$D$64:$D$67,MATCH(AF$16,盗宝贼掉落!$B$64:$B$67,0))*INDEX(盗宝贼掉落!$F$64:$F$67,MATCH(AF$16,盗宝贼掉落!$B$64:$B$67,0))</f>
        <v>0</v>
      </c>
      <c r="AG22" s="17">
        <f>求节点(匈奴铁骑掉落!$J$7:$J$166,匈奴铁骑掉落!K$7:K$166,O22)</f>
        <v>408.04640636101476</v>
      </c>
      <c r="AH22" s="17">
        <f>$AG22*INDEX(盗宝贼掉落!$D$64:$D$67,MATCH(AH$16,盗宝贼掉落!$B$64:$B$67,0))*INDEX(盗宝贼掉落!$G$64:$G$67,MATCH(AH$16,盗宝贼掉落!$B$64:$B$67,0))</f>
        <v>122.41392190830445</v>
      </c>
      <c r="AI22" s="17">
        <f>$AG22*INDEX(盗宝贼掉落!$D$64:$D$67,MATCH(AI$16,盗宝贼掉落!$B$64:$B$67,0))*INDEX(盗宝贼掉落!$G$64:$G$67,MATCH(AI$16,盗宝贼掉落!$B$64:$B$67,0))</f>
        <v>32.643712508881187</v>
      </c>
      <c r="AJ22" s="17">
        <f>$AG22*INDEX(盗宝贼掉落!$D$64:$D$67,MATCH(AJ$16,盗宝贼掉落!$B$64:$B$67,0))*INDEX(盗宝贼掉落!$G$64:$G$67,MATCH(AJ$16,盗宝贼掉落!$B$64:$B$67,0))</f>
        <v>8.1609281272202949</v>
      </c>
      <c r="AK22" s="17">
        <f>$AG22*INDEX(盗宝贼掉落!$D$64:$D$67,MATCH(AK$16,盗宝贼掉落!$B$64:$B$67,0))*INDEX(盗宝贼掉落!$G$64:$G$67,MATCH(AK$16,盗宝贼掉落!$B$64:$B$67,0))</f>
        <v>0</v>
      </c>
      <c r="AL22" s="17">
        <f t="shared" si="12"/>
        <v>599.69133271096382</v>
      </c>
      <c r="AM22" s="17">
        <f t="shared" si="13"/>
        <v>164.20046180526032</v>
      </c>
      <c r="AN22" s="17">
        <f t="shared" si="14"/>
        <v>30.602035556865715</v>
      </c>
      <c r="AO22" s="17">
        <f t="shared" si="15"/>
        <v>7.4803691432151389</v>
      </c>
      <c r="AP22" s="84">
        <f>IFERROR(MAX(MIN(求节点(宝物升星!D$67:D$72,宝物升星!$C$67:$C$72,AL22/基础状态预期!C$8),宝物升星!D$14),AP21),AP21)</f>
        <v>0</v>
      </c>
      <c r="AQ22" s="84">
        <f>IFERROR(MAX(MIN(求节点(宝物升星!E$67:E$72,宝物升星!$C$67:$C$72,AM22/基础状态预期!D$8),宝物升星!E$14),AQ21),AQ21)</f>
        <v>3</v>
      </c>
      <c r="AR22" s="84">
        <f>IFERROR(MAX(MIN(求节点(宝物升星!F$67:F$72,宝物升星!$C$67:$C$72,AN22/基础状态预期!E$8),宝物升星!F$14),AR21),AR21)</f>
        <v>2.8252544446082144</v>
      </c>
      <c r="AS22" s="54">
        <f>IFERROR(MAX(MIN(求节点(宝物升星!G$67:G$72,宝物升星!$C$67:$C$72,AO22/MAX(基础状态预期!L22,基础状态预期!L21)),宝物升星!G$14),AS21),AS21)</f>
        <v>0.24672819053585648</v>
      </c>
      <c r="AT22" s="37">
        <f t="shared" si="16"/>
        <v>801.97419921630501</v>
      </c>
      <c r="AV22" s="38">
        <f t="shared" si="6"/>
        <v>0.62368494717102152</v>
      </c>
      <c r="AW22" s="38">
        <f t="shared" si="17"/>
        <v>0.20412821601893133</v>
      </c>
      <c r="AX22" s="38">
        <f t="shared" si="18"/>
        <v>0.17218683681004715</v>
      </c>
      <c r="AY22" s="38">
        <f t="shared" si="7"/>
        <v>0.7592720366489959</v>
      </c>
      <c r="AZ22" s="38">
        <f t="shared" si="19"/>
        <v>0.19880402375235837</v>
      </c>
      <c r="BA22" s="38">
        <f t="shared" si="20"/>
        <v>4.1923939598645897E-2</v>
      </c>
      <c r="BB22" s="38">
        <f t="shared" si="8"/>
        <v>0.73332074227365074</v>
      </c>
      <c r="BC22" s="38">
        <f t="shared" si="21"/>
        <v>0.26667925772634921</v>
      </c>
      <c r="BD22" s="38">
        <f t="shared" si="22"/>
        <v>0</v>
      </c>
      <c r="BE22" s="38">
        <f t="shared" si="9"/>
        <v>1</v>
      </c>
      <c r="BF22" s="38">
        <f t="shared" si="23"/>
        <v>0</v>
      </c>
      <c r="BG22" s="38">
        <f t="shared" si="24"/>
        <v>0</v>
      </c>
      <c r="BJ22" s="16">
        <v>117.31334182879174</v>
      </c>
      <c r="BK22" s="16">
        <v>51.005800795126845</v>
      </c>
      <c r="BL22" s="16">
        <v>3.4003867196751232</v>
      </c>
      <c r="BM22" s="16">
        <v>1.1901353518862932</v>
      </c>
      <c r="BN22" s="16">
        <v>647.20497354460315</v>
      </c>
      <c r="BO22" s="16">
        <v>200.10062372922334</v>
      </c>
      <c r="BP22" s="16">
        <v>28.998347404109666</v>
      </c>
      <c r="BQ22" s="16">
        <v>9.7227889133644751</v>
      </c>
      <c r="BR22" s="16">
        <v>0</v>
      </c>
      <c r="BS22" s="16">
        <v>3</v>
      </c>
      <c r="BT22" s="16">
        <v>5</v>
      </c>
      <c r="BU22" s="16">
        <v>0.62046481889407912</v>
      </c>
      <c r="BV22" s="37"/>
      <c r="BW22" s="37"/>
      <c r="BX22" s="37"/>
      <c r="BY22" s="37"/>
      <c r="BZ22" s="37"/>
    </row>
    <row r="23" spans="4:78">
      <c r="D23" s="16" t="s">
        <v>463</v>
      </c>
      <c r="E23" s="16">
        <f>SUMPRODUCT(E10:G10,E15:G15,E16:G16)+H10*(H15*H16+H19)</f>
        <v>231.25</v>
      </c>
      <c r="N23" s="16">
        <v>9</v>
      </c>
      <c r="O23" s="17">
        <v>90</v>
      </c>
      <c r="P23" s="17">
        <f>求节点(节奏总纲!$O$4:$O$163,节奏总纲!P$4:P$163,O23)</f>
        <v>511</v>
      </c>
      <c r="Q23" s="17">
        <f>INDEX(其他调用!$C$4:$C$163,$O23)*$P$10</f>
        <v>435159.3306463894</v>
      </c>
      <c r="R23" s="50">
        <v>1</v>
      </c>
      <c r="S23" s="17">
        <f t="shared" si="0"/>
        <v>0.375</v>
      </c>
      <c r="T23" s="17">
        <f t="shared" si="1"/>
        <v>0.125</v>
      </c>
      <c r="U23" s="17">
        <f t="shared" si="2"/>
        <v>2.2500000000000003E-2</v>
      </c>
      <c r="V23" s="17">
        <f t="shared" si="3"/>
        <v>7.4999999999999997E-3</v>
      </c>
      <c r="W23" s="17">
        <f t="shared" si="10"/>
        <v>106023.08834492328</v>
      </c>
      <c r="X23" s="17">
        <f t="shared" si="25"/>
        <v>494.49923937089704</v>
      </c>
      <c r="Y23" s="17">
        <f t="shared" si="26"/>
        <v>164.83307979029902</v>
      </c>
      <c r="Z23" s="17">
        <f t="shared" si="27"/>
        <v>29.669954362253826</v>
      </c>
      <c r="AA23" s="17">
        <f t="shared" si="28"/>
        <v>9.8899847874179407</v>
      </c>
      <c r="AB23" s="17">
        <f>求节点(盗宝贼掉落!$CV$5:$CV$164,盗宝贼掉落!$DC$5:$DC$164,$O23)</f>
        <v>205.97099364186477</v>
      </c>
      <c r="AC23" s="17">
        <f>$AB23*INDEX(盗宝贼掉落!$D$64:$D$67,MATCH(AC$16,盗宝贼掉落!$B$64:$B$67,0))*INDEX(盗宝贼掉落!$F$64:$F$67,MATCH(AC$16,盗宝贼掉落!$B$64:$B$67,0))</f>
        <v>154.47824523139857</v>
      </c>
      <c r="AD23" s="17">
        <f>$AB23*INDEX(盗宝贼掉落!$D$64:$D$67,MATCH(AD$16,盗宝贼掉落!$B$64:$B$67,0))*INDEX(盗宝贼掉落!$F$64:$F$67,MATCH(AD$16,盗宝贼掉落!$B$64:$B$67,0))</f>
        <v>10.298549682093238</v>
      </c>
      <c r="AE23" s="17">
        <f>$AB23*INDEX(盗宝贼掉落!$D$64:$D$67,MATCH(AE$16,盗宝贼掉落!$B$64:$B$67,0))*INDEX(盗宝贼掉落!$F$64:$F$67,MATCH(AE$16,盗宝贼掉落!$B$64:$B$67,0))</f>
        <v>0</v>
      </c>
      <c r="AF23" s="17">
        <f>$AB23*INDEX(盗宝贼掉落!$D$64:$D$67,MATCH(AF$16,盗宝贼掉落!$B$64:$B$67,0))*INDEX(盗宝贼掉落!$F$64:$F$67,MATCH(AF$16,盗宝贼掉落!$B$64:$B$67,0))</f>
        <v>0</v>
      </c>
      <c r="AG23" s="17">
        <f>求节点(匈奴铁骑掉落!$J$7:$J$166,匈奴铁骑掉落!K$7:K$166,O23)</f>
        <v>588</v>
      </c>
      <c r="AH23" s="17">
        <f>$AG23*INDEX(盗宝贼掉落!$D$64:$D$67,MATCH(AH$16,盗宝贼掉落!$B$64:$B$67,0))*INDEX(盗宝贼掉落!$G$64:$G$67,MATCH(AH$16,盗宝贼掉落!$B$64:$B$67,0))</f>
        <v>176.40000000000003</v>
      </c>
      <c r="AI23" s="17">
        <f>$AG23*INDEX(盗宝贼掉落!$D$64:$D$67,MATCH(AI$16,盗宝贼掉落!$B$64:$B$67,0))*INDEX(盗宝贼掉落!$G$64:$G$67,MATCH(AI$16,盗宝贼掉落!$B$64:$B$67,0))</f>
        <v>47.040000000000006</v>
      </c>
      <c r="AJ23" s="17">
        <f>$AG23*INDEX(盗宝贼掉落!$D$64:$D$67,MATCH(AJ$16,盗宝贼掉落!$B$64:$B$67,0))*INDEX(盗宝贼掉落!$G$64:$G$67,MATCH(AJ$16,盗宝贼掉落!$B$64:$B$67,0))</f>
        <v>11.76</v>
      </c>
      <c r="AK23" s="17">
        <f>$AG23*INDEX(盗宝贼掉落!$D$64:$D$67,MATCH(AK$16,盗宝贼掉落!$B$64:$B$67,0))*INDEX(盗宝贼掉落!$G$64:$G$67,MATCH(AK$16,盗宝贼掉落!$B$64:$B$67,0))</f>
        <v>0</v>
      </c>
      <c r="AL23" s="17">
        <f t="shared" si="12"/>
        <v>825.37748460229568</v>
      </c>
      <c r="AM23" s="17">
        <f t="shared" si="13"/>
        <v>222.17162947239228</v>
      </c>
      <c r="AN23" s="17">
        <f t="shared" si="14"/>
        <v>41.429954362253824</v>
      </c>
      <c r="AO23" s="17">
        <f t="shared" si="15"/>
        <v>9.8899847874179407</v>
      </c>
      <c r="AP23" s="84">
        <f>IFERROR(MAX(MIN(求节点(宝物升星!D$67:D$72,宝物升星!$C$67:$C$72,AL23/基础状态预期!C$8),宝物升星!D$14),AP22),AP22)</f>
        <v>0</v>
      </c>
      <c r="AQ23" s="84">
        <f>IFERROR(MAX(MIN(求节点(宝物升星!E$67:E$72,宝物升星!$C$67:$C$72,AM23/基础状态预期!D$8),宝物升星!E$14),AQ22),AQ22)</f>
        <v>3</v>
      </c>
      <c r="AR23" s="84">
        <f>IFERROR(MAX(MIN(求节点(宝物升星!F$67:F$72,宝物升星!$C$67:$C$72,AN23/基础状态预期!E$8),宝物升星!F$14),AR22),AR22)</f>
        <v>4.178744295281728</v>
      </c>
      <c r="AS23" s="54">
        <f>IFERROR(MAX(MIN(求节点(宝物升星!G$67:G$72,宝物升星!$C$67:$C$72,AO23/MAX(基础状态预期!L23,基础状态预期!L22)),宝物升星!G$14),AS22),AS22)</f>
        <v>0.6483307979029902</v>
      </c>
      <c r="AT23" s="37">
        <f t="shared" si="16"/>
        <v>1098.8690532243597</v>
      </c>
      <c r="AV23" s="38">
        <f t="shared" si="6"/>
        <v>0.59911888632286747</v>
      </c>
      <c r="AW23" s="38">
        <f t="shared" si="17"/>
        <v>0.21372039253651021</v>
      </c>
      <c r="AX23" s="38">
        <f t="shared" si="18"/>
        <v>0.18716072114062235</v>
      </c>
      <c r="AY23" s="38">
        <f t="shared" si="7"/>
        <v>0.74191776952683186</v>
      </c>
      <c r="AZ23" s="38">
        <f t="shared" si="19"/>
        <v>0.21172820360416603</v>
      </c>
      <c r="BA23" s="38">
        <f t="shared" si="20"/>
        <v>4.6354026869002043E-2</v>
      </c>
      <c r="BB23" s="38">
        <f t="shared" si="8"/>
        <v>0.71614740636271745</v>
      </c>
      <c r="BC23" s="38">
        <f t="shared" si="21"/>
        <v>0.28385259363728266</v>
      </c>
      <c r="BD23" s="38">
        <f t="shared" si="22"/>
        <v>0</v>
      </c>
      <c r="BE23" s="38">
        <f t="shared" si="9"/>
        <v>1</v>
      </c>
      <c r="BF23" s="38">
        <f t="shared" si="23"/>
        <v>0</v>
      </c>
      <c r="BG23" s="38">
        <f t="shared" si="24"/>
        <v>0</v>
      </c>
      <c r="BJ23" s="16">
        <v>169.04999999999998</v>
      </c>
      <c r="BK23" s="16">
        <v>73.5</v>
      </c>
      <c r="BL23" s="16">
        <v>4.9000000000000004</v>
      </c>
      <c r="BM23" s="16">
        <v>1.7150000000000001</v>
      </c>
      <c r="BN23" s="16">
        <v>884.23813097704681</v>
      </c>
      <c r="BO23" s="16">
        <v>270.70184493064266</v>
      </c>
      <c r="BP23" s="16">
        <v>38.542593144738902</v>
      </c>
      <c r="BQ23" s="16">
        <v>12.929197714912966</v>
      </c>
      <c r="BR23" s="16">
        <v>0</v>
      </c>
      <c r="BS23" s="16">
        <v>3</v>
      </c>
      <c r="BT23" s="16">
        <v>5</v>
      </c>
      <c r="BU23" s="16">
        <v>1.1548662858188279</v>
      </c>
      <c r="BV23" s="37"/>
      <c r="BW23" s="37"/>
      <c r="BX23" s="37"/>
      <c r="BY23" s="37"/>
      <c r="BZ23" s="37"/>
    </row>
    <row r="24" spans="4:78">
      <c r="D24" s="16" t="s">
        <v>431</v>
      </c>
      <c r="E24" s="16">
        <v>100</v>
      </c>
      <c r="F24" s="68" t="s">
        <v>467</v>
      </c>
      <c r="N24" s="16">
        <v>10</v>
      </c>
      <c r="O24" s="17">
        <v>95</v>
      </c>
      <c r="P24" s="17">
        <f>求节点(节奏总纲!$O$4:$O$163,节奏总纲!P$4:P$163,O24)</f>
        <v>723.0773439350246</v>
      </c>
      <c r="Q24" s="17">
        <f>INDEX(其他调用!$C$4:$C$163,$O24)*$P$10</f>
        <v>584932.34855945536</v>
      </c>
      <c r="R24" s="50">
        <v>1</v>
      </c>
      <c r="S24" s="17">
        <f t="shared" si="0"/>
        <v>0.375</v>
      </c>
      <c r="T24" s="17">
        <f t="shared" si="1"/>
        <v>0.125</v>
      </c>
      <c r="U24" s="17">
        <f t="shared" si="2"/>
        <v>2.2500000000000003E-2</v>
      </c>
      <c r="V24" s="17">
        <f t="shared" si="3"/>
        <v>7.4999999999999997E-3</v>
      </c>
      <c r="W24" s="17">
        <f t="shared" si="10"/>
        <v>149773.01791306597</v>
      </c>
      <c r="X24" s="17">
        <f t="shared" si="25"/>
        <v>664.6958506357447</v>
      </c>
      <c r="Y24" s="17">
        <f t="shared" si="26"/>
        <v>221.56528354524826</v>
      </c>
      <c r="Z24" s="17">
        <f t="shared" si="27"/>
        <v>39.881751038144685</v>
      </c>
      <c r="AA24" s="17">
        <f t="shared" si="28"/>
        <v>13.293917012714894</v>
      </c>
      <c r="AB24" s="17">
        <f>求节点(盗宝贼掉落!$CV$5:$CV$164,盗宝贼掉落!$DC$5:$DC$164,$O24)</f>
        <v>302.551016069875</v>
      </c>
      <c r="AC24" s="17">
        <f>$AB24*INDEX(盗宝贼掉落!$D$64:$D$67,MATCH(AC$16,盗宝贼掉落!$B$64:$B$67,0))*INDEX(盗宝贼掉落!$F$64:$F$67,MATCH(AC$16,盗宝贼掉落!$B$64:$B$67,0))</f>
        <v>226.91326205240625</v>
      </c>
      <c r="AD24" s="17">
        <f>$AB24*INDEX(盗宝贼掉落!$D$64:$D$67,MATCH(AD$16,盗宝贼掉落!$B$64:$B$67,0))*INDEX(盗宝贼掉落!$F$64:$F$67,MATCH(AD$16,盗宝贼掉落!$B$64:$B$67,0))</f>
        <v>15.127550803493751</v>
      </c>
      <c r="AE24" s="17">
        <f>$AB24*INDEX(盗宝贼掉落!$D$64:$D$67,MATCH(AE$16,盗宝贼掉落!$B$64:$B$67,0))*INDEX(盗宝贼掉落!$F$64:$F$67,MATCH(AE$16,盗宝贼掉落!$B$64:$B$67,0))</f>
        <v>0</v>
      </c>
      <c r="AF24" s="17">
        <f>$AB24*INDEX(盗宝贼掉落!$D$64:$D$67,MATCH(AF$16,盗宝贼掉落!$B$64:$B$67,0))*INDEX(盗宝贼掉落!$F$64:$F$67,MATCH(AF$16,盗宝贼掉落!$B$64:$B$67,0))</f>
        <v>0</v>
      </c>
      <c r="AG24" s="17">
        <f>求节点(匈奴铁骑掉落!$J$7:$J$166,匈奴铁骑掉落!K$7:K$166,O24)</f>
        <v>842.49281272202961</v>
      </c>
      <c r="AH24" s="17">
        <f>$AG24*INDEX(盗宝贼掉落!$D$64:$D$67,MATCH(AH$16,盗宝贼掉落!$B$64:$B$67,0))*INDEX(盗宝贼掉落!$G$64:$G$67,MATCH(AH$16,盗宝贼掉落!$B$64:$B$67,0))</f>
        <v>252.74784381660893</v>
      </c>
      <c r="AI24" s="17">
        <f>$AG24*INDEX(盗宝贼掉落!$D$64:$D$67,MATCH(AI$16,盗宝贼掉落!$B$64:$B$67,0))*INDEX(盗宝贼掉落!$G$64:$G$67,MATCH(AI$16,盗宝贼掉落!$B$64:$B$67,0))</f>
        <v>67.399425017762368</v>
      </c>
      <c r="AJ24" s="17">
        <f>$AG24*INDEX(盗宝贼掉落!$D$64:$D$67,MATCH(AJ$16,盗宝贼掉落!$B$64:$B$67,0))*INDEX(盗宝贼掉落!$G$64:$G$67,MATCH(AJ$16,盗宝贼掉落!$B$64:$B$67,0))</f>
        <v>16.849856254440592</v>
      </c>
      <c r="AK24" s="17">
        <f>$AG24*INDEX(盗宝贼掉落!$D$64:$D$67,MATCH(AK$16,盗宝贼掉落!$B$64:$B$67,0))*INDEX(盗宝贼掉落!$G$64:$G$67,MATCH(AK$16,盗宝贼掉落!$B$64:$B$67,0))</f>
        <v>0</v>
      </c>
      <c r="AL24" s="17">
        <f t="shared" si="12"/>
        <v>1144.3569565047599</v>
      </c>
      <c r="AM24" s="17">
        <f t="shared" si="13"/>
        <v>304.09225936650438</v>
      </c>
      <c r="AN24" s="17">
        <f t="shared" si="14"/>
        <v>56.731607292585281</v>
      </c>
      <c r="AO24" s="17">
        <f t="shared" si="15"/>
        <v>13.293917012714894</v>
      </c>
      <c r="AP24" s="84">
        <f>IFERROR(MAX(MIN(求节点(宝物升星!D$67:D$72,宝物升星!$C$67:$C$72,AL24/基础状态预期!C$8),宝物升星!D$14),AP23),AP23)</f>
        <v>0</v>
      </c>
      <c r="AQ24" s="84">
        <f>IFERROR(MAX(MIN(求节点(宝物升星!E$67:E$72,宝物升星!$C$67:$C$72,AM24/基础状态预期!D$8),宝物升星!E$14),AQ23),AQ23)</f>
        <v>3</v>
      </c>
      <c r="AR24" s="84">
        <f>IFERROR(MAX(MIN(求节点(宝物升星!F$67:F$72,宝物升星!$C$67:$C$72,AN24/基础状态预期!E$8),宝物升星!F$14),AR23),AR23)</f>
        <v>5</v>
      </c>
      <c r="AS24" s="54">
        <f>IFERROR(MAX(MIN(求节点(宝物升星!G$67:G$72,宝物升星!$C$67:$C$72,AO24/MAX(基础状态预期!L24,基础状态预期!L23)),宝物升星!G$14),AS23),AS23)</f>
        <v>1.2156528354524823</v>
      </c>
      <c r="AT24" s="37">
        <f t="shared" si="16"/>
        <v>1518.4747401765644</v>
      </c>
      <c r="AV24" s="38">
        <f t="shared" si="6"/>
        <v>0.58084660285191347</v>
      </c>
      <c r="AW24" s="38">
        <f t="shared" si="17"/>
        <v>0.22086451467781823</v>
      </c>
      <c r="AX24" s="38">
        <f t="shared" si="18"/>
        <v>0.1982888824702683</v>
      </c>
      <c r="AY24" s="38">
        <f t="shared" si="7"/>
        <v>0.72861204690583314</v>
      </c>
      <c r="AZ24" s="38">
        <f t="shared" si="19"/>
        <v>0.22164137014921459</v>
      </c>
      <c r="BA24" s="38">
        <f t="shared" si="20"/>
        <v>4.9746582944952274E-2</v>
      </c>
      <c r="BB24" s="38">
        <f t="shared" si="8"/>
        <v>0.70298997228229698</v>
      </c>
      <c r="BC24" s="38">
        <f t="shared" si="21"/>
        <v>0.29701002771770291</v>
      </c>
      <c r="BD24" s="38">
        <f t="shared" si="22"/>
        <v>0</v>
      </c>
      <c r="BE24" s="38">
        <f t="shared" si="9"/>
        <v>1</v>
      </c>
      <c r="BF24" s="38">
        <f t="shared" si="23"/>
        <v>0</v>
      </c>
      <c r="BG24" s="38">
        <f t="shared" si="24"/>
        <v>0</v>
      </c>
      <c r="BJ24" s="16">
        <v>242.21668365758347</v>
      </c>
      <c r="BK24" s="16">
        <v>105.3116015902537</v>
      </c>
      <c r="BL24" s="16">
        <v>7.020773439350247</v>
      </c>
      <c r="BM24" s="16">
        <v>2.4572707037725863</v>
      </c>
      <c r="BN24" s="16">
        <v>1163.9170391273774</v>
      </c>
      <c r="BO24" s="16">
        <v>352.03485019954337</v>
      </c>
      <c r="BP24" s="16">
        <v>48.707999044393517</v>
      </c>
      <c r="BQ24" s="16">
        <v>16.353012572120342</v>
      </c>
      <c r="BR24" s="16">
        <v>0</v>
      </c>
      <c r="BS24" s="16">
        <v>3</v>
      </c>
      <c r="BT24" s="16">
        <v>5</v>
      </c>
      <c r="BU24" s="16">
        <v>1.7255020953533902</v>
      </c>
      <c r="BV24" s="37"/>
      <c r="BW24" s="37"/>
      <c r="BX24" s="37"/>
      <c r="BY24" s="37"/>
      <c r="BZ24" s="37"/>
    </row>
    <row r="25" spans="4:78">
      <c r="D25" s="16" t="s">
        <v>325</v>
      </c>
      <c r="E25" s="16">
        <v>330</v>
      </c>
      <c r="N25" s="16">
        <v>11</v>
      </c>
      <c r="O25" s="17">
        <v>100</v>
      </c>
      <c r="P25" s="17">
        <f>求节点(节奏总纲!$O$4:$O$163,节奏总纲!P$4:P$163,O25)</f>
        <v>1023</v>
      </c>
      <c r="Q25" s="17">
        <f>INDEX(其他调用!$C$4:$C$163,$O25)*$P$10</f>
        <v>780773.44526520511</v>
      </c>
      <c r="R25" s="50">
        <v>1</v>
      </c>
      <c r="S25" s="17">
        <f t="shared" si="0"/>
        <v>0.375</v>
      </c>
      <c r="T25" s="17">
        <f t="shared" si="1"/>
        <v>0.125</v>
      </c>
      <c r="U25" s="17">
        <f t="shared" si="2"/>
        <v>2.2500000000000003E-2</v>
      </c>
      <c r="V25" s="17">
        <f t="shared" si="3"/>
        <v>7.4999999999999997E-3</v>
      </c>
      <c r="W25" s="17">
        <f t="shared" si="10"/>
        <v>195841.09670574975</v>
      </c>
      <c r="X25" s="17">
        <f t="shared" si="25"/>
        <v>887.24255143773303</v>
      </c>
      <c r="Y25" s="17">
        <f t="shared" si="26"/>
        <v>295.74751714591105</v>
      </c>
      <c r="Z25" s="17">
        <f t="shared" si="27"/>
        <v>53.234553086263986</v>
      </c>
      <c r="AA25" s="17">
        <f t="shared" si="28"/>
        <v>17.74485102875466</v>
      </c>
      <c r="AB25" s="17">
        <f>求节点(盗宝贼掉落!$CV$5:$CV$164,盗宝贼掉落!$DC$5:$DC$164,$O25)</f>
        <v>439.13579364186472</v>
      </c>
      <c r="AC25" s="17">
        <f>$AB25*INDEX(盗宝贼掉落!$D$64:$D$67,MATCH(AC$16,盗宝贼掉落!$B$64:$B$67,0))*INDEX(盗宝贼掉落!$F$64:$F$67,MATCH(AC$16,盗宝贼掉落!$B$64:$B$67,0))</f>
        <v>329.35184523139856</v>
      </c>
      <c r="AD25" s="17">
        <f>$AB25*INDEX(盗宝贼掉落!$D$64:$D$67,MATCH(AD$16,盗宝贼掉落!$B$64:$B$67,0))*INDEX(盗宝贼掉落!$F$64:$F$67,MATCH(AD$16,盗宝贼掉落!$B$64:$B$67,0))</f>
        <v>21.956789682093238</v>
      </c>
      <c r="AE25" s="17">
        <f>$AB25*INDEX(盗宝贼掉落!$D$64:$D$67,MATCH(AE$16,盗宝贼掉落!$B$64:$B$67,0))*INDEX(盗宝贼掉落!$F$64:$F$67,MATCH(AE$16,盗宝贼掉落!$B$64:$B$67,0))</f>
        <v>0</v>
      </c>
      <c r="AF25" s="17">
        <f>$AB25*INDEX(盗宝贼掉落!$D$64:$D$67,MATCH(AF$16,盗宝贼掉落!$B$64:$B$67,0))*INDEX(盗宝贼掉落!$F$64:$F$67,MATCH(AF$16,盗宝贼掉落!$B$64:$B$67,0))</f>
        <v>0</v>
      </c>
      <c r="AG25" s="17">
        <f>求节点(匈奴铁骑掉落!$J$7:$J$166,匈奴铁骑掉落!K$7:K$166,O25)</f>
        <v>1202.4000000000001</v>
      </c>
      <c r="AH25" s="17">
        <f>$AG25*INDEX(盗宝贼掉落!$D$64:$D$67,MATCH(AH$16,盗宝贼掉落!$B$64:$B$67,0))*INDEX(盗宝贼掉落!$G$64:$G$67,MATCH(AH$16,盗宝贼掉落!$B$64:$B$67,0))</f>
        <v>360.72000000000008</v>
      </c>
      <c r="AI25" s="17">
        <f>$AG25*INDEX(盗宝贼掉落!$D$64:$D$67,MATCH(AI$16,盗宝贼掉落!$B$64:$B$67,0))*INDEX(盗宝贼掉落!$G$64:$G$67,MATCH(AI$16,盗宝贼掉落!$B$64:$B$67,0))</f>
        <v>96.192000000000007</v>
      </c>
      <c r="AJ25" s="17">
        <f>$AG25*INDEX(盗宝贼掉落!$D$64:$D$67,MATCH(AJ$16,盗宝贼掉落!$B$64:$B$67,0))*INDEX(盗宝贼掉落!$G$64:$G$67,MATCH(AJ$16,盗宝贼掉落!$B$64:$B$67,0))</f>
        <v>24.048000000000002</v>
      </c>
      <c r="AK25" s="17">
        <f>$AG25*INDEX(盗宝贼掉落!$D$64:$D$67,MATCH(AK$16,盗宝贼掉落!$B$64:$B$67,0))*INDEX(盗宝贼掉落!$G$64:$G$67,MATCH(AK$16,盗宝贼掉落!$B$64:$B$67,0))</f>
        <v>0</v>
      </c>
      <c r="AL25" s="17">
        <f t="shared" si="12"/>
        <v>1577.3143966691316</v>
      </c>
      <c r="AM25" s="17">
        <f t="shared" si="13"/>
        <v>413.8963068280043</v>
      </c>
      <c r="AN25" s="17">
        <f t="shared" si="14"/>
        <v>77.282553086263988</v>
      </c>
      <c r="AO25" s="17">
        <f t="shared" si="15"/>
        <v>17.74485102875466</v>
      </c>
      <c r="AP25" s="84">
        <f>IFERROR(MAX(MIN(求节点(宝物升星!D$67:D$72,宝物升星!$C$67:$C$72,AL25/基础状态预期!C$8),宝物升星!D$14),AP24),AP24)</f>
        <v>0</v>
      </c>
      <c r="AQ25" s="84">
        <f>IFERROR(MAX(MIN(求节点(宝物升星!E$67:E$72,宝物升星!$C$67:$C$72,AM25/基础状态预期!D$8),宝物升星!E$14),AQ24),AQ24)</f>
        <v>3</v>
      </c>
      <c r="AR25" s="84">
        <f>IFERROR(MAX(MIN(求节点(宝物升星!F$67:F$72,宝物升星!$C$67:$C$72,AN25/基础状态预期!E$8),宝物升星!F$14),AR24),AR24)</f>
        <v>5</v>
      </c>
      <c r="AS25" s="54">
        <f>IFERROR(MAX(MIN(求节点(宝物升星!G$67:G$72,宝物升星!$C$67:$C$72,AO25/MAX(基础状态预期!L25,基础状态预期!L24)),宝物升星!G$14),AS24),AS24)</f>
        <v>1.9574751714591101</v>
      </c>
      <c r="AT25" s="37">
        <f t="shared" si="16"/>
        <v>2086.2381076121542</v>
      </c>
      <c r="AV25" s="38">
        <f t="shared" si="6"/>
        <v>0.56250203086420392</v>
      </c>
      <c r="AW25" s="38">
        <f t="shared" si="17"/>
        <v>0.22869251733309781</v>
      </c>
      <c r="AX25" s="38">
        <f t="shared" si="18"/>
        <v>0.20880545180269833</v>
      </c>
      <c r="AY25" s="38">
        <f t="shared" si="7"/>
        <v>0.71454495308847898</v>
      </c>
      <c r="AZ25" s="38">
        <f t="shared" si="19"/>
        <v>0.23240603603639509</v>
      </c>
      <c r="BA25" s="38">
        <f t="shared" si="20"/>
        <v>5.3049010875125882E-2</v>
      </c>
      <c r="BB25" s="38">
        <f t="shared" si="8"/>
        <v>0.68883015584180751</v>
      </c>
      <c r="BC25" s="38">
        <f t="shared" si="21"/>
        <v>0.31116984415819249</v>
      </c>
      <c r="BD25" s="38">
        <f t="shared" si="22"/>
        <v>0</v>
      </c>
      <c r="BE25" s="38">
        <f t="shared" si="9"/>
        <v>1</v>
      </c>
      <c r="BF25" s="38">
        <f t="shared" si="23"/>
        <v>0</v>
      </c>
      <c r="BG25" s="38">
        <f t="shared" si="24"/>
        <v>0</v>
      </c>
      <c r="BJ25" s="16">
        <v>345.69</v>
      </c>
      <c r="BK25" s="16">
        <v>150.30000000000001</v>
      </c>
      <c r="BL25" s="16">
        <v>10.020000000000001</v>
      </c>
      <c r="BM25" s="16">
        <v>3.5070000000000006</v>
      </c>
      <c r="BN25" s="16">
        <v>1503.9061463205255</v>
      </c>
      <c r="BO25" s="16">
        <v>448.54489004513556</v>
      </c>
      <c r="BP25" s="16">
        <v>59.751858065347626</v>
      </c>
      <c r="BQ25" s="16">
        <v>20.084286021782543</v>
      </c>
      <c r="BR25" s="16">
        <v>0</v>
      </c>
      <c r="BS25" s="16">
        <v>3</v>
      </c>
      <c r="BT25" s="16">
        <v>5</v>
      </c>
      <c r="BU25" s="16">
        <v>2.3473810036304239</v>
      </c>
      <c r="BV25" s="37"/>
      <c r="BW25" s="37"/>
      <c r="BX25" s="37"/>
      <c r="BY25" s="37"/>
      <c r="BZ25" s="37"/>
    </row>
    <row r="26" spans="4:78">
      <c r="H26" s="16">
        <f>1/0.05/0.2*314</f>
        <v>31400</v>
      </c>
      <c r="I26" s="16">
        <f>1/H16/H15*E23</f>
        <v>30833.333333333336</v>
      </c>
      <c r="N26" s="16">
        <v>12</v>
      </c>
      <c r="O26" s="17">
        <v>105</v>
      </c>
      <c r="P26" s="17">
        <f>求节点(节奏总纲!$O$4:$O$163,节奏总纲!P$4:P$163,O26)</f>
        <v>1447.1546878700494</v>
      </c>
      <c r="Q26" s="17">
        <f>INDEX(其他调用!$C$4:$C$163,$O26)*$P$10</f>
        <v>1057463.2003238557</v>
      </c>
      <c r="R26" s="50">
        <v>1</v>
      </c>
      <c r="S26" s="17">
        <f t="shared" si="0"/>
        <v>0.375</v>
      </c>
      <c r="T26" s="17">
        <f t="shared" si="1"/>
        <v>0.125</v>
      </c>
      <c r="U26" s="17">
        <f t="shared" si="2"/>
        <v>2.2500000000000003E-2</v>
      </c>
      <c r="V26" s="17">
        <f t="shared" si="3"/>
        <v>7.4999999999999997E-3</v>
      </c>
      <c r="W26" s="17">
        <f t="shared" si="10"/>
        <v>276689.75505865063</v>
      </c>
      <c r="X26" s="17">
        <f t="shared" si="25"/>
        <v>1201.6627276407451</v>
      </c>
      <c r="Y26" s="17">
        <f t="shared" si="26"/>
        <v>400.55424254691508</v>
      </c>
      <c r="Z26" s="17">
        <f t="shared" si="27"/>
        <v>72.099763658444715</v>
      </c>
      <c r="AA26" s="17">
        <f t="shared" si="28"/>
        <v>24.033254552814903</v>
      </c>
      <c r="AB26" s="17">
        <f>求节点(盗宝贼掉落!$CV$5:$CV$164,盗宝贼掉落!$DC$5:$DC$164,$O26)</f>
        <v>632.29583849788514</v>
      </c>
      <c r="AC26" s="17">
        <f>$AB26*INDEX(盗宝贼掉落!$D$64:$D$67,MATCH(AC$16,盗宝贼掉落!$B$64:$B$67,0))*INDEX(盗宝贼掉落!$F$64:$F$67,MATCH(AC$16,盗宝贼掉落!$B$64:$B$67,0))</f>
        <v>474.22187887341386</v>
      </c>
      <c r="AD26" s="17">
        <f>$AB26*INDEX(盗宝贼掉落!$D$64:$D$67,MATCH(AD$16,盗宝贼掉落!$B$64:$B$67,0))*INDEX(盗宝贼掉落!$F$64:$F$67,MATCH(AD$16,盗宝贼掉落!$B$64:$B$67,0))</f>
        <v>31.614791924894259</v>
      </c>
      <c r="AE26" s="17">
        <f>$AB26*INDEX(盗宝贼掉落!$D$64:$D$67,MATCH(AE$16,盗宝贼掉落!$B$64:$B$67,0))*INDEX(盗宝贼掉落!$F$64:$F$67,MATCH(AE$16,盗宝贼掉落!$B$64:$B$67,0))</f>
        <v>0</v>
      </c>
      <c r="AF26" s="17">
        <f>$AB26*INDEX(盗宝贼掉落!$D$64:$D$67,MATCH(AF$16,盗宝贼掉落!$B$64:$B$67,0))*INDEX(盗宝贼掉落!$F$64:$F$67,MATCH(AF$16,盗宝贼掉落!$B$64:$B$67,0))</f>
        <v>0</v>
      </c>
      <c r="AG26" s="17">
        <f>求节点(匈奴铁骑掉落!$J$7:$J$166,匈奴铁骑掉落!K$7:K$166,O26)</f>
        <v>1711.3856254440595</v>
      </c>
      <c r="AH26" s="17">
        <f>$AG26*INDEX(盗宝贼掉落!$D$64:$D$67,MATCH(AH$16,盗宝贼掉落!$B$64:$B$67,0))*INDEX(盗宝贼掉落!$G$64:$G$67,MATCH(AH$16,盗宝贼掉落!$B$64:$B$67,0))</f>
        <v>513.41568763321789</v>
      </c>
      <c r="AI26" s="17">
        <f>$AG26*INDEX(盗宝贼掉落!$D$64:$D$67,MATCH(AI$16,盗宝贼掉落!$B$64:$B$67,0))*INDEX(盗宝贼掉落!$G$64:$G$67,MATCH(AI$16,盗宝贼掉落!$B$64:$B$67,0))</f>
        <v>136.91085003552479</v>
      </c>
      <c r="AJ26" s="17">
        <f>$AG26*INDEX(盗宝贼掉落!$D$64:$D$67,MATCH(AJ$16,盗宝贼掉落!$B$64:$B$67,0))*INDEX(盗宝贼掉落!$G$64:$G$67,MATCH(AJ$16,盗宝贼掉落!$B$64:$B$67,0))</f>
        <v>34.22771250888119</v>
      </c>
      <c r="AK26" s="17">
        <f>$AG26*INDEX(盗宝贼掉落!$D$64:$D$67,MATCH(AK$16,盗宝贼掉落!$B$64:$B$67,0))*INDEX(盗宝贼掉落!$G$64:$G$67,MATCH(AK$16,盗宝贼掉落!$B$64:$B$67,0))</f>
        <v>0</v>
      </c>
      <c r="AL26" s="17">
        <f t="shared" si="12"/>
        <v>2189.3002941473769</v>
      </c>
      <c r="AM26" s="17">
        <f t="shared" si="13"/>
        <v>569.0798845073341</v>
      </c>
      <c r="AN26" s="17">
        <f t="shared" si="14"/>
        <v>106.3274761673259</v>
      </c>
      <c r="AO26" s="17">
        <f t="shared" si="15"/>
        <v>24.033254552814903</v>
      </c>
      <c r="AP26" s="84">
        <f>IFERROR(MAX(MIN(求节点(宝物升星!D$67:D$72,宝物升星!$C$67:$C$72,AL26/基础状态预期!C$8),宝物升星!D$14),AP25),AP25)</f>
        <v>0</v>
      </c>
      <c r="AQ26" s="84">
        <f>IFERROR(MAX(MIN(求节点(宝物升星!E$67:E$72,宝物升星!$C$67:$C$72,AM26/基础状态预期!D$8),宝物升星!E$14),AQ25),AQ25)</f>
        <v>3</v>
      </c>
      <c r="AR26" s="84">
        <f>IFERROR(MAX(MIN(求节点(宝物升星!F$67:F$72,宝物升星!$C$67:$C$72,AN26/基础状态预期!E$8),宝物升星!F$14),AR25),AR25)</f>
        <v>5</v>
      </c>
      <c r="AS26" s="54">
        <f>IFERROR(MAX(MIN(求节点(宝物升星!G$67:G$72,宝物升星!$C$67:$C$72,AO26/MAX(基础状态预期!L26,基础状态预期!L25)),宝物升星!G$14),AS25),AS25)</f>
        <v>3.0055424254691507</v>
      </c>
      <c r="AT26" s="37">
        <f t="shared" si="16"/>
        <v>2888.740909374852</v>
      </c>
      <c r="AV26" s="38">
        <f t="shared" si="6"/>
        <v>0.54887980915780799</v>
      </c>
      <c r="AW26" s="38">
        <f t="shared" si="17"/>
        <v>0.23451131350309695</v>
      </c>
      <c r="AX26" s="38">
        <f t="shared" si="18"/>
        <v>0.21660887733909504</v>
      </c>
      <c r="AY26" s="38">
        <f t="shared" si="7"/>
        <v>0.70386294341379563</v>
      </c>
      <c r="AZ26" s="38">
        <f t="shared" si="19"/>
        <v>0.2405828316248636</v>
      </c>
      <c r="BA26" s="38">
        <f t="shared" si="20"/>
        <v>5.5554224961340763E-2</v>
      </c>
      <c r="BB26" s="38">
        <f t="shared" si="8"/>
        <v>0.6780915550462463</v>
      </c>
      <c r="BC26" s="38">
        <f t="shared" si="21"/>
        <v>0.3219084449537537</v>
      </c>
      <c r="BD26" s="38">
        <f t="shared" si="22"/>
        <v>0</v>
      </c>
      <c r="BE26" s="38">
        <f t="shared" si="9"/>
        <v>1</v>
      </c>
      <c r="BF26" s="38">
        <f t="shared" si="23"/>
        <v>0</v>
      </c>
      <c r="BG26" s="38">
        <f t="shared" si="24"/>
        <v>0</v>
      </c>
      <c r="BJ26" s="16">
        <v>492.02336731516704</v>
      </c>
      <c r="BK26" s="16">
        <v>213.92320318050744</v>
      </c>
      <c r="BL26" s="16">
        <v>14.261546878700495</v>
      </c>
      <c r="BM26" s="16">
        <v>4.9915414075451734</v>
      </c>
      <c r="BN26" s="16">
        <v>1929.186754949447</v>
      </c>
      <c r="BO26" s="16">
        <v>566.51849802569041</v>
      </c>
      <c r="BP26" s="16">
        <v>72.03803740435248</v>
      </c>
      <c r="BQ26" s="16">
        <v>24.250371582762501</v>
      </c>
      <c r="BR26" s="16">
        <v>0</v>
      </c>
      <c r="BS26" s="16">
        <v>3</v>
      </c>
      <c r="BT26" s="16">
        <v>5</v>
      </c>
      <c r="BU26" s="16">
        <v>3.0417285971270838</v>
      </c>
      <c r="BV26" s="37"/>
      <c r="BW26" s="37"/>
      <c r="BX26" s="37"/>
      <c r="BY26" s="37"/>
      <c r="BZ26" s="37"/>
    </row>
    <row r="27" spans="4:78">
      <c r="N27" s="16">
        <v>13</v>
      </c>
      <c r="O27" s="17">
        <v>110</v>
      </c>
      <c r="P27" s="17">
        <f>求节点(节奏总纲!$O$4:$O$163,节奏总纲!P$4:P$163,O27)</f>
        <v>2047</v>
      </c>
      <c r="Q27" s="17">
        <f>INDEX(其他调用!$C$4:$C$163,$O27)*$P$10</f>
        <v>1426393.0378881902</v>
      </c>
      <c r="R27" s="50">
        <v>1</v>
      </c>
      <c r="S27" s="17">
        <f t="shared" si="0"/>
        <v>0.375</v>
      </c>
      <c r="T27" s="17">
        <f t="shared" si="1"/>
        <v>0.125</v>
      </c>
      <c r="U27" s="17">
        <f t="shared" si="2"/>
        <v>2.2500000000000003E-2</v>
      </c>
      <c r="V27" s="17">
        <f t="shared" si="3"/>
        <v>7.4999999999999997E-3</v>
      </c>
      <c r="W27" s="17">
        <f t="shared" si="10"/>
        <v>368929.83756433451</v>
      </c>
      <c r="X27" s="17">
        <f t="shared" si="25"/>
        <v>1620.901179418398</v>
      </c>
      <c r="Y27" s="17">
        <f t="shared" si="26"/>
        <v>540.300393139466</v>
      </c>
      <c r="Z27" s="17">
        <f t="shared" si="27"/>
        <v>97.25407076510389</v>
      </c>
      <c r="AA27" s="17">
        <f t="shared" si="28"/>
        <v>32.418023588367959</v>
      </c>
      <c r="AB27" s="17">
        <f>求节点(盗宝贼掉落!$CV$5:$CV$164,盗宝贼掉落!$DC$5:$DC$164,$O27)</f>
        <v>905.46539364186458</v>
      </c>
      <c r="AC27" s="17">
        <f>$AB27*INDEX(盗宝贼掉落!$D$64:$D$67,MATCH(AC$16,盗宝贼掉落!$B$64:$B$67,0))*INDEX(盗宝贼掉落!$F$64:$F$67,MATCH(AC$16,盗宝贼掉落!$B$64:$B$67,0))</f>
        <v>679.09904523139846</v>
      </c>
      <c r="AD27" s="17">
        <f>$AB27*INDEX(盗宝贼掉落!$D$64:$D$67,MATCH(AD$16,盗宝贼掉落!$B$64:$B$67,0))*INDEX(盗宝贼掉落!$F$64:$F$67,MATCH(AD$16,盗宝贼掉落!$B$64:$B$67,0))</f>
        <v>45.273269682093229</v>
      </c>
      <c r="AE27" s="17">
        <f>$AB27*INDEX(盗宝贼掉落!$D$64:$D$67,MATCH(AE$16,盗宝贼掉落!$B$64:$B$67,0))*INDEX(盗宝贼掉落!$F$64:$F$67,MATCH(AE$16,盗宝贼掉落!$B$64:$B$67,0))</f>
        <v>0</v>
      </c>
      <c r="AF27" s="17">
        <f>$AB27*INDEX(盗宝贼掉落!$D$64:$D$67,MATCH(AF$16,盗宝贼掉落!$B$64:$B$67,0))*INDEX(盗宝贼掉落!$F$64:$F$67,MATCH(AF$16,盗宝贼掉落!$B$64:$B$67,0))</f>
        <v>0</v>
      </c>
      <c r="AG27" s="17">
        <f>求节点(匈奴铁骑掉落!$J$7:$J$166,匈奴铁骑掉落!K$7:K$166,O27)</f>
        <v>2431.2000000000003</v>
      </c>
      <c r="AH27" s="17">
        <f>$AG27*INDEX(盗宝贼掉落!$D$64:$D$67,MATCH(AH$16,盗宝贼掉落!$B$64:$B$67,0))*INDEX(盗宝贼掉落!$G$64:$G$67,MATCH(AH$16,盗宝贼掉落!$B$64:$B$67,0))</f>
        <v>729.36000000000024</v>
      </c>
      <c r="AI27" s="17">
        <f>$AG27*INDEX(盗宝贼掉落!$D$64:$D$67,MATCH(AI$16,盗宝贼掉落!$B$64:$B$67,0))*INDEX(盗宝贼掉落!$G$64:$G$67,MATCH(AI$16,盗宝贼掉落!$B$64:$B$67,0))</f>
        <v>194.49600000000004</v>
      </c>
      <c r="AJ27" s="17">
        <f>$AG27*INDEX(盗宝贼掉落!$D$64:$D$67,MATCH(AJ$16,盗宝贼掉落!$B$64:$B$67,0))*INDEX(盗宝贼掉落!$G$64:$G$67,MATCH(AJ$16,盗宝贼掉落!$B$64:$B$67,0))</f>
        <v>48.624000000000002</v>
      </c>
      <c r="AK27" s="17">
        <f>$AG27*INDEX(盗宝贼掉落!$D$64:$D$67,MATCH(AK$16,盗宝贼掉落!$B$64:$B$67,0))*INDEX(盗宝贼掉落!$G$64:$G$67,MATCH(AK$16,盗宝贼掉落!$B$64:$B$67,0))</f>
        <v>0</v>
      </c>
      <c r="AL27" s="17">
        <f t="shared" si="12"/>
        <v>3029.3602246497967</v>
      </c>
      <c r="AM27" s="17">
        <f t="shared" si="13"/>
        <v>780.06966282155918</v>
      </c>
      <c r="AN27" s="17">
        <f t="shared" si="14"/>
        <v>145.8780707651039</v>
      </c>
      <c r="AO27" s="17">
        <f t="shared" si="15"/>
        <v>32.418023588367959</v>
      </c>
      <c r="AP27" s="84">
        <f>IFERROR(MAX(MIN(求节点(宝物升星!D$67:D$72,宝物升星!$C$67:$C$72,AL27/基础状态预期!C$8),宝物升星!D$14),AP26),AP26)</f>
        <v>0</v>
      </c>
      <c r="AQ27" s="84">
        <f>IFERROR(MAX(MIN(求节点(宝物升星!E$67:E$72,宝物升星!$C$67:$C$72,AM27/基础状态预期!D$8),宝物升星!E$14),AQ26),AQ26)</f>
        <v>3</v>
      </c>
      <c r="AR27" s="84">
        <f>IFERROR(MAX(MIN(求节点(宝物升星!F$67:F$72,宝物升星!$C$67:$C$72,AN27/基础状态预期!E$8),宝物升星!F$14),AR26),AR26)</f>
        <v>5</v>
      </c>
      <c r="AS27" s="54">
        <f>IFERROR(MAX(MIN(求节点(宝物升星!G$67:G$72,宝物升星!$C$67:$C$72,AO27/MAX(基础状态预期!L27,基础状态预期!L26)),宝物升星!G$14),AS26),AS26)</f>
        <v>4.4030039313946601</v>
      </c>
      <c r="AT27" s="37">
        <f t="shared" si="16"/>
        <v>3987.7259818248276</v>
      </c>
      <c r="AV27" s="38">
        <f t="shared" si="6"/>
        <v>0.53506386141508777</v>
      </c>
      <c r="AW27" s="38">
        <f t="shared" si="17"/>
        <v>0.24076370781699177</v>
      </c>
      <c r="AX27" s="38">
        <f t="shared" si="18"/>
        <v>0.22417243076792043</v>
      </c>
      <c r="AY27" s="38">
        <f t="shared" si="7"/>
        <v>0.69263095193981361</v>
      </c>
      <c r="AZ27" s="38">
        <f t="shared" si="19"/>
        <v>0.2493315780240655</v>
      </c>
      <c r="BA27" s="38">
        <f t="shared" si="20"/>
        <v>5.8037470036120968E-2</v>
      </c>
      <c r="BB27" s="38">
        <f t="shared" si="8"/>
        <v>0.66668053844573083</v>
      </c>
      <c r="BC27" s="38">
        <f t="shared" si="21"/>
        <v>0.33331946155426911</v>
      </c>
      <c r="BD27" s="38">
        <f t="shared" si="22"/>
        <v>0</v>
      </c>
      <c r="BE27" s="38">
        <f t="shared" si="9"/>
        <v>1</v>
      </c>
      <c r="BF27" s="38">
        <f t="shared" si="23"/>
        <v>0</v>
      </c>
      <c r="BG27" s="38">
        <f t="shared" si="24"/>
        <v>0</v>
      </c>
      <c r="BJ27" s="16">
        <v>698.96999999999991</v>
      </c>
      <c r="BK27" s="16">
        <v>303.90000000000003</v>
      </c>
      <c r="BL27" s="16">
        <v>20.260000000000002</v>
      </c>
      <c r="BM27" s="16">
        <v>7.0910000000000002</v>
      </c>
      <c r="BN27" s="16">
        <v>2475.0877616640041</v>
      </c>
      <c r="BO27" s="16">
        <v>714.8461751596285</v>
      </c>
      <c r="BP27" s="16">
        <v>86.08112298595637</v>
      </c>
      <c r="BQ27" s="16">
        <v>29.031374328652124</v>
      </c>
      <c r="BR27" s="16">
        <v>0</v>
      </c>
      <c r="BS27" s="16">
        <v>3</v>
      </c>
      <c r="BT27" s="16">
        <v>5</v>
      </c>
      <c r="BU27" s="16">
        <v>3.838562388108687</v>
      </c>
      <c r="BV27" s="37"/>
      <c r="BW27" s="37"/>
      <c r="BX27" s="37"/>
      <c r="BY27" s="37"/>
      <c r="BZ27" s="37"/>
    </row>
    <row r="28" spans="4:78">
      <c r="N28" s="16">
        <v>14</v>
      </c>
      <c r="O28" s="17">
        <v>115</v>
      </c>
      <c r="P28" s="17">
        <f>求节点(节奏总纲!$O$4:$O$163,节奏总纲!P$4:P$163,O28)</f>
        <v>2895.3093757400989</v>
      </c>
      <c r="Q28" s="17">
        <f>INDEX(其他调用!$C$4:$C$163,$O28)*$P$10</f>
        <v>1947707.7787177598</v>
      </c>
      <c r="R28" s="50">
        <v>1</v>
      </c>
      <c r="S28" s="17">
        <f t="shared" si="0"/>
        <v>0.375</v>
      </c>
      <c r="T28" s="17">
        <f t="shared" si="1"/>
        <v>0.125</v>
      </c>
      <c r="U28" s="17">
        <f t="shared" si="2"/>
        <v>2.2500000000000003E-2</v>
      </c>
      <c r="V28" s="17">
        <f t="shared" si="3"/>
        <v>7.4999999999999997E-3</v>
      </c>
      <c r="W28" s="17">
        <f t="shared" si="10"/>
        <v>521314.74082956952</v>
      </c>
      <c r="X28" s="17">
        <f t="shared" si="25"/>
        <v>2213.3042939974544</v>
      </c>
      <c r="Y28" s="17">
        <f t="shared" si="26"/>
        <v>737.76809799915145</v>
      </c>
      <c r="Z28" s="17">
        <f t="shared" si="27"/>
        <v>132.79825763984726</v>
      </c>
      <c r="AA28" s="17">
        <f t="shared" si="28"/>
        <v>44.266085879949088</v>
      </c>
      <c r="AB28" s="17">
        <f>求节点(盗宝贼掉落!$CV$5:$CV$164,盗宝贼掉落!$DC$5:$DC$164,$O28)</f>
        <v>1291.7854833539054</v>
      </c>
      <c r="AC28" s="17">
        <f>$AB28*INDEX(盗宝贼掉落!$D$64:$D$67,MATCH(AC$16,盗宝贼掉落!$B$64:$B$67,0))*INDEX(盗宝贼掉落!$F$64:$F$67,MATCH(AC$16,盗宝贼掉落!$B$64:$B$67,0))</f>
        <v>968.83911251542906</v>
      </c>
      <c r="AD28" s="17">
        <f>$AB28*INDEX(盗宝贼掉落!$D$64:$D$67,MATCH(AD$16,盗宝贼掉落!$B$64:$B$67,0))*INDEX(盗宝贼掉落!$F$64:$F$67,MATCH(AD$16,盗宝贼掉落!$B$64:$B$67,0))</f>
        <v>64.58927416769528</v>
      </c>
      <c r="AE28" s="17">
        <f>$AB28*INDEX(盗宝贼掉落!$D$64:$D$67,MATCH(AE$16,盗宝贼掉落!$B$64:$B$67,0))*INDEX(盗宝贼掉落!$F$64:$F$67,MATCH(AE$16,盗宝贼掉落!$B$64:$B$67,0))</f>
        <v>0</v>
      </c>
      <c r="AF28" s="17">
        <f>$AB28*INDEX(盗宝贼掉落!$D$64:$D$67,MATCH(AF$16,盗宝贼掉落!$B$64:$B$67,0))*INDEX(盗宝贼掉落!$F$64:$F$67,MATCH(AF$16,盗宝贼掉落!$B$64:$B$67,0))</f>
        <v>0</v>
      </c>
      <c r="AG28" s="17">
        <f>求节点(匈奴铁骑掉落!$J$7:$J$166,匈奴铁骑掉落!K$7:K$166,O28)</f>
        <v>3449.1712508881192</v>
      </c>
      <c r="AH28" s="17">
        <f>$AG28*INDEX(盗宝贼掉落!$D$64:$D$67,MATCH(AH$16,盗宝贼掉落!$B$64:$B$67,0))*INDEX(盗宝贼掉落!$G$64:$G$67,MATCH(AH$16,盗宝贼掉落!$B$64:$B$67,0))</f>
        <v>1034.7513752664358</v>
      </c>
      <c r="AI28" s="17">
        <f>$AG28*INDEX(盗宝贼掉落!$D$64:$D$67,MATCH(AI$16,盗宝贼掉落!$B$64:$B$67,0))*INDEX(盗宝贼掉落!$G$64:$G$67,MATCH(AI$16,盗宝贼掉落!$B$64:$B$67,0))</f>
        <v>275.93370007104954</v>
      </c>
      <c r="AJ28" s="17">
        <f>$AG28*INDEX(盗宝贼掉落!$D$64:$D$67,MATCH(AJ$16,盗宝贼掉落!$B$64:$B$67,0))*INDEX(盗宝贼掉落!$G$64:$G$67,MATCH(AJ$16,盗宝贼掉落!$B$64:$B$67,0))</f>
        <v>68.983425017762372</v>
      </c>
      <c r="AK28" s="17">
        <f>$AG28*INDEX(盗宝贼掉落!$D$64:$D$67,MATCH(AK$16,盗宝贼掉落!$B$64:$B$67,0))*INDEX(盗宝贼掉落!$G$64:$G$67,MATCH(AK$16,盗宝贼掉落!$B$64:$B$67,0))</f>
        <v>0</v>
      </c>
      <c r="AL28" s="17">
        <f t="shared" si="12"/>
        <v>4216.8947817793196</v>
      </c>
      <c r="AM28" s="17">
        <f t="shared" si="13"/>
        <v>1078.2910722378963</v>
      </c>
      <c r="AN28" s="17">
        <f t="shared" si="14"/>
        <v>201.78168265760962</v>
      </c>
      <c r="AO28" s="17">
        <f t="shared" si="15"/>
        <v>44.266085879949088</v>
      </c>
      <c r="AP28" s="84">
        <f>IFERROR(MAX(MIN(求节点(宝物升星!D$67:D$72,宝物升星!$C$67:$C$72,AL28/基础状态预期!C$8),宝物升星!D$14),AP27),AP27)</f>
        <v>0</v>
      </c>
      <c r="AQ28" s="84">
        <f>IFERROR(MAX(MIN(求节点(宝物升星!E$67:E$72,宝物升星!$C$67:$C$72,AM28/基础状态预期!D$8),宝物升星!E$14),AQ27),AQ27)</f>
        <v>3</v>
      </c>
      <c r="AR28" s="84">
        <f>IFERROR(MAX(MIN(求节点(宝物升星!F$67:F$72,宝物升星!$C$67:$C$72,AN28/基础状态预期!E$8),宝物升星!F$14),AR27),AR27)</f>
        <v>5</v>
      </c>
      <c r="AS28" s="54">
        <f>IFERROR(MAX(MIN(求节点(宝物升星!G$67:G$72,宝物升星!$C$67:$C$72,AO28/MAX(基础状态预期!L28,基础状态预期!L27)),宝物升星!G$14),AS27),AS27)</f>
        <v>5</v>
      </c>
      <c r="AT28" s="37">
        <f t="shared" si="16"/>
        <v>5541.2336225547751</v>
      </c>
      <c r="AV28" s="38">
        <f t="shared" si="6"/>
        <v>0.52486590454209769</v>
      </c>
      <c r="AW28" s="38">
        <f t="shared" si="17"/>
        <v>0.24538230826566232</v>
      </c>
      <c r="AX28" s="38">
        <f t="shared" si="18"/>
        <v>0.22975178719223988</v>
      </c>
      <c r="AY28" s="38">
        <f t="shared" si="7"/>
        <v>0.68420124861831599</v>
      </c>
      <c r="AZ28" s="38">
        <f t="shared" si="19"/>
        <v>0.25589908622573859</v>
      </c>
      <c r="BA28" s="38">
        <f t="shared" si="20"/>
        <v>5.9899665155945359E-2</v>
      </c>
      <c r="BB28" s="38">
        <f t="shared" si="8"/>
        <v>0.65812840834112829</v>
      </c>
      <c r="BC28" s="38">
        <f t="shared" si="21"/>
        <v>0.34187159165887182</v>
      </c>
      <c r="BD28" s="38">
        <f t="shared" si="22"/>
        <v>0</v>
      </c>
      <c r="BE28" s="38">
        <f t="shared" si="9"/>
        <v>1</v>
      </c>
      <c r="BF28" s="38">
        <f t="shared" si="23"/>
        <v>0</v>
      </c>
      <c r="BG28" s="38">
        <f t="shared" si="24"/>
        <v>0</v>
      </c>
      <c r="BJ28" s="16">
        <v>991.6367346303341</v>
      </c>
      <c r="BK28" s="16">
        <v>431.1464063610149</v>
      </c>
      <c r="BL28" s="16">
        <v>28.743093757400988</v>
      </c>
      <c r="BM28" s="16">
        <v>10.060082815090347</v>
      </c>
      <c r="BN28" s="16">
        <v>3191.5717712501087</v>
      </c>
      <c r="BO28" s="16">
        <v>906.10098856349214</v>
      </c>
      <c r="BP28" s="16">
        <v>102.60884920366173</v>
      </c>
      <c r="BQ28" s="16">
        <v>34.682001297177266</v>
      </c>
      <c r="BR28" s="16">
        <v>0</v>
      </c>
      <c r="BS28" s="16">
        <v>3</v>
      </c>
      <c r="BT28" s="16">
        <v>5</v>
      </c>
      <c r="BU28" s="16">
        <v>4.7803335495295443</v>
      </c>
      <c r="BV28" s="37"/>
      <c r="BW28" s="37"/>
      <c r="BX28" s="37"/>
      <c r="BY28" s="37"/>
      <c r="BZ28" s="37"/>
    </row>
    <row r="29" spans="4:78">
      <c r="N29" s="16">
        <v>15</v>
      </c>
      <c r="O29" s="17">
        <v>120</v>
      </c>
      <c r="P29" s="17">
        <f>求节点(节奏总纲!$O$4:$O$163,节奏总纲!P$4:P$163,O29)</f>
        <v>4095</v>
      </c>
      <c r="Q29" s="17">
        <f>INDEX(其他调用!$C$4:$C$163,$O29)*$P$10</f>
        <v>2651805.5592236123</v>
      </c>
      <c r="R29" s="50">
        <v>1</v>
      </c>
      <c r="S29" s="17">
        <f t="shared" si="0"/>
        <v>0.375</v>
      </c>
      <c r="T29" s="17">
        <f t="shared" si="1"/>
        <v>0.125</v>
      </c>
      <c r="U29" s="17">
        <f t="shared" si="2"/>
        <v>2.2500000000000003E-2</v>
      </c>
      <c r="V29" s="17">
        <f t="shared" si="3"/>
        <v>7.4999999999999997E-3</v>
      </c>
      <c r="W29" s="17">
        <f t="shared" si="10"/>
        <v>704097.78050585254</v>
      </c>
      <c r="X29" s="17">
        <f t="shared" si="25"/>
        <v>3013.4154082086507</v>
      </c>
      <c r="Y29" s="17">
        <f t="shared" si="26"/>
        <v>1004.4718027362169</v>
      </c>
      <c r="Z29" s="17">
        <f t="shared" si="27"/>
        <v>180.80492449251904</v>
      </c>
      <c r="AA29" s="17">
        <f t="shared" si="28"/>
        <v>60.268308164173007</v>
      </c>
      <c r="AB29" s="17">
        <f>求节点(盗宝贼掉落!$CV$5:$CV$164,盗宝贼掉落!$DC$5:$DC$164,$O29)</f>
        <v>1838.1245936418645</v>
      </c>
      <c r="AC29" s="17">
        <f>$AB29*INDEX(盗宝贼掉落!$D$64:$D$67,MATCH(AC$16,盗宝贼掉落!$B$64:$B$67,0))*INDEX(盗宝贼掉落!$F$64:$F$67,MATCH(AC$16,盗宝贼掉落!$B$64:$B$67,0))</f>
        <v>1378.5934452313984</v>
      </c>
      <c r="AD29" s="17">
        <f>$AB29*INDEX(盗宝贼掉落!$D$64:$D$67,MATCH(AD$16,盗宝贼掉落!$B$64:$B$67,0))*INDEX(盗宝贼掉落!$F$64:$F$67,MATCH(AD$16,盗宝贼掉落!$B$64:$B$67,0))</f>
        <v>91.906229682093226</v>
      </c>
      <c r="AE29" s="17">
        <f>$AB29*INDEX(盗宝贼掉落!$D$64:$D$67,MATCH(AE$16,盗宝贼掉落!$B$64:$B$67,0))*INDEX(盗宝贼掉落!$F$64:$F$67,MATCH(AE$16,盗宝贼掉落!$B$64:$B$67,0))</f>
        <v>0</v>
      </c>
      <c r="AF29" s="17">
        <f>$AB29*INDEX(盗宝贼掉落!$D$64:$D$67,MATCH(AF$16,盗宝贼掉落!$B$64:$B$67,0))*INDEX(盗宝贼掉落!$F$64:$F$67,MATCH(AF$16,盗宝贼掉落!$B$64:$B$67,0))</f>
        <v>0</v>
      </c>
      <c r="AG29" s="17">
        <f>求节点(匈奴铁骑掉落!$J$7:$J$166,匈奴铁骑掉落!K$7:K$166,O29)</f>
        <v>4888.8</v>
      </c>
      <c r="AH29" s="17">
        <f>$AG29*INDEX(盗宝贼掉落!$D$64:$D$67,MATCH(AH$16,盗宝贼掉落!$B$64:$B$67,0))*INDEX(盗宝贼掉落!$G$64:$G$67,MATCH(AH$16,盗宝贼掉落!$B$64:$B$67,0))</f>
        <v>1466.6400000000003</v>
      </c>
      <c r="AI29" s="17">
        <f>$AG29*INDEX(盗宝贼掉落!$D$64:$D$67,MATCH(AI$16,盗宝贼掉落!$B$64:$B$67,0))*INDEX(盗宝贼掉落!$G$64:$G$67,MATCH(AI$16,盗宝贼掉落!$B$64:$B$67,0))</f>
        <v>391.10400000000004</v>
      </c>
      <c r="AJ29" s="17">
        <f>$AG29*INDEX(盗宝贼掉落!$D$64:$D$67,MATCH(AJ$16,盗宝贼掉落!$B$64:$B$67,0))*INDEX(盗宝贼掉落!$G$64:$G$67,MATCH(AJ$16,盗宝贼掉落!$B$64:$B$67,0))</f>
        <v>97.775999999999996</v>
      </c>
      <c r="AK29" s="17">
        <f>$AG29*INDEX(盗宝贼掉落!$D$64:$D$67,MATCH(AK$16,盗宝贼掉落!$B$64:$B$67,0))*INDEX(盗宝贼掉落!$G$64:$G$67,MATCH(AK$16,盗宝贼掉落!$B$64:$B$67,0))</f>
        <v>0</v>
      </c>
      <c r="AL29" s="17">
        <f t="shared" si="12"/>
        <v>5858.6488534400496</v>
      </c>
      <c r="AM29" s="17">
        <f t="shared" si="13"/>
        <v>1487.4820324183102</v>
      </c>
      <c r="AN29" s="17">
        <f t="shared" si="14"/>
        <v>278.58092449251905</v>
      </c>
      <c r="AO29" s="17">
        <f t="shared" si="15"/>
        <v>60.268308164173007</v>
      </c>
      <c r="AP29" s="84">
        <f>IFERROR(MAX(MIN(求节点(宝物升星!D$67:D$72,宝物升星!$C$67:$C$72,AL29/基础状态预期!C$8),宝物升星!D$14),AP28),AP28)</f>
        <v>0</v>
      </c>
      <c r="AQ29" s="84">
        <f>IFERROR(MAX(MIN(求节点(宝物升星!E$67:E$72,宝物升星!$C$67:$C$72,AM29/基础状态预期!D$8),宝物升星!E$14),AQ28),AQ28)</f>
        <v>3</v>
      </c>
      <c r="AR29" s="84">
        <f>IFERROR(MAX(MIN(求节点(宝物升星!F$67:F$72,宝物升星!$C$67:$C$72,AN29/基础状态预期!E$8),宝物升星!F$14),AR28),AR28)</f>
        <v>5</v>
      </c>
      <c r="AS29" s="54">
        <f>IFERROR(MAX(MIN(求节点(宝物升星!G$67:G$72,宝物升星!$C$67:$C$72,AO29/MAX(基础状态预期!L29,基础状态预期!L28)),宝物升星!G$14),AS28),AS28)</f>
        <v>5</v>
      </c>
      <c r="AT29" s="37">
        <f t="shared" si="16"/>
        <v>7684.9801185150518</v>
      </c>
      <c r="AV29" s="38">
        <f t="shared" si="6"/>
        <v>0.51435330629847353</v>
      </c>
      <c r="AW29" s="38">
        <f t="shared" si="17"/>
        <v>0.25033758408968759</v>
      </c>
      <c r="AX29" s="38">
        <f t="shared" si="18"/>
        <v>0.23530910961183882</v>
      </c>
      <c r="AY29" s="38">
        <f t="shared" si="7"/>
        <v>0.67528331828195087</v>
      </c>
      <c r="AZ29" s="38">
        <f t="shared" si="19"/>
        <v>0.26293023477006522</v>
      </c>
      <c r="BA29" s="38">
        <f t="shared" si="20"/>
        <v>6.1786446947983922E-2</v>
      </c>
      <c r="BB29" s="38">
        <f t="shared" si="8"/>
        <v>0.64902119490731436</v>
      </c>
      <c r="BC29" s="38">
        <f t="shared" si="21"/>
        <v>0.35097880509268559</v>
      </c>
      <c r="BD29" s="38">
        <f t="shared" si="22"/>
        <v>0</v>
      </c>
      <c r="BE29" s="38">
        <f t="shared" si="9"/>
        <v>1</v>
      </c>
      <c r="BF29" s="38">
        <f t="shared" si="23"/>
        <v>0</v>
      </c>
      <c r="BG29" s="38">
        <f t="shared" si="24"/>
        <v>0</v>
      </c>
      <c r="BJ29" s="16">
        <v>1405.53</v>
      </c>
      <c r="BK29" s="16">
        <v>611.1</v>
      </c>
      <c r="BL29" s="16">
        <v>40.74</v>
      </c>
      <c r="BM29" s="16">
        <v>14.259</v>
      </c>
      <c r="BN29" s="16">
        <v>4149.2965770074834</v>
      </c>
      <c r="BO29" s="16">
        <v>1158.0639402741217</v>
      </c>
      <c r="BP29" s="16">
        <v>122.65038790656513</v>
      </c>
      <c r="BQ29" s="16">
        <v>41.562462635521712</v>
      </c>
      <c r="BR29" s="16">
        <v>0</v>
      </c>
      <c r="BS29" s="16">
        <v>3</v>
      </c>
      <c r="BT29" s="16">
        <v>5</v>
      </c>
      <c r="BU29" s="16">
        <v>5</v>
      </c>
      <c r="BV29" s="37"/>
      <c r="BW29" s="37"/>
      <c r="BX29" s="37"/>
      <c r="BY29" s="37"/>
      <c r="BZ29" s="37"/>
    </row>
    <row r="30" spans="4:78">
      <c r="N30" s="16">
        <v>16</v>
      </c>
      <c r="O30" s="17">
        <v>125</v>
      </c>
      <c r="P30" s="17">
        <f>求节点(节奏总纲!$O$4:$O$163,节奏总纲!P$4:P$163,O30)</f>
        <v>5791.6187514801986</v>
      </c>
      <c r="Q30" s="17">
        <f>INDEX(其他调用!$C$4:$C$163,$O30)*$P$10</f>
        <v>3646881.1480313707</v>
      </c>
      <c r="R30" s="50">
        <v>1</v>
      </c>
      <c r="S30" s="17">
        <f t="shared" si="0"/>
        <v>0.375</v>
      </c>
      <c r="T30" s="17">
        <f t="shared" si="1"/>
        <v>0.125</v>
      </c>
      <c r="U30" s="17">
        <f t="shared" si="2"/>
        <v>2.2500000000000003E-2</v>
      </c>
      <c r="V30" s="17">
        <f t="shared" si="3"/>
        <v>7.4999999999999997E-3</v>
      </c>
      <c r="W30" s="17">
        <f t="shared" si="10"/>
        <v>995075.58880775841</v>
      </c>
      <c r="X30" s="17">
        <f t="shared" si="25"/>
        <v>4144.1831227629218</v>
      </c>
      <c r="Y30" s="17">
        <f t="shared" si="26"/>
        <v>1381.3943742543072</v>
      </c>
      <c r="Z30" s="17">
        <f t="shared" si="27"/>
        <v>248.65098736577528</v>
      </c>
      <c r="AA30" s="17">
        <f t="shared" si="28"/>
        <v>82.883662455258417</v>
      </c>
      <c r="AB30" s="17">
        <f>求节点(盗宝贼掉落!$CV$5:$CV$164,盗宝贼掉落!$DC$5:$DC$164,$O30)</f>
        <v>2610.7647730659464</v>
      </c>
      <c r="AC30" s="17">
        <f>$AB30*INDEX(盗宝贼掉落!$D$64:$D$67,MATCH(AC$16,盗宝贼掉落!$B$64:$B$67,0))*INDEX(盗宝贼掉落!$F$64:$F$67,MATCH(AC$16,盗宝贼掉落!$B$64:$B$67,0))</f>
        <v>1958.0735797994598</v>
      </c>
      <c r="AD30" s="17">
        <f>$AB30*INDEX(盗宝贼掉落!$D$64:$D$67,MATCH(AD$16,盗宝贼掉落!$B$64:$B$67,0))*INDEX(盗宝贼掉落!$F$64:$F$67,MATCH(AD$16,盗宝贼掉落!$B$64:$B$67,0))</f>
        <v>130.53823865329733</v>
      </c>
      <c r="AE30" s="17">
        <f>$AB30*INDEX(盗宝贼掉落!$D$64:$D$67,MATCH(AE$16,盗宝贼掉落!$B$64:$B$67,0))*INDEX(盗宝贼掉落!$F$64:$F$67,MATCH(AE$16,盗宝贼掉落!$B$64:$B$67,0))</f>
        <v>0</v>
      </c>
      <c r="AF30" s="17">
        <f>$AB30*INDEX(盗宝贼掉落!$D$64:$D$67,MATCH(AF$16,盗宝贼掉落!$B$64:$B$67,0))*INDEX(盗宝贼掉落!$F$64:$F$67,MATCH(AF$16,盗宝贼掉落!$B$64:$B$67,0))</f>
        <v>0</v>
      </c>
      <c r="AG30" s="17">
        <f>求节点(匈奴铁骑掉落!$J$7:$J$166,匈奴铁骑掉落!K$7:K$166,O30)</f>
        <v>6924.742501776238</v>
      </c>
      <c r="AH30" s="17">
        <f>$AG30*INDEX(盗宝贼掉落!$D$64:$D$67,MATCH(AH$16,盗宝贼掉落!$B$64:$B$67,0))*INDEX(盗宝贼掉落!$G$64:$G$67,MATCH(AH$16,盗宝贼掉落!$B$64:$B$67,0))</f>
        <v>2077.4227505328718</v>
      </c>
      <c r="AI30" s="17">
        <f>$AG30*INDEX(盗宝贼掉落!$D$64:$D$67,MATCH(AI$16,盗宝贼掉落!$B$64:$B$67,0))*INDEX(盗宝贼掉落!$G$64:$G$67,MATCH(AI$16,盗宝贼掉落!$B$64:$B$67,0))</f>
        <v>553.97940014209905</v>
      </c>
      <c r="AJ30" s="17">
        <f>$AG30*INDEX(盗宝贼掉落!$D$64:$D$67,MATCH(AJ$16,盗宝贼掉落!$B$64:$B$67,0))*INDEX(盗宝贼掉落!$G$64:$G$67,MATCH(AJ$16,盗宝贼掉落!$B$64:$B$67,0))</f>
        <v>138.49485003552476</v>
      </c>
      <c r="AK30" s="17">
        <f>$AG30*INDEX(盗宝贼掉落!$D$64:$D$67,MATCH(AK$16,盗宝贼掉落!$B$64:$B$67,0))*INDEX(盗宝贼掉落!$G$64:$G$67,MATCH(AK$16,盗宝贼掉落!$B$64:$B$67,0))</f>
        <v>0</v>
      </c>
      <c r="AL30" s="17">
        <f t="shared" si="12"/>
        <v>8179.6794530952529</v>
      </c>
      <c r="AM30" s="17">
        <f t="shared" si="13"/>
        <v>2065.9120130497035</v>
      </c>
      <c r="AN30" s="17">
        <f t="shared" si="14"/>
        <v>387.14583740130001</v>
      </c>
      <c r="AO30" s="17">
        <f t="shared" si="15"/>
        <v>82.883662455258417</v>
      </c>
      <c r="AP30" s="84">
        <f>IFERROR(MAX(MIN(求节点(宝物升星!D$67:D$72,宝物升星!$C$67:$C$72,AL30/基础状态预期!C$8),宝物升星!D$14),AP29),AP29)</f>
        <v>0</v>
      </c>
      <c r="AQ30" s="84">
        <f>IFERROR(MAX(MIN(求节点(宝物升星!E$67:E$72,宝物升星!$C$67:$C$72,AM30/基础状态预期!D$8),宝物升星!E$14),AQ29),AQ29)</f>
        <v>3</v>
      </c>
      <c r="AR30" s="84">
        <f>IFERROR(MAX(MIN(求节点(宝物升星!F$67:F$72,宝物升星!$C$67:$C$72,AN30/基础状态预期!E$8),宝物升星!F$14),AR29),AR29)</f>
        <v>5</v>
      </c>
      <c r="AS30" s="54">
        <f>IFERROR(MAX(MIN(求节点(宝物升星!G$67:G$72,宝物升星!$C$67:$C$72,AO30/MAX(基础状态预期!L30,基础状态预期!L29)),宝物升星!G$14),AS29),AS29)</f>
        <v>5</v>
      </c>
      <c r="AT30" s="37">
        <f t="shared" si="16"/>
        <v>10715.620966001516</v>
      </c>
      <c r="AV30" s="38">
        <f t="shared" si="6"/>
        <v>0.50664370731480579</v>
      </c>
      <c r="AW30" s="38">
        <f t="shared" si="17"/>
        <v>0.25397361381279548</v>
      </c>
      <c r="AX30" s="38">
        <f t="shared" si="18"/>
        <v>0.23938267887239884</v>
      </c>
      <c r="AY30" s="38">
        <f t="shared" si="7"/>
        <v>0.6686607975211345</v>
      </c>
      <c r="AZ30" s="38">
        <f t="shared" si="19"/>
        <v>0.26815246566300444</v>
      </c>
      <c r="BA30" s="38">
        <f t="shared" si="20"/>
        <v>6.3186736815861053E-2</v>
      </c>
      <c r="BB30" s="38">
        <f t="shared" si="8"/>
        <v>0.64226697885952866</v>
      </c>
      <c r="BC30" s="38">
        <f t="shared" si="21"/>
        <v>0.3577330211404714</v>
      </c>
      <c r="BD30" s="38">
        <f t="shared" si="22"/>
        <v>0</v>
      </c>
      <c r="BE30" s="38">
        <f t="shared" si="9"/>
        <v>1</v>
      </c>
      <c r="BF30" s="38">
        <f t="shared" si="23"/>
        <v>0</v>
      </c>
      <c r="BG30" s="38">
        <f t="shared" si="24"/>
        <v>0</v>
      </c>
      <c r="BJ30" s="16">
        <v>1990.8634692606681</v>
      </c>
      <c r="BK30" s="16">
        <v>865.59281272202975</v>
      </c>
      <c r="BL30" s="16">
        <v>57.706187514801982</v>
      </c>
      <c r="BM30" s="16">
        <v>20.197165630180695</v>
      </c>
      <c r="BN30" s="16">
        <v>5448.187388507954</v>
      </c>
      <c r="BO30" s="16">
        <v>1495.8811645246024</v>
      </c>
      <c r="BP30" s="16">
        <v>147.66120788167152</v>
      </c>
      <c r="BQ30" s="16">
        <v>50.182172419137203</v>
      </c>
      <c r="BR30" s="16">
        <v>0</v>
      </c>
      <c r="BS30" s="16">
        <v>3</v>
      </c>
      <c r="BT30" s="16">
        <v>5</v>
      </c>
      <c r="BU30" s="16">
        <v>5</v>
      </c>
      <c r="BV30" s="37"/>
      <c r="BW30" s="37"/>
      <c r="BX30" s="37"/>
      <c r="BY30" s="37"/>
      <c r="BZ30" s="37"/>
    </row>
    <row r="31" spans="4:78">
      <c r="N31" s="16">
        <v>17</v>
      </c>
      <c r="O31" s="17">
        <v>130</v>
      </c>
      <c r="P31" s="17">
        <f>求节点(节奏总纲!$O$4:$O$163,节奏总纲!P$4:P$163,O31)</f>
        <v>8191</v>
      </c>
      <c r="Q31" s="17">
        <f>INDEX(其他调用!$C$4:$C$163,$O31)*$P$10</f>
        <v>5004306.6487671379</v>
      </c>
      <c r="R31" s="50">
        <v>1</v>
      </c>
      <c r="S31" s="17">
        <f t="shared" si="0"/>
        <v>0.375</v>
      </c>
      <c r="T31" s="17">
        <f t="shared" si="1"/>
        <v>0.125</v>
      </c>
      <c r="U31" s="17">
        <f t="shared" si="2"/>
        <v>2.2500000000000003E-2</v>
      </c>
      <c r="V31" s="17">
        <f t="shared" si="3"/>
        <v>7.4999999999999997E-3</v>
      </c>
      <c r="W31" s="17">
        <f t="shared" si="10"/>
        <v>1357425.5007357672</v>
      </c>
      <c r="X31" s="17">
        <f t="shared" si="25"/>
        <v>5686.7121008717477</v>
      </c>
      <c r="Y31" s="17">
        <f t="shared" si="26"/>
        <v>1895.5707002905826</v>
      </c>
      <c r="Z31" s="17">
        <f t="shared" si="27"/>
        <v>341.20272605230485</v>
      </c>
      <c r="AA31" s="17">
        <f t="shared" si="28"/>
        <v>113.73424201743494</v>
      </c>
      <c r="AB31" s="17">
        <f>求节点(盗宝贼掉落!$CV$5:$CV$164,盗宝贼掉落!$DC$5:$DC$164,$O31)</f>
        <v>3703.4429936418637</v>
      </c>
      <c r="AC31" s="17">
        <f>$AB31*INDEX(盗宝贼掉落!$D$64:$D$67,MATCH(AC$16,盗宝贼掉落!$B$64:$B$67,0))*INDEX(盗宝贼掉落!$F$64:$F$67,MATCH(AC$16,盗宝贼掉落!$B$64:$B$67,0))</f>
        <v>2777.5822452313978</v>
      </c>
      <c r="AD31" s="17">
        <f>$AB31*INDEX(盗宝贼掉落!$D$64:$D$67,MATCH(AD$16,盗宝贼掉落!$B$64:$B$67,0))*INDEX(盗宝贼掉落!$F$64:$F$67,MATCH(AD$16,盗宝贼掉落!$B$64:$B$67,0))</f>
        <v>185.17214968209319</v>
      </c>
      <c r="AE31" s="17">
        <f>$AB31*INDEX(盗宝贼掉落!$D$64:$D$67,MATCH(AE$16,盗宝贼掉落!$B$64:$B$67,0))*INDEX(盗宝贼掉落!$F$64:$F$67,MATCH(AE$16,盗宝贼掉落!$B$64:$B$67,0))</f>
        <v>0</v>
      </c>
      <c r="AF31" s="17">
        <f>$AB31*INDEX(盗宝贼掉落!$D$64:$D$67,MATCH(AF$16,盗宝贼掉落!$B$64:$B$67,0))*INDEX(盗宝贼掉落!$F$64:$F$67,MATCH(AF$16,盗宝贼掉落!$B$64:$B$67,0))</f>
        <v>0</v>
      </c>
      <c r="AG31" s="17">
        <f>求节点(匈奴铁骑掉落!$J$7:$J$166,匈奴铁骑掉落!K$7:K$166,O31)</f>
        <v>9804</v>
      </c>
      <c r="AH31" s="17">
        <f>$AG31*INDEX(盗宝贼掉落!$D$64:$D$67,MATCH(AH$16,盗宝贼掉落!$B$64:$B$67,0))*INDEX(盗宝贼掉落!$G$64:$G$67,MATCH(AH$16,盗宝贼掉落!$B$64:$B$67,0))</f>
        <v>2941.2000000000003</v>
      </c>
      <c r="AI31" s="17">
        <f>$AG31*INDEX(盗宝贼掉落!$D$64:$D$67,MATCH(AI$16,盗宝贼掉落!$B$64:$B$67,0))*INDEX(盗宝贼掉落!$G$64:$G$67,MATCH(AI$16,盗宝贼掉落!$B$64:$B$67,0))</f>
        <v>784.32000000000016</v>
      </c>
      <c r="AJ31" s="17">
        <f>$AG31*INDEX(盗宝贼掉落!$D$64:$D$67,MATCH(AJ$16,盗宝贼掉落!$B$64:$B$67,0))*INDEX(盗宝贼掉落!$G$64:$G$67,MATCH(AJ$16,盗宝贼掉落!$B$64:$B$67,0))</f>
        <v>196.08</v>
      </c>
      <c r="AK31" s="17">
        <f>$AG31*INDEX(盗宝贼掉落!$D$64:$D$67,MATCH(AK$16,盗宝贼掉落!$B$64:$B$67,0))*INDEX(盗宝贼掉落!$G$64:$G$67,MATCH(AK$16,盗宝贼掉落!$B$64:$B$67,0))</f>
        <v>0</v>
      </c>
      <c r="AL31" s="17">
        <f t="shared" si="12"/>
        <v>11405.494346103147</v>
      </c>
      <c r="AM31" s="17">
        <f t="shared" si="13"/>
        <v>2865.0628499726758</v>
      </c>
      <c r="AN31" s="17">
        <f t="shared" si="14"/>
        <v>537.28272605230484</v>
      </c>
      <c r="AO31" s="17">
        <f t="shared" si="15"/>
        <v>113.73424201743494</v>
      </c>
      <c r="AP31" s="84">
        <f>IFERROR(MAX(MIN(求节点(宝物升星!D$67:D$72,宝物升星!$C$67:$C$72,AL31/基础状态预期!C$8),宝物升星!D$14),AP30),AP30)</f>
        <v>0</v>
      </c>
      <c r="AQ31" s="84">
        <f>IFERROR(MAX(MIN(求节点(宝物升星!E$67:E$72,宝物升星!$C$67:$C$72,AM31/基础状态预期!D$8),宝物升星!E$14),AQ30),AQ30)</f>
        <v>3</v>
      </c>
      <c r="AR31" s="84">
        <f>IFERROR(MAX(MIN(求节点(宝物升星!F$67:F$72,宝物升星!$C$67:$C$72,AN31/基础状态预期!E$8),宝物升星!F$14),AR30),AR30)</f>
        <v>5</v>
      </c>
      <c r="AS31" s="54">
        <f>IFERROR(MAX(MIN(求节点(宝物升星!G$67:G$72,宝物升星!$C$67:$C$72,AO31/MAX(基础状态预期!L31,基础状态预期!L30)),宝物升星!G$14),AS30),AS30)</f>
        <v>5</v>
      </c>
      <c r="AT31" s="37">
        <f t="shared" si="16"/>
        <v>14921.574164145562</v>
      </c>
      <c r="AV31" s="38">
        <f t="shared" si="6"/>
        <v>0.49859409231259627</v>
      </c>
      <c r="AW31" s="38">
        <f t="shared" si="17"/>
        <v>0.25787571417322247</v>
      </c>
      <c r="AX31" s="38">
        <f t="shared" si="18"/>
        <v>0.24353019351418109</v>
      </c>
      <c r="AY31" s="38">
        <f t="shared" si="7"/>
        <v>0.66161574790886724</v>
      </c>
      <c r="AZ31" s="38">
        <f t="shared" si="19"/>
        <v>0.27375315693597446</v>
      </c>
      <c r="BA31" s="38">
        <f t="shared" si="20"/>
        <v>6.4631095155158358E-2</v>
      </c>
      <c r="BB31" s="38">
        <f t="shared" si="8"/>
        <v>0.63505247704369439</v>
      </c>
      <c r="BC31" s="38">
        <f t="shared" si="21"/>
        <v>0.36494752295630567</v>
      </c>
      <c r="BD31" s="38">
        <f t="shared" si="22"/>
        <v>0</v>
      </c>
      <c r="BE31" s="38">
        <f t="shared" si="9"/>
        <v>1</v>
      </c>
      <c r="BF31" s="38">
        <f t="shared" si="23"/>
        <v>0</v>
      </c>
      <c r="BG31" s="38">
        <f t="shared" si="24"/>
        <v>0</v>
      </c>
      <c r="BJ31" s="16">
        <v>2818.6499999999996</v>
      </c>
      <c r="BK31" s="16">
        <v>1225.5</v>
      </c>
      <c r="BL31" s="16">
        <v>81.7</v>
      </c>
      <c r="BM31" s="16">
        <v>28.595000000000002</v>
      </c>
      <c r="BN31" s="16">
        <v>7229.5597923509631</v>
      </c>
      <c r="BO31" s="16">
        <v>1955.1146653886149</v>
      </c>
      <c r="BP31" s="16">
        <v>179.69965282717391</v>
      </c>
      <c r="BQ31" s="16">
        <v>61.26155094239131</v>
      </c>
      <c r="BR31" s="16">
        <v>0</v>
      </c>
      <c r="BS31" s="16">
        <v>3</v>
      </c>
      <c r="BT31" s="16">
        <v>5</v>
      </c>
      <c r="BU31" s="16">
        <v>5</v>
      </c>
      <c r="BV31" s="37"/>
      <c r="BW31" s="37"/>
      <c r="BX31" s="37"/>
      <c r="BY31" s="37"/>
      <c r="BZ31" s="37"/>
    </row>
    <row r="32" spans="4:78">
      <c r="N32" s="16">
        <v>18</v>
      </c>
      <c r="O32" s="17">
        <v>135</v>
      </c>
      <c r="P32" s="17">
        <f>求节点(节奏总纲!$O$4:$O$163,节奏总纲!P$4:P$163,O32)</f>
        <v>11584.237502960397</v>
      </c>
      <c r="Q32" s="17">
        <f>INDEX(其他调用!$C$4:$C$163,$O32)*$P$10</f>
        <v>6922976.8532586619</v>
      </c>
      <c r="R32" s="50">
        <v>1</v>
      </c>
      <c r="S32" s="17">
        <f t="shared" si="0"/>
        <v>0.375</v>
      </c>
      <c r="T32" s="17">
        <f t="shared" si="1"/>
        <v>0.125</v>
      </c>
      <c r="U32" s="17">
        <f t="shared" si="2"/>
        <v>2.2500000000000003E-2</v>
      </c>
      <c r="V32" s="17">
        <f t="shared" si="3"/>
        <v>7.4999999999999997E-3</v>
      </c>
      <c r="W32" s="17">
        <f t="shared" si="10"/>
        <v>1918670.204491524</v>
      </c>
      <c r="X32" s="17">
        <f t="shared" si="25"/>
        <v>7867.0191514302978</v>
      </c>
      <c r="Y32" s="17">
        <f t="shared" si="26"/>
        <v>2622.3397171434326</v>
      </c>
      <c r="Z32" s="17">
        <f t="shared" si="27"/>
        <v>472.02114908581785</v>
      </c>
      <c r="AA32" s="17">
        <f t="shared" si="28"/>
        <v>157.34038302860594</v>
      </c>
      <c r="AB32" s="17">
        <f>求节点(盗宝贼掉落!$CV$5:$CV$164,盗宝贼掉落!$DC$5:$DC$164,$O32)</f>
        <v>5248.7233524900284</v>
      </c>
      <c r="AC32" s="17">
        <f>$AB32*INDEX(盗宝贼掉落!$D$64:$D$67,MATCH(AC$16,盗宝贼掉落!$B$64:$B$67,0))*INDEX(盗宝贼掉落!$F$64:$F$67,MATCH(AC$16,盗宝贼掉落!$B$64:$B$67,0))</f>
        <v>3936.5425143675211</v>
      </c>
      <c r="AD32" s="17">
        <f>$AB32*INDEX(盗宝贼掉落!$D$64:$D$67,MATCH(AD$16,盗宝贼掉落!$B$64:$B$67,0))*INDEX(盗宝贼掉落!$F$64:$F$67,MATCH(AD$16,盗宝贼掉落!$B$64:$B$67,0))</f>
        <v>262.43616762450142</v>
      </c>
      <c r="AE32" s="17">
        <f>$AB32*INDEX(盗宝贼掉落!$D$64:$D$67,MATCH(AE$16,盗宝贼掉落!$B$64:$B$67,0))*INDEX(盗宝贼掉落!$F$64:$F$67,MATCH(AE$16,盗宝贼掉落!$B$64:$B$67,0))</f>
        <v>0</v>
      </c>
      <c r="AF32" s="17">
        <f>$AB32*INDEX(盗宝贼掉落!$D$64:$D$67,MATCH(AF$16,盗宝贼掉落!$B$64:$B$67,0))*INDEX(盗宝贼掉落!$F$64:$F$67,MATCH(AF$16,盗宝贼掉落!$B$64:$B$67,0))</f>
        <v>0</v>
      </c>
      <c r="AG32" s="17">
        <f>求节点(匈奴铁骑掉落!$J$7:$J$166,匈奴铁骑掉落!K$7:K$166,O32)</f>
        <v>13875.885003552476</v>
      </c>
      <c r="AH32" s="17">
        <f>$AG32*INDEX(盗宝贼掉落!$D$64:$D$67,MATCH(AH$16,盗宝贼掉落!$B$64:$B$67,0))*INDEX(盗宝贼掉落!$G$64:$G$67,MATCH(AH$16,盗宝贼掉落!$B$64:$B$67,0))</f>
        <v>4162.7655010657436</v>
      </c>
      <c r="AI32" s="17">
        <f>$AG32*INDEX(盗宝贼掉落!$D$64:$D$67,MATCH(AI$16,盗宝贼掉落!$B$64:$B$67,0))*INDEX(盗宝贼掉落!$G$64:$G$67,MATCH(AI$16,盗宝贼掉落!$B$64:$B$67,0))</f>
        <v>1110.0708002841982</v>
      </c>
      <c r="AJ32" s="17">
        <f>$AG32*INDEX(盗宝贼掉落!$D$64:$D$67,MATCH(AJ$16,盗宝贼掉落!$B$64:$B$67,0))*INDEX(盗宝贼掉落!$G$64:$G$67,MATCH(AJ$16,盗宝贼掉落!$B$64:$B$67,0))</f>
        <v>277.51770007104949</v>
      </c>
      <c r="AK32" s="17">
        <f>$AG32*INDEX(盗宝贼掉落!$D$64:$D$67,MATCH(AK$16,盗宝贼掉落!$B$64:$B$67,0))*INDEX(盗宝贼掉落!$G$64:$G$67,MATCH(AK$16,盗宝贼掉落!$B$64:$B$67,0))</f>
        <v>0</v>
      </c>
      <c r="AL32" s="17">
        <f t="shared" si="12"/>
        <v>15966.327166863563</v>
      </c>
      <c r="AM32" s="17">
        <f t="shared" si="13"/>
        <v>3994.8466850521327</v>
      </c>
      <c r="AN32" s="17">
        <f t="shared" si="14"/>
        <v>749.5388491568674</v>
      </c>
      <c r="AO32" s="17">
        <f t="shared" si="15"/>
        <v>157.34038302860594</v>
      </c>
      <c r="AP32" s="84">
        <f>IFERROR(MAX(MIN(求节点(宝物升星!D$67:D$72,宝物升星!$C$67:$C$72,AL32/基础状态预期!C$8),宝物升星!D$14),AP31),AP31)</f>
        <v>0</v>
      </c>
      <c r="AQ32" s="84">
        <f>IFERROR(MAX(MIN(求节点(宝物升星!E$67:E$72,宝物升星!$C$67:$C$72,AM32/基础状态预期!D$8),宝物升星!E$14),AQ31),AQ31)</f>
        <v>3</v>
      </c>
      <c r="AR32" s="84">
        <f>IFERROR(MAX(MIN(求节点(宝物升星!F$67:F$72,宝物升星!$C$67:$C$72,AN32/基础状态预期!E$8),宝物升星!F$14),AR31),AR31)</f>
        <v>5</v>
      </c>
      <c r="AS32" s="54">
        <f>IFERROR(MAX(MIN(求节点(宝物升星!G$67:G$72,宝物升星!$C$67:$C$72,AO32/MAX(基础状态预期!L32,基础状态预期!L31)),宝物升星!G$14),AS31),AS31)</f>
        <v>5</v>
      </c>
      <c r="AT32" s="37">
        <f t="shared" si="16"/>
        <v>20868.053084101164</v>
      </c>
      <c r="AV32" s="38">
        <f t="shared" si="6"/>
        <v>0.49272566378055127</v>
      </c>
      <c r="AW32" s="38">
        <f t="shared" si="17"/>
        <v>0.26072154588596475</v>
      </c>
      <c r="AX32" s="38">
        <f t="shared" si="18"/>
        <v>0.24655279033348398</v>
      </c>
      <c r="AY32" s="38">
        <f t="shared" si="7"/>
        <v>0.65643062772738447</v>
      </c>
      <c r="AZ32" s="38">
        <f t="shared" si="19"/>
        <v>0.27787569531462802</v>
      </c>
      <c r="BA32" s="38">
        <f t="shared" si="20"/>
        <v>6.5693676957987349E-2</v>
      </c>
      <c r="BB32" s="38">
        <f t="shared" si="8"/>
        <v>0.6297487443336387</v>
      </c>
      <c r="BC32" s="38">
        <f t="shared" si="21"/>
        <v>0.37025125566636125</v>
      </c>
      <c r="BD32" s="38">
        <f t="shared" si="22"/>
        <v>0</v>
      </c>
      <c r="BE32" s="38">
        <f t="shared" si="9"/>
        <v>1</v>
      </c>
      <c r="BF32" s="38">
        <f t="shared" si="23"/>
        <v>0</v>
      </c>
      <c r="BG32" s="38">
        <f t="shared" si="24"/>
        <v>0</v>
      </c>
      <c r="BJ32" s="16">
        <v>3989.3169385213364</v>
      </c>
      <c r="BK32" s="16">
        <v>1734.4856254440595</v>
      </c>
      <c r="BL32" s="16">
        <v>115.63237502960396</v>
      </c>
      <c r="BM32" s="16">
        <v>40.471331260361389</v>
      </c>
      <c r="BN32" s="16">
        <v>9693.2642076801621</v>
      </c>
      <c r="BO32" s="16">
        <v>2586.0567113323295</v>
      </c>
      <c r="BP32" s="16">
        <v>221.67666031708228</v>
      </c>
      <c r="BQ32" s="16">
        <v>75.819426356187506</v>
      </c>
      <c r="BR32" s="16">
        <v>0</v>
      </c>
      <c r="BS32" s="16">
        <v>3</v>
      </c>
      <c r="BT32" s="16">
        <v>5</v>
      </c>
      <c r="BU32" s="16">
        <v>5</v>
      </c>
      <c r="BV32" s="37"/>
      <c r="BW32" s="37"/>
      <c r="BX32" s="37"/>
      <c r="BY32" s="37"/>
      <c r="BZ32" s="37"/>
    </row>
    <row r="33" spans="14:78">
      <c r="N33" s="16">
        <v>19</v>
      </c>
      <c r="O33" s="17">
        <v>140</v>
      </c>
      <c r="P33" s="17">
        <f>求节点(节奏总纲!$O$4:$O$163,节奏总纲!P$4:P$163,O33)</f>
        <v>16383</v>
      </c>
      <c r="Q33" s="17">
        <f>INDEX(其他调用!$C$4:$C$163,$O33)*$P$10</f>
        <v>9561679.009956589</v>
      </c>
      <c r="R33" s="50">
        <v>1</v>
      </c>
      <c r="S33" s="17">
        <f t="shared" si="0"/>
        <v>0.375</v>
      </c>
      <c r="T33" s="17">
        <f t="shared" si="1"/>
        <v>0.125</v>
      </c>
      <c r="U33" s="17">
        <f t="shared" si="2"/>
        <v>2.2500000000000003E-2</v>
      </c>
      <c r="V33" s="17">
        <f t="shared" si="3"/>
        <v>7.4999999999999997E-3</v>
      </c>
      <c r="W33" s="17">
        <f t="shared" si="10"/>
        <v>2638702.156697927</v>
      </c>
      <c r="X33" s="17">
        <f t="shared" si="25"/>
        <v>10865.544329496124</v>
      </c>
      <c r="Y33" s="17">
        <f t="shared" si="26"/>
        <v>3621.8481098320412</v>
      </c>
      <c r="Z33" s="17">
        <f t="shared" si="27"/>
        <v>651.9326597697675</v>
      </c>
      <c r="AA33" s="17">
        <f t="shared" si="28"/>
        <v>217.31088658992246</v>
      </c>
      <c r="AB33" s="17">
        <f>求节点(盗宝贼掉落!$CV$5:$CV$164,盗宝贼掉落!$DC$5:$DC$164,$O33)</f>
        <v>7434.079793641863</v>
      </c>
      <c r="AC33" s="17">
        <f>$AB33*INDEX(盗宝贼掉落!$D$64:$D$67,MATCH(AC$16,盗宝贼掉落!$B$64:$B$67,0))*INDEX(盗宝贼掉落!$F$64:$F$67,MATCH(AC$16,盗宝贼掉落!$B$64:$B$67,0))</f>
        <v>5575.559845231397</v>
      </c>
      <c r="AD33" s="17">
        <f>$AB33*INDEX(盗宝贼掉落!$D$64:$D$67,MATCH(AD$16,盗宝贼掉落!$B$64:$B$67,0))*INDEX(盗宝贼掉落!$F$64:$F$67,MATCH(AD$16,盗宝贼掉落!$B$64:$B$67,0))</f>
        <v>371.70398968209315</v>
      </c>
      <c r="AE33" s="17">
        <f>$AB33*INDEX(盗宝贼掉落!$D$64:$D$67,MATCH(AE$16,盗宝贼掉落!$B$64:$B$67,0))*INDEX(盗宝贼掉落!$F$64:$F$67,MATCH(AE$16,盗宝贼掉落!$B$64:$B$67,0))</f>
        <v>0</v>
      </c>
      <c r="AF33" s="17">
        <f>$AB33*INDEX(盗宝贼掉落!$D$64:$D$67,MATCH(AF$16,盗宝贼掉落!$B$64:$B$67,0))*INDEX(盗宝贼掉落!$F$64:$F$67,MATCH(AF$16,盗宝贼掉落!$B$64:$B$67,0))</f>
        <v>0</v>
      </c>
      <c r="AG33" s="17">
        <f>求节点(匈奴铁骑掉落!$J$7:$J$166,匈奴铁骑掉落!K$7:K$166,O33)</f>
        <v>19634.400000000001</v>
      </c>
      <c r="AH33" s="17">
        <f>$AG33*INDEX(盗宝贼掉落!$D$64:$D$67,MATCH(AH$16,盗宝贼掉落!$B$64:$B$67,0))*INDEX(盗宝贼掉落!$G$64:$G$67,MATCH(AH$16,盗宝贼掉落!$B$64:$B$67,0))</f>
        <v>5890.3200000000015</v>
      </c>
      <c r="AI33" s="17">
        <f>$AG33*INDEX(盗宝贼掉落!$D$64:$D$67,MATCH(AI$16,盗宝贼掉落!$B$64:$B$67,0))*INDEX(盗宝贼掉落!$G$64:$G$67,MATCH(AI$16,盗宝贼掉落!$B$64:$B$67,0))</f>
        <v>1570.7520000000004</v>
      </c>
      <c r="AJ33" s="17">
        <f>$AG33*INDEX(盗宝贼掉落!$D$64:$D$67,MATCH(AJ$16,盗宝贼掉落!$B$64:$B$67,0))*INDEX(盗宝贼掉落!$G$64:$G$67,MATCH(AJ$16,盗宝贼掉落!$B$64:$B$67,0))</f>
        <v>392.68799999999999</v>
      </c>
      <c r="AK33" s="17">
        <f>$AG33*INDEX(盗宝贼掉落!$D$64:$D$67,MATCH(AK$16,盗宝贼掉落!$B$64:$B$67,0))*INDEX(盗宝贼掉落!$G$64:$G$67,MATCH(AK$16,盗宝贼掉落!$B$64:$B$67,0))</f>
        <v>0</v>
      </c>
      <c r="AL33" s="17">
        <f t="shared" si="12"/>
        <v>22331.424174727523</v>
      </c>
      <c r="AM33" s="17">
        <f t="shared" si="13"/>
        <v>5564.3040995141346</v>
      </c>
      <c r="AN33" s="17">
        <f t="shared" si="14"/>
        <v>1044.6206597697674</v>
      </c>
      <c r="AO33" s="17">
        <f t="shared" si="15"/>
        <v>217.31088658992246</v>
      </c>
      <c r="AP33" s="84">
        <f>IFERROR(MAX(MIN(求节点(宝物升星!D$67:D$72,宝物升星!$C$67:$C$72,AL33/基础状态预期!C$8),宝物升星!D$14),AP32),AP32)</f>
        <v>0</v>
      </c>
      <c r="AQ33" s="84">
        <f>IFERROR(MAX(MIN(求节点(宝物升星!E$67:E$72,宝物升星!$C$67:$C$72,AM33/基础状态预期!D$8),宝物升星!E$14),AQ32),AQ32)</f>
        <v>3</v>
      </c>
      <c r="AR33" s="84">
        <f>IFERROR(MAX(MIN(求节点(宝物升星!F$67:F$72,宝物升星!$C$67:$C$72,AN33/基础状态预期!E$8),宝物升星!F$14),AR32),AR32)</f>
        <v>5</v>
      </c>
      <c r="AS33" s="54">
        <f>IFERROR(MAX(MIN(求节点(宝物升星!G$67:G$72,宝物升星!$C$67:$C$72,AO33/MAX(基础状态预期!L33,基础状态预期!L32)),宝物升星!G$14),AS32),AS32)</f>
        <v>5</v>
      </c>
      <c r="AT33" s="37">
        <f t="shared" si="16"/>
        <v>29157.659820601348</v>
      </c>
      <c r="AV33" s="38">
        <f t="shared" si="6"/>
        <v>0.48655850359032016</v>
      </c>
      <c r="AW33" s="38">
        <f t="shared" si="17"/>
        <v>0.26376821979254139</v>
      </c>
      <c r="AX33" s="38">
        <f t="shared" si="18"/>
        <v>0.24967327661713842</v>
      </c>
      <c r="AY33" s="38">
        <f t="shared" si="7"/>
        <v>0.65090765081446478</v>
      </c>
      <c r="AZ33" s="38">
        <f t="shared" si="19"/>
        <v>0.28229082593403831</v>
      </c>
      <c r="BA33" s="38">
        <f t="shared" si="20"/>
        <v>6.6801523251496936E-2</v>
      </c>
      <c r="BB33" s="38">
        <f t="shared" si="8"/>
        <v>0.62408555074284322</v>
      </c>
      <c r="BC33" s="38">
        <f t="shared" si="21"/>
        <v>0.37591444925715689</v>
      </c>
      <c r="BD33" s="38">
        <f t="shared" si="22"/>
        <v>0</v>
      </c>
      <c r="BE33" s="38">
        <f t="shared" si="9"/>
        <v>1</v>
      </c>
      <c r="BF33" s="38">
        <f t="shared" si="23"/>
        <v>0</v>
      </c>
      <c r="BG33" s="38">
        <f t="shared" si="24"/>
        <v>0</v>
      </c>
      <c r="BJ33" s="16">
        <v>5644.8899999999994</v>
      </c>
      <c r="BK33" s="16">
        <v>2454.3000000000002</v>
      </c>
      <c r="BL33" s="16">
        <v>163.62</v>
      </c>
      <c r="BM33" s="16">
        <v>57.26700000000001</v>
      </c>
      <c r="BN33" s="16">
        <v>13121.931807694442</v>
      </c>
      <c r="BO33" s="16">
        <v>3459.8313105031084</v>
      </c>
      <c r="BP33" s="16">
        <v>277.70891774778272</v>
      </c>
      <c r="BQ33" s="16">
        <v>95.29663924926092</v>
      </c>
      <c r="BR33" s="16">
        <v>0</v>
      </c>
      <c r="BS33" s="16">
        <v>3</v>
      </c>
      <c r="BT33" s="16">
        <v>5</v>
      </c>
      <c r="BU33" s="16">
        <v>5</v>
      </c>
      <c r="BV33" s="37"/>
      <c r="BW33" s="37"/>
      <c r="BX33" s="37"/>
      <c r="BY33" s="37"/>
      <c r="BZ33" s="37"/>
    </row>
    <row r="34" spans="14:78">
      <c r="N34" s="16">
        <v>20</v>
      </c>
      <c r="O34" s="17">
        <v>145</v>
      </c>
      <c r="P34" s="17">
        <f>求节点(节奏总纲!$O$4:$O$163,节奏总纲!P$4:P$163,O34)</f>
        <v>23169.475005920798</v>
      </c>
      <c r="Q34" s="17">
        <f>INDEX(其他调用!$C$4:$C$163,$O34)*$P$10</f>
        <v>13291826.496821428</v>
      </c>
      <c r="R34" s="50">
        <v>1</v>
      </c>
      <c r="S34" s="17">
        <f t="shared" si="0"/>
        <v>0.375</v>
      </c>
      <c r="T34" s="17">
        <f t="shared" si="1"/>
        <v>0.125</v>
      </c>
      <c r="U34" s="17">
        <f t="shared" si="2"/>
        <v>2.2500000000000003E-2</v>
      </c>
      <c r="V34" s="17">
        <f t="shared" si="3"/>
        <v>7.4999999999999997E-3</v>
      </c>
      <c r="W34" s="17">
        <f t="shared" si="10"/>
        <v>3730147.4868648387</v>
      </c>
      <c r="X34" s="17">
        <f t="shared" si="25"/>
        <v>15104.348291842532</v>
      </c>
      <c r="Y34" s="17">
        <f t="shared" si="26"/>
        <v>5034.7827639475108</v>
      </c>
      <c r="Z34" s="17">
        <f t="shared" si="27"/>
        <v>906.26089751055201</v>
      </c>
      <c r="AA34" s="17">
        <f t="shared" si="28"/>
        <v>302.0869658368506</v>
      </c>
      <c r="AB34" s="17">
        <f>求节点(盗宝贼掉落!$CV$5:$CV$164,盗宝贼掉落!$DC$5:$DC$164,$O34)</f>
        <v>10524.640511338195</v>
      </c>
      <c r="AC34" s="17">
        <f>$AB34*INDEX(盗宝贼掉落!$D$64:$D$67,MATCH(AC$16,盗宝贼掉落!$B$64:$B$67,0))*INDEX(盗宝贼掉落!$F$64:$F$67,MATCH(AC$16,盗宝贼掉落!$B$64:$B$67,0))</f>
        <v>7893.4803835036464</v>
      </c>
      <c r="AD34" s="17">
        <f>$AB34*INDEX(盗宝贼掉落!$D$64:$D$67,MATCH(AD$16,盗宝贼掉落!$B$64:$B$67,0))*INDEX(盗宝贼掉落!$F$64:$F$67,MATCH(AD$16,盗宝贼掉落!$B$64:$B$67,0))</f>
        <v>526.23202556690978</v>
      </c>
      <c r="AE34" s="17">
        <f>$AB34*INDEX(盗宝贼掉落!$D$64:$D$67,MATCH(AE$16,盗宝贼掉落!$B$64:$B$67,0))*INDEX(盗宝贼掉落!$F$64:$F$67,MATCH(AE$16,盗宝贼掉落!$B$64:$B$67,0))</f>
        <v>0</v>
      </c>
      <c r="AF34" s="17">
        <f>$AB34*INDEX(盗宝贼掉落!$D$64:$D$67,MATCH(AF$16,盗宝贼掉落!$B$64:$B$67,0))*INDEX(盗宝贼掉落!$F$64:$F$67,MATCH(AF$16,盗宝贼掉落!$B$64:$B$67,0))</f>
        <v>0</v>
      </c>
      <c r="AG34" s="17">
        <f>求节点(匈奴铁骑掉落!$J$7:$J$166,匈奴铁骑掉落!K$7:K$166,O34)</f>
        <v>27778.170007104956</v>
      </c>
      <c r="AH34" s="17">
        <f>$AG34*INDEX(盗宝贼掉落!$D$64:$D$67,MATCH(AH$16,盗宝贼掉落!$B$64:$B$67,0))*INDEX(盗宝贼掉落!$G$64:$G$67,MATCH(AH$16,盗宝贼掉落!$B$64:$B$67,0))</f>
        <v>8333.4510021314873</v>
      </c>
      <c r="AI34" s="17">
        <f>$AG34*INDEX(盗宝贼掉落!$D$64:$D$67,MATCH(AI$16,盗宝贼掉落!$B$64:$B$67,0))*INDEX(盗宝贼掉落!$G$64:$G$67,MATCH(AI$16,盗宝贼掉落!$B$64:$B$67,0))</f>
        <v>2222.2536005683969</v>
      </c>
      <c r="AJ34" s="17">
        <f>$AG34*INDEX(盗宝贼掉落!$D$64:$D$67,MATCH(AJ$16,盗宝贼掉落!$B$64:$B$67,0))*INDEX(盗宝贼掉落!$G$64:$G$67,MATCH(AJ$16,盗宝贼掉落!$B$64:$B$67,0))</f>
        <v>555.56340014209911</v>
      </c>
      <c r="AK34" s="17">
        <f>$AG34*INDEX(盗宝贼掉落!$D$64:$D$67,MATCH(AK$16,盗宝贼掉落!$B$64:$B$67,0))*INDEX(盗宝贼掉落!$G$64:$G$67,MATCH(AK$16,盗宝贼掉落!$B$64:$B$67,0))</f>
        <v>0</v>
      </c>
      <c r="AL34" s="17">
        <f t="shared" si="12"/>
        <v>31331.279677477665</v>
      </c>
      <c r="AM34" s="17">
        <f t="shared" si="13"/>
        <v>7783.2683900828179</v>
      </c>
      <c r="AN34" s="17">
        <f t="shared" si="14"/>
        <v>1461.8242976526512</v>
      </c>
      <c r="AO34" s="17">
        <f t="shared" si="15"/>
        <v>302.0869658368506</v>
      </c>
      <c r="AP34" s="84">
        <f>IFERROR(MAX(MIN(求节点(宝物升星!D$67:D$72,宝物升星!$C$67:$C$72,AL34/基础状态预期!C$8),宝物升星!D$14),AP33),AP33)</f>
        <v>0</v>
      </c>
      <c r="AQ34" s="84">
        <f>IFERROR(MAX(MIN(求节点(宝物升星!E$67:E$72,宝物升星!$C$67:$C$72,AM34/基础状态预期!D$8),宝物升星!E$14),AQ33),AQ33)</f>
        <v>3</v>
      </c>
      <c r="AR34" s="84">
        <f>IFERROR(MAX(MIN(求节点(宝物升星!F$67:F$72,宝物升星!$C$67:$C$72,AN34/基础状态预期!E$8),宝物升星!F$14),AR33),AR33)</f>
        <v>5</v>
      </c>
      <c r="AS34" s="54">
        <f>IFERROR(MAX(MIN(求节点(宝物升星!G$67:G$72,宝物升星!$C$67:$C$72,AO34/MAX(基础状态预期!L34,基础状态预期!L33)),宝物升星!G$14),AS33),AS33)</f>
        <v>5</v>
      </c>
      <c r="AT34" s="37">
        <f t="shared" si="16"/>
        <v>40878.459331049991</v>
      </c>
      <c r="AV34" s="38">
        <f t="shared" si="6"/>
        <v>0.48208526582143463</v>
      </c>
      <c r="AW34" s="38">
        <f t="shared" si="17"/>
        <v>0.26597863502274843</v>
      </c>
      <c r="AX34" s="38">
        <f t="shared" si="18"/>
        <v>0.25193609915581699</v>
      </c>
      <c r="AY34" s="38">
        <f t="shared" si="7"/>
        <v>0.64687256196415688</v>
      </c>
      <c r="AZ34" s="38">
        <f t="shared" si="19"/>
        <v>0.28551676354883493</v>
      </c>
      <c r="BA34" s="38">
        <f t="shared" si="20"/>
        <v>6.7610674487008207E-2</v>
      </c>
      <c r="BB34" s="38">
        <f t="shared" si="8"/>
        <v>0.61995200036406262</v>
      </c>
      <c r="BC34" s="38">
        <f t="shared" si="21"/>
        <v>0.38004799963593733</v>
      </c>
      <c r="BD34" s="38">
        <f t="shared" si="22"/>
        <v>0</v>
      </c>
      <c r="BE34" s="38">
        <f t="shared" si="9"/>
        <v>1</v>
      </c>
      <c r="BF34" s="38">
        <f t="shared" si="23"/>
        <v>0</v>
      </c>
      <c r="BG34" s="38">
        <f t="shared" si="24"/>
        <v>0</v>
      </c>
      <c r="BJ34" s="16">
        <v>7986.2238770426748</v>
      </c>
      <c r="BK34" s="16">
        <v>3472.2712508881195</v>
      </c>
      <c r="BL34" s="16">
        <v>231.48475005920795</v>
      </c>
      <c r="BM34" s="16">
        <v>81.01966252072279</v>
      </c>
      <c r="BN34" s="16">
        <v>17915.263430681109</v>
      </c>
      <c r="BO34" s="16">
        <v>4677.0229998332916</v>
      </c>
      <c r="BP34" s="16">
        <v>353.61830026729513</v>
      </c>
      <c r="BQ34" s="16">
        <v>121.73084592341851</v>
      </c>
      <c r="BR34" s="16">
        <v>0</v>
      </c>
      <c r="BS34" s="16">
        <v>3</v>
      </c>
      <c r="BT34" s="16">
        <v>5</v>
      </c>
      <c r="BU34" s="16">
        <v>5</v>
      </c>
      <c r="BV34" s="37"/>
      <c r="BW34" s="37"/>
      <c r="BX34" s="37"/>
      <c r="BY34" s="37"/>
      <c r="BZ34" s="37"/>
    </row>
    <row r="35" spans="14:78">
      <c r="N35" s="16">
        <v>21</v>
      </c>
      <c r="O35" s="17">
        <v>150</v>
      </c>
      <c r="P35" s="17">
        <f>求节点(节奏总纲!$O$4:$O$163,节奏总纲!P$4:P$163,O35)</f>
        <v>32767</v>
      </c>
      <c r="Q35" s="17">
        <f>INDEX(其他调用!$C$4:$C$163,$O35)*$P$10</f>
        <v>18455010.060757648</v>
      </c>
      <c r="R35" s="50">
        <v>1</v>
      </c>
      <c r="S35" s="17">
        <f t="shared" si="0"/>
        <v>0.375</v>
      </c>
      <c r="T35" s="17">
        <f t="shared" si="1"/>
        <v>0.125</v>
      </c>
      <c r="U35" s="17">
        <f t="shared" si="2"/>
        <v>2.2500000000000003E-2</v>
      </c>
      <c r="V35" s="17">
        <f t="shared" si="3"/>
        <v>7.4999999999999997E-3</v>
      </c>
      <c r="W35" s="17">
        <f t="shared" si="10"/>
        <v>5163183.5639362205</v>
      </c>
      <c r="X35" s="17">
        <f t="shared" si="25"/>
        <v>20971.602341770056</v>
      </c>
      <c r="Y35" s="17">
        <f t="shared" si="26"/>
        <v>6990.5341139233515</v>
      </c>
      <c r="Z35" s="17">
        <f t="shared" si="27"/>
        <v>1258.2961405062035</v>
      </c>
      <c r="AA35" s="17">
        <f t="shared" si="28"/>
        <v>419.43204683540102</v>
      </c>
      <c r="AB35" s="17">
        <f>求节点(盗宝贼掉落!$CV$5:$CV$164,盗宝贼掉落!$DC$5:$DC$164,$O35)</f>
        <v>14895.353393641863</v>
      </c>
      <c r="AC35" s="17">
        <f>$AB35*INDEX(盗宝贼掉落!$D$64:$D$67,MATCH(AC$16,盗宝贼掉落!$B$64:$B$67,0))*INDEX(盗宝贼掉落!$F$64:$F$67,MATCH(AC$16,盗宝贼掉落!$B$64:$B$67,0))</f>
        <v>11171.515045231397</v>
      </c>
      <c r="AD35" s="17">
        <f>$AB35*INDEX(盗宝贼掉落!$D$64:$D$67,MATCH(AD$16,盗宝贼掉落!$B$64:$B$67,0))*INDEX(盗宝贼掉落!$F$64:$F$67,MATCH(AD$16,盗宝贼掉落!$B$64:$B$67,0))</f>
        <v>744.76766968209313</v>
      </c>
      <c r="AE35" s="17">
        <f>$AB35*INDEX(盗宝贼掉落!$D$64:$D$67,MATCH(AE$16,盗宝贼掉落!$B$64:$B$67,0))*INDEX(盗宝贼掉落!$F$64:$F$67,MATCH(AE$16,盗宝贼掉落!$B$64:$B$67,0))</f>
        <v>0</v>
      </c>
      <c r="AF35" s="17">
        <f>$AB35*INDEX(盗宝贼掉落!$D$64:$D$67,MATCH(AF$16,盗宝贼掉落!$B$64:$B$67,0))*INDEX(盗宝贼掉落!$F$64:$F$67,MATCH(AF$16,盗宝贼掉落!$B$64:$B$67,0))</f>
        <v>0</v>
      </c>
      <c r="AG35" s="17">
        <f>求节点(匈奴铁骑掉落!$J$7:$J$166,匈奴铁骑掉落!K$7:K$166,O35)</f>
        <v>39295.200000000004</v>
      </c>
      <c r="AH35" s="17">
        <f>$AG35*INDEX(盗宝贼掉落!$D$64:$D$67,MATCH(AH$16,盗宝贼掉落!$B$64:$B$67,0))*INDEX(盗宝贼掉落!$G$64:$G$67,MATCH(AH$16,盗宝贼掉落!$B$64:$B$67,0))</f>
        <v>11788.560000000003</v>
      </c>
      <c r="AI35" s="17">
        <f>$AG35*INDEX(盗宝贼掉落!$D$64:$D$67,MATCH(AI$16,盗宝贼掉落!$B$64:$B$67,0))*INDEX(盗宝贼掉落!$G$64:$G$67,MATCH(AI$16,盗宝贼掉落!$B$64:$B$67,0))</f>
        <v>3143.6160000000004</v>
      </c>
      <c r="AJ35" s="17">
        <f>$AG35*INDEX(盗宝贼掉落!$D$64:$D$67,MATCH(AJ$16,盗宝贼掉落!$B$64:$B$67,0))*INDEX(盗宝贼掉落!$G$64:$G$67,MATCH(AJ$16,盗宝贼掉落!$B$64:$B$67,0))</f>
        <v>785.90400000000011</v>
      </c>
      <c r="AK35" s="17">
        <f>$AG35*INDEX(盗宝贼掉落!$D$64:$D$67,MATCH(AK$16,盗宝贼掉落!$B$64:$B$67,0))*INDEX(盗宝贼掉落!$G$64:$G$67,MATCH(AK$16,盗宝贼掉落!$B$64:$B$67,0))</f>
        <v>0</v>
      </c>
      <c r="AL35" s="17">
        <f t="shared" si="12"/>
        <v>43931.677387001459</v>
      </c>
      <c r="AM35" s="17">
        <f t="shared" si="13"/>
        <v>10878.917783605444</v>
      </c>
      <c r="AN35" s="17">
        <f t="shared" si="14"/>
        <v>2044.2001405062038</v>
      </c>
      <c r="AO35" s="17">
        <f t="shared" si="15"/>
        <v>419.43204683540102</v>
      </c>
      <c r="AP35" s="84">
        <f>IFERROR(MAX(MIN(求节点(宝物升星!D$67:D$72,宝物升星!$C$67:$C$72,AL35/基础状态预期!C$8),宝物升星!D$14),AP34),AP34)</f>
        <v>0</v>
      </c>
      <c r="AQ35" s="84">
        <f>IFERROR(MAX(MIN(求节点(宝物升星!E$67:E$72,宝物升星!$C$67:$C$72,AM35/基础状态预期!D$8),宝物升星!E$14),AQ34),AQ34)</f>
        <v>3</v>
      </c>
      <c r="AR35" s="84">
        <f>IFERROR(MAX(MIN(求节点(宝物升星!F$67:F$72,宝物升星!$C$67:$C$72,AN35/基础状态预期!E$8),宝物升星!F$14),AR34),AR34)</f>
        <v>5</v>
      </c>
      <c r="AS35" s="54">
        <f>IFERROR(MAX(MIN(求节点(宝物升星!G$67:G$72,宝物升星!$C$67:$C$72,AO35/MAX(基础状态预期!L35,基础状态预期!L34)),宝物升星!G$14),AS34),AS34)</f>
        <v>5</v>
      </c>
      <c r="AT35" s="37">
        <f t="shared" si="16"/>
        <v>57274.227357948505</v>
      </c>
      <c r="AV35" s="38">
        <f t="shared" si="6"/>
        <v>0.47736857750792716</v>
      </c>
      <c r="AW35" s="38">
        <f t="shared" si="17"/>
        <v>0.26833849061014942</v>
      </c>
      <c r="AX35" s="38">
        <f t="shared" si="18"/>
        <v>0.25429293188192342</v>
      </c>
      <c r="AY35" s="38">
        <f t="shared" si="7"/>
        <v>0.6425762426900683</v>
      </c>
      <c r="AZ35" s="38">
        <f t="shared" si="19"/>
        <v>0.28896403691343614</v>
      </c>
      <c r="BA35" s="38">
        <f t="shared" si="20"/>
        <v>6.8459720396495671E-2</v>
      </c>
      <c r="BB35" s="38">
        <f t="shared" si="8"/>
        <v>0.61554449369845587</v>
      </c>
      <c r="BC35" s="38">
        <f t="shared" si="21"/>
        <v>0.38445550630154407</v>
      </c>
      <c r="BD35" s="38">
        <f t="shared" si="22"/>
        <v>0</v>
      </c>
      <c r="BE35" s="38">
        <f t="shared" si="9"/>
        <v>1</v>
      </c>
      <c r="BF35" s="38">
        <f t="shared" si="23"/>
        <v>0</v>
      </c>
      <c r="BG35" s="38">
        <f t="shared" si="24"/>
        <v>0</v>
      </c>
      <c r="BJ35" s="16">
        <v>11297.369999999999</v>
      </c>
      <c r="BK35" s="16">
        <v>4911.9000000000005</v>
      </c>
      <c r="BL35" s="16">
        <v>327.46000000000004</v>
      </c>
      <c r="BM35" s="16">
        <v>114.611</v>
      </c>
      <c r="BN35" s="16">
        <v>24638.521423037924</v>
      </c>
      <c r="BO35" s="16">
        <v>6379.8797956176022</v>
      </c>
      <c r="BP35" s="16">
        <v>457.63818266839166</v>
      </c>
      <c r="BQ35" s="16">
        <v>158.00372755613054</v>
      </c>
      <c r="BR35" s="16">
        <v>0</v>
      </c>
      <c r="BS35" s="16">
        <v>3</v>
      </c>
      <c r="BT35" s="16">
        <v>5</v>
      </c>
      <c r="BU35" s="16">
        <v>5</v>
      </c>
      <c r="BV35" s="37"/>
      <c r="BW35" s="37"/>
      <c r="BX35" s="37"/>
      <c r="BY35" s="37"/>
      <c r="BZ35" s="37"/>
    </row>
    <row r="36" spans="14:78">
      <c r="N36" s="16">
        <v>22</v>
      </c>
      <c r="O36" s="17">
        <v>155</v>
      </c>
      <c r="P36" s="17">
        <f>求节点(节奏总纲!$O$4:$O$163,节奏总纲!P$4:P$163,O36)</f>
        <v>46339.950011841604</v>
      </c>
      <c r="Q36" s="17">
        <f>INDEX(其他调用!$C$4:$C$163,$O36)*$P$10</f>
        <v>25754182.431385055</v>
      </c>
      <c r="R36" s="50">
        <v>1</v>
      </c>
      <c r="S36" s="17">
        <f t="shared" si="0"/>
        <v>0.375</v>
      </c>
      <c r="T36" s="17">
        <f t="shared" si="1"/>
        <v>0.125</v>
      </c>
      <c r="U36" s="17">
        <f t="shared" si="2"/>
        <v>2.2500000000000003E-2</v>
      </c>
      <c r="V36" s="17">
        <f t="shared" si="3"/>
        <v>7.4999999999999997E-3</v>
      </c>
      <c r="W36" s="17">
        <f t="shared" si="10"/>
        <v>7299172.370627407</v>
      </c>
      <c r="X36" s="17">
        <f t="shared" si="25"/>
        <v>29266.116399301201</v>
      </c>
      <c r="Y36" s="17">
        <f t="shared" si="26"/>
        <v>9755.3721331003999</v>
      </c>
      <c r="Z36" s="17">
        <f t="shared" si="27"/>
        <v>1755.9669839580722</v>
      </c>
      <c r="AA36" s="17">
        <f t="shared" si="28"/>
        <v>585.32232798602388</v>
      </c>
      <c r="AB36" s="17">
        <f>求节点(盗宝贼掉落!$CV$5:$CV$164,盗宝贼掉落!$DC$5:$DC$164,$O36)</f>
        <v>21076.474829034531</v>
      </c>
      <c r="AC36" s="17">
        <f>$AB36*INDEX(盗宝贼掉落!$D$64:$D$67,MATCH(AC$16,盗宝贼掉落!$B$64:$B$67,0))*INDEX(盗宝贼掉落!$F$64:$F$67,MATCH(AC$16,盗宝贼掉落!$B$64:$B$67,0))</f>
        <v>15807.356121775898</v>
      </c>
      <c r="AD36" s="17">
        <f>$AB36*INDEX(盗宝贼掉落!$D$64:$D$67,MATCH(AD$16,盗宝贼掉落!$B$64:$B$67,0))*INDEX(盗宝贼掉落!$F$64:$F$67,MATCH(AD$16,盗宝贼掉落!$B$64:$B$67,0))</f>
        <v>1053.8237414517266</v>
      </c>
      <c r="AE36" s="17">
        <f>$AB36*INDEX(盗宝贼掉落!$D$64:$D$67,MATCH(AE$16,盗宝贼掉落!$B$64:$B$67,0))*INDEX(盗宝贼掉落!$F$64:$F$67,MATCH(AE$16,盗宝贼掉落!$B$64:$B$67,0))</f>
        <v>0</v>
      </c>
      <c r="AF36" s="17">
        <f>$AB36*INDEX(盗宝贼掉落!$D$64:$D$67,MATCH(AF$16,盗宝贼掉落!$B$64:$B$67,0))*INDEX(盗宝贼掉落!$F$64:$F$67,MATCH(AF$16,盗宝贼掉落!$B$64:$B$67,0))</f>
        <v>0</v>
      </c>
      <c r="AG36" s="17">
        <f>求节点(匈奴铁骑掉落!$J$7:$J$166,匈奴铁骑掉落!K$7:K$166,O36)</f>
        <v>55582.740014209929</v>
      </c>
      <c r="AH36" s="17">
        <f>$AG36*INDEX(盗宝贼掉落!$D$64:$D$67,MATCH(AH$16,盗宝贼掉落!$B$64:$B$67,0))*INDEX(盗宝贼掉落!$G$64:$G$67,MATCH(AH$16,盗宝贼掉落!$B$64:$B$67,0))</f>
        <v>16674.82200426298</v>
      </c>
      <c r="AI36" s="17">
        <f>$AG36*INDEX(盗宝贼掉落!$D$64:$D$67,MATCH(AI$16,盗宝贼掉落!$B$64:$B$67,0))*INDEX(盗宝贼掉落!$G$64:$G$67,MATCH(AI$16,盗宝贼掉落!$B$64:$B$67,0))</f>
        <v>4446.6192011367948</v>
      </c>
      <c r="AJ36" s="17">
        <f>$AG36*INDEX(盗宝贼掉落!$D$64:$D$67,MATCH(AJ$16,盗宝贼掉落!$B$64:$B$67,0))*INDEX(盗宝贼掉落!$G$64:$G$67,MATCH(AJ$16,盗宝贼掉落!$B$64:$B$67,0))</f>
        <v>1111.6548002841985</v>
      </c>
      <c r="AK36" s="17">
        <f>$AG36*INDEX(盗宝贼掉落!$D$64:$D$67,MATCH(AK$16,盗宝贼掉落!$B$64:$B$67,0))*INDEX(盗宝贼掉落!$G$64:$G$67,MATCH(AK$16,盗宝贼掉落!$B$64:$B$67,0))</f>
        <v>0</v>
      </c>
      <c r="AL36" s="17">
        <f t="shared" si="12"/>
        <v>61748.294525340083</v>
      </c>
      <c r="AM36" s="17">
        <f t="shared" si="13"/>
        <v>15255.815075688921</v>
      </c>
      <c r="AN36" s="17">
        <f t="shared" si="14"/>
        <v>2867.6217842422707</v>
      </c>
      <c r="AO36" s="17">
        <f t="shared" si="15"/>
        <v>585.32232798602388</v>
      </c>
      <c r="AP36" s="84">
        <f>IFERROR(MAX(MIN(求节点(宝物升星!D$67:D$72,宝物升星!$C$67:$C$72,AL36/基础状态预期!C$8),宝物升星!D$14),AP35),AP35)</f>
        <v>0</v>
      </c>
      <c r="AQ36" s="84">
        <f>IFERROR(MAX(MIN(求节点(宝物升星!E$67:E$72,宝物升星!$C$67:$C$72,AM36/基础状态预期!D$8),宝物升星!E$14),AQ35),AQ35)</f>
        <v>3</v>
      </c>
      <c r="AR36" s="84">
        <f>IFERROR(MAX(MIN(求节点(宝物升星!F$67:F$72,宝物升星!$C$67:$C$72,AN36/基础状态预期!E$8),宝物升星!F$14),AR35),AR35)</f>
        <v>5</v>
      </c>
      <c r="AS36" s="54">
        <f>IFERROR(MAX(MIN(求节点(宝物升星!G$67:G$72,宝物升星!$C$67:$C$72,AO36/MAX(基础状态预期!L36,基础状态预期!L35)),宝物升星!G$14),AS35),AS35)</f>
        <v>5</v>
      </c>
      <c r="AT36" s="37">
        <f t="shared" si="16"/>
        <v>80457.053713257308</v>
      </c>
      <c r="AV36" s="38">
        <f t="shared" si="6"/>
        <v>0.47395829511195747</v>
      </c>
      <c r="AW36" s="38">
        <f t="shared" si="17"/>
        <v>0.27004506168862713</v>
      </c>
      <c r="AX36" s="38">
        <f t="shared" si="18"/>
        <v>0.25599664319941534</v>
      </c>
      <c r="AY36" s="38">
        <f t="shared" si="7"/>
        <v>0.63945269949202421</v>
      </c>
      <c r="AZ36" s="38">
        <f t="shared" si="19"/>
        <v>0.29147044448793535</v>
      </c>
      <c r="BA36" s="38">
        <f t="shared" si="20"/>
        <v>6.9076856020040489E-2</v>
      </c>
      <c r="BB36" s="38">
        <f t="shared" si="8"/>
        <v>0.61234260166637078</v>
      </c>
      <c r="BC36" s="38">
        <f t="shared" si="21"/>
        <v>0.38765739833362922</v>
      </c>
      <c r="BD36" s="38">
        <f t="shared" si="22"/>
        <v>0</v>
      </c>
      <c r="BE36" s="38">
        <f t="shared" si="9"/>
        <v>1</v>
      </c>
      <c r="BF36" s="38">
        <f t="shared" si="23"/>
        <v>0</v>
      </c>
      <c r="BG36" s="38">
        <f t="shared" si="24"/>
        <v>0</v>
      </c>
      <c r="BJ36" s="16">
        <v>15980.037754085351</v>
      </c>
      <c r="BK36" s="16">
        <v>6947.8425017762411</v>
      </c>
      <c r="BL36" s="16">
        <v>463.18950011841611</v>
      </c>
      <c r="BM36" s="16">
        <v>162.11632504144563</v>
      </c>
      <c r="BN36" s="16">
        <v>34091.107461339518</v>
      </c>
      <c r="BO36" s="16">
        <v>8769.5707717207242</v>
      </c>
      <c r="BP36" s="16">
        <v>601.41231524711213</v>
      </c>
      <c r="BQ36" s="16">
        <v>208.19059675101099</v>
      </c>
      <c r="BR36" s="16">
        <v>0</v>
      </c>
      <c r="BS36" s="16">
        <v>3</v>
      </c>
      <c r="BT36" s="16">
        <v>5</v>
      </c>
      <c r="BU36" s="16">
        <v>5</v>
      </c>
      <c r="BV36" s="37"/>
      <c r="BW36" s="37"/>
      <c r="BX36" s="37"/>
      <c r="BY36" s="37"/>
      <c r="BZ36" s="37"/>
    </row>
    <row r="37" spans="14:78">
      <c r="N37" s="16">
        <v>23</v>
      </c>
      <c r="O37" s="17">
        <v>160</v>
      </c>
      <c r="P37" s="17">
        <f>求节点(节奏总纲!$O$4:$O$163,节奏总纲!P$4:P$163,O37)</f>
        <v>65535</v>
      </c>
      <c r="Q37" s="17">
        <f>INDEX(其他调用!$C$4:$C$163,$O37)*$P$10</f>
        <v>35883256.61129427</v>
      </c>
      <c r="R37" s="50">
        <v>1</v>
      </c>
      <c r="S37" s="17">
        <f t="shared" si="0"/>
        <v>0.375</v>
      </c>
      <c r="T37" s="17">
        <f t="shared" si="1"/>
        <v>0.125</v>
      </c>
      <c r="U37" s="17">
        <f t="shared" si="2"/>
        <v>2.2500000000000003E-2</v>
      </c>
      <c r="V37" s="17">
        <f t="shared" si="3"/>
        <v>7.4999999999999997E-3</v>
      </c>
      <c r="W37" s="17">
        <f t="shared" si="10"/>
        <v>10129074.179909214</v>
      </c>
      <c r="X37" s="17">
        <f t="shared" si="25"/>
        <v>40776.427967379852</v>
      </c>
      <c r="Y37" s="17">
        <f t="shared" si="26"/>
        <v>13592.142655793285</v>
      </c>
      <c r="Z37" s="17">
        <f t="shared" si="27"/>
        <v>2446.5856780427912</v>
      </c>
      <c r="AA37" s="17">
        <f t="shared" si="28"/>
        <v>815.52855934759691</v>
      </c>
      <c r="AB37" s="17">
        <f>求节点(盗宝贼掉落!$CV$5:$CV$164,盗宝贼掉落!$DC$5:$DC$164,$O37)</f>
        <v>29817.900593641858</v>
      </c>
      <c r="AC37" s="17">
        <f>$AB37*INDEX(盗宝贼掉落!$D$64:$D$67,MATCH(AC$16,盗宝贼掉落!$B$64:$B$67,0))*INDEX(盗宝贼掉落!$F$64:$F$67,MATCH(AC$16,盗宝贼掉落!$B$64:$B$67,0))</f>
        <v>22363.425445231394</v>
      </c>
      <c r="AD37" s="17">
        <f>$AB37*INDEX(盗宝贼掉落!$D$64:$D$67,MATCH(AD$16,盗宝贼掉落!$B$64:$B$67,0))*INDEX(盗宝贼掉落!$F$64:$F$67,MATCH(AD$16,盗宝贼掉落!$B$64:$B$67,0))</f>
        <v>1490.8950296820931</v>
      </c>
      <c r="AE37" s="17">
        <f>$AB37*INDEX(盗宝贼掉落!$D$64:$D$67,MATCH(AE$16,盗宝贼掉落!$B$64:$B$67,0))*INDEX(盗宝贼掉落!$F$64:$F$67,MATCH(AE$16,盗宝贼掉落!$B$64:$B$67,0))</f>
        <v>0</v>
      </c>
      <c r="AF37" s="17">
        <f>$AB37*INDEX(盗宝贼掉落!$D$64:$D$67,MATCH(AF$16,盗宝贼掉落!$B$64:$B$67,0))*INDEX(盗宝贼掉落!$F$64:$F$67,MATCH(AF$16,盗宝贼掉落!$B$64:$B$67,0))</f>
        <v>0</v>
      </c>
      <c r="AG37" s="17">
        <f>求节点(匈奴铁骑掉落!$J$7:$J$166,匈奴铁骑掉落!K$7:K$166,O37)</f>
        <v>78616.800000000003</v>
      </c>
      <c r="AH37" s="17">
        <f>$AG37*INDEX(盗宝贼掉落!$D$64:$D$67,MATCH(AH$16,盗宝贼掉落!$B$64:$B$67,0))*INDEX(盗宝贼掉落!$G$64:$G$67,MATCH(AH$16,盗宝贼掉落!$B$64:$B$67,0))</f>
        <v>23585.040000000005</v>
      </c>
      <c r="AI37" s="17">
        <f>$AG37*INDEX(盗宝贼掉落!$D$64:$D$67,MATCH(AI$16,盗宝贼掉落!$B$64:$B$67,0))*INDEX(盗宝贼掉落!$G$64:$G$67,MATCH(AI$16,盗宝贼掉落!$B$64:$B$67,0))</f>
        <v>6289.344000000001</v>
      </c>
      <c r="AJ37" s="17">
        <f>$AG37*INDEX(盗宝贼掉落!$D$64:$D$67,MATCH(AJ$16,盗宝贼掉落!$B$64:$B$67,0))*INDEX(盗宝贼掉落!$G$64:$G$67,MATCH(AJ$16,盗宝贼掉落!$B$64:$B$67,0))</f>
        <v>1572.336</v>
      </c>
      <c r="AK37" s="17">
        <f>$AG37*INDEX(盗宝贼掉落!$D$64:$D$67,MATCH(AK$16,盗宝贼掉落!$B$64:$B$67,0))*INDEX(盗宝贼掉落!$G$64:$G$67,MATCH(AK$16,盗宝贼掉落!$B$64:$B$67,0))</f>
        <v>0</v>
      </c>
      <c r="AL37" s="17">
        <f t="shared" si="12"/>
        <v>86724.893412611258</v>
      </c>
      <c r="AM37" s="17">
        <f t="shared" si="13"/>
        <v>21372.381685475379</v>
      </c>
      <c r="AN37" s="17">
        <f t="shared" si="14"/>
        <v>4018.9216780427914</v>
      </c>
      <c r="AO37" s="17">
        <f t="shared" si="15"/>
        <v>815.52855934759691</v>
      </c>
      <c r="AP37" s="84">
        <f>IFERROR(MAX(MIN(求节点(宝物升星!D$67:D$72,宝物升星!$C$67:$C$72,AL37/基础状态预期!C$8),宝物升星!D$14),AP36),AP36)</f>
        <v>0</v>
      </c>
      <c r="AQ37" s="84">
        <f>IFERROR(MAX(MIN(求节点(宝物升星!E$67:E$72,宝物升星!$C$67:$C$72,AM37/基础状态预期!D$8),宝物升星!E$14),AQ36),AQ36)</f>
        <v>3</v>
      </c>
      <c r="AR37" s="84">
        <f>IFERROR(MAX(MIN(求节点(宝物升星!F$67:F$72,宝物升星!$C$67:$C$72,AN37/基础状态预期!E$8),宝物升星!F$14),AR36),AR36)</f>
        <v>5</v>
      </c>
      <c r="AS37" s="54">
        <f>IFERROR(MAX(MIN(求节点(宝物升星!G$67:G$72,宝物升星!$C$67:$C$72,AO37/MAX(基础状态预期!L37,基础状态预期!L36)),宝物升星!G$14),AS36),AS36)</f>
        <v>5</v>
      </c>
      <c r="AT37" s="37">
        <f t="shared" si="16"/>
        <v>112931.72533547704</v>
      </c>
      <c r="AV37" s="38">
        <f t="shared" si="6"/>
        <v>0.47018135581185128</v>
      </c>
      <c r="AW37" s="38">
        <f t="shared" si="17"/>
        <v>0.27195236652283211</v>
      </c>
      <c r="AX37" s="38">
        <f t="shared" si="18"/>
        <v>0.2578662776653165</v>
      </c>
      <c r="AY37" s="38">
        <f t="shared" si="7"/>
        <v>0.63596761726515827</v>
      </c>
      <c r="AZ37" s="38">
        <f t="shared" si="19"/>
        <v>0.29427436270587592</v>
      </c>
      <c r="BA37" s="38">
        <f t="shared" si="20"/>
        <v>6.9758020028965792E-2</v>
      </c>
      <c r="BB37" s="38">
        <f t="shared" si="8"/>
        <v>0.60876669764668678</v>
      </c>
      <c r="BC37" s="38">
        <f t="shared" si="21"/>
        <v>0.39123330235331316</v>
      </c>
      <c r="BD37" s="38">
        <f t="shared" si="22"/>
        <v>0</v>
      </c>
      <c r="BE37" s="38">
        <f t="shared" si="9"/>
        <v>1</v>
      </c>
      <c r="BF37" s="38">
        <f t="shared" si="23"/>
        <v>0</v>
      </c>
      <c r="BG37" s="38">
        <f t="shared" si="24"/>
        <v>0</v>
      </c>
      <c r="BJ37" s="16">
        <v>22602.329999999998</v>
      </c>
      <c r="BK37" s="16">
        <v>9827.1</v>
      </c>
      <c r="BL37" s="16">
        <v>655.14</v>
      </c>
      <c r="BM37" s="16">
        <v>229.29900000000001</v>
      </c>
      <c r="BN37" s="16">
        <v>47403.546238381401</v>
      </c>
      <c r="BO37" s="16">
        <v>12130.591960732098</v>
      </c>
      <c r="BP37" s="16">
        <v>801.40744758900053</v>
      </c>
      <c r="BQ37" s="16">
        <v>278.05481586300016</v>
      </c>
      <c r="BR37" s="16">
        <v>0</v>
      </c>
      <c r="BS37" s="16">
        <v>3</v>
      </c>
      <c r="BT37" s="16">
        <v>5</v>
      </c>
      <c r="BU37" s="16">
        <v>5</v>
      </c>
      <c r="BV37" s="37"/>
      <c r="BW37" s="37"/>
      <c r="BX37" s="37"/>
      <c r="BY37" s="37"/>
      <c r="BZ37" s="37"/>
    </row>
    <row r="38" spans="14:78">
      <c r="N38" s="16">
        <v>24</v>
      </c>
      <c r="AC38" s="16"/>
      <c r="AD38" s="16"/>
      <c r="BX38" s="37" t="str">
        <f t="shared" ref="BX38:BX81" si="29">IF(AU38="","",AR38-AU38)</f>
        <v/>
      </c>
    </row>
    <row r="39" spans="14:78">
      <c r="N39" s="16">
        <v>25</v>
      </c>
      <c r="BX39" s="37" t="str">
        <f t="shared" si="29"/>
        <v/>
      </c>
    </row>
    <row r="40" spans="14:78">
      <c r="N40" s="16">
        <v>26</v>
      </c>
      <c r="BX40" s="37" t="str">
        <f t="shared" si="29"/>
        <v/>
      </c>
    </row>
    <row r="41" spans="14:78" ht="11.25" customHeight="1">
      <c r="N41" s="16">
        <v>1</v>
      </c>
      <c r="O41" s="17" t="s">
        <v>218</v>
      </c>
      <c r="P41" s="186" t="s">
        <v>158</v>
      </c>
      <c r="Q41" s="175" t="s">
        <v>359</v>
      </c>
      <c r="R41" s="175" t="s">
        <v>360</v>
      </c>
      <c r="S41" s="196" t="s">
        <v>363</v>
      </c>
      <c r="T41" s="197"/>
      <c r="U41" s="197"/>
      <c r="V41" s="198"/>
      <c r="W41" s="175" t="s">
        <v>361</v>
      </c>
      <c r="X41" s="183" t="s">
        <v>362</v>
      </c>
      <c r="Y41" s="194"/>
      <c r="Z41" s="194"/>
      <c r="AA41" s="195"/>
      <c r="AB41" s="192" t="s">
        <v>493</v>
      </c>
      <c r="AC41" s="189" t="s">
        <v>340</v>
      </c>
      <c r="AD41" s="190"/>
      <c r="AE41" s="190"/>
      <c r="AF41" s="191"/>
      <c r="AG41" s="192" t="s">
        <v>494</v>
      </c>
      <c r="AH41" s="189" t="s">
        <v>497</v>
      </c>
      <c r="AI41" s="190"/>
      <c r="AJ41" s="190"/>
      <c r="AK41" s="191"/>
      <c r="AL41" s="171" t="s">
        <v>339</v>
      </c>
      <c r="AM41" s="173"/>
      <c r="AN41" s="173"/>
      <c r="AO41" s="172"/>
      <c r="AP41" s="189" t="s">
        <v>245</v>
      </c>
      <c r="AQ41" s="190"/>
      <c r="AR41" s="190"/>
      <c r="AS41" s="191"/>
      <c r="AV41" s="188" t="s">
        <v>1</v>
      </c>
      <c r="AW41" s="188"/>
      <c r="AX41" s="188"/>
      <c r="AY41" s="188" t="s">
        <v>2</v>
      </c>
      <c r="AZ41" s="188"/>
      <c r="BA41" s="188"/>
      <c r="BB41" s="188" t="s">
        <v>0</v>
      </c>
      <c r="BC41" s="188"/>
      <c r="BD41" s="188"/>
      <c r="BE41" s="188" t="s">
        <v>205</v>
      </c>
      <c r="BF41" s="188"/>
      <c r="BG41" s="188"/>
      <c r="BJ41" s="16" t="s">
        <v>552</v>
      </c>
      <c r="BN41" s="16" t="s">
        <v>498</v>
      </c>
      <c r="BR41" s="16" t="s">
        <v>553</v>
      </c>
      <c r="BX41" s="37" t="str">
        <f t="shared" si="29"/>
        <v/>
      </c>
    </row>
    <row r="42" spans="14:78">
      <c r="N42" s="16">
        <v>2</v>
      </c>
      <c r="O42" s="17" t="s">
        <v>161</v>
      </c>
      <c r="P42" s="187"/>
      <c r="Q42" s="177"/>
      <c r="R42" s="177"/>
      <c r="S42" s="54" t="s">
        <v>1</v>
      </c>
      <c r="T42" s="54" t="s">
        <v>2</v>
      </c>
      <c r="U42" s="54" t="s">
        <v>0</v>
      </c>
      <c r="V42" s="54" t="s">
        <v>205</v>
      </c>
      <c r="W42" s="177"/>
      <c r="X42" s="54" t="s">
        <v>1</v>
      </c>
      <c r="Y42" s="54" t="s">
        <v>2</v>
      </c>
      <c r="Z42" s="54" t="s">
        <v>0</v>
      </c>
      <c r="AA42" s="54" t="s">
        <v>205</v>
      </c>
      <c r="AB42" s="193"/>
      <c r="AC42" s="54" t="s">
        <v>1</v>
      </c>
      <c r="AD42" s="54" t="s">
        <v>2</v>
      </c>
      <c r="AE42" s="54" t="s">
        <v>0</v>
      </c>
      <c r="AF42" s="54" t="s">
        <v>205</v>
      </c>
      <c r="AG42" s="193"/>
      <c r="AH42" s="54" t="s">
        <v>1</v>
      </c>
      <c r="AI42" s="54" t="s">
        <v>2</v>
      </c>
      <c r="AJ42" s="54" t="s">
        <v>0</v>
      </c>
      <c r="AK42" s="54" t="s">
        <v>205</v>
      </c>
      <c r="AL42" s="17" t="s">
        <v>1</v>
      </c>
      <c r="AM42" s="17" t="s">
        <v>2</v>
      </c>
      <c r="AN42" s="17" t="s">
        <v>0</v>
      </c>
      <c r="AO42" s="17" t="s">
        <v>205</v>
      </c>
      <c r="AP42" s="54" t="s">
        <v>1</v>
      </c>
      <c r="AQ42" s="54" t="s">
        <v>2</v>
      </c>
      <c r="AR42" s="54" t="s">
        <v>0</v>
      </c>
      <c r="AS42" s="54" t="s">
        <v>205</v>
      </c>
      <c r="AV42" s="38" t="s">
        <v>428</v>
      </c>
      <c r="AW42" s="38" t="s">
        <v>556</v>
      </c>
      <c r="AX42" s="38" t="s">
        <v>429</v>
      </c>
      <c r="AY42" s="38" t="s">
        <v>428</v>
      </c>
      <c r="AZ42" s="38" t="s">
        <v>556</v>
      </c>
      <c r="BA42" s="38" t="s">
        <v>429</v>
      </c>
      <c r="BB42" s="38" t="s">
        <v>428</v>
      </c>
      <c r="BC42" s="38" t="s">
        <v>556</v>
      </c>
      <c r="BD42" s="38" t="s">
        <v>429</v>
      </c>
      <c r="BE42" s="38" t="s">
        <v>428</v>
      </c>
      <c r="BF42" s="38" t="s">
        <v>556</v>
      </c>
      <c r="BG42" s="38" t="s">
        <v>429</v>
      </c>
      <c r="BJ42" s="16" t="s">
        <v>79</v>
      </c>
      <c r="BK42" s="16" t="s">
        <v>80</v>
      </c>
      <c r="BL42" s="16" t="s">
        <v>81</v>
      </c>
      <c r="BM42" s="16" t="s">
        <v>205</v>
      </c>
      <c r="BN42" s="16" t="s">
        <v>79</v>
      </c>
      <c r="BO42" s="16" t="s">
        <v>80</v>
      </c>
      <c r="BP42" s="16" t="s">
        <v>81</v>
      </c>
      <c r="BQ42" s="16" t="s">
        <v>205</v>
      </c>
      <c r="BR42" s="16" t="s">
        <v>79</v>
      </c>
      <c r="BS42" s="16" t="s">
        <v>80</v>
      </c>
      <c r="BT42" s="16" t="s">
        <v>81</v>
      </c>
      <c r="BU42" s="16" t="s">
        <v>205</v>
      </c>
      <c r="BX42" s="37" t="str">
        <f t="shared" si="29"/>
        <v/>
      </c>
    </row>
    <row r="43" spans="14:78">
      <c r="N43" s="16">
        <v>3</v>
      </c>
      <c r="O43" s="17">
        <v>50</v>
      </c>
      <c r="P43" s="17">
        <f>求节点(节奏总纲!$O$4:$O$163,节奏总纲!Q$4:Q$163,O43)</f>
        <v>27.0351</v>
      </c>
      <c r="Q43" s="17">
        <f>INDEX(其他调用!$D$4:$D$163,$O43)*$P$10</f>
        <v>49177.057062087086</v>
      </c>
      <c r="R43" s="50">
        <v>1</v>
      </c>
      <c r="S43" s="17">
        <f t="shared" ref="S43:S63" si="30">E$15*E$16+E$18</f>
        <v>0.375</v>
      </c>
      <c r="T43" s="17">
        <f t="shared" ref="T43:T63" si="31">F$15*F$16+F$18</f>
        <v>0.125</v>
      </c>
      <c r="U43" s="17">
        <f t="shared" ref="U43:U63" si="32">G$15*G$16+G$18</f>
        <v>2.2500000000000003E-2</v>
      </c>
      <c r="V43" s="17">
        <f t="shared" ref="V43:V63" si="33">H$15*H$16+H$18</f>
        <v>7.4999999999999997E-3</v>
      </c>
      <c r="W43" s="51">
        <f>Q43</f>
        <v>49177.057062087086</v>
      </c>
      <c r="X43" s="51">
        <f>$W43/$E$25*S43*$R43</f>
        <v>55.88301938873532</v>
      </c>
      <c r="Y43" s="51">
        <f t="shared" ref="Y43" si="34">$W43/$E$25*T43*$R43</f>
        <v>18.62767312957844</v>
      </c>
      <c r="Z43" s="51">
        <f t="shared" ref="Z43" si="35">$W43/$E$25*U43*$R43</f>
        <v>3.3529811633241198</v>
      </c>
      <c r="AA43" s="51">
        <f t="shared" ref="AA43" si="36">$W43/$E$25*V43*$R43</f>
        <v>1.1176603877747064</v>
      </c>
      <c r="AB43" s="17">
        <f>求节点(盗宝贼掉落!$CV$5:$CV$164,盗宝贼掉落!$DD$5:$DD$164,$O43)</f>
        <v>0</v>
      </c>
      <c r="AC43" s="17">
        <f>$AB43*INDEX(盗宝贼掉落!$D$64:$D$67,MATCH(AC$16,盗宝贼掉落!$B$64:$B$67,0))*INDEX(盗宝贼掉落!$F$64:$F$67,MATCH(AC$16,盗宝贼掉落!$B$64:$B$67,0))</f>
        <v>0</v>
      </c>
      <c r="AD43" s="17">
        <f>$AB43*INDEX(盗宝贼掉落!$D$64:$D$67,MATCH(AD$16,盗宝贼掉落!$B$64:$B$67,0))*INDEX(盗宝贼掉落!$F$64:$F$67,MATCH(AD$16,盗宝贼掉落!$B$64:$B$67,0))</f>
        <v>0</v>
      </c>
      <c r="AE43" s="17">
        <f>$AB43*INDEX(盗宝贼掉落!$D$64:$D$67,MATCH(AE$16,盗宝贼掉落!$B$64:$B$67,0))*INDEX(盗宝贼掉落!$F$64:$F$67,MATCH(AE$16,盗宝贼掉落!$B$64:$B$67,0))</f>
        <v>0</v>
      </c>
      <c r="AF43" s="17">
        <f>$AB43*INDEX(盗宝贼掉落!$D$64:$D$67,MATCH(AF$16,盗宝贼掉落!$B$64:$B$67,0))*INDEX(盗宝贼掉落!$F$64:$F$67,MATCH(AF$16,盗宝贼掉落!$B$64:$B$67,0))</f>
        <v>0</v>
      </c>
      <c r="AG43" s="17">
        <f>求节点(匈奴铁骑掉落!$J$7:$J$166,匈奴铁骑掉落!L$7:L$166,O43)</f>
        <v>10.842120000000001</v>
      </c>
      <c r="AH43" s="17">
        <f>$AG43*INDEX(盗宝贼掉落!$D$64:$D$67,MATCH(AH$16,盗宝贼掉落!$B$64:$B$67,0))*INDEX(盗宝贼掉落!$G$64:$G$67,MATCH(AH$16,盗宝贼掉落!$B$64:$B$67,0))</f>
        <v>3.2526360000000007</v>
      </c>
      <c r="AI43" s="17">
        <f>$AG43*INDEX(盗宝贼掉落!$D$64:$D$67,MATCH(AI$16,盗宝贼掉落!$B$64:$B$67,0))*INDEX(盗宝贼掉落!$G$64:$G$67,MATCH(AI$16,盗宝贼掉落!$B$64:$B$67,0))</f>
        <v>0.86736960000000018</v>
      </c>
      <c r="AJ43" s="17">
        <f>$AG43*INDEX(盗宝贼掉落!$D$64:$D$67,MATCH(AJ$16,盗宝贼掉落!$B$64:$B$67,0))*INDEX(盗宝贼掉落!$G$64:$G$67,MATCH(AJ$16,盗宝贼掉落!$B$64:$B$67,0))</f>
        <v>0.21684240000000002</v>
      </c>
      <c r="AK43" s="17">
        <f>$AG43*INDEX(盗宝贼掉落!$D$64:$D$67,MATCH(AK$16,盗宝贼掉落!$B$64:$B$67,0))*INDEX(盗宝贼掉落!$G$64:$G$67,MATCH(AK$16,盗宝贼掉落!$B$64:$B$67,0))</f>
        <v>0</v>
      </c>
      <c r="AL43" s="17">
        <f>X43+AC43+AH43</f>
        <v>59.135655388735323</v>
      </c>
      <c r="AM43" s="17">
        <f t="shared" ref="AM43:AM63" si="37">Y43+AD43+AI43</f>
        <v>19.49504272957844</v>
      </c>
      <c r="AN43" s="17">
        <f t="shared" ref="AN43:AN63" si="38">Z43+AE43+AJ43</f>
        <v>3.5698235633241198</v>
      </c>
      <c r="AO43" s="17">
        <f t="shared" ref="AO43:AO63" si="39">AA43+AF43+AK43</f>
        <v>1.1176603877747064</v>
      </c>
      <c r="AP43" s="85">
        <f>IFERROR(IF(基础状态预期!I43=0,0,MIN(求节点(宝物升星!D$67:D$72,宝物升星!$C$67:$C$72,AL43/基础状态预期!C$8),宝物升星!D$14)),0)</f>
        <v>0</v>
      </c>
      <c r="AQ43" s="85">
        <f>IFERROR(IF(基础状态预期!J43=0,0,MIN(求节点(宝物升星!E$67:E$72,宝物升星!$C$67:$C$72,AM43/基础状态预期!D$8),宝物升星!E$14)),0)</f>
        <v>0</v>
      </c>
      <c r="AR43" s="78">
        <f>IFERROR(MIN(求节点(宝物升星!F$67:F$72,宝物升星!$C$67:$C$72,AN43/基础状态预期!K43),宝物升星!F$14),0)</f>
        <v>0</v>
      </c>
      <c r="AS43" s="78">
        <f>IFERROR(MIN(求节点(宝物升星!G$67:G$72,宝物升星!$C$67:$C$72,AO43/基础状态预期!L43),宝物升星!G$14),0)</f>
        <v>0</v>
      </c>
      <c r="AV43" s="38">
        <f t="shared" ref="AV43:AV63" si="40">X43/AL43</f>
        <v>0.94499704148675767</v>
      </c>
      <c r="AW43" s="38">
        <f>AH43/AL43</f>
        <v>5.5002958513242273E-2</v>
      </c>
      <c r="AX43" s="38">
        <f>AC43/AL43</f>
        <v>0</v>
      </c>
      <c r="AY43" s="38">
        <f t="shared" ref="AY43:AY63" si="41">Y43/AM43</f>
        <v>0.95550819703082768</v>
      </c>
      <c r="AZ43" s="38">
        <f>AI43/AM43</f>
        <v>4.4491802969172364E-2</v>
      </c>
      <c r="BA43" s="38">
        <f>AD43/AM43</f>
        <v>0</v>
      </c>
      <c r="BB43" s="38">
        <f t="shared" ref="BB43:BB63" si="42">Z43/AN43</f>
        <v>0.93925682988150749</v>
      </c>
      <c r="BC43" s="38">
        <f>AJ43/AN43</f>
        <v>6.0743170118492479E-2</v>
      </c>
      <c r="BD43" s="38">
        <f>AE43/AN43</f>
        <v>0</v>
      </c>
      <c r="BE43" s="38">
        <f t="shared" ref="BE43:BE63" si="43">AA43/AO43</f>
        <v>1</v>
      </c>
      <c r="BF43" s="38">
        <f>AK43/AO43</f>
        <v>0</v>
      </c>
      <c r="BG43" s="38">
        <f>AF43/AO43</f>
        <v>0</v>
      </c>
      <c r="BJ43" s="16">
        <v>3.1171094999999998</v>
      </c>
      <c r="BK43" s="16">
        <v>1.3552650000000002</v>
      </c>
      <c r="BL43" s="16">
        <v>9.0351000000000001E-2</v>
      </c>
      <c r="BM43" s="16">
        <v>3.1622850000000001E-2</v>
      </c>
      <c r="BN43" s="16">
        <v>58.982431757325202</v>
      </c>
      <c r="BO43" s="16">
        <v>19.977039085775068</v>
      </c>
      <c r="BP43" s="16">
        <v>3.4422703354395128</v>
      </c>
      <c r="BQ43" s="16">
        <v>1.148929295146504</v>
      </c>
      <c r="BR43" s="16">
        <v>0</v>
      </c>
      <c r="BS43" s="16">
        <v>0</v>
      </c>
      <c r="BT43" s="16">
        <v>0</v>
      </c>
      <c r="BU43" s="16">
        <v>0</v>
      </c>
      <c r="BX43" s="37" t="str">
        <f t="shared" si="29"/>
        <v/>
      </c>
    </row>
    <row r="44" spans="14:78">
      <c r="N44" s="16">
        <v>4</v>
      </c>
      <c r="O44" s="17">
        <v>60</v>
      </c>
      <c r="P44" s="17">
        <f>求节点(节奏总纲!$O$4:$O$163,节奏总纲!Q$4:Q$163,O44)</f>
        <v>54.589500000000001</v>
      </c>
      <c r="Q44" s="17">
        <f>INDEX(其他调用!$D$4:$D$163,$O44)*$P$10</f>
        <v>94149.711058311499</v>
      </c>
      <c r="R44" s="50">
        <v>1</v>
      </c>
      <c r="S44" s="17">
        <f t="shared" si="30"/>
        <v>0.375</v>
      </c>
      <c r="T44" s="17">
        <f t="shared" si="31"/>
        <v>0.125</v>
      </c>
      <c r="U44" s="17">
        <f t="shared" si="32"/>
        <v>2.2500000000000003E-2</v>
      </c>
      <c r="V44" s="17">
        <f t="shared" si="33"/>
        <v>7.4999999999999997E-3</v>
      </c>
      <c r="W44" s="17">
        <f t="shared" ref="W44:W63" si="44">Q44-Q43</f>
        <v>44972.653996224413</v>
      </c>
      <c r="X44" s="17">
        <f>$W44/$E$25*S44*$R44+X43</f>
        <v>106.98830802080852</v>
      </c>
      <c r="Y44" s="17">
        <f t="shared" ref="Y44:Y63" si="45">$W44/$E$25*T44*$R44+Y43</f>
        <v>35.662769340269506</v>
      </c>
      <c r="Z44" s="17">
        <f t="shared" ref="Z44:Z63" si="46">$W44/$E$25*U44*$R44+Z43</f>
        <v>6.4192984812485125</v>
      </c>
      <c r="AA44" s="17">
        <f t="shared" ref="AA44:AA63" si="47">$W44/$E$25*V44*$R44+AA43</f>
        <v>2.1397661604161704</v>
      </c>
      <c r="AB44" s="17">
        <f>求节点(盗宝贼掉落!$CV$5:$CV$164,盗宝贼掉落!$DD$5:$DD$164,$O44)</f>
        <v>4.7290001686298773</v>
      </c>
      <c r="AC44" s="17">
        <f>$AB44*INDEX(盗宝贼掉落!$D$64:$D$67,MATCH(AC$16,盗宝贼掉落!$B$64:$B$67,0))*INDEX(盗宝贼掉落!$F$64:$F$67,MATCH(AC$16,盗宝贼掉落!$B$64:$B$67,0))</f>
        <v>3.5467501264724079</v>
      </c>
      <c r="AD44" s="17">
        <f>$AB44*INDEX(盗宝贼掉落!$D$64:$D$67,MATCH(AD$16,盗宝贼掉落!$B$64:$B$67,0))*INDEX(盗宝贼掉落!$F$64:$F$67,MATCH(AD$16,盗宝贼掉落!$B$64:$B$67,0))</f>
        <v>0.23645000843149389</v>
      </c>
      <c r="AE44" s="17">
        <f>$AB44*INDEX(盗宝贼掉落!$D$64:$D$67,MATCH(AE$16,盗宝贼掉落!$B$64:$B$67,0))*INDEX(盗宝贼掉落!$F$64:$F$67,MATCH(AE$16,盗宝贼掉落!$B$64:$B$67,0))</f>
        <v>0</v>
      </c>
      <c r="AF44" s="17">
        <f>$AB44*INDEX(盗宝贼掉落!$D$64:$D$67,MATCH(AF$16,盗宝贼掉落!$B$64:$B$67,0))*INDEX(盗宝贼掉落!$F$64:$F$67,MATCH(AF$16,盗宝贼掉落!$B$64:$B$67,0))</f>
        <v>0</v>
      </c>
      <c r="AG44" s="17">
        <f>求节点(匈奴铁骑掉落!$J$7:$J$166,匈奴铁骑掉落!L$7:L$166,O44)</f>
        <v>43.907400000000003</v>
      </c>
      <c r="AH44" s="17">
        <f>$AG44*INDEX(盗宝贼掉落!$D$64:$D$67,MATCH(AH$16,盗宝贼掉落!$B$64:$B$67,0))*INDEX(盗宝贼掉落!$G$64:$G$67,MATCH(AH$16,盗宝贼掉落!$B$64:$B$67,0))</f>
        <v>13.172220000000003</v>
      </c>
      <c r="AI44" s="17">
        <f>$AG44*INDEX(盗宝贼掉落!$D$64:$D$67,MATCH(AI$16,盗宝贼掉落!$B$64:$B$67,0))*INDEX(盗宝贼掉落!$G$64:$G$67,MATCH(AI$16,盗宝贼掉落!$B$64:$B$67,0))</f>
        <v>3.5125920000000002</v>
      </c>
      <c r="AJ44" s="17">
        <f>$AG44*INDEX(盗宝贼掉落!$D$64:$D$67,MATCH(AJ$16,盗宝贼掉落!$B$64:$B$67,0))*INDEX(盗宝贼掉落!$G$64:$G$67,MATCH(AJ$16,盗宝贼掉落!$B$64:$B$67,0))</f>
        <v>0.87814800000000004</v>
      </c>
      <c r="AK44" s="17">
        <f>$AG44*INDEX(盗宝贼掉落!$D$64:$D$67,MATCH(AK$16,盗宝贼掉落!$B$64:$B$67,0))*INDEX(盗宝贼掉落!$G$64:$G$67,MATCH(AK$16,盗宝贼掉落!$B$64:$B$67,0))</f>
        <v>0</v>
      </c>
      <c r="AL44" s="17">
        <f t="shared" ref="AL44:AL63" si="48">X44+AC44+AH44</f>
        <v>123.70727814728093</v>
      </c>
      <c r="AM44" s="17">
        <f t="shared" si="37"/>
        <v>39.411811348701001</v>
      </c>
      <c r="AN44" s="17">
        <f t="shared" si="38"/>
        <v>7.2974464812485129</v>
      </c>
      <c r="AO44" s="17">
        <f t="shared" si="39"/>
        <v>2.1397661604161704</v>
      </c>
      <c r="AP44" s="84">
        <f>IFERROR(MAX(MIN(求节点(宝物升星!D$67:D$72,宝物升星!$C$67:$C$72,AL44/基础状态预期!C$8),宝物升星!D$14),AP43),AP43)</f>
        <v>0</v>
      </c>
      <c r="AQ44" s="84">
        <f>IFERROR(MAX(MIN(求节点(宝物升星!E$67:E$72,宝物升星!$C$67:$C$72,AM44/基础状态预期!D$8),宝物升星!E$14),AQ43),AQ43)</f>
        <v>3</v>
      </c>
      <c r="AR44" s="84">
        <f>IFERROR(MAX(MIN(求节点(宝物升星!F$67:F$72,宝物升星!$C$67:$C$72,AN44/基础状态预期!E$8),宝物升星!F$14),AR43),AR43)</f>
        <v>0</v>
      </c>
      <c r="AS44" s="54">
        <f>IFERROR(MAX(MIN(求节点(宝物升星!G$67:G$72,宝物升星!$C$67:$C$72,AO44/MAX(基础状态预期!L44,基础状态预期!L43)),宝物升星!G$14),AS43),AS43)</f>
        <v>0</v>
      </c>
      <c r="AV44" s="38">
        <f t="shared" si="40"/>
        <v>0.8648505538488408</v>
      </c>
      <c r="AW44" s="38">
        <f t="shared" ref="AW44:AW63" si="49">AH44/AL44</f>
        <v>0.10647894123349545</v>
      </c>
      <c r="AX44" s="38">
        <f t="shared" ref="AX44:AX63" si="50">AC44/AL44</f>
        <v>2.8670504917663691E-2</v>
      </c>
      <c r="AY44" s="38">
        <f t="shared" si="41"/>
        <v>0.90487516609522534</v>
      </c>
      <c r="AZ44" s="38">
        <f t="shared" ref="AZ44:AZ63" si="51">AI44/AM44</f>
        <v>8.9125363179121522E-2</v>
      </c>
      <c r="BA44" s="38">
        <f t="shared" ref="BA44:BA63" si="52">AD44/AM44</f>
        <v>5.9994707256530904E-3</v>
      </c>
      <c r="BB44" s="38">
        <f t="shared" si="42"/>
        <v>0.87966366012323827</v>
      </c>
      <c r="BC44" s="38">
        <f t="shared" ref="BC44:BC63" si="53">AJ44/AN44</f>
        <v>0.12033633987676173</v>
      </c>
      <c r="BD44" s="38">
        <f t="shared" ref="BD44:BD63" si="54">AE44/AN44</f>
        <v>0</v>
      </c>
      <c r="BE44" s="38">
        <f t="shared" si="43"/>
        <v>1</v>
      </c>
      <c r="BF44" s="38">
        <f t="shared" ref="BF44:BF63" si="55">AK44/AO44</f>
        <v>0</v>
      </c>
      <c r="BG44" s="38">
        <f t="shared" ref="BG44:BG63" si="56">AF44/AO44</f>
        <v>0</v>
      </c>
      <c r="BJ44" s="16">
        <v>12.6233775</v>
      </c>
      <c r="BK44" s="16">
        <v>5.4884250000000003</v>
      </c>
      <c r="BL44" s="16">
        <v>0.36589500000000003</v>
      </c>
      <c r="BM44" s="16">
        <v>0.12806325000000002</v>
      </c>
      <c r="BN44" s="16">
        <v>124.67154841380176</v>
      </c>
      <c r="BO44" s="16">
        <v>41.474180306099939</v>
      </c>
      <c r="BP44" s="16">
        <v>6.7819673801654599</v>
      </c>
      <c r="BQ44" s="16">
        <v>2.2667540433884859</v>
      </c>
      <c r="BR44" s="16">
        <v>0</v>
      </c>
      <c r="BS44" s="16">
        <v>3</v>
      </c>
      <c r="BT44" s="16">
        <v>0.77104256334794541</v>
      </c>
      <c r="BU44" s="16">
        <v>4.4281253528168474E-2</v>
      </c>
      <c r="BX44" s="37" t="str">
        <f t="shared" si="29"/>
        <v/>
      </c>
    </row>
    <row r="45" spans="14:78">
      <c r="N45" s="16">
        <v>5</v>
      </c>
      <c r="O45" s="17">
        <v>70</v>
      </c>
      <c r="P45" s="17">
        <f>求节点(节奏总纲!$O$4:$O$163,节奏总纲!Q$4:Q$163,O45)</f>
        <v>109.9693</v>
      </c>
      <c r="Q45" s="17">
        <f>INDEX(其他调用!$D$4:$D$163,$O45)*$P$10</f>
        <v>177971.37236752198</v>
      </c>
      <c r="R45" s="50">
        <v>1</v>
      </c>
      <c r="S45" s="17">
        <f t="shared" si="30"/>
        <v>0.375</v>
      </c>
      <c r="T45" s="17">
        <f t="shared" si="31"/>
        <v>0.125</v>
      </c>
      <c r="U45" s="17">
        <f t="shared" si="32"/>
        <v>2.2500000000000003E-2</v>
      </c>
      <c r="V45" s="17">
        <f t="shared" si="33"/>
        <v>7.4999999999999997E-3</v>
      </c>
      <c r="W45" s="17">
        <f t="shared" si="44"/>
        <v>83821.661309210482</v>
      </c>
      <c r="X45" s="17">
        <f t="shared" ref="X45:X63" si="57">$W45/$E$25*S45*$R45+X44</f>
        <v>202.24019587218407</v>
      </c>
      <c r="Y45" s="17">
        <f t="shared" si="45"/>
        <v>67.413398624061358</v>
      </c>
      <c r="Z45" s="17">
        <f t="shared" si="46"/>
        <v>12.134411752331047</v>
      </c>
      <c r="AA45" s="17">
        <f t="shared" si="47"/>
        <v>4.044803917443681</v>
      </c>
      <c r="AB45" s="17">
        <f>求节点(盗宝贼掉落!$CV$5:$CV$164,盗宝贼掉落!$DD$5:$DD$164,$O45)</f>
        <v>41.462421508629873</v>
      </c>
      <c r="AC45" s="17">
        <f>$AB45*INDEX(盗宝贼掉落!$D$64:$D$67,MATCH(AC$16,盗宝贼掉落!$B$64:$B$67,0))*INDEX(盗宝贼掉落!$F$64:$F$67,MATCH(AC$16,盗宝贼掉落!$B$64:$B$67,0))</f>
        <v>31.096816131472405</v>
      </c>
      <c r="AD45" s="17">
        <f>$AB45*INDEX(盗宝贼掉落!$D$64:$D$67,MATCH(AD$16,盗宝贼掉落!$B$64:$B$67,0))*INDEX(盗宝贼掉落!$F$64:$F$67,MATCH(AD$16,盗宝贼掉落!$B$64:$B$67,0))</f>
        <v>2.0731210754314939</v>
      </c>
      <c r="AE45" s="17">
        <f>$AB45*INDEX(盗宝贼掉落!$D$64:$D$67,MATCH(AE$16,盗宝贼掉落!$B$64:$B$67,0))*INDEX(盗宝贼掉落!$F$64:$F$67,MATCH(AE$16,盗宝贼掉落!$B$64:$B$67,0))</f>
        <v>0</v>
      </c>
      <c r="AF45" s="17">
        <f>$AB45*INDEX(盗宝贼掉落!$D$64:$D$67,MATCH(AF$16,盗宝贼掉落!$B$64:$B$67,0))*INDEX(盗宝贼掉落!$F$64:$F$67,MATCH(AF$16,盗宝贼掉落!$B$64:$B$67,0))</f>
        <v>0</v>
      </c>
      <c r="AG45" s="17">
        <f>求节点(匈奴铁骑掉落!$J$7:$J$166,匈奴铁骑掉落!L$7:L$166,O45)</f>
        <v>110.36316000000002</v>
      </c>
      <c r="AH45" s="17">
        <f>$AG45*INDEX(盗宝贼掉落!$D$64:$D$67,MATCH(AH$16,盗宝贼掉落!$B$64:$B$67,0))*INDEX(盗宝贼掉落!$G$64:$G$67,MATCH(AH$16,盗宝贼掉落!$B$64:$B$67,0))</f>
        <v>33.108948000000012</v>
      </c>
      <c r="AI45" s="17">
        <f>$AG45*INDEX(盗宝贼掉落!$D$64:$D$67,MATCH(AI$16,盗宝贼掉落!$B$64:$B$67,0))*INDEX(盗宝贼掉落!$G$64:$G$67,MATCH(AI$16,盗宝贼掉落!$B$64:$B$67,0))</f>
        <v>8.829052800000003</v>
      </c>
      <c r="AJ45" s="17">
        <f>$AG45*INDEX(盗宝贼掉落!$D$64:$D$67,MATCH(AJ$16,盗宝贼掉落!$B$64:$B$67,0))*INDEX(盗宝贼掉落!$G$64:$G$67,MATCH(AJ$16,盗宝贼掉落!$B$64:$B$67,0))</f>
        <v>2.2072632000000003</v>
      </c>
      <c r="AK45" s="17">
        <f>$AG45*INDEX(盗宝贼掉落!$D$64:$D$67,MATCH(AK$16,盗宝贼掉落!$B$64:$B$67,0))*INDEX(盗宝贼掉落!$G$64:$G$67,MATCH(AK$16,盗宝贼掉落!$B$64:$B$67,0))</f>
        <v>0</v>
      </c>
      <c r="AL45" s="17">
        <f t="shared" si="48"/>
        <v>266.44596000365647</v>
      </c>
      <c r="AM45" s="17">
        <f t="shared" si="37"/>
        <v>78.315572499492845</v>
      </c>
      <c r="AN45" s="17">
        <f t="shared" si="38"/>
        <v>14.341674952331047</v>
      </c>
      <c r="AO45" s="17">
        <f t="shared" si="39"/>
        <v>4.044803917443681</v>
      </c>
      <c r="AP45" s="84">
        <f>IFERROR(MAX(MIN(求节点(宝物升星!D$67:D$72,宝物升星!$C$67:$C$72,AL45/基础状态预期!C$8),宝物升星!D$14),AP44),AP44)</f>
        <v>0</v>
      </c>
      <c r="AQ45" s="84">
        <f>IFERROR(MAX(MIN(求节点(宝物升星!E$67:E$72,宝物升星!$C$67:$C$72,AM45/基础状态预期!D$8),宝物升星!E$14),AQ44),AQ44)</f>
        <v>3</v>
      </c>
      <c r="AR45" s="84">
        <f>IFERROR(MAX(MIN(求节点(宝物升星!F$67:F$72,宝物升星!$C$67:$C$72,AN45/基础状态预期!E$8),宝物升星!F$14),AR44),AR44)</f>
        <v>0.7927093690413809</v>
      </c>
      <c r="AS45" s="54">
        <f>IFERROR(MAX(MIN(求节点(宝物升星!G$67:G$72,宝物升星!$C$67:$C$72,AO45/MAX(基础状态预期!L45,基础状态预期!L44)),宝物升星!G$14),AS44),AS44)</f>
        <v>0</v>
      </c>
      <c r="AV45" s="38">
        <f t="shared" si="40"/>
        <v>0.75902894481645999</v>
      </c>
      <c r="AW45" s="38">
        <f t="shared" si="49"/>
        <v>0.12426139994596148</v>
      </c>
      <c r="AX45" s="38">
        <f t="shared" si="50"/>
        <v>0.11670965523757861</v>
      </c>
      <c r="AY45" s="38">
        <f t="shared" si="41"/>
        <v>0.86079174897812194</v>
      </c>
      <c r="AZ45" s="38">
        <f t="shared" si="51"/>
        <v>0.112736873628258</v>
      </c>
      <c r="BA45" s="38">
        <f t="shared" si="52"/>
        <v>2.6471377393620137E-2</v>
      </c>
      <c r="BB45" s="38">
        <f t="shared" si="42"/>
        <v>0.84609446195534932</v>
      </c>
      <c r="BC45" s="38">
        <f t="shared" si="53"/>
        <v>0.15390553804465074</v>
      </c>
      <c r="BD45" s="38">
        <f t="shared" si="54"/>
        <v>0</v>
      </c>
      <c r="BE45" s="38">
        <f t="shared" si="43"/>
        <v>1</v>
      </c>
      <c r="BF45" s="38">
        <f t="shared" si="55"/>
        <v>0</v>
      </c>
      <c r="BG45" s="38">
        <f t="shared" si="56"/>
        <v>0</v>
      </c>
      <c r="BJ45" s="16">
        <v>31.729408500000002</v>
      </c>
      <c r="BK45" s="16">
        <v>13.795395000000003</v>
      </c>
      <c r="BL45" s="16">
        <v>0.9196930000000002</v>
      </c>
      <c r="BM45" s="16">
        <v>0.32189255000000011</v>
      </c>
      <c r="BN45" s="16">
        <v>266.50940049464322</v>
      </c>
      <c r="BO45" s="16">
        <v>83.345073065047103</v>
      </c>
      <c r="BP45" s="16">
        <v>13.04667068471595</v>
      </c>
      <c r="BQ45" s="16">
        <v>4.3642184449053163</v>
      </c>
      <c r="BR45" s="16">
        <v>0</v>
      </c>
      <c r="BS45" s="16">
        <v>3</v>
      </c>
      <c r="BT45" s="16">
        <v>2.4070068163689853</v>
      </c>
      <c r="BU45" s="16">
        <v>4.4281253528168474E-2</v>
      </c>
      <c r="BX45" s="37" t="str">
        <f t="shared" si="29"/>
        <v/>
      </c>
    </row>
    <row r="46" spans="14:78">
      <c r="N46" s="16">
        <v>6</v>
      </c>
      <c r="O46" s="17">
        <v>75</v>
      </c>
      <c r="P46" s="17">
        <f>求节点(节奏总纲!$O$4:$O$163,节奏总纲!Q$4:Q$163,O46)</f>
        <v>155.75272949314578</v>
      </c>
      <c r="Q46" s="17">
        <f>INDEX(其他调用!$D$4:$D$163,$O46)*$P$10</f>
        <v>237001.72040092075</v>
      </c>
      <c r="R46" s="50">
        <v>1</v>
      </c>
      <c r="S46" s="17">
        <f t="shared" si="30"/>
        <v>0.375</v>
      </c>
      <c r="T46" s="17">
        <f t="shared" si="31"/>
        <v>0.125</v>
      </c>
      <c r="U46" s="17">
        <f t="shared" si="32"/>
        <v>2.2500000000000003E-2</v>
      </c>
      <c r="V46" s="17">
        <f t="shared" si="33"/>
        <v>7.4999999999999997E-3</v>
      </c>
      <c r="W46" s="17">
        <f t="shared" si="44"/>
        <v>59030.348033398768</v>
      </c>
      <c r="X46" s="17">
        <f t="shared" si="57"/>
        <v>269.32013681922814</v>
      </c>
      <c r="Y46" s="17">
        <f t="shared" si="45"/>
        <v>89.773378939742713</v>
      </c>
      <c r="Z46" s="17">
        <f t="shared" si="46"/>
        <v>16.159208209153689</v>
      </c>
      <c r="AA46" s="17">
        <f t="shared" si="47"/>
        <v>5.3864027363845617</v>
      </c>
      <c r="AB46" s="17">
        <f>求节点(盗宝贼掉落!$CV$5:$CV$164,盗宝贼掉落!$DD$5:$DD$164,$O46)</f>
        <v>71.83057029143346</v>
      </c>
      <c r="AC46" s="17">
        <f>$AB46*INDEX(盗宝贼掉落!$D$64:$D$67,MATCH(AC$16,盗宝贼掉落!$B$64:$B$67,0))*INDEX(盗宝贼掉落!$F$64:$F$67,MATCH(AC$16,盗宝贼掉落!$B$64:$B$67,0))</f>
        <v>53.872927718575099</v>
      </c>
      <c r="AD46" s="17">
        <f>$AB46*INDEX(盗宝贼掉落!$D$64:$D$67,MATCH(AD$16,盗宝贼掉落!$B$64:$B$67,0))*INDEX(盗宝贼掉落!$F$64:$F$67,MATCH(AD$16,盗宝贼掉落!$B$64:$B$67,0))</f>
        <v>3.5915285145716731</v>
      </c>
      <c r="AE46" s="17">
        <f>$AB46*INDEX(盗宝贼掉落!$D$64:$D$67,MATCH(AE$16,盗宝贼掉落!$B$64:$B$67,0))*INDEX(盗宝贼掉落!$F$64:$F$67,MATCH(AE$16,盗宝贼掉落!$B$64:$B$67,0))</f>
        <v>0</v>
      </c>
      <c r="AF46" s="17">
        <f>$AB46*INDEX(盗宝贼掉落!$D$64:$D$67,MATCH(AF$16,盗宝贼掉落!$B$64:$B$67,0))*INDEX(盗宝贼掉落!$F$64:$F$67,MATCH(AF$16,盗宝贼掉落!$B$64:$B$67,0))</f>
        <v>0</v>
      </c>
      <c r="AG46" s="17">
        <f>求节点(匈奴铁骑掉落!$J$7:$J$166,匈奴铁骑掉落!L$7:L$166,O46)</f>
        <v>165.30327539177495</v>
      </c>
      <c r="AH46" s="17">
        <f>$AG46*INDEX(盗宝贼掉落!$D$64:$D$67,MATCH(AH$16,盗宝贼掉落!$B$64:$B$67,0))*INDEX(盗宝贼掉落!$G$64:$G$67,MATCH(AH$16,盗宝贼掉落!$B$64:$B$67,0))</f>
        <v>49.590982617532489</v>
      </c>
      <c r="AI46" s="17">
        <f>$AG46*INDEX(盗宝贼掉落!$D$64:$D$67,MATCH(AI$16,盗宝贼掉落!$B$64:$B$67,0))*INDEX(盗宝贼掉落!$G$64:$G$67,MATCH(AI$16,盗宝贼掉落!$B$64:$B$67,0))</f>
        <v>13.224262031341997</v>
      </c>
      <c r="AJ46" s="17">
        <f>$AG46*INDEX(盗宝贼掉落!$D$64:$D$67,MATCH(AJ$16,盗宝贼掉落!$B$64:$B$67,0))*INDEX(盗宝贼掉落!$G$64:$G$67,MATCH(AJ$16,盗宝贼掉落!$B$64:$B$67,0))</f>
        <v>3.3060655078354988</v>
      </c>
      <c r="AK46" s="17">
        <f>$AG46*INDEX(盗宝贼掉落!$D$64:$D$67,MATCH(AK$16,盗宝贼掉落!$B$64:$B$67,0))*INDEX(盗宝贼掉落!$G$64:$G$67,MATCH(AK$16,盗宝贼掉落!$B$64:$B$67,0))</f>
        <v>0</v>
      </c>
      <c r="AL46" s="17">
        <f t="shared" si="48"/>
        <v>372.78404715533577</v>
      </c>
      <c r="AM46" s="17">
        <f t="shared" si="37"/>
        <v>106.58916948565638</v>
      </c>
      <c r="AN46" s="17">
        <f t="shared" si="38"/>
        <v>19.465273716989188</v>
      </c>
      <c r="AO46" s="17">
        <f t="shared" si="39"/>
        <v>5.3864027363845617</v>
      </c>
      <c r="AP46" s="84">
        <f>IFERROR(MAX(MIN(求节点(宝物升星!D$67:D$72,宝物升星!$C$67:$C$72,AL46/基础状态预期!C$8),宝物升星!D$14),AP45),AP45)</f>
        <v>0</v>
      </c>
      <c r="AQ46" s="84">
        <f>IFERROR(MAX(MIN(求节点(宝物升星!E$67:E$72,宝物升星!$C$67:$C$72,AM46/基础状态预期!D$8),宝物升星!E$14),AQ45),AQ45)</f>
        <v>3</v>
      </c>
      <c r="AR46" s="84">
        <f>IFERROR(MAX(MIN(求节点(宝物升星!F$67:F$72,宝物升星!$C$67:$C$72,AN46/基础状态预期!E$8),宝物升星!F$14),AR45),AR45)</f>
        <v>1.4331592146236485</v>
      </c>
      <c r="AS46" s="54">
        <f>IFERROR(MAX(MIN(求节点(宝物升星!G$67:G$72,宝物升星!$C$67:$C$72,AO46/MAX(基础状态预期!L46,基础状态预期!L45)),宝物升星!G$14),AS45),AS45)</f>
        <v>0</v>
      </c>
      <c r="AV46" s="38">
        <f t="shared" si="40"/>
        <v>0.72245617502780335</v>
      </c>
      <c r="AW46" s="38">
        <f t="shared" si="49"/>
        <v>0.13302871460287669</v>
      </c>
      <c r="AX46" s="38">
        <f t="shared" si="50"/>
        <v>0.14451511036931988</v>
      </c>
      <c r="AY46" s="38">
        <f t="shared" si="41"/>
        <v>0.84223734337120848</v>
      </c>
      <c r="AZ46" s="38">
        <f t="shared" si="51"/>
        <v>0.12406759612778083</v>
      </c>
      <c r="BA46" s="38">
        <f t="shared" si="52"/>
        <v>3.3695060501010676E-2</v>
      </c>
      <c r="BB46" s="38">
        <f t="shared" si="42"/>
        <v>0.83015571443262148</v>
      </c>
      <c r="BC46" s="38">
        <f t="shared" si="53"/>
        <v>0.16984428556737849</v>
      </c>
      <c r="BD46" s="38">
        <f t="shared" si="54"/>
        <v>0</v>
      </c>
      <c r="BE46" s="38">
        <f t="shared" si="43"/>
        <v>1</v>
      </c>
      <c r="BF46" s="38">
        <f t="shared" si="55"/>
        <v>0</v>
      </c>
      <c r="BG46" s="38">
        <f t="shared" si="56"/>
        <v>0</v>
      </c>
      <c r="BJ46" s="16">
        <v>47.524691675135287</v>
      </c>
      <c r="BK46" s="16">
        <v>20.662909423971868</v>
      </c>
      <c r="BL46" s="16">
        <v>1.3775272949314576</v>
      </c>
      <c r="BM46" s="16">
        <v>0.48213455322601023</v>
      </c>
      <c r="BN46" s="16">
        <v>372.11057690060528</v>
      </c>
      <c r="BO46" s="16">
        <v>114.07425547606715</v>
      </c>
      <c r="BP46" s="16">
        <v>17.52629187827085</v>
      </c>
      <c r="BQ46" s="16">
        <v>5.8650560810058066</v>
      </c>
      <c r="BR46" s="16">
        <v>0</v>
      </c>
      <c r="BS46" s="16">
        <v>3</v>
      </c>
      <c r="BT46" s="16">
        <v>5</v>
      </c>
      <c r="BU46" s="16">
        <v>5.7663345596532078E-2</v>
      </c>
      <c r="BX46" s="37" t="str">
        <f t="shared" si="29"/>
        <v/>
      </c>
    </row>
    <row r="47" spans="14:78">
      <c r="N47" s="16">
        <v>7</v>
      </c>
      <c r="O47" s="17">
        <v>80</v>
      </c>
      <c r="P47" s="17">
        <f>求节点(节奏总纲!$O$4:$O$163,节奏总纲!Q$4:Q$163,O47)</f>
        <v>221.08500000000001</v>
      </c>
      <c r="Q47" s="17">
        <f>INDEX(其他调用!$D$4:$D$163,$O47)*$P$10</f>
        <v>317210.91976666433</v>
      </c>
      <c r="R47" s="50">
        <v>1</v>
      </c>
      <c r="S47" s="17">
        <f t="shared" si="30"/>
        <v>0.375</v>
      </c>
      <c r="T47" s="17">
        <f t="shared" si="31"/>
        <v>0.125</v>
      </c>
      <c r="U47" s="17">
        <f t="shared" si="32"/>
        <v>2.2500000000000003E-2</v>
      </c>
      <c r="V47" s="17">
        <f t="shared" si="33"/>
        <v>7.4999999999999997E-3</v>
      </c>
      <c r="W47" s="17">
        <f t="shared" si="44"/>
        <v>80209.199365743581</v>
      </c>
      <c r="X47" s="17">
        <f t="shared" si="57"/>
        <v>360.4669542803004</v>
      </c>
      <c r="Y47" s="17">
        <f t="shared" si="45"/>
        <v>120.15565142676679</v>
      </c>
      <c r="Z47" s="17">
        <f t="shared" si="46"/>
        <v>21.628017256818026</v>
      </c>
      <c r="AA47" s="17">
        <f t="shared" si="47"/>
        <v>7.2093390856060067</v>
      </c>
      <c r="AB47" s="17">
        <f>求节点(盗宝贼掉落!$CV$5:$CV$164,盗宝贼掉落!$DD$5:$DD$164,$O47)</f>
        <v>115.16546531862986</v>
      </c>
      <c r="AC47" s="17">
        <f>$AB47*INDEX(盗宝贼掉落!$D$64:$D$67,MATCH(AC$16,盗宝贼掉落!$B$64:$B$67,0))*INDEX(盗宝贼掉落!$F$64:$F$67,MATCH(AC$16,盗宝贼掉落!$B$64:$B$67,0))</f>
        <v>86.374098988972392</v>
      </c>
      <c r="AD47" s="17">
        <f>$AB47*INDEX(盗宝贼掉落!$D$64:$D$67,MATCH(AD$16,盗宝贼掉落!$B$64:$B$67,0))*INDEX(盗宝贼掉落!$F$64:$F$67,MATCH(AD$16,盗宝贼掉落!$B$64:$B$67,0))</f>
        <v>5.7582732659314928</v>
      </c>
      <c r="AE47" s="17">
        <f>$AB47*INDEX(盗宝贼掉落!$D$64:$D$67,MATCH(AE$16,盗宝贼掉落!$B$64:$B$67,0))*INDEX(盗宝贼掉落!$F$64:$F$67,MATCH(AE$16,盗宝贼掉落!$B$64:$B$67,0))</f>
        <v>0</v>
      </c>
      <c r="AF47" s="17">
        <f>$AB47*INDEX(盗宝贼掉落!$D$64:$D$67,MATCH(AF$16,盗宝贼掉落!$B$64:$B$67,0))*INDEX(盗宝贼掉落!$F$64:$F$67,MATCH(AF$16,盗宝贼掉落!$B$64:$B$67,0))</f>
        <v>0</v>
      </c>
      <c r="AG47" s="17">
        <f>求节点(匈奴铁骑掉落!$J$7:$J$166,匈奴铁骑掉落!L$7:L$166,O47)</f>
        <v>243.702</v>
      </c>
      <c r="AH47" s="17">
        <f>$AG47*INDEX(盗宝贼掉落!$D$64:$D$67,MATCH(AH$16,盗宝贼掉落!$B$64:$B$67,0))*INDEX(盗宝贼掉落!$G$64:$G$67,MATCH(AH$16,盗宝贼掉落!$B$64:$B$67,0))</f>
        <v>73.110600000000005</v>
      </c>
      <c r="AI47" s="17">
        <f>$AG47*INDEX(盗宝贼掉落!$D$64:$D$67,MATCH(AI$16,盗宝贼掉落!$B$64:$B$67,0))*INDEX(盗宝贼掉落!$G$64:$G$67,MATCH(AI$16,盗宝贼掉落!$B$64:$B$67,0))</f>
        <v>19.496160000000003</v>
      </c>
      <c r="AJ47" s="17">
        <f>$AG47*INDEX(盗宝贼掉落!$D$64:$D$67,MATCH(AJ$16,盗宝贼掉落!$B$64:$B$67,0))*INDEX(盗宝贼掉落!$G$64:$G$67,MATCH(AJ$16,盗宝贼掉落!$B$64:$B$67,0))</f>
        <v>4.8740399999999999</v>
      </c>
      <c r="AK47" s="17">
        <f>$AG47*INDEX(盗宝贼掉落!$D$64:$D$67,MATCH(AK$16,盗宝贼掉落!$B$64:$B$67,0))*INDEX(盗宝贼掉落!$G$64:$G$67,MATCH(AK$16,盗宝贼掉落!$B$64:$B$67,0))</f>
        <v>0</v>
      </c>
      <c r="AL47" s="17">
        <f t="shared" si="48"/>
        <v>519.95165326927281</v>
      </c>
      <c r="AM47" s="17">
        <f t="shared" si="37"/>
        <v>145.41008469269829</v>
      </c>
      <c r="AN47" s="17">
        <f t="shared" si="38"/>
        <v>26.502057256818027</v>
      </c>
      <c r="AO47" s="17">
        <f t="shared" si="39"/>
        <v>7.2093390856060067</v>
      </c>
      <c r="AP47" s="84">
        <f>IFERROR(MAX(MIN(求节点(宝物升星!D$67:D$72,宝物升星!$C$67:$C$72,AL47/基础状态预期!C$8),宝物升星!D$14),AP46),AP46)</f>
        <v>0</v>
      </c>
      <c r="AQ47" s="84">
        <f>IFERROR(MAX(MIN(求节点(宝物升星!E$67:E$72,宝物升星!$C$67:$C$72,AM47/基础状态预期!D$8),宝物升星!E$14),AQ46),AQ46)</f>
        <v>3</v>
      </c>
      <c r="AR47" s="84">
        <f>IFERROR(MAX(MIN(求节点(宝物升星!F$67:F$72,宝物升星!$C$67:$C$72,AN47/基础状态预期!E$8),宝物升星!F$14),AR46),AR46)</f>
        <v>2.3127571571022534</v>
      </c>
      <c r="AS47" s="54">
        <f>IFERROR(MAX(MIN(求节点(宝物升星!G$67:G$72,宝物升星!$C$67:$C$72,AO47/MAX(基础状态预期!L47,基础状态预期!L46)),宝物升星!G$14),AS46),AS46)</f>
        <v>0.20155651426766785</v>
      </c>
      <c r="AV47" s="38">
        <f t="shared" si="40"/>
        <v>0.69327013774032875</v>
      </c>
      <c r="AW47" s="38">
        <f t="shared" si="49"/>
        <v>0.14061038086965646</v>
      </c>
      <c r="AX47" s="38">
        <f t="shared" si="50"/>
        <v>0.16611948139001481</v>
      </c>
      <c r="AY47" s="38">
        <f t="shared" si="41"/>
        <v>0.82632268374437146</v>
      </c>
      <c r="AZ47" s="38">
        <f t="shared" si="51"/>
        <v>0.13407708303864976</v>
      </c>
      <c r="BA47" s="38">
        <f t="shared" si="52"/>
        <v>3.9600233216978808E-2</v>
      </c>
      <c r="BB47" s="38">
        <f t="shared" si="42"/>
        <v>0.81608823976311928</v>
      </c>
      <c r="BC47" s="38">
        <f t="shared" si="53"/>
        <v>0.18391176023688066</v>
      </c>
      <c r="BD47" s="38">
        <f t="shared" si="54"/>
        <v>0</v>
      </c>
      <c r="BE47" s="38">
        <f t="shared" si="43"/>
        <v>1</v>
      </c>
      <c r="BF47" s="38">
        <f t="shared" si="55"/>
        <v>0</v>
      </c>
      <c r="BG47" s="38">
        <f t="shared" si="56"/>
        <v>0</v>
      </c>
      <c r="BJ47" s="16">
        <v>70.064324999999997</v>
      </c>
      <c r="BK47" s="16">
        <v>30.46275</v>
      </c>
      <c r="BL47" s="16">
        <v>2.03085</v>
      </c>
      <c r="BM47" s="16">
        <v>0.71079749999999997</v>
      </c>
      <c r="BN47" s="16">
        <v>531.9111490770897</v>
      </c>
      <c r="BO47" s="16">
        <v>160.96076333052926</v>
      </c>
      <c r="BP47" s="16">
        <v>24.465200638212742</v>
      </c>
      <c r="BQ47" s="16">
        <v>8.1889143794042454</v>
      </c>
      <c r="BR47" s="16">
        <v>0</v>
      </c>
      <c r="BS47" s="16">
        <v>3</v>
      </c>
      <c r="BT47" s="16">
        <v>5</v>
      </c>
      <c r="BU47" s="16">
        <v>0.3648190632340409</v>
      </c>
      <c r="BX47" s="37" t="str">
        <f t="shared" si="29"/>
        <v/>
      </c>
    </row>
    <row r="48" spans="14:78">
      <c r="N48" s="16">
        <v>8</v>
      </c>
      <c r="O48" s="17">
        <v>85</v>
      </c>
      <c r="P48" s="17">
        <f>求节点(节奏总纲!$O$4:$O$163,节奏总纲!Q$4:Q$163,O48)</f>
        <v>311.72078937675008</v>
      </c>
      <c r="Q48" s="17">
        <f>INDEX(其他调用!$D$4:$D$163,$O48)*$P$10</f>
        <v>425189.07343816815</v>
      </c>
      <c r="R48" s="50">
        <v>1</v>
      </c>
      <c r="S48" s="17">
        <f t="shared" si="30"/>
        <v>0.375</v>
      </c>
      <c r="T48" s="17">
        <f t="shared" si="31"/>
        <v>0.125</v>
      </c>
      <c r="U48" s="17">
        <f t="shared" si="32"/>
        <v>2.2500000000000003E-2</v>
      </c>
      <c r="V48" s="17">
        <f t="shared" si="33"/>
        <v>7.4999999999999997E-3</v>
      </c>
      <c r="W48" s="17">
        <f t="shared" si="44"/>
        <v>107978.15367150382</v>
      </c>
      <c r="X48" s="17">
        <f t="shared" si="57"/>
        <v>483.169401634282</v>
      </c>
      <c r="Y48" s="17">
        <f t="shared" si="45"/>
        <v>161.05646721142733</v>
      </c>
      <c r="Z48" s="17">
        <f t="shared" si="46"/>
        <v>28.990164098056923</v>
      </c>
      <c r="AA48" s="17">
        <f t="shared" si="47"/>
        <v>9.6633880326856385</v>
      </c>
      <c r="AB48" s="17">
        <f>求节点(盗宝贼掉落!$CV$5:$CV$164,盗宝贼掉落!$DD$5:$DD$164,$O48)</f>
        <v>175.28418441222823</v>
      </c>
      <c r="AC48" s="17">
        <f>$AB48*INDEX(盗宝贼掉落!$D$64:$D$67,MATCH(AC$16,盗宝贼掉落!$B$64:$B$67,0))*INDEX(盗宝贼掉落!$F$64:$F$67,MATCH(AC$16,盗宝贼掉落!$B$64:$B$67,0))</f>
        <v>131.46313830917117</v>
      </c>
      <c r="AD48" s="17">
        <f>$AB48*INDEX(盗宝贼掉落!$D$64:$D$67,MATCH(AD$16,盗宝贼掉落!$B$64:$B$67,0))*INDEX(盗宝贼掉落!$F$64:$F$67,MATCH(AD$16,盗宝贼掉落!$B$64:$B$67,0))</f>
        <v>8.7642092206114111</v>
      </c>
      <c r="AE48" s="17">
        <f>$AB48*INDEX(盗宝贼掉落!$D$64:$D$67,MATCH(AE$16,盗宝贼掉落!$B$64:$B$67,0))*INDEX(盗宝贼掉落!$F$64:$F$67,MATCH(AE$16,盗宝贼掉落!$B$64:$B$67,0))</f>
        <v>0</v>
      </c>
      <c r="AF48" s="17">
        <f>$AB48*INDEX(盗宝贼掉落!$D$64:$D$67,MATCH(AF$16,盗宝贼掉落!$B$64:$B$67,0))*INDEX(盗宝贼掉落!$F$64:$F$67,MATCH(AF$16,盗宝贼掉落!$B$64:$B$67,0))</f>
        <v>0</v>
      </c>
      <c r="AG48" s="17">
        <f>求节点(匈奴铁骑掉落!$J$7:$J$166,匈奴铁骑掉落!L$7:L$166,O48)</f>
        <v>352.4649472521001</v>
      </c>
      <c r="AH48" s="17">
        <f>$AG48*INDEX(盗宝贼掉落!$D$64:$D$67,MATCH(AH$16,盗宝贼掉落!$B$64:$B$67,0))*INDEX(盗宝贼掉落!$G$64:$G$67,MATCH(AH$16,盗宝贼掉落!$B$64:$B$67,0))</f>
        <v>105.73948417563005</v>
      </c>
      <c r="AI48" s="17">
        <f>$AG48*INDEX(盗宝贼掉落!$D$64:$D$67,MATCH(AI$16,盗宝贼掉落!$B$64:$B$67,0))*INDEX(盗宝贼掉落!$G$64:$G$67,MATCH(AI$16,盗宝贼掉落!$B$64:$B$67,0))</f>
        <v>28.197195780168013</v>
      </c>
      <c r="AJ48" s="17">
        <f>$AG48*INDEX(盗宝贼掉落!$D$64:$D$67,MATCH(AJ$16,盗宝贼掉落!$B$64:$B$67,0))*INDEX(盗宝贼掉落!$G$64:$G$67,MATCH(AJ$16,盗宝贼掉落!$B$64:$B$67,0))</f>
        <v>7.0492989450420014</v>
      </c>
      <c r="AK48" s="17">
        <f>$AG48*INDEX(盗宝贼掉落!$D$64:$D$67,MATCH(AK$16,盗宝贼掉落!$B$64:$B$67,0))*INDEX(盗宝贼掉落!$G$64:$G$67,MATCH(AK$16,盗宝贼掉落!$B$64:$B$67,0))</f>
        <v>0</v>
      </c>
      <c r="AL48" s="17">
        <f t="shared" si="48"/>
        <v>720.37202411908322</v>
      </c>
      <c r="AM48" s="17">
        <f t="shared" si="37"/>
        <v>198.01787221220675</v>
      </c>
      <c r="AN48" s="17">
        <f t="shared" si="38"/>
        <v>36.039463043098927</v>
      </c>
      <c r="AO48" s="17">
        <f t="shared" si="39"/>
        <v>9.6633880326856385</v>
      </c>
      <c r="AP48" s="84">
        <f>IFERROR(MAX(MIN(求节点(宝物升星!D$67:D$72,宝物升星!$C$67:$C$72,AL48/基础状态预期!C$8),宝物升星!D$14),AP47),AP47)</f>
        <v>0</v>
      </c>
      <c r="AQ48" s="84">
        <f>IFERROR(MAX(MIN(求节点(宝物升星!E$67:E$72,宝物升星!$C$67:$C$72,AM48/基础状态预期!D$8),宝物升星!E$14),AQ47),AQ47)</f>
        <v>3</v>
      </c>
      <c r="AR48" s="84">
        <f>IFERROR(MAX(MIN(求节点(宝物升星!F$67:F$72,宝物升星!$C$67:$C$72,AN48/基础状态预期!E$8),宝物升星!F$14),AR47),AR47)</f>
        <v>3.5049328803873658</v>
      </c>
      <c r="AS48" s="54">
        <f>IFERROR(MAX(MIN(求节点(宝物升星!G$67:G$72,宝物升星!$C$67:$C$72,AO48/MAX(基础状态预期!L48,基础状态预期!L47)),宝物升星!G$14),AS47),AS47)</f>
        <v>0.61056467211427301</v>
      </c>
      <c r="AV48" s="38">
        <f t="shared" si="40"/>
        <v>0.67072205118616635</v>
      </c>
      <c r="AW48" s="38">
        <f t="shared" si="49"/>
        <v>0.14678455108655147</v>
      </c>
      <c r="AX48" s="38">
        <f t="shared" si="50"/>
        <v>0.18249339772728218</v>
      </c>
      <c r="AY48" s="38">
        <f t="shared" si="41"/>
        <v>0.81334308571314429</v>
      </c>
      <c r="AZ48" s="38">
        <f t="shared" si="51"/>
        <v>0.14239722639757668</v>
      </c>
      <c r="BA48" s="38">
        <f t="shared" si="52"/>
        <v>4.4259687889279038E-2</v>
      </c>
      <c r="BB48" s="38">
        <f t="shared" si="42"/>
        <v>0.8044005556738768</v>
      </c>
      <c r="BC48" s="38">
        <f t="shared" si="53"/>
        <v>0.19559944432612314</v>
      </c>
      <c r="BD48" s="38">
        <f t="shared" si="54"/>
        <v>0</v>
      </c>
      <c r="BE48" s="38">
        <f t="shared" si="43"/>
        <v>1</v>
      </c>
      <c r="BF48" s="38">
        <f t="shared" si="55"/>
        <v>0</v>
      </c>
      <c r="BG48" s="38">
        <f t="shared" si="56"/>
        <v>0</v>
      </c>
      <c r="BJ48" s="16">
        <v>101.33367233497877</v>
      </c>
      <c r="BK48" s="16">
        <v>44.058118406512513</v>
      </c>
      <c r="BL48" s="16">
        <v>2.9372078937675008</v>
      </c>
      <c r="BM48" s="16">
        <v>1.0280227628186254</v>
      </c>
      <c r="BN48" s="16">
        <v>761.06150964411142</v>
      </c>
      <c r="BO48" s="16">
        <v>228.49272566233637</v>
      </c>
      <c r="BP48" s="16">
        <v>34.539076966690885</v>
      </c>
      <c r="BQ48" s="16">
        <v>11.561979120459753</v>
      </c>
      <c r="BR48" s="16">
        <v>0</v>
      </c>
      <c r="BS48" s="16">
        <v>3</v>
      </c>
      <c r="BT48" s="16">
        <v>5</v>
      </c>
      <c r="BU48" s="16">
        <v>0.92699652007662547</v>
      </c>
      <c r="BX48" s="37" t="str">
        <f t="shared" si="29"/>
        <v/>
      </c>
    </row>
    <row r="49" spans="14:76">
      <c r="N49" s="16">
        <v>9</v>
      </c>
      <c r="O49" s="17">
        <v>90</v>
      </c>
      <c r="P49" s="17">
        <f>求节点(节奏总纲!$O$4:$O$163,节奏总纲!Q$4:Q$163,O49)</f>
        <v>438.13140000000004</v>
      </c>
      <c r="Q49" s="17">
        <f>INDEX(其他调用!$D$4:$D$163,$O49)*$P$10</f>
        <v>569721.27435961948</v>
      </c>
      <c r="R49" s="50">
        <v>1</v>
      </c>
      <c r="S49" s="17">
        <f t="shared" si="30"/>
        <v>0.375</v>
      </c>
      <c r="T49" s="17">
        <f t="shared" si="31"/>
        <v>0.125</v>
      </c>
      <c r="U49" s="17">
        <f t="shared" si="32"/>
        <v>2.2500000000000003E-2</v>
      </c>
      <c r="V49" s="17">
        <f t="shared" si="33"/>
        <v>7.4999999999999997E-3</v>
      </c>
      <c r="W49" s="17">
        <f t="shared" si="44"/>
        <v>144532.20092145132</v>
      </c>
      <c r="X49" s="17">
        <f t="shared" si="57"/>
        <v>647.41053904502212</v>
      </c>
      <c r="Y49" s="17">
        <f t="shared" si="45"/>
        <v>215.80351301500738</v>
      </c>
      <c r="Z49" s="17">
        <f t="shared" si="46"/>
        <v>38.844632342701331</v>
      </c>
      <c r="AA49" s="17">
        <f t="shared" si="47"/>
        <v>12.948210780900441</v>
      </c>
      <c r="AB49" s="17">
        <f>求节点(盗宝贼掉落!$CV$5:$CV$164,盗宝贼掉落!$DD$5:$DD$164,$O49)</f>
        <v>259.13234243862991</v>
      </c>
      <c r="AC49" s="17">
        <f>$AB49*INDEX(盗宝贼掉落!$D$64:$D$67,MATCH(AC$16,盗宝贼掉落!$B$64:$B$67,0))*INDEX(盗宝贼掉落!$F$64:$F$67,MATCH(AC$16,盗宝贼掉落!$B$64:$B$67,0))</f>
        <v>194.34925682897244</v>
      </c>
      <c r="AD49" s="17">
        <f>$AB49*INDEX(盗宝贼掉落!$D$64:$D$67,MATCH(AD$16,盗宝贼掉落!$B$64:$B$67,0))*INDEX(盗宝贼掉落!$F$64:$F$67,MATCH(AD$16,盗宝贼掉落!$B$64:$B$67,0))</f>
        <v>12.956617121931496</v>
      </c>
      <c r="AE49" s="17">
        <f>$AB49*INDEX(盗宝贼掉落!$D$64:$D$67,MATCH(AE$16,盗宝贼掉落!$B$64:$B$67,0))*INDEX(盗宝贼掉落!$F$64:$F$67,MATCH(AE$16,盗宝贼掉落!$B$64:$B$67,0))</f>
        <v>0</v>
      </c>
      <c r="AF49" s="17">
        <f>$AB49*INDEX(盗宝贼掉落!$D$64:$D$67,MATCH(AF$16,盗宝贼掉落!$B$64:$B$67,0))*INDEX(盗宝贼掉落!$F$64:$F$67,MATCH(AF$16,盗宝贼掉落!$B$64:$B$67,0))</f>
        <v>0</v>
      </c>
      <c r="AG49" s="17">
        <f>求节点(匈奴铁骑掉落!$J$7:$J$166,匈奴铁骑掉落!L$7:L$166,O49)</f>
        <v>504.15768000000008</v>
      </c>
      <c r="AH49" s="17">
        <f>$AG49*INDEX(盗宝贼掉落!$D$64:$D$67,MATCH(AH$16,盗宝贼掉落!$B$64:$B$67,0))*INDEX(盗宝贼掉落!$G$64:$G$67,MATCH(AH$16,盗宝贼掉落!$B$64:$B$67,0))</f>
        <v>151.24730400000004</v>
      </c>
      <c r="AI49" s="17">
        <f>$AG49*INDEX(盗宝贼掉落!$D$64:$D$67,MATCH(AI$16,盗宝贼掉落!$B$64:$B$67,0))*INDEX(盗宝贼掉落!$G$64:$G$67,MATCH(AI$16,盗宝贼掉落!$B$64:$B$67,0))</f>
        <v>40.332614400000011</v>
      </c>
      <c r="AJ49" s="17">
        <f>$AG49*INDEX(盗宝贼掉落!$D$64:$D$67,MATCH(AJ$16,盗宝贼掉落!$B$64:$B$67,0))*INDEX(盗宝贼掉落!$G$64:$G$67,MATCH(AJ$16,盗宝贼掉落!$B$64:$B$67,0))</f>
        <v>10.083153600000001</v>
      </c>
      <c r="AK49" s="17">
        <f>$AG49*INDEX(盗宝贼掉落!$D$64:$D$67,MATCH(AK$16,盗宝贼掉落!$B$64:$B$67,0))*INDEX(盗宝贼掉落!$G$64:$G$67,MATCH(AK$16,盗宝贼掉落!$B$64:$B$67,0))</f>
        <v>0</v>
      </c>
      <c r="AL49" s="17">
        <f t="shared" si="48"/>
        <v>993.00709987399455</v>
      </c>
      <c r="AM49" s="17">
        <f t="shared" si="37"/>
        <v>269.09274453693888</v>
      </c>
      <c r="AN49" s="17">
        <f t="shared" si="38"/>
        <v>48.927785942701334</v>
      </c>
      <c r="AO49" s="17">
        <f t="shared" si="39"/>
        <v>12.948210780900441</v>
      </c>
      <c r="AP49" s="84">
        <f>IFERROR(MAX(MIN(求节点(宝物升星!D$67:D$72,宝物升星!$C$67:$C$72,AL49/基础状态预期!C$8),宝物升星!D$14),AP48),AP48)</f>
        <v>0</v>
      </c>
      <c r="AQ49" s="84">
        <f>IFERROR(MAX(MIN(求节点(宝物升星!E$67:E$72,宝物升星!$C$67:$C$72,AM49/基础状态预期!D$8),宝物升星!E$14),AQ48),AQ48)</f>
        <v>3</v>
      </c>
      <c r="AR49" s="84">
        <f>IFERROR(MAX(MIN(求节点(宝物升星!F$67:F$72,宝物升星!$C$67:$C$72,AN49/基础状态预期!E$8),宝物升星!F$14),AR48),AR48)</f>
        <v>5</v>
      </c>
      <c r="AS49" s="54">
        <f>IFERROR(MAX(MIN(求节点(宝物升星!G$67:G$72,宝物升星!$C$67:$C$72,AO49/MAX(基础状态预期!L49,基础状态预期!L48)),宝物升星!G$14),AS48),AS48)</f>
        <v>1.1580351301500733</v>
      </c>
      <c r="AV49" s="38">
        <f t="shared" si="40"/>
        <v>0.65196969802851745</v>
      </c>
      <c r="AW49" s="38">
        <f t="shared" si="49"/>
        <v>0.15231240946735652</v>
      </c>
      <c r="AX49" s="38">
        <f t="shared" si="50"/>
        <v>0.19571789250412608</v>
      </c>
      <c r="AY49" s="38">
        <f t="shared" si="41"/>
        <v>0.80196704443431632</v>
      </c>
      <c r="AZ49" s="38">
        <f t="shared" si="51"/>
        <v>0.14988369333184856</v>
      </c>
      <c r="BA49" s="38">
        <f t="shared" si="52"/>
        <v>4.8149262233835206E-2</v>
      </c>
      <c r="BB49" s="38">
        <f t="shared" si="42"/>
        <v>0.79391763993146458</v>
      </c>
      <c r="BC49" s="38">
        <f t="shared" si="53"/>
        <v>0.20608236006853539</v>
      </c>
      <c r="BD49" s="38">
        <f t="shared" si="54"/>
        <v>0</v>
      </c>
      <c r="BE49" s="38">
        <f t="shared" si="43"/>
        <v>1</v>
      </c>
      <c r="BF49" s="38">
        <f t="shared" si="55"/>
        <v>0</v>
      </c>
      <c r="BG49" s="38">
        <f t="shared" si="56"/>
        <v>0</v>
      </c>
      <c r="BJ49" s="16">
        <v>144.94533300000001</v>
      </c>
      <c r="BK49" s="16">
        <v>63.019710000000011</v>
      </c>
      <c r="BL49" s="16">
        <v>4.2013140000000009</v>
      </c>
      <c r="BM49" s="16">
        <v>1.4704599000000005</v>
      </c>
      <c r="BN49" s="16">
        <v>1068.864306547785</v>
      </c>
      <c r="BO49" s="16">
        <v>318.74839773009427</v>
      </c>
      <c r="BP49" s="16">
        <v>47.881484136054446</v>
      </c>
      <c r="BQ49" s="16">
        <v>16.030516612018147</v>
      </c>
      <c r="BR49" s="16">
        <v>0</v>
      </c>
      <c r="BS49" s="16">
        <v>3</v>
      </c>
      <c r="BT49" s="16">
        <v>5</v>
      </c>
      <c r="BU49" s="16">
        <v>1.6717527686696911</v>
      </c>
      <c r="BX49" s="37" t="str">
        <f t="shared" si="29"/>
        <v/>
      </c>
    </row>
    <row r="50" spans="14:76">
      <c r="N50" s="16">
        <v>10</v>
      </c>
      <c r="O50" s="17">
        <v>95</v>
      </c>
      <c r="P50" s="17">
        <f>求节点(节奏总纲!$O$4:$O$163,节奏总纲!Q$4:Q$163,O50)</f>
        <v>618.15882133005255</v>
      </c>
      <c r="Q50" s="17">
        <f>INDEX(其他调用!$D$4:$D$163,$O50)*$P$10</f>
        <v>770218.38056971133</v>
      </c>
      <c r="R50" s="50">
        <v>1</v>
      </c>
      <c r="S50" s="17">
        <f t="shared" si="30"/>
        <v>0.375</v>
      </c>
      <c r="T50" s="17">
        <f t="shared" si="31"/>
        <v>0.125</v>
      </c>
      <c r="U50" s="17">
        <f t="shared" si="32"/>
        <v>2.2500000000000003E-2</v>
      </c>
      <c r="V50" s="17">
        <f t="shared" si="33"/>
        <v>7.4999999999999997E-3</v>
      </c>
      <c r="W50" s="17">
        <f t="shared" si="44"/>
        <v>200497.10621009185</v>
      </c>
      <c r="X50" s="17">
        <f t="shared" si="57"/>
        <v>875.24815973830835</v>
      </c>
      <c r="Y50" s="17">
        <f t="shared" si="45"/>
        <v>291.74938657943613</v>
      </c>
      <c r="Z50" s="17">
        <f t="shared" si="46"/>
        <v>52.514889584298501</v>
      </c>
      <c r="AA50" s="17">
        <f t="shared" si="47"/>
        <v>17.504963194766166</v>
      </c>
      <c r="AB50" s="17">
        <f>求节点(盗宝贼掉落!$CV$5:$CV$164,盗宝贼掉落!$DD$5:$DD$164,$O50)</f>
        <v>378.54453100685373</v>
      </c>
      <c r="AC50" s="17">
        <f>$AB50*INDEX(盗宝贼掉落!$D$64:$D$67,MATCH(AC$16,盗宝贼掉落!$B$64:$B$67,0))*INDEX(盗宝贼掉落!$F$64:$F$67,MATCH(AC$16,盗宝贼掉落!$B$64:$B$67,0))</f>
        <v>283.9083982551403</v>
      </c>
      <c r="AD50" s="17">
        <f>$AB50*INDEX(盗宝贼掉落!$D$64:$D$67,MATCH(AD$16,盗宝贼掉落!$B$64:$B$67,0))*INDEX(盗宝贼掉落!$F$64:$F$67,MATCH(AD$16,盗宝贼掉落!$B$64:$B$67,0))</f>
        <v>18.927226550342688</v>
      </c>
      <c r="AE50" s="17">
        <f>$AB50*INDEX(盗宝贼掉落!$D$64:$D$67,MATCH(AE$16,盗宝贼掉落!$B$64:$B$67,0))*INDEX(盗宝贼掉落!$F$64:$F$67,MATCH(AE$16,盗宝贼掉落!$B$64:$B$67,0))</f>
        <v>0</v>
      </c>
      <c r="AF50" s="17">
        <f>$AB50*INDEX(盗宝贼掉落!$D$64:$D$67,MATCH(AF$16,盗宝贼掉落!$B$64:$B$67,0))*INDEX(盗宝贼掉落!$F$64:$F$67,MATCH(AF$16,盗宝贼掉落!$B$64:$B$67,0))</f>
        <v>0</v>
      </c>
      <c r="AG50" s="17">
        <f>求节点(匈奴铁骑掉落!$J$7:$J$166,匈奴铁骑掉落!L$7:L$166,O50)</f>
        <v>720.1905855960631</v>
      </c>
      <c r="AH50" s="17">
        <f>$AG50*INDEX(盗宝贼掉落!$D$64:$D$67,MATCH(AH$16,盗宝贼掉落!$B$64:$B$67,0))*INDEX(盗宝贼掉落!$G$64:$G$67,MATCH(AH$16,盗宝贼掉落!$B$64:$B$67,0))</f>
        <v>216.05717567881896</v>
      </c>
      <c r="AI50" s="17">
        <f>$AG50*INDEX(盗宝贼掉落!$D$64:$D$67,MATCH(AI$16,盗宝贼掉落!$B$64:$B$67,0))*INDEX(盗宝贼掉落!$G$64:$G$67,MATCH(AI$16,盗宝贼掉落!$B$64:$B$67,0))</f>
        <v>57.61524684768505</v>
      </c>
      <c r="AJ50" s="17">
        <f>$AG50*INDEX(盗宝贼掉落!$D$64:$D$67,MATCH(AJ$16,盗宝贼掉落!$B$64:$B$67,0))*INDEX(盗宝贼掉落!$G$64:$G$67,MATCH(AJ$16,盗宝贼掉落!$B$64:$B$67,0))</f>
        <v>14.403811711921261</v>
      </c>
      <c r="AK50" s="17">
        <f>$AG50*INDEX(盗宝贼掉落!$D$64:$D$67,MATCH(AK$16,盗宝贼掉落!$B$64:$B$67,0))*INDEX(盗宝贼掉落!$G$64:$G$67,MATCH(AK$16,盗宝贼掉落!$B$64:$B$67,0))</f>
        <v>0</v>
      </c>
      <c r="AL50" s="17">
        <f t="shared" si="48"/>
        <v>1375.2137336722676</v>
      </c>
      <c r="AM50" s="17">
        <f t="shared" si="37"/>
        <v>368.2918599774639</v>
      </c>
      <c r="AN50" s="17">
        <f t="shared" si="38"/>
        <v>66.918701296219766</v>
      </c>
      <c r="AO50" s="17">
        <f t="shared" si="39"/>
        <v>17.504963194766166</v>
      </c>
      <c r="AP50" s="84">
        <f>IFERROR(MAX(MIN(求节点(宝物升星!D$67:D$72,宝物升星!$C$67:$C$72,AL50/基础状态预期!C$8),宝物升星!D$14),AP49),AP49)</f>
        <v>0</v>
      </c>
      <c r="AQ50" s="84">
        <f>IFERROR(MAX(MIN(求节点(宝物升星!E$67:E$72,宝物升星!$C$67:$C$72,AM50/基础状态预期!D$8),宝物升星!E$14),AQ49),AQ49)</f>
        <v>3</v>
      </c>
      <c r="AR50" s="84">
        <f>IFERROR(MAX(MIN(求节点(宝物升星!F$67:F$72,宝物升星!$C$67:$C$72,AN50/基础状态预期!E$8),宝物升星!F$14),AR49),AR49)</f>
        <v>5</v>
      </c>
      <c r="AS50" s="54">
        <f>IFERROR(MAX(MIN(求节点(宝物升星!G$67:G$72,宝物升星!$C$67:$C$72,AO50/MAX(基础状态预期!L50,基础状态预期!L49)),宝物升星!G$14),AS49),AS49)</f>
        <v>1.917493865794361</v>
      </c>
      <c r="AV50" s="38">
        <f t="shared" si="40"/>
        <v>0.6364451854339116</v>
      </c>
      <c r="AW50" s="38">
        <f t="shared" si="49"/>
        <v>0.15710807010476552</v>
      </c>
      <c r="AX50" s="38">
        <f t="shared" si="50"/>
        <v>0.20644674446132283</v>
      </c>
      <c r="AY50" s="38">
        <f t="shared" si="41"/>
        <v>0.79216897869338876</v>
      </c>
      <c r="AZ50" s="38">
        <f t="shared" si="51"/>
        <v>0.15643909928177771</v>
      </c>
      <c r="BA50" s="38">
        <f t="shared" si="52"/>
        <v>5.1391922024833406E-2</v>
      </c>
      <c r="BB50" s="38">
        <f t="shared" si="42"/>
        <v>0.784756556344961</v>
      </c>
      <c r="BC50" s="38">
        <f t="shared" si="53"/>
        <v>0.21524344365503895</v>
      </c>
      <c r="BD50" s="38">
        <f t="shared" si="54"/>
        <v>0</v>
      </c>
      <c r="BE50" s="38">
        <f t="shared" si="43"/>
        <v>1</v>
      </c>
      <c r="BF50" s="38">
        <f t="shared" si="55"/>
        <v>0</v>
      </c>
      <c r="BG50" s="38">
        <f t="shared" si="56"/>
        <v>0</v>
      </c>
      <c r="BJ50" s="16">
        <v>207.05479335886812</v>
      </c>
      <c r="BK50" s="16">
        <v>90.023823199507888</v>
      </c>
      <c r="BL50" s="16">
        <v>6.0015882133005256</v>
      </c>
      <c r="BM50" s="16">
        <v>2.1005558746551842</v>
      </c>
      <c r="BN50" s="16">
        <v>1425.2142881477023</v>
      </c>
      <c r="BO50" s="16">
        <v>419.95024696297384</v>
      </c>
      <c r="BP50" s="16">
        <v>61.962641138247861</v>
      </c>
      <c r="BQ50" s="16">
        <v>20.75424018297096</v>
      </c>
      <c r="BR50" s="16">
        <v>0</v>
      </c>
      <c r="BS50" s="16">
        <v>3</v>
      </c>
      <c r="BT50" s="16">
        <v>5</v>
      </c>
      <c r="BU50" s="16">
        <v>2.4590400304951601</v>
      </c>
      <c r="BX50" s="37" t="str">
        <f t="shared" si="29"/>
        <v/>
      </c>
    </row>
    <row r="51" spans="14:76">
      <c r="N51" s="16">
        <v>11</v>
      </c>
      <c r="O51" s="17">
        <v>100</v>
      </c>
      <c r="P51" s="17">
        <f>求节点(节奏总纲!$O$4:$O$163,节奏总纲!Q$4:Q$163,O51)</f>
        <v>875.38110000000006</v>
      </c>
      <c r="Q51" s="17">
        <f>INDEX(其他调用!$D$4:$D$163,$O51)*$P$10</f>
        <v>1047452.7301136302</v>
      </c>
      <c r="R51" s="50">
        <v>1</v>
      </c>
      <c r="S51" s="17">
        <f t="shared" si="30"/>
        <v>0.375</v>
      </c>
      <c r="T51" s="17">
        <f t="shared" si="31"/>
        <v>0.125</v>
      </c>
      <c r="U51" s="17">
        <f t="shared" si="32"/>
        <v>2.2500000000000003E-2</v>
      </c>
      <c r="V51" s="17">
        <f t="shared" si="33"/>
        <v>7.4999999999999997E-3</v>
      </c>
      <c r="W51" s="17">
        <f t="shared" si="44"/>
        <v>277234.34954391886</v>
      </c>
      <c r="X51" s="17">
        <f t="shared" si="57"/>
        <v>1190.2871933109434</v>
      </c>
      <c r="Y51" s="17">
        <f t="shared" si="45"/>
        <v>396.76239777031446</v>
      </c>
      <c r="Z51" s="17">
        <f t="shared" si="46"/>
        <v>71.417231598656613</v>
      </c>
      <c r="AA51" s="17">
        <f t="shared" si="47"/>
        <v>23.805743866218869</v>
      </c>
      <c r="AB51" s="17">
        <f>求节点(盗宝贼掉落!$CV$5:$CV$164,盗宝贼掉落!$DD$5:$DD$164,$O51)</f>
        <v>549.16006844863</v>
      </c>
      <c r="AC51" s="17">
        <f>$AB51*INDEX(盗宝贼掉落!$D$64:$D$67,MATCH(AC$16,盗宝贼掉落!$B$64:$B$67,0))*INDEX(盗宝贼掉落!$F$64:$F$67,MATCH(AC$16,盗宝贼掉落!$B$64:$B$67,0))</f>
        <v>411.8700513364725</v>
      </c>
      <c r="AD51" s="17">
        <f>$AB51*INDEX(盗宝贼掉落!$D$64:$D$67,MATCH(AD$16,盗宝贼掉落!$B$64:$B$67,0))*INDEX(盗宝贼掉落!$F$64:$F$67,MATCH(AD$16,盗宝贼掉落!$B$64:$B$67,0))</f>
        <v>27.458003422431503</v>
      </c>
      <c r="AE51" s="17">
        <f>$AB51*INDEX(盗宝贼掉落!$D$64:$D$67,MATCH(AE$16,盗宝贼掉落!$B$64:$B$67,0))*INDEX(盗宝贼掉落!$F$64:$F$67,MATCH(AE$16,盗宝贼掉落!$B$64:$B$67,0))</f>
        <v>0</v>
      </c>
      <c r="AF51" s="17">
        <f>$AB51*INDEX(盗宝贼掉落!$D$64:$D$67,MATCH(AF$16,盗宝贼掉落!$B$64:$B$67,0))*INDEX(盗宝贼掉落!$F$64:$F$67,MATCH(AF$16,盗宝贼掉落!$B$64:$B$67,0))</f>
        <v>0</v>
      </c>
      <c r="AG51" s="17">
        <f>求节点(匈奴铁骑掉落!$J$7:$J$166,匈奴铁骑掉落!L$7:L$166,O51)</f>
        <v>1028.8573200000001</v>
      </c>
      <c r="AH51" s="17">
        <f>$AG51*INDEX(盗宝贼掉落!$D$64:$D$67,MATCH(AH$16,盗宝贼掉落!$B$64:$B$67,0))*INDEX(盗宝贼掉落!$G$64:$G$67,MATCH(AH$16,盗宝贼掉落!$B$64:$B$67,0))</f>
        <v>308.65719600000006</v>
      </c>
      <c r="AI51" s="17">
        <f>$AG51*INDEX(盗宝贼掉落!$D$64:$D$67,MATCH(AI$16,盗宝贼掉落!$B$64:$B$67,0))*INDEX(盗宝贼掉落!$G$64:$G$67,MATCH(AI$16,盗宝贼掉落!$B$64:$B$67,0))</f>
        <v>82.308585600000015</v>
      </c>
      <c r="AJ51" s="17">
        <f>$AG51*INDEX(盗宝贼掉落!$D$64:$D$67,MATCH(AJ$16,盗宝贼掉落!$B$64:$B$67,0))*INDEX(盗宝贼掉落!$G$64:$G$67,MATCH(AJ$16,盗宝贼掉落!$B$64:$B$67,0))</f>
        <v>20.5771464</v>
      </c>
      <c r="AK51" s="17">
        <f>$AG51*INDEX(盗宝贼掉落!$D$64:$D$67,MATCH(AK$16,盗宝贼掉落!$B$64:$B$67,0))*INDEX(盗宝贼掉落!$G$64:$G$67,MATCH(AK$16,盗宝贼掉落!$B$64:$B$67,0))</f>
        <v>0</v>
      </c>
      <c r="AL51" s="17">
        <f t="shared" si="48"/>
        <v>1910.8144406474159</v>
      </c>
      <c r="AM51" s="17">
        <f t="shared" si="37"/>
        <v>506.52898679274597</v>
      </c>
      <c r="AN51" s="17">
        <f t="shared" si="38"/>
        <v>91.994377998656617</v>
      </c>
      <c r="AO51" s="17">
        <f t="shared" si="39"/>
        <v>23.805743866218869</v>
      </c>
      <c r="AP51" s="84">
        <f>IFERROR(MAX(MIN(求节点(宝物升星!D$67:D$72,宝物升星!$C$67:$C$72,AL51/基础状态预期!C$8),宝物升星!D$14),AP50),AP50)</f>
        <v>0</v>
      </c>
      <c r="AQ51" s="84">
        <f>IFERROR(MAX(MIN(求节点(宝物升星!E$67:E$72,宝物升星!$C$67:$C$72,AM51/基础状态预期!D$8),宝物升星!E$14),AQ50),AQ50)</f>
        <v>3</v>
      </c>
      <c r="AR51" s="84">
        <f>IFERROR(MAX(MIN(求节点(宝物升星!F$67:F$72,宝物升星!$C$67:$C$72,AN51/基础状态预期!E$8),宝物升星!F$14),AR50),AR50)</f>
        <v>5</v>
      </c>
      <c r="AS51" s="54">
        <f>IFERROR(MAX(MIN(求节点(宝物升星!G$67:G$72,宝物升星!$C$67:$C$72,AO51/MAX(基础状态预期!L51,基础状态预期!L50)),宝物升星!G$14),AS50),AS50)</f>
        <v>2.9676239777031448</v>
      </c>
      <c r="AV51" s="38">
        <f t="shared" si="40"/>
        <v>0.6229213930933315</v>
      </c>
      <c r="AW51" s="38">
        <f t="shared" si="49"/>
        <v>0.1615317476329213</v>
      </c>
      <c r="AX51" s="38">
        <f t="shared" si="50"/>
        <v>0.21554685927374717</v>
      </c>
      <c r="AY51" s="38">
        <f t="shared" si="41"/>
        <v>0.78329653014044742</v>
      </c>
      <c r="AZ51" s="38">
        <f t="shared" si="51"/>
        <v>0.16249531171189976</v>
      </c>
      <c r="BA51" s="38">
        <f t="shared" si="52"/>
        <v>5.4208158147652785E-2</v>
      </c>
      <c r="BB51" s="38">
        <f t="shared" si="42"/>
        <v>0.77632169652475402</v>
      </c>
      <c r="BC51" s="38">
        <f t="shared" si="53"/>
        <v>0.22367830347524592</v>
      </c>
      <c r="BD51" s="38">
        <f t="shared" si="54"/>
        <v>0</v>
      </c>
      <c r="BE51" s="38">
        <f t="shared" si="43"/>
        <v>1</v>
      </c>
      <c r="BF51" s="38">
        <f t="shared" si="55"/>
        <v>0</v>
      </c>
      <c r="BG51" s="38">
        <f t="shared" si="56"/>
        <v>0</v>
      </c>
      <c r="BJ51" s="16">
        <v>295.79647949999998</v>
      </c>
      <c r="BK51" s="16">
        <v>128.60716500000001</v>
      </c>
      <c r="BL51" s="16">
        <v>8.573811000000001</v>
      </c>
      <c r="BM51" s="16">
        <v>3.0008338500000007</v>
      </c>
      <c r="BN51" s="16">
        <v>1846.5990071850481</v>
      </c>
      <c r="BO51" s="16">
        <v>535.29149224051548</v>
      </c>
      <c r="BP51" s="16">
        <v>76.815746713840255</v>
      </c>
      <c r="BQ51" s="16">
        <v>25.748145754613411</v>
      </c>
      <c r="BR51" s="16">
        <v>0</v>
      </c>
      <c r="BS51" s="16">
        <v>3</v>
      </c>
      <c r="BT51" s="16">
        <v>5</v>
      </c>
      <c r="BU51" s="16">
        <v>3.2913576257689021</v>
      </c>
      <c r="BX51" s="37" t="str">
        <f t="shared" si="29"/>
        <v/>
      </c>
    </row>
    <row r="52" spans="14:76">
      <c r="N52" s="16">
        <v>12</v>
      </c>
      <c r="O52" s="17">
        <v>105</v>
      </c>
      <c r="P52" s="17">
        <f>求节点(节奏总纲!$O$4:$O$163,节奏总纲!Q$4:Q$163,O52)</f>
        <v>1234.8570951595132</v>
      </c>
      <c r="Q52" s="17">
        <f>INDEX(其他调用!$D$4:$D$163,$O52)*$P$10</f>
        <v>1426437.2001206402</v>
      </c>
      <c r="R52" s="50">
        <v>1</v>
      </c>
      <c r="S52" s="17">
        <f t="shared" si="30"/>
        <v>0.375</v>
      </c>
      <c r="T52" s="17">
        <f t="shared" si="31"/>
        <v>0.125</v>
      </c>
      <c r="U52" s="17">
        <f t="shared" si="32"/>
        <v>2.2500000000000003E-2</v>
      </c>
      <c r="V52" s="17">
        <f t="shared" si="33"/>
        <v>7.4999999999999997E-3</v>
      </c>
      <c r="W52" s="17">
        <f t="shared" si="44"/>
        <v>378984.47000701004</v>
      </c>
      <c r="X52" s="17">
        <f t="shared" si="57"/>
        <v>1620.9513637734549</v>
      </c>
      <c r="Y52" s="17">
        <f t="shared" si="45"/>
        <v>540.31712125781826</v>
      </c>
      <c r="Z52" s="17">
        <f t="shared" si="46"/>
        <v>97.257081826407301</v>
      </c>
      <c r="AA52" s="17">
        <f t="shared" si="47"/>
        <v>32.419027275469098</v>
      </c>
      <c r="AB52" s="17">
        <f>求节点(盗宝贼掉落!$CV$5:$CV$164,盗宝贼掉落!$DD$5:$DD$164,$O52)</f>
        <v>787.60049603793505</v>
      </c>
      <c r="AC52" s="17">
        <f>$AB52*INDEX(盗宝贼掉落!$D$64:$D$67,MATCH(AC$16,盗宝贼掉落!$B$64:$B$67,0))*INDEX(盗宝贼掉落!$F$64:$F$67,MATCH(AC$16,盗宝贼掉落!$B$64:$B$67,0))</f>
        <v>590.70037202845128</v>
      </c>
      <c r="AD52" s="17">
        <f>$AB52*INDEX(盗宝贼掉落!$D$64:$D$67,MATCH(AD$16,盗宝贼掉落!$B$64:$B$67,0))*INDEX(盗宝贼掉落!$F$64:$F$67,MATCH(AD$16,盗宝贼掉落!$B$64:$B$67,0))</f>
        <v>39.380024801896752</v>
      </c>
      <c r="AE52" s="17">
        <f>$AB52*INDEX(盗宝贼掉落!$D$64:$D$67,MATCH(AE$16,盗宝贼掉落!$B$64:$B$67,0))*INDEX(盗宝贼掉落!$F$64:$F$67,MATCH(AE$16,盗宝贼掉落!$B$64:$B$67,0))</f>
        <v>0</v>
      </c>
      <c r="AF52" s="17">
        <f>$AB52*INDEX(盗宝贼掉落!$D$64:$D$67,MATCH(AF$16,盗宝贼掉落!$B$64:$B$67,0))*INDEX(盗宝贼掉落!$F$64:$F$67,MATCH(AF$16,盗宝贼掉落!$B$64:$B$67,0))</f>
        <v>0</v>
      </c>
      <c r="AG52" s="17">
        <f>求节点(匈奴铁骑掉落!$J$7:$J$166,匈奴铁骑掉落!L$7:L$166,O52)</f>
        <v>1460.228514191416</v>
      </c>
      <c r="AH52" s="17">
        <f>$AG52*INDEX(盗宝贼掉落!$D$64:$D$67,MATCH(AH$16,盗宝贼掉落!$B$64:$B$67,0))*INDEX(盗宝贼掉落!$G$64:$G$67,MATCH(AH$16,盗宝贼掉落!$B$64:$B$67,0))</f>
        <v>438.06855425742486</v>
      </c>
      <c r="AI52" s="17">
        <f>$AG52*INDEX(盗宝贼掉落!$D$64:$D$67,MATCH(AI$16,盗宝贼掉落!$B$64:$B$67,0))*INDEX(盗宝贼掉落!$G$64:$G$67,MATCH(AI$16,盗宝贼掉落!$B$64:$B$67,0))</f>
        <v>116.81828113531328</v>
      </c>
      <c r="AJ52" s="17">
        <f>$AG52*INDEX(盗宝贼掉落!$D$64:$D$67,MATCH(AJ$16,盗宝贼掉落!$B$64:$B$67,0))*INDEX(盗宝贼掉落!$G$64:$G$67,MATCH(AJ$16,盗宝贼掉落!$B$64:$B$67,0))</f>
        <v>29.204570283828321</v>
      </c>
      <c r="AK52" s="17">
        <f>$AG52*INDEX(盗宝贼掉落!$D$64:$D$67,MATCH(AK$16,盗宝贼掉落!$B$64:$B$67,0))*INDEX(盗宝贼掉落!$G$64:$G$67,MATCH(AK$16,盗宝贼掉落!$B$64:$B$67,0))</f>
        <v>0</v>
      </c>
      <c r="AL52" s="17">
        <f t="shared" si="48"/>
        <v>2649.7202900593311</v>
      </c>
      <c r="AM52" s="17">
        <f t="shared" si="37"/>
        <v>696.51542719502834</v>
      </c>
      <c r="AN52" s="17">
        <f t="shared" si="38"/>
        <v>126.46165211023562</v>
      </c>
      <c r="AO52" s="17">
        <f t="shared" si="39"/>
        <v>32.419027275469098</v>
      </c>
      <c r="AP52" s="84">
        <f>IFERROR(MAX(MIN(求节点(宝物升星!D$67:D$72,宝物升星!$C$67:$C$72,AL52/基础状态预期!C$8),宝物升星!D$14),AP51),AP51)</f>
        <v>0</v>
      </c>
      <c r="AQ52" s="84">
        <f>IFERROR(MAX(MIN(求节点(宝物升星!E$67:E$72,宝物升星!$C$67:$C$72,AM52/基础状态预期!D$8),宝物升星!E$14),AQ51),AQ51)</f>
        <v>3</v>
      </c>
      <c r="AR52" s="84">
        <f>IFERROR(MAX(MIN(求节点(宝物升星!F$67:F$72,宝物升星!$C$67:$C$72,AN52/基础状态预期!E$8),宝物升星!F$14),AR51),AR51)</f>
        <v>5</v>
      </c>
      <c r="AS52" s="54">
        <f>IFERROR(MAX(MIN(求节点(宝物升星!G$67:G$72,宝物升星!$C$67:$C$72,AO52/MAX(基础状态预期!L52,基础状态预期!L51)),宝物升星!G$14),AS51),AS51)</f>
        <v>4.403171212578183</v>
      </c>
      <c r="AV52" s="38">
        <f t="shared" si="40"/>
        <v>0.61174433009197338</v>
      </c>
      <c r="AW52" s="38">
        <f t="shared" si="49"/>
        <v>0.16532633874634967</v>
      </c>
      <c r="AX52" s="38">
        <f t="shared" si="50"/>
        <v>0.22292933116167693</v>
      </c>
      <c r="AY52" s="38">
        <f t="shared" si="41"/>
        <v>0.77574322141543373</v>
      </c>
      <c r="AZ52" s="38">
        <f t="shared" si="51"/>
        <v>0.16771815321558339</v>
      </c>
      <c r="BA52" s="38">
        <f t="shared" si="52"/>
        <v>5.6538625368982846E-2</v>
      </c>
      <c r="BB52" s="38">
        <f t="shared" si="42"/>
        <v>0.7690638245151904</v>
      </c>
      <c r="BC52" s="38">
        <f t="shared" si="53"/>
        <v>0.23093617548480966</v>
      </c>
      <c r="BD52" s="38">
        <f t="shared" si="54"/>
        <v>0</v>
      </c>
      <c r="BE52" s="38">
        <f t="shared" si="43"/>
        <v>1</v>
      </c>
      <c r="BF52" s="38">
        <f t="shared" si="55"/>
        <v>0</v>
      </c>
      <c r="BG52" s="38">
        <f t="shared" si="56"/>
        <v>0</v>
      </c>
      <c r="BJ52" s="16">
        <v>419.81569783003204</v>
      </c>
      <c r="BK52" s="16">
        <v>182.528564273927</v>
      </c>
      <c r="BL52" s="16">
        <v>12.168570951595132</v>
      </c>
      <c r="BM52" s="16">
        <v>4.2589998330582963</v>
      </c>
      <c r="BN52" s="16">
        <v>2354.1299260219407</v>
      </c>
      <c r="BO52" s="16">
        <v>669.36203949886828</v>
      </c>
      <c r="BP52" s="16">
        <v>92.691389454328288</v>
      </c>
      <c r="BQ52" s="16">
        <v>31.099939333969346</v>
      </c>
      <c r="BR52" s="16">
        <v>0</v>
      </c>
      <c r="BS52" s="16">
        <v>3</v>
      </c>
      <c r="BT52" s="16">
        <v>5</v>
      </c>
      <c r="BU52" s="16">
        <v>4.183323222328224</v>
      </c>
      <c r="BX52" s="37" t="str">
        <f t="shared" si="29"/>
        <v/>
      </c>
    </row>
    <row r="53" spans="14:76">
      <c r="N53" s="16">
        <v>13</v>
      </c>
      <c r="O53" s="17">
        <v>110</v>
      </c>
      <c r="P53" s="17">
        <f>求节点(节奏总纲!$O$4:$O$163,节奏总纲!Q$4:Q$163,O53)</f>
        <v>1741.3829000000001</v>
      </c>
      <c r="Q53" s="17">
        <f>INDEX(其他调用!$D$4:$D$163,$O53)*$P$10</f>
        <v>1947877.0333388925</v>
      </c>
      <c r="R53" s="50">
        <v>1</v>
      </c>
      <c r="S53" s="17">
        <f t="shared" si="30"/>
        <v>0.375</v>
      </c>
      <c r="T53" s="17">
        <f t="shared" si="31"/>
        <v>0.125</v>
      </c>
      <c r="U53" s="17">
        <f t="shared" si="32"/>
        <v>2.2500000000000003E-2</v>
      </c>
      <c r="V53" s="17">
        <f t="shared" si="33"/>
        <v>7.4999999999999997E-3</v>
      </c>
      <c r="W53" s="17">
        <f t="shared" si="44"/>
        <v>521439.83321825229</v>
      </c>
      <c r="X53" s="17">
        <f t="shared" si="57"/>
        <v>2213.4966287941961</v>
      </c>
      <c r="Y53" s="17">
        <f t="shared" si="45"/>
        <v>737.83220959806533</v>
      </c>
      <c r="Z53" s="17">
        <f t="shared" si="46"/>
        <v>132.80979772765178</v>
      </c>
      <c r="AA53" s="17">
        <f t="shared" si="47"/>
        <v>44.269932575883921</v>
      </c>
      <c r="AB53" s="17">
        <f>求节点(盗宝贼掉落!$CV$5:$CV$164,盗宝贼掉落!$DD$5:$DD$164,$O53)</f>
        <v>1123.5790623886301</v>
      </c>
      <c r="AC53" s="17">
        <f>$AB53*INDEX(盗宝贼掉落!$D$64:$D$67,MATCH(AC$16,盗宝贼掉落!$B$64:$B$67,0))*INDEX(盗宝贼掉落!$F$64:$F$67,MATCH(AC$16,盗宝贼掉落!$B$64:$B$67,0))</f>
        <v>842.68429679147255</v>
      </c>
      <c r="AD53" s="17">
        <f>$AB53*INDEX(盗宝贼掉落!$D$64:$D$67,MATCH(AD$16,盗宝贼掉落!$B$64:$B$67,0))*INDEX(盗宝贼掉落!$F$64:$F$67,MATCH(AD$16,盗宝贼掉落!$B$64:$B$67,0))</f>
        <v>56.178953119431505</v>
      </c>
      <c r="AE53" s="17">
        <f>$AB53*INDEX(盗宝贼掉落!$D$64:$D$67,MATCH(AE$16,盗宝贼掉落!$B$64:$B$67,0))*INDEX(盗宝贼掉落!$F$64:$F$67,MATCH(AE$16,盗宝贼掉落!$B$64:$B$67,0))</f>
        <v>0</v>
      </c>
      <c r="AF53" s="17">
        <f>$AB53*INDEX(盗宝贼掉落!$D$64:$D$67,MATCH(AF$16,盗宝贼掉落!$B$64:$B$67,0))*INDEX(盗宝贼掉落!$F$64:$F$67,MATCH(AF$16,盗宝贼掉落!$B$64:$B$67,0))</f>
        <v>0</v>
      </c>
      <c r="AG53" s="17">
        <f>求节点(匈奴铁骑掉落!$J$7:$J$166,匈奴铁骑掉落!L$7:L$166,O53)</f>
        <v>2068.0594799999999</v>
      </c>
      <c r="AH53" s="17">
        <f>$AG53*INDEX(盗宝贼掉落!$D$64:$D$67,MATCH(AH$16,盗宝贼掉落!$B$64:$B$67,0))*INDEX(盗宝贼掉落!$G$64:$G$67,MATCH(AH$16,盗宝贼掉落!$B$64:$B$67,0))</f>
        <v>620.41784400000006</v>
      </c>
      <c r="AI53" s="17">
        <f>$AG53*INDEX(盗宝贼掉落!$D$64:$D$67,MATCH(AI$16,盗宝贼掉落!$B$64:$B$67,0))*INDEX(盗宝贼掉落!$G$64:$G$67,MATCH(AI$16,盗宝贼掉落!$B$64:$B$67,0))</f>
        <v>165.44475840000001</v>
      </c>
      <c r="AJ53" s="17">
        <f>$AG53*INDEX(盗宝贼掉落!$D$64:$D$67,MATCH(AJ$16,盗宝贼掉落!$B$64:$B$67,0))*INDEX(盗宝贼掉落!$G$64:$G$67,MATCH(AJ$16,盗宝贼掉落!$B$64:$B$67,0))</f>
        <v>41.361189599999996</v>
      </c>
      <c r="AK53" s="17">
        <f>$AG53*INDEX(盗宝贼掉落!$D$64:$D$67,MATCH(AK$16,盗宝贼掉落!$B$64:$B$67,0))*INDEX(盗宝贼掉落!$G$64:$G$67,MATCH(AK$16,盗宝贼掉落!$B$64:$B$67,0))</f>
        <v>0</v>
      </c>
      <c r="AL53" s="17">
        <f t="shared" si="48"/>
        <v>3676.5987695856688</v>
      </c>
      <c r="AM53" s="17">
        <f t="shared" si="37"/>
        <v>959.45592111749693</v>
      </c>
      <c r="AN53" s="17">
        <f t="shared" si="38"/>
        <v>174.17098732765177</v>
      </c>
      <c r="AO53" s="17">
        <f t="shared" si="39"/>
        <v>44.269932575883921</v>
      </c>
      <c r="AP53" s="84">
        <f>IFERROR(MAX(MIN(求节点(宝物升星!D$67:D$72,宝物升星!$C$67:$C$72,AL53/基础状态预期!C$8),宝物升星!D$14),AP52),AP52)</f>
        <v>0</v>
      </c>
      <c r="AQ53" s="84">
        <f>IFERROR(MAX(MIN(求节点(宝物升星!E$67:E$72,宝物升星!$C$67:$C$72,AM53/基础状态预期!D$8),宝物升星!E$14),AQ52),AQ52)</f>
        <v>3</v>
      </c>
      <c r="AR53" s="84">
        <f>IFERROR(MAX(MIN(求节点(宝物升星!F$67:F$72,宝物升星!$C$67:$C$72,AN53/基础状态预期!E$8),宝物升星!F$14),AR52),AR52)</f>
        <v>5</v>
      </c>
      <c r="AS53" s="54">
        <f>IFERROR(MAX(MIN(求节点(宝物升星!G$67:G$72,宝物升星!$C$67:$C$72,AO53/MAX(基础状态预期!L53,基础状态预期!L52)),宝物升星!G$14),AS52),AS52)</f>
        <v>5</v>
      </c>
      <c r="AV53" s="38">
        <f t="shared" si="40"/>
        <v>0.60205009235849916</v>
      </c>
      <c r="AW53" s="38">
        <f t="shared" si="49"/>
        <v>0.16874777012176326</v>
      </c>
      <c r="AX53" s="38">
        <f t="shared" si="50"/>
        <v>0.22920213751973761</v>
      </c>
      <c r="AY53" s="38">
        <f t="shared" si="41"/>
        <v>0.76901105445125384</v>
      </c>
      <c r="AZ53" s="38">
        <f t="shared" si="51"/>
        <v>0.17243601791242613</v>
      </c>
      <c r="BA53" s="38">
        <f t="shared" si="52"/>
        <v>5.8552927636319953E-2</v>
      </c>
      <c r="BB53" s="38">
        <f t="shared" si="42"/>
        <v>0.76252537673113718</v>
      </c>
      <c r="BC53" s="38">
        <f t="shared" si="53"/>
        <v>0.23747462326886287</v>
      </c>
      <c r="BD53" s="38">
        <f t="shared" si="54"/>
        <v>0</v>
      </c>
      <c r="BE53" s="38">
        <f t="shared" si="43"/>
        <v>1</v>
      </c>
      <c r="BF53" s="38">
        <f t="shared" si="55"/>
        <v>0</v>
      </c>
      <c r="BG53" s="38">
        <f t="shared" si="56"/>
        <v>0</v>
      </c>
      <c r="BJ53" s="16">
        <v>594.56710049999992</v>
      </c>
      <c r="BK53" s="16">
        <v>258.50743499999999</v>
      </c>
      <c r="BL53" s="16">
        <v>17.233829</v>
      </c>
      <c r="BM53" s="16">
        <v>6.0318401500000007</v>
      </c>
      <c r="BN53" s="16">
        <v>2985.5466332698124</v>
      </c>
      <c r="BO53" s="16">
        <v>830.36696514743676</v>
      </c>
      <c r="BP53" s="16">
        <v>110.0375302916261</v>
      </c>
      <c r="BQ53" s="16">
        <v>36.966407247208693</v>
      </c>
      <c r="BR53" s="16">
        <v>0</v>
      </c>
      <c r="BS53" s="16">
        <v>3</v>
      </c>
      <c r="BT53" s="16">
        <v>5</v>
      </c>
      <c r="BU53" s="16">
        <v>5</v>
      </c>
      <c r="BX53" s="37" t="str">
        <f t="shared" si="29"/>
        <v/>
      </c>
    </row>
    <row r="54" spans="14:76">
      <c r="N54" s="16">
        <v>14</v>
      </c>
      <c r="O54" s="17">
        <v>115</v>
      </c>
      <c r="P54" s="17">
        <f>求节点(节奏总纲!$O$4:$O$163,节奏总纲!Q$4:Q$163,O54)</f>
        <v>2463.0396859421021</v>
      </c>
      <c r="Q54" s="17">
        <f>INDEX(其他调用!$D$4:$D$163,$O54)*$P$10</f>
        <v>2678587.5746694133</v>
      </c>
      <c r="R54" s="50">
        <v>1</v>
      </c>
      <c r="S54" s="17">
        <f t="shared" si="30"/>
        <v>0.375</v>
      </c>
      <c r="T54" s="17">
        <f t="shared" si="31"/>
        <v>0.125</v>
      </c>
      <c r="U54" s="17">
        <f t="shared" si="32"/>
        <v>2.2500000000000003E-2</v>
      </c>
      <c r="V54" s="17">
        <f t="shared" si="33"/>
        <v>7.4999999999999997E-3</v>
      </c>
      <c r="W54" s="17">
        <f t="shared" si="44"/>
        <v>730710.54133052076</v>
      </c>
      <c r="X54" s="17">
        <f t="shared" si="57"/>
        <v>3043.849516669788</v>
      </c>
      <c r="Y54" s="17">
        <f t="shared" si="45"/>
        <v>1014.6165055565959</v>
      </c>
      <c r="Z54" s="17">
        <f t="shared" si="46"/>
        <v>182.63097100018729</v>
      </c>
      <c r="AA54" s="17">
        <f t="shared" si="47"/>
        <v>60.876990333395753</v>
      </c>
      <c r="AB54" s="17">
        <f>求节点(盗宝贼掉落!$CV$5:$CV$164,盗宝贼掉落!$DD$5:$DD$164,$O54)</f>
        <v>1602.2540085040266</v>
      </c>
      <c r="AC54" s="17">
        <f>$AB54*INDEX(盗宝贼掉落!$D$64:$D$67,MATCH(AC$16,盗宝贼掉落!$B$64:$B$67,0))*INDEX(盗宝贼掉落!$F$64:$F$67,MATCH(AC$16,盗宝贼掉落!$B$64:$B$67,0))</f>
        <v>1201.69050637802</v>
      </c>
      <c r="AD54" s="17">
        <f>$AB54*INDEX(盗宝贼掉落!$D$64:$D$67,MATCH(AD$16,盗宝贼掉落!$B$64:$B$67,0))*INDEX(盗宝贼掉落!$F$64:$F$67,MATCH(AD$16,盗宝贼掉落!$B$64:$B$67,0))</f>
        <v>80.112700425201339</v>
      </c>
      <c r="AE54" s="17">
        <f>$AB54*INDEX(盗宝贼掉落!$D$64:$D$67,MATCH(AE$16,盗宝贼掉落!$B$64:$B$67,0))*INDEX(盗宝贼掉落!$F$64:$F$67,MATCH(AE$16,盗宝贼掉落!$B$64:$B$67,0))</f>
        <v>0</v>
      </c>
      <c r="AF54" s="17">
        <f>$AB54*INDEX(盗宝贼掉落!$D$64:$D$67,MATCH(AF$16,盗宝贼掉落!$B$64:$B$67,0))*INDEX(盗宝贼掉落!$F$64:$F$67,MATCH(AF$16,盗宝贼掉落!$B$64:$B$67,0))</f>
        <v>0</v>
      </c>
      <c r="AG54" s="17">
        <f>求节点(匈奴铁骑掉落!$J$7:$J$166,匈奴铁骑掉落!L$7:L$166,O54)</f>
        <v>2934.0476231305229</v>
      </c>
      <c r="AH54" s="17">
        <f>$AG54*INDEX(盗宝贼掉落!$D$64:$D$67,MATCH(AH$16,盗宝贼掉落!$B$64:$B$67,0))*INDEX(盗宝贼掉落!$G$64:$G$67,MATCH(AH$16,盗宝贼掉落!$B$64:$B$67,0))</f>
        <v>880.21428693915698</v>
      </c>
      <c r="AI54" s="17">
        <f>$AG54*INDEX(盗宝贼掉落!$D$64:$D$67,MATCH(AI$16,盗宝贼掉落!$B$64:$B$67,0))*INDEX(盗宝贼掉落!$G$64:$G$67,MATCH(AI$16,盗宝贼掉落!$B$64:$B$67,0))</f>
        <v>234.72380985044185</v>
      </c>
      <c r="AJ54" s="17">
        <f>$AG54*INDEX(盗宝贼掉落!$D$64:$D$67,MATCH(AJ$16,盗宝贼掉落!$B$64:$B$67,0))*INDEX(盗宝贼掉落!$G$64:$G$67,MATCH(AJ$16,盗宝贼掉落!$B$64:$B$67,0))</f>
        <v>58.680952462610449</v>
      </c>
      <c r="AK54" s="17">
        <f>$AG54*INDEX(盗宝贼掉落!$D$64:$D$67,MATCH(AK$16,盗宝贼掉落!$B$64:$B$67,0))*INDEX(盗宝贼掉落!$G$64:$G$67,MATCH(AK$16,盗宝贼掉落!$B$64:$B$67,0))</f>
        <v>0</v>
      </c>
      <c r="AL54" s="17">
        <f t="shared" si="48"/>
        <v>5125.7543099869654</v>
      </c>
      <c r="AM54" s="17">
        <f t="shared" si="37"/>
        <v>1329.4530158322391</v>
      </c>
      <c r="AN54" s="17">
        <f t="shared" si="38"/>
        <v>241.31192346279772</v>
      </c>
      <c r="AO54" s="17">
        <f t="shared" si="39"/>
        <v>60.876990333395753</v>
      </c>
      <c r="AP54" s="84">
        <f>IFERROR(MAX(MIN(求节点(宝物升星!D$67:D$72,宝物升星!$C$67:$C$72,AL54/基础状态预期!C$8),宝物升星!D$14),AP53),AP53)</f>
        <v>0</v>
      </c>
      <c r="AQ54" s="84">
        <f>IFERROR(MAX(MIN(求节点(宝物升星!E$67:E$72,宝物升星!$C$67:$C$72,AM54/基础状态预期!D$8),宝物升星!E$14),AQ53),AQ53)</f>
        <v>3</v>
      </c>
      <c r="AR54" s="84">
        <f>IFERROR(MAX(MIN(求节点(宝物升星!F$67:F$72,宝物升星!$C$67:$C$72,AN54/基础状态预期!E$8),宝物升星!F$14),AR53),AR53)</f>
        <v>5</v>
      </c>
      <c r="AS54" s="54">
        <f>IFERROR(MAX(MIN(求节点(宝物升星!G$67:G$72,宝物升星!$C$67:$C$72,AO54/MAX(基础状态预期!L54,基础状态预期!L53)),宝物升星!G$14),AS53),AS53)</f>
        <v>5</v>
      </c>
      <c r="AV54" s="38">
        <f t="shared" si="40"/>
        <v>0.59383445490923825</v>
      </c>
      <c r="AW54" s="38">
        <f t="shared" si="49"/>
        <v>0.17172385442356392</v>
      </c>
      <c r="AX54" s="38">
        <f t="shared" si="50"/>
        <v>0.23444169066719781</v>
      </c>
      <c r="AY54" s="38">
        <f t="shared" si="41"/>
        <v>0.76318342466690703</v>
      </c>
      <c r="AZ54" s="38">
        <f t="shared" si="51"/>
        <v>0.17655667936749497</v>
      </c>
      <c r="BA54" s="38">
        <f t="shared" si="52"/>
        <v>6.0259895965598075E-2</v>
      </c>
      <c r="BB54" s="38">
        <f t="shared" si="42"/>
        <v>0.75682530883453392</v>
      </c>
      <c r="BC54" s="38">
        <f t="shared" si="53"/>
        <v>0.24317469116546619</v>
      </c>
      <c r="BD54" s="38">
        <f t="shared" si="54"/>
        <v>0</v>
      </c>
      <c r="BE54" s="38">
        <f t="shared" si="43"/>
        <v>1</v>
      </c>
      <c r="BF54" s="38">
        <f t="shared" si="55"/>
        <v>0</v>
      </c>
      <c r="BG54" s="38">
        <f t="shared" si="56"/>
        <v>0</v>
      </c>
      <c r="BJ54" s="16">
        <v>843.53869165002516</v>
      </c>
      <c r="BK54" s="16">
        <v>366.75595289131536</v>
      </c>
      <c r="BL54" s="16">
        <v>24.450396859421023</v>
      </c>
      <c r="BM54" s="16">
        <v>8.5576389007973592</v>
      </c>
      <c r="BN54" s="16">
        <v>3798.2058138212674</v>
      </c>
      <c r="BO54" s="16">
        <v>1030.7763569494828</v>
      </c>
      <c r="BP54" s="16">
        <v>129.53498093994006</v>
      </c>
      <c r="BQ54" s="16">
        <v>43.585833594303693</v>
      </c>
      <c r="BR54" s="16">
        <v>0</v>
      </c>
      <c r="BS54" s="16">
        <v>3</v>
      </c>
      <c r="BT54" s="16">
        <v>5</v>
      </c>
      <c r="BU54" s="16">
        <v>5</v>
      </c>
      <c r="BX54" s="37" t="str">
        <f t="shared" si="29"/>
        <v/>
      </c>
    </row>
    <row r="55" spans="14:76">
      <c r="N55" s="16">
        <v>15</v>
      </c>
      <c r="O55" s="17">
        <v>120</v>
      </c>
      <c r="P55" s="17">
        <f>求节点(节奏总纲!$O$4:$O$163,节奏总纲!Q$4:Q$163,O55)</f>
        <v>3486.0735</v>
      </c>
      <c r="Q55" s="17">
        <f>INDEX(其他调用!$D$4:$D$163,$O55)*$P$10</f>
        <v>3695694.313176956</v>
      </c>
      <c r="R55" s="50">
        <v>1</v>
      </c>
      <c r="S55" s="17">
        <f t="shared" si="30"/>
        <v>0.375</v>
      </c>
      <c r="T55" s="17">
        <f t="shared" si="31"/>
        <v>0.125</v>
      </c>
      <c r="U55" s="17">
        <f t="shared" si="32"/>
        <v>2.2500000000000003E-2</v>
      </c>
      <c r="V55" s="17">
        <f t="shared" si="33"/>
        <v>7.4999999999999997E-3</v>
      </c>
      <c r="W55" s="17">
        <f t="shared" si="44"/>
        <v>1017106.7385075428</v>
      </c>
      <c r="X55" s="17">
        <f t="shared" si="57"/>
        <v>4199.652628610178</v>
      </c>
      <c r="Y55" s="17">
        <f t="shared" si="45"/>
        <v>1399.8842095367258</v>
      </c>
      <c r="Z55" s="17">
        <f t="shared" si="46"/>
        <v>251.97915771661067</v>
      </c>
      <c r="AA55" s="17">
        <f t="shared" si="47"/>
        <v>83.993052572203538</v>
      </c>
      <c r="AB55" s="17">
        <f>求节点(盗宝贼掉落!$CV$5:$CV$164,盗宝贼掉落!$DD$5:$DD$164,$O55)</f>
        <v>2280.8323373686299</v>
      </c>
      <c r="AC55" s="17">
        <f>$AB55*INDEX(盗宝贼掉落!$D$64:$D$67,MATCH(AC$16,盗宝贼掉落!$B$64:$B$67,0))*INDEX(盗宝贼掉落!$F$64:$F$67,MATCH(AC$16,盗宝贼掉落!$B$64:$B$67,0))</f>
        <v>1710.6242530264724</v>
      </c>
      <c r="AD55" s="17">
        <f>$AB55*INDEX(盗宝贼掉落!$D$64:$D$67,MATCH(AD$16,盗宝贼掉落!$B$64:$B$67,0))*INDEX(盗宝贼掉落!$F$64:$F$67,MATCH(AD$16,盗宝贼掉落!$B$64:$B$67,0))</f>
        <v>114.0416168684315</v>
      </c>
      <c r="AE55" s="17">
        <f>$AB55*INDEX(盗宝贼掉落!$D$64:$D$67,MATCH(AE$16,盗宝贼掉落!$B$64:$B$67,0))*INDEX(盗宝贼掉落!$F$64:$F$67,MATCH(AE$16,盗宝贼掉落!$B$64:$B$67,0))</f>
        <v>0</v>
      </c>
      <c r="AF55" s="17">
        <f>$AB55*INDEX(盗宝贼掉落!$D$64:$D$67,MATCH(AF$16,盗宝贼掉落!$B$64:$B$67,0))*INDEX(盗宝贼掉落!$F$64:$F$67,MATCH(AF$16,盗宝贼掉落!$B$64:$B$67,0))</f>
        <v>0</v>
      </c>
      <c r="AG55" s="17">
        <f>求节点(匈奴铁骑掉落!$J$7:$J$166,匈奴铁骑掉落!L$7:L$166,O55)</f>
        <v>4161.6881999999996</v>
      </c>
      <c r="AH55" s="17">
        <f>$AG55*INDEX(盗宝贼掉落!$D$64:$D$67,MATCH(AH$16,盗宝贼掉落!$B$64:$B$67,0))*INDEX(盗宝贼掉落!$G$64:$G$67,MATCH(AH$16,盗宝贼掉落!$B$64:$B$67,0))</f>
        <v>1248.5064600000001</v>
      </c>
      <c r="AI55" s="17">
        <f>$AG55*INDEX(盗宝贼掉落!$D$64:$D$67,MATCH(AI$16,盗宝贼掉落!$B$64:$B$67,0))*INDEX(盗宝贼掉落!$G$64:$G$67,MATCH(AI$16,盗宝贼掉落!$B$64:$B$67,0))</f>
        <v>332.93505600000003</v>
      </c>
      <c r="AJ55" s="17">
        <f>$AG55*INDEX(盗宝贼掉落!$D$64:$D$67,MATCH(AJ$16,盗宝贼掉落!$B$64:$B$67,0))*INDEX(盗宝贼掉落!$G$64:$G$67,MATCH(AJ$16,盗宝贼掉落!$B$64:$B$67,0))</f>
        <v>83.233763999999994</v>
      </c>
      <c r="AK55" s="17">
        <f>$AG55*INDEX(盗宝贼掉落!$D$64:$D$67,MATCH(AK$16,盗宝贼掉落!$B$64:$B$67,0))*INDEX(盗宝贼掉落!$G$64:$G$67,MATCH(AK$16,盗宝贼掉落!$B$64:$B$67,0))</f>
        <v>0</v>
      </c>
      <c r="AL55" s="17">
        <f t="shared" si="48"/>
        <v>7158.7833416366502</v>
      </c>
      <c r="AM55" s="17">
        <f t="shared" si="37"/>
        <v>1846.8608824051573</v>
      </c>
      <c r="AN55" s="17">
        <f t="shared" si="38"/>
        <v>335.21292171661065</v>
      </c>
      <c r="AO55" s="17">
        <f t="shared" si="39"/>
        <v>83.993052572203538</v>
      </c>
      <c r="AP55" s="84">
        <f>IFERROR(MAX(MIN(求节点(宝物升星!D$67:D$72,宝物升星!$C$67:$C$72,AL55/基础状态预期!C$8),宝物升星!D$14),AP54),AP54)</f>
        <v>0</v>
      </c>
      <c r="AQ55" s="84">
        <f>IFERROR(MAX(MIN(求节点(宝物升星!E$67:E$72,宝物升星!$C$67:$C$72,AM55/基础状态预期!D$8),宝物升星!E$14),AQ54),AQ54)</f>
        <v>3</v>
      </c>
      <c r="AR55" s="84">
        <f>IFERROR(MAX(MIN(求节点(宝物升星!F$67:F$72,宝物升星!$C$67:$C$72,AN55/基础状态预期!E$8),宝物升星!F$14),AR54),AR54)</f>
        <v>5</v>
      </c>
      <c r="AS55" s="54">
        <f>IFERROR(MAX(MIN(求节点(宝物升星!G$67:G$72,宝物升星!$C$67:$C$72,AO55/MAX(基础状态预期!L55,基础状态预期!L54)),宝物升星!G$14),AS54),AS54)</f>
        <v>5</v>
      </c>
      <c r="AV55" s="38">
        <f t="shared" si="40"/>
        <v>0.58664334820475905</v>
      </c>
      <c r="AW55" s="38">
        <f t="shared" si="49"/>
        <v>0.17440204576921375</v>
      </c>
      <c r="AX55" s="38">
        <f t="shared" si="50"/>
        <v>0.23895460602602722</v>
      </c>
      <c r="AY55" s="38">
        <f t="shared" si="41"/>
        <v>0.75798032373378543</v>
      </c>
      <c r="AZ55" s="38">
        <f t="shared" si="51"/>
        <v>0.18027078226185636</v>
      </c>
      <c r="BA55" s="38">
        <f t="shared" si="52"/>
        <v>6.1748894004358193E-2</v>
      </c>
      <c r="BB55" s="38">
        <f t="shared" si="42"/>
        <v>0.75169882004021937</v>
      </c>
      <c r="BC55" s="38">
        <f t="shared" si="53"/>
        <v>0.24830117995978063</v>
      </c>
      <c r="BD55" s="38">
        <f t="shared" si="54"/>
        <v>0</v>
      </c>
      <c r="BE55" s="38">
        <f t="shared" si="43"/>
        <v>1</v>
      </c>
      <c r="BF55" s="38">
        <f t="shared" si="55"/>
        <v>0</v>
      </c>
      <c r="BG55" s="38">
        <f t="shared" si="56"/>
        <v>0</v>
      </c>
      <c r="BJ55" s="16">
        <v>1196.4853574999997</v>
      </c>
      <c r="BK55" s="16">
        <v>520.21102499999995</v>
      </c>
      <c r="BL55" s="16">
        <v>34.680734999999999</v>
      </c>
      <c r="BM55" s="16">
        <v>12.138257250000001</v>
      </c>
      <c r="BN55" s="16">
        <v>4864.7676061345765</v>
      </c>
      <c r="BO55" s="16">
        <v>1286.387472106358</v>
      </c>
      <c r="BP55" s="16">
        <v>152.04620186941196</v>
      </c>
      <c r="BQ55" s="16">
        <v>51.260079539803975</v>
      </c>
      <c r="BR55" s="16">
        <v>0</v>
      </c>
      <c r="BS55" s="16">
        <v>3</v>
      </c>
      <c r="BT55" s="16">
        <v>5</v>
      </c>
      <c r="BU55" s="16">
        <v>5</v>
      </c>
      <c r="BX55" s="37" t="str">
        <f t="shared" si="29"/>
        <v/>
      </c>
    </row>
    <row r="56" spans="14:76">
      <c r="N56" s="16">
        <v>16</v>
      </c>
      <c r="O56" s="17">
        <v>125</v>
      </c>
      <c r="P56" s="17">
        <f>求节点(节奏总纲!$O$4:$O$163,节奏总纲!Q$4:Q$163,O56)</f>
        <v>4918.821805632133</v>
      </c>
      <c r="Q56" s="17">
        <f>INDEX(其他调用!$D$4:$D$163,$O56)*$P$10</f>
        <v>5102064.8727119109</v>
      </c>
      <c r="R56" s="50">
        <v>1</v>
      </c>
      <c r="S56" s="17">
        <f t="shared" si="30"/>
        <v>0.375</v>
      </c>
      <c r="T56" s="17">
        <f t="shared" si="31"/>
        <v>0.125</v>
      </c>
      <c r="U56" s="17">
        <f t="shared" si="32"/>
        <v>2.2500000000000003E-2</v>
      </c>
      <c r="V56" s="17">
        <f t="shared" si="33"/>
        <v>7.4999999999999997E-3</v>
      </c>
      <c r="W56" s="17">
        <f t="shared" si="44"/>
        <v>1406370.5595349548</v>
      </c>
      <c r="X56" s="17">
        <f t="shared" si="57"/>
        <v>5797.8009917180807</v>
      </c>
      <c r="Y56" s="17">
        <f t="shared" si="45"/>
        <v>1932.6003305726936</v>
      </c>
      <c r="Z56" s="17">
        <f t="shared" si="46"/>
        <v>347.86805950308485</v>
      </c>
      <c r="AA56" s="17">
        <f t="shared" si="47"/>
        <v>115.9560198343616</v>
      </c>
      <c r="AB56" s="17">
        <f>求节点(盗宝贼掉落!$CV$5:$CV$164,盗宝贼掉落!$DD$5:$DD$164,$O56)</f>
        <v>3231.1742884944238</v>
      </c>
      <c r="AC56" s="17">
        <f>$AB56*INDEX(盗宝贼掉落!$D$64:$D$67,MATCH(AC$16,盗宝贼掉落!$B$64:$B$67,0))*INDEX(盗宝贼掉落!$F$64:$F$67,MATCH(AC$16,盗宝贼掉落!$B$64:$B$67,0))</f>
        <v>2423.3807163708179</v>
      </c>
      <c r="AD56" s="17">
        <f>$AB56*INDEX(盗宝贼掉落!$D$64:$D$67,MATCH(AD$16,盗宝贼掉落!$B$64:$B$67,0))*INDEX(盗宝贼掉落!$F$64:$F$67,MATCH(AD$16,盗宝贼掉落!$B$64:$B$67,0))</f>
        <v>161.55871442472119</v>
      </c>
      <c r="AE56" s="17">
        <f>$AB56*INDEX(盗宝贼掉落!$D$64:$D$67,MATCH(AE$16,盗宝贼掉落!$B$64:$B$67,0))*INDEX(盗宝贼掉落!$F$64:$F$67,MATCH(AE$16,盗宝贼掉落!$B$64:$B$67,0))</f>
        <v>0</v>
      </c>
      <c r="AF56" s="17">
        <f>$AB56*INDEX(盗宝贼掉落!$D$64:$D$67,MATCH(AF$16,盗宝贼掉落!$B$64:$B$67,0))*INDEX(盗宝贼掉落!$F$64:$F$67,MATCH(AF$16,盗宝贼掉落!$B$64:$B$67,0))</f>
        <v>0</v>
      </c>
      <c r="AG56" s="17">
        <f>求节点(匈奴铁骑掉落!$J$7:$J$166,匈奴铁骑掉落!L$7:L$166,O56)</f>
        <v>5880.9861667585601</v>
      </c>
      <c r="AH56" s="17">
        <f>$AG56*INDEX(盗宝贼掉落!$D$64:$D$67,MATCH(AH$16,盗宝贼掉落!$B$64:$B$67,0))*INDEX(盗宝贼掉落!$G$64:$G$67,MATCH(AH$16,盗宝贼掉落!$B$64:$B$67,0))</f>
        <v>1764.2958500275683</v>
      </c>
      <c r="AI56" s="17">
        <f>$AG56*INDEX(盗宝贼掉落!$D$64:$D$67,MATCH(AI$16,盗宝贼掉落!$B$64:$B$67,0))*INDEX(盗宝贼掉落!$G$64:$G$67,MATCH(AI$16,盗宝贼掉落!$B$64:$B$67,0))</f>
        <v>470.47889334068486</v>
      </c>
      <c r="AJ56" s="17">
        <f>$AG56*INDEX(盗宝贼掉落!$D$64:$D$67,MATCH(AJ$16,盗宝贼掉落!$B$64:$B$67,0))*INDEX(盗宝贼掉落!$G$64:$G$67,MATCH(AJ$16,盗宝贼掉落!$B$64:$B$67,0))</f>
        <v>117.61972333517119</v>
      </c>
      <c r="AK56" s="17">
        <f>$AG56*INDEX(盗宝贼掉落!$D$64:$D$67,MATCH(AK$16,盗宝贼掉落!$B$64:$B$67,0))*INDEX(盗宝贼掉落!$G$64:$G$67,MATCH(AK$16,盗宝贼掉落!$B$64:$B$67,0))</f>
        <v>0</v>
      </c>
      <c r="AL56" s="17">
        <f t="shared" si="48"/>
        <v>9985.4775581164668</v>
      </c>
      <c r="AM56" s="17">
        <f t="shared" si="37"/>
        <v>2564.6379383380995</v>
      </c>
      <c r="AN56" s="17">
        <f t="shared" si="38"/>
        <v>465.48778283825607</v>
      </c>
      <c r="AO56" s="17">
        <f t="shared" si="39"/>
        <v>115.9560198343616</v>
      </c>
      <c r="AP56" s="84">
        <f>IFERROR(MAX(MIN(求节点(宝物升星!D$67:D$72,宝物升星!$C$67:$C$72,AL56/基础状态预期!C$8),宝物升星!D$14),AP55),AP55)</f>
        <v>0</v>
      </c>
      <c r="AQ56" s="84">
        <f>IFERROR(MAX(MIN(求节点(宝物升星!E$67:E$72,宝物升星!$C$67:$C$72,AM56/基础状态预期!D$8),宝物升星!E$14),AQ55),AQ55)</f>
        <v>3</v>
      </c>
      <c r="AR56" s="84">
        <f>IFERROR(MAX(MIN(求节点(宝物升星!F$67:F$72,宝物升星!$C$67:$C$72,AN56/基础状态预期!E$8),宝物升星!F$14),AR55),AR55)</f>
        <v>5</v>
      </c>
      <c r="AS56" s="54">
        <f>IFERROR(MAX(MIN(求节点(宝物升星!G$67:G$72,宝物升星!$C$67:$C$72,AO56/MAX(基础状态预期!L56,基础状态预期!L55)),宝物升星!G$14),AS55),AS55)</f>
        <v>5</v>
      </c>
      <c r="AV56" s="38">
        <f t="shared" si="40"/>
        <v>0.58062330599355971</v>
      </c>
      <c r="AW56" s="38">
        <f t="shared" si="49"/>
        <v>0.17668617647570606</v>
      </c>
      <c r="AX56" s="38">
        <f t="shared" si="50"/>
        <v>0.24269051753073426</v>
      </c>
      <c r="AY56" s="38">
        <f t="shared" si="41"/>
        <v>0.75355678931624559</v>
      </c>
      <c r="AZ56" s="38">
        <f t="shared" si="51"/>
        <v>0.18344846510597826</v>
      </c>
      <c r="BA56" s="38">
        <f t="shared" si="52"/>
        <v>6.2994745577776248E-2</v>
      </c>
      <c r="BB56" s="38">
        <f t="shared" si="42"/>
        <v>0.7473194191735838</v>
      </c>
      <c r="BC56" s="38">
        <f t="shared" si="53"/>
        <v>0.25268058082641609</v>
      </c>
      <c r="BD56" s="38">
        <f t="shared" si="54"/>
        <v>0</v>
      </c>
      <c r="BE56" s="38">
        <f t="shared" si="43"/>
        <v>1</v>
      </c>
      <c r="BF56" s="38">
        <f t="shared" si="55"/>
        <v>0</v>
      </c>
      <c r="BG56" s="38">
        <f t="shared" si="56"/>
        <v>0</v>
      </c>
      <c r="BJ56" s="16">
        <v>1690.7835229430857</v>
      </c>
      <c r="BK56" s="16">
        <v>735.12327084482001</v>
      </c>
      <c r="BL56" s="16">
        <v>49.008218056321333</v>
      </c>
      <c r="BM56" s="16">
        <v>17.152876319712465</v>
      </c>
      <c r="BN56" s="16">
        <v>6276.5036147368901</v>
      </c>
      <c r="BO56" s="16">
        <v>1617.0439421124283</v>
      </c>
      <c r="BP56" s="16">
        <v>178.65456771462621</v>
      </c>
      <c r="BQ56" s="16">
        <v>60.368326205814071</v>
      </c>
      <c r="BR56" s="16">
        <v>0</v>
      </c>
      <c r="BS56" s="16">
        <v>3</v>
      </c>
      <c r="BT56" s="16">
        <v>5</v>
      </c>
      <c r="BU56" s="16">
        <v>5</v>
      </c>
      <c r="BX56" s="37" t="str">
        <f t="shared" si="29"/>
        <v/>
      </c>
    </row>
    <row r="57" spans="14:76">
      <c r="N57" s="16">
        <v>17</v>
      </c>
      <c r="O57" s="17">
        <v>130</v>
      </c>
      <c r="P57" s="17">
        <f>求节点(节奏总纲!$O$4:$O$163,节奏总纲!Q$4:Q$163,O57)</f>
        <v>6941.8725000000004</v>
      </c>
      <c r="Q57" s="17">
        <f>INDEX(其他调用!$D$4:$D$163,$O57)*$P$10</f>
        <v>7060361.1984763565</v>
      </c>
      <c r="R57" s="50">
        <v>1</v>
      </c>
      <c r="S57" s="17">
        <f t="shared" si="30"/>
        <v>0.375</v>
      </c>
      <c r="T57" s="17">
        <f t="shared" si="31"/>
        <v>0.125</v>
      </c>
      <c r="U57" s="17">
        <f t="shared" si="32"/>
        <v>2.2500000000000003E-2</v>
      </c>
      <c r="V57" s="17">
        <f t="shared" si="33"/>
        <v>7.4999999999999997E-3</v>
      </c>
      <c r="W57" s="17">
        <f t="shared" si="44"/>
        <v>1958296.3257644456</v>
      </c>
      <c r="X57" s="17">
        <f t="shared" si="57"/>
        <v>8023.1377255413145</v>
      </c>
      <c r="Y57" s="17">
        <f t="shared" si="45"/>
        <v>2674.3792418471048</v>
      </c>
      <c r="Z57" s="17">
        <f t="shared" si="46"/>
        <v>481.3882635324789</v>
      </c>
      <c r="AA57" s="17">
        <f t="shared" si="47"/>
        <v>160.46275451082627</v>
      </c>
      <c r="AB57" s="17">
        <f>求节点(盗宝贼掉落!$CV$5:$CV$164,盗宝贼掉落!$DD$5:$DD$164,$O57)</f>
        <v>4573.0638140686306</v>
      </c>
      <c r="AC57" s="17">
        <f>$AB57*INDEX(盗宝贼掉落!$D$64:$D$67,MATCH(AC$16,盗宝贼掉落!$B$64:$B$67,0))*INDEX(盗宝贼掉落!$F$64:$F$67,MATCH(AC$16,盗宝贼掉落!$B$64:$B$67,0))</f>
        <v>3429.7978605514727</v>
      </c>
      <c r="AD57" s="17">
        <f>$AB57*INDEX(盗宝贼掉落!$D$64:$D$67,MATCH(AD$16,盗宝贼掉落!$B$64:$B$67,0))*INDEX(盗宝贼掉落!$F$64:$F$67,MATCH(AD$16,盗宝贼掉落!$B$64:$B$67,0))</f>
        <v>228.65319070343153</v>
      </c>
      <c r="AE57" s="17">
        <f>$AB57*INDEX(盗宝贼掉落!$D$64:$D$67,MATCH(AE$16,盗宝贼掉落!$B$64:$B$67,0))*INDEX(盗宝贼掉落!$F$64:$F$67,MATCH(AE$16,盗宝贼掉落!$B$64:$B$67,0))</f>
        <v>0</v>
      </c>
      <c r="AF57" s="17">
        <f>$AB57*INDEX(盗宝贼掉落!$D$64:$D$67,MATCH(AF$16,盗宝贼掉落!$B$64:$B$67,0))*INDEX(盗宝贼掉落!$F$64:$F$67,MATCH(AF$16,盗宝贼掉落!$B$64:$B$67,0))</f>
        <v>0</v>
      </c>
      <c r="AG57" s="17">
        <f>求节点(匈奴铁骑掉落!$J$7:$J$166,匈奴铁骑掉落!L$7:L$166,O57)</f>
        <v>8308.6470000000008</v>
      </c>
      <c r="AH57" s="17">
        <f>$AG57*INDEX(盗宝贼掉落!$D$64:$D$67,MATCH(AH$16,盗宝贼掉落!$B$64:$B$67,0))*INDEX(盗宝贼掉落!$G$64:$G$67,MATCH(AH$16,盗宝贼掉落!$B$64:$B$67,0))</f>
        <v>2492.5941000000007</v>
      </c>
      <c r="AI57" s="17">
        <f>$AG57*INDEX(盗宝贼掉落!$D$64:$D$67,MATCH(AI$16,盗宝贼掉落!$B$64:$B$67,0))*INDEX(盗宝贼掉落!$G$64:$G$67,MATCH(AI$16,盗宝贼掉落!$B$64:$B$67,0))</f>
        <v>664.69176000000016</v>
      </c>
      <c r="AJ57" s="17">
        <f>$AG57*INDEX(盗宝贼掉落!$D$64:$D$67,MATCH(AJ$16,盗宝贼掉落!$B$64:$B$67,0))*INDEX(盗宝贼掉落!$G$64:$G$67,MATCH(AJ$16,盗宝贼掉落!$B$64:$B$67,0))</f>
        <v>166.17294000000001</v>
      </c>
      <c r="AK57" s="17">
        <f>$AG57*INDEX(盗宝贼掉落!$D$64:$D$67,MATCH(AK$16,盗宝贼掉落!$B$64:$B$67,0))*INDEX(盗宝贼掉落!$G$64:$G$67,MATCH(AK$16,盗宝贼掉落!$B$64:$B$67,0))</f>
        <v>0</v>
      </c>
      <c r="AL57" s="17">
        <f t="shared" si="48"/>
        <v>13945.529686092787</v>
      </c>
      <c r="AM57" s="17">
        <f t="shared" si="37"/>
        <v>3567.7241925505364</v>
      </c>
      <c r="AN57" s="17">
        <f t="shared" si="38"/>
        <v>647.56120353247888</v>
      </c>
      <c r="AO57" s="17">
        <f t="shared" si="39"/>
        <v>160.46275451082627</v>
      </c>
      <c r="AP57" s="84">
        <f>IFERROR(MAX(MIN(求节点(宝物升星!D$67:D$72,宝物升星!$C$67:$C$72,AL57/基础状态预期!C$8),宝物升星!D$14),AP56),AP56)</f>
        <v>0</v>
      </c>
      <c r="AQ57" s="84">
        <f>IFERROR(MAX(MIN(求节点(宝物升星!E$67:E$72,宝物升星!$C$67:$C$72,AM57/基础状态预期!D$8),宝物升星!E$14),AQ56),AQ56)</f>
        <v>3</v>
      </c>
      <c r="AR57" s="84">
        <f>IFERROR(MAX(MIN(求节点(宝物升星!F$67:F$72,宝物升星!$C$67:$C$72,AN57/基础状态预期!E$8),宝物升星!F$14),AR56),AR56)</f>
        <v>5</v>
      </c>
      <c r="AS57" s="54">
        <f>IFERROR(MAX(MIN(求节点(宝物升星!G$67:G$72,宝物升星!$C$67:$C$72,AO57/MAX(基础状态预期!L57,基础状态预期!L56)),宝物升星!G$14),AS56),AS56)</f>
        <v>5</v>
      </c>
      <c r="AV57" s="38">
        <f t="shared" si="40"/>
        <v>0.57531968352140883</v>
      </c>
      <c r="AW57" s="38">
        <f t="shared" si="49"/>
        <v>0.17873785765812439</v>
      </c>
      <c r="AX57" s="38">
        <f t="shared" si="50"/>
        <v>0.24594245882046681</v>
      </c>
      <c r="AY57" s="38">
        <f t="shared" si="41"/>
        <v>0.74960369622496337</v>
      </c>
      <c r="AZ57" s="38">
        <f t="shared" si="51"/>
        <v>0.18630693521317787</v>
      </c>
      <c r="BA57" s="38">
        <f t="shared" si="52"/>
        <v>6.4089368561858831E-2</v>
      </c>
      <c r="BB57" s="38">
        <f t="shared" si="42"/>
        <v>0.7433865106595049</v>
      </c>
      <c r="BC57" s="38">
        <f t="shared" si="53"/>
        <v>0.25661348934049522</v>
      </c>
      <c r="BD57" s="38">
        <f t="shared" si="54"/>
        <v>0</v>
      </c>
      <c r="BE57" s="38">
        <f t="shared" si="43"/>
        <v>1</v>
      </c>
      <c r="BF57" s="38">
        <f t="shared" si="55"/>
        <v>0</v>
      </c>
      <c r="BG57" s="38">
        <f t="shared" si="56"/>
        <v>0</v>
      </c>
      <c r="BJ57" s="16">
        <v>2388.7360125</v>
      </c>
      <c r="BK57" s="16">
        <v>1038.5808750000001</v>
      </c>
      <c r="BL57" s="16">
        <v>69.238725000000002</v>
      </c>
      <c r="BM57" s="16">
        <v>24.233553750000002</v>
      </c>
      <c r="BN57" s="16">
        <v>8185.5546282893411</v>
      </c>
      <c r="BO57" s="16">
        <v>2055.8231491512797</v>
      </c>
      <c r="BP57" s="16">
        <v>211.1659574471978</v>
      </c>
      <c r="BQ57" s="16">
        <v>71.542631232399245</v>
      </c>
      <c r="BR57" s="16">
        <v>0</v>
      </c>
      <c r="BS57" s="16">
        <v>3</v>
      </c>
      <c r="BT57" s="16">
        <v>5</v>
      </c>
      <c r="BU57" s="16">
        <v>5</v>
      </c>
      <c r="BX57" s="37" t="str">
        <f t="shared" si="29"/>
        <v/>
      </c>
    </row>
    <row r="58" spans="14:76">
      <c r="N58" s="16">
        <v>18</v>
      </c>
      <c r="O58" s="17">
        <v>135</v>
      </c>
      <c r="P58" s="17">
        <f>求节点(节奏总纲!$O$4:$O$163,节奏总纲!Q$4:Q$163,O58)</f>
        <v>9796.789656253608</v>
      </c>
      <c r="Q58" s="17">
        <f>INDEX(其他调用!$D$4:$D$163,$O58)*$P$10</f>
        <v>9796267.6933617704</v>
      </c>
      <c r="R58" s="50">
        <v>1</v>
      </c>
      <c r="S58" s="17">
        <f t="shared" si="30"/>
        <v>0.375</v>
      </c>
      <c r="T58" s="17">
        <f t="shared" si="31"/>
        <v>0.125</v>
      </c>
      <c r="U58" s="17">
        <f t="shared" si="32"/>
        <v>2.2500000000000003E-2</v>
      </c>
      <c r="V58" s="17">
        <f t="shared" si="33"/>
        <v>7.4999999999999997E-3</v>
      </c>
      <c r="W58" s="17">
        <f t="shared" si="44"/>
        <v>2735906.4948854139</v>
      </c>
      <c r="X58" s="17">
        <f t="shared" si="57"/>
        <v>11132.122378820193</v>
      </c>
      <c r="Y58" s="17">
        <f t="shared" si="45"/>
        <v>3710.7074596067314</v>
      </c>
      <c r="Z58" s="17">
        <f t="shared" si="46"/>
        <v>667.92734272921166</v>
      </c>
      <c r="AA58" s="17">
        <f t="shared" si="47"/>
        <v>222.64244757640387</v>
      </c>
      <c r="AB58" s="17">
        <f>求节点(盗宝贼掉落!$CV$5:$CV$164,盗宝贼掉落!$DD$5:$DD$164,$O58)</f>
        <v>6466.7303638116491</v>
      </c>
      <c r="AC58" s="17">
        <f>$AB58*INDEX(盗宝贼掉落!$D$64:$D$67,MATCH(AC$16,盗宝贼掉落!$B$64:$B$67,0))*INDEX(盗宝贼掉落!$F$64:$F$67,MATCH(AC$16,盗宝贼掉落!$B$64:$B$67,0))</f>
        <v>4850.0477728587366</v>
      </c>
      <c r="AD58" s="17">
        <f>$AB58*INDEX(盗宝贼掉落!$D$64:$D$67,MATCH(AD$16,盗宝贼掉落!$B$64:$B$67,0))*INDEX(盗宝贼掉落!$F$64:$F$67,MATCH(AD$16,盗宝贼掉落!$B$64:$B$67,0))</f>
        <v>323.33651819058247</v>
      </c>
      <c r="AE58" s="17">
        <f>$AB58*INDEX(盗宝贼掉落!$D$64:$D$67,MATCH(AE$16,盗宝贼掉落!$B$64:$B$67,0))*INDEX(盗宝贼掉落!$F$64:$F$67,MATCH(AE$16,盗宝贼掉落!$B$64:$B$67,0))</f>
        <v>0</v>
      </c>
      <c r="AF58" s="17">
        <f>$AB58*INDEX(盗宝贼掉落!$D$64:$D$67,MATCH(AF$16,盗宝贼掉落!$B$64:$B$67,0))*INDEX(盗宝贼掉落!$F$64:$F$67,MATCH(AF$16,盗宝贼掉落!$B$64:$B$67,0))</f>
        <v>0</v>
      </c>
      <c r="AG58" s="17">
        <f>求节点(匈奴铁骑掉落!$J$7:$J$166,匈奴铁骑掉落!L$7:L$166,O58)</f>
        <v>11734.54758750433</v>
      </c>
      <c r="AH58" s="17">
        <f>$AG58*INDEX(盗宝贼掉落!$D$64:$D$67,MATCH(AH$16,盗宝贼掉落!$B$64:$B$67,0))*INDEX(盗宝贼掉落!$G$64:$G$67,MATCH(AH$16,盗宝贼掉落!$B$64:$B$67,0))</f>
        <v>3520.3642762512995</v>
      </c>
      <c r="AI58" s="17">
        <f>$AG58*INDEX(盗宝贼掉落!$D$64:$D$67,MATCH(AI$16,盗宝贼掉落!$B$64:$B$67,0))*INDEX(盗宝贼掉落!$G$64:$G$67,MATCH(AI$16,盗宝贼掉落!$B$64:$B$67,0))</f>
        <v>938.76380700034645</v>
      </c>
      <c r="AJ58" s="17">
        <f>$AG58*INDEX(盗宝贼掉落!$D$64:$D$67,MATCH(AJ$16,盗宝贼掉落!$B$64:$B$67,0))*INDEX(盗宝贼掉落!$G$64:$G$67,MATCH(AJ$16,盗宝贼掉落!$B$64:$B$67,0))</f>
        <v>234.69095175008661</v>
      </c>
      <c r="AK58" s="17">
        <f>$AG58*INDEX(盗宝贼掉落!$D$64:$D$67,MATCH(AK$16,盗宝贼掉落!$B$64:$B$67,0))*INDEX(盗宝贼掉落!$G$64:$G$67,MATCH(AK$16,盗宝贼掉落!$B$64:$B$67,0))</f>
        <v>0</v>
      </c>
      <c r="AL58" s="17">
        <f t="shared" si="48"/>
        <v>19502.53442793023</v>
      </c>
      <c r="AM58" s="17">
        <f t="shared" si="37"/>
        <v>4972.8077847976601</v>
      </c>
      <c r="AN58" s="17">
        <f t="shared" si="38"/>
        <v>902.61829447929824</v>
      </c>
      <c r="AO58" s="17">
        <f t="shared" si="39"/>
        <v>222.64244757640387</v>
      </c>
      <c r="AP58" s="84">
        <f>IFERROR(MAX(MIN(求节点(宝物升星!D$67:D$72,宝物升星!$C$67:$C$72,AL58/基础状态预期!C$8),宝物升星!D$14),AP57),AP57)</f>
        <v>0</v>
      </c>
      <c r="AQ58" s="84">
        <f>IFERROR(MAX(MIN(求节点(宝物升星!E$67:E$72,宝物升星!$C$67:$C$72,AM58/基础状态预期!D$8),宝物升星!E$14),AQ57),AQ57)</f>
        <v>3</v>
      </c>
      <c r="AR58" s="84">
        <f>IFERROR(MAX(MIN(求节点(宝物升星!F$67:F$72,宝物升星!$C$67:$C$72,AN58/基础状态预期!E$8),宝物升星!F$14),AR57),AR57)</f>
        <v>5</v>
      </c>
      <c r="AS58" s="54">
        <f>IFERROR(MAX(MIN(求节点(宝物升星!G$67:G$72,宝物升星!$C$67:$C$72,AO58/MAX(基础状态预期!L58,基础状态预期!L57)),宝物升星!G$14),AS57),AS57)</f>
        <v>5</v>
      </c>
      <c r="AV58" s="38">
        <f t="shared" si="40"/>
        <v>0.5708038829495673</v>
      </c>
      <c r="AW58" s="38">
        <f t="shared" si="49"/>
        <v>0.18050804059649131</v>
      </c>
      <c r="AX58" s="38">
        <f t="shared" si="50"/>
        <v>0.24868807645394136</v>
      </c>
      <c r="AY58" s="38">
        <f t="shared" si="41"/>
        <v>0.74619965624867146</v>
      </c>
      <c r="AZ58" s="38">
        <f t="shared" si="51"/>
        <v>0.18877942756408875</v>
      </c>
      <c r="BA58" s="38">
        <f t="shared" si="52"/>
        <v>6.5020916187239833E-2</v>
      </c>
      <c r="BB58" s="38">
        <f t="shared" si="42"/>
        <v>0.73998870487610169</v>
      </c>
      <c r="BC58" s="38">
        <f t="shared" si="53"/>
        <v>0.26001129512389837</v>
      </c>
      <c r="BD58" s="38">
        <f t="shared" si="54"/>
        <v>0</v>
      </c>
      <c r="BE58" s="38">
        <f t="shared" si="43"/>
        <v>1</v>
      </c>
      <c r="BF58" s="38">
        <f t="shared" si="55"/>
        <v>0</v>
      </c>
      <c r="BG58" s="38">
        <f t="shared" si="56"/>
        <v>0</v>
      </c>
      <c r="BJ58" s="16">
        <v>3373.6824314074943</v>
      </c>
      <c r="BK58" s="16">
        <v>1466.8184484380413</v>
      </c>
      <c r="BL58" s="16">
        <v>97.787896562536091</v>
      </c>
      <c r="BM58" s="16">
        <v>34.225763796887634</v>
      </c>
      <c r="BN58" s="16">
        <v>10795.432339318981</v>
      </c>
      <c r="BO58" s="16">
        <v>2646.9711766814321</v>
      </c>
      <c r="BP58" s="16">
        <v>251.9960117986268</v>
      </c>
      <c r="BQ58" s="16">
        <v>85.628468875584517</v>
      </c>
      <c r="BR58" s="16">
        <v>0</v>
      </c>
      <c r="BS58" s="16">
        <v>3</v>
      </c>
      <c r="BT58" s="16">
        <v>5</v>
      </c>
      <c r="BU58" s="16">
        <v>5</v>
      </c>
      <c r="BX58" s="37" t="str">
        <f t="shared" si="29"/>
        <v/>
      </c>
    </row>
    <row r="59" spans="14:76">
      <c r="N59" s="16">
        <v>19</v>
      </c>
      <c r="O59" s="17">
        <v>140</v>
      </c>
      <c r="P59" s="17">
        <f>求节点(节奏总纲!$O$4:$O$163,节奏总纲!Q$4:Q$163,O59)</f>
        <v>13881.315900000001</v>
      </c>
      <c r="Q59" s="17">
        <f>INDEX(其他调用!$D$4:$D$163,$O59)*$P$10</f>
        <v>13669308.116031185</v>
      </c>
      <c r="R59" s="50">
        <v>1</v>
      </c>
      <c r="S59" s="17">
        <f t="shared" si="30"/>
        <v>0.375</v>
      </c>
      <c r="T59" s="17">
        <f t="shared" si="31"/>
        <v>0.125</v>
      </c>
      <c r="U59" s="17">
        <f t="shared" si="32"/>
        <v>2.2500000000000003E-2</v>
      </c>
      <c r="V59" s="17">
        <f t="shared" si="33"/>
        <v>7.4999999999999997E-3</v>
      </c>
      <c r="W59" s="17">
        <f t="shared" si="44"/>
        <v>3873040.4226694144</v>
      </c>
      <c r="X59" s="17">
        <f t="shared" si="57"/>
        <v>15533.304677308164</v>
      </c>
      <c r="Y59" s="17">
        <f t="shared" si="45"/>
        <v>5177.7682257693887</v>
      </c>
      <c r="Z59" s="17">
        <f t="shared" si="46"/>
        <v>931.99828063848997</v>
      </c>
      <c r="AA59" s="17">
        <f t="shared" si="47"/>
        <v>310.66609354616327</v>
      </c>
      <c r="AB59" s="17">
        <f>求节点(盗宝贼掉落!$CV$5:$CV$164,盗宝贼掉落!$DD$5:$DD$164,$O59)</f>
        <v>9175.996621288632</v>
      </c>
      <c r="AC59" s="17">
        <f>$AB59*INDEX(盗宝贼掉落!$D$64:$D$67,MATCH(AC$16,盗宝贼掉落!$B$64:$B$67,0))*INDEX(盗宝贼掉落!$F$64:$F$67,MATCH(AC$16,盗宝贼掉落!$B$64:$B$67,0))</f>
        <v>6881.997465966474</v>
      </c>
      <c r="AD59" s="17">
        <f>$AB59*INDEX(盗宝贼掉落!$D$64:$D$67,MATCH(AD$16,盗宝贼掉落!$B$64:$B$67,0))*INDEX(盗宝贼掉落!$F$64:$F$67,MATCH(AD$16,盗宝贼掉落!$B$64:$B$67,0))</f>
        <v>458.7998310644316</v>
      </c>
      <c r="AE59" s="17">
        <f>$AB59*INDEX(盗宝贼掉落!$D$64:$D$67,MATCH(AE$16,盗宝贼掉落!$B$64:$B$67,0))*INDEX(盗宝贼掉落!$F$64:$F$67,MATCH(AE$16,盗宝贼掉落!$B$64:$B$67,0))</f>
        <v>0</v>
      </c>
      <c r="AF59" s="17">
        <f>$AB59*INDEX(盗宝贼掉落!$D$64:$D$67,MATCH(AF$16,盗宝贼掉落!$B$64:$B$67,0))*INDEX(盗宝贼掉落!$F$64:$F$67,MATCH(AF$16,盗宝贼掉落!$B$64:$B$67,0))</f>
        <v>0</v>
      </c>
      <c r="AG59" s="17">
        <f>求节点(匈奴铁骑掉落!$J$7:$J$166,匈奴铁骑掉落!L$7:L$166,O59)</f>
        <v>16635.979080000001</v>
      </c>
      <c r="AH59" s="17">
        <f>$AG59*INDEX(盗宝贼掉落!$D$64:$D$67,MATCH(AH$16,盗宝贼掉落!$B$64:$B$67,0))*INDEX(盗宝贼掉落!$G$64:$G$67,MATCH(AH$16,盗宝贼掉落!$B$64:$B$67,0))</f>
        <v>4990.793724000001</v>
      </c>
      <c r="AI59" s="17">
        <f>$AG59*INDEX(盗宝贼掉落!$D$64:$D$67,MATCH(AI$16,盗宝贼掉落!$B$64:$B$67,0))*INDEX(盗宝贼掉落!$G$64:$G$67,MATCH(AI$16,盗宝贼掉落!$B$64:$B$67,0))</f>
        <v>1330.8783264000003</v>
      </c>
      <c r="AJ59" s="17">
        <f>$AG59*INDEX(盗宝贼掉落!$D$64:$D$67,MATCH(AJ$16,盗宝贼掉落!$B$64:$B$67,0))*INDEX(盗宝贼掉落!$G$64:$G$67,MATCH(AJ$16,盗宝贼掉落!$B$64:$B$67,0))</f>
        <v>332.71958160000003</v>
      </c>
      <c r="AK59" s="17">
        <f>$AG59*INDEX(盗宝贼掉落!$D$64:$D$67,MATCH(AK$16,盗宝贼掉落!$B$64:$B$67,0))*INDEX(盗宝贼掉落!$G$64:$G$67,MATCH(AK$16,盗宝贼掉落!$B$64:$B$67,0))</f>
        <v>0</v>
      </c>
      <c r="AL59" s="17">
        <f t="shared" si="48"/>
        <v>27406.095867274642</v>
      </c>
      <c r="AM59" s="17">
        <f t="shared" si="37"/>
        <v>6967.4463832338206</v>
      </c>
      <c r="AN59" s="17">
        <f t="shared" si="38"/>
        <v>1264.7178622384899</v>
      </c>
      <c r="AO59" s="17">
        <f t="shared" si="39"/>
        <v>310.66609354616327</v>
      </c>
      <c r="AP59" s="84">
        <f>IFERROR(MAX(MIN(求节点(宝物升星!D$67:D$72,宝物升星!$C$67:$C$72,AL59/基础状态预期!C$8),宝物升星!D$14),AP58),AP58)</f>
        <v>0</v>
      </c>
      <c r="AQ59" s="84">
        <f>IFERROR(MAX(MIN(求节点(宝物升星!E$67:E$72,宝物升星!$C$67:$C$72,AM59/基础状态预期!D$8),宝物升星!E$14),AQ58),AQ58)</f>
        <v>3</v>
      </c>
      <c r="AR59" s="84">
        <f>IFERROR(MAX(MIN(求节点(宝物升星!F$67:F$72,宝物升星!$C$67:$C$72,AN59/基础状态预期!E$8),宝物升星!F$14),AR58),AR58)</f>
        <v>5</v>
      </c>
      <c r="AS59" s="54">
        <f>IFERROR(MAX(MIN(求节点(宝物升星!G$67:G$72,宝物升星!$C$67:$C$72,AO59/MAX(基础状态预期!L59,基础状态预期!L58)),宝物升星!G$14),AS58),AS58)</f>
        <v>5</v>
      </c>
      <c r="AV59" s="38">
        <f t="shared" si="40"/>
        <v>0.56678283373650218</v>
      </c>
      <c r="AW59" s="38">
        <f t="shared" si="49"/>
        <v>0.18210524213919357</v>
      </c>
      <c r="AX59" s="38">
        <f t="shared" si="50"/>
        <v>0.25111192412430411</v>
      </c>
      <c r="AY59" s="38">
        <f t="shared" si="41"/>
        <v>0.74313714680732379</v>
      </c>
      <c r="AZ59" s="38">
        <f t="shared" si="51"/>
        <v>0.19101378800740709</v>
      </c>
      <c r="BA59" s="38">
        <f t="shared" si="52"/>
        <v>6.5849065185269146E-2</v>
      </c>
      <c r="BB59" s="38">
        <f t="shared" si="42"/>
        <v>0.73692189259420893</v>
      </c>
      <c r="BC59" s="38">
        <f t="shared" si="53"/>
        <v>0.26307810740579113</v>
      </c>
      <c r="BD59" s="38">
        <f t="shared" si="54"/>
        <v>0</v>
      </c>
      <c r="BE59" s="38">
        <f t="shared" si="43"/>
        <v>1</v>
      </c>
      <c r="BF59" s="38">
        <f t="shared" si="55"/>
        <v>0</v>
      </c>
      <c r="BG59" s="38">
        <f t="shared" si="56"/>
        <v>0</v>
      </c>
      <c r="BJ59" s="16">
        <v>4782.8439854999997</v>
      </c>
      <c r="BK59" s="16">
        <v>2079.4973850000001</v>
      </c>
      <c r="BL59" s="16">
        <v>138.63315900000003</v>
      </c>
      <c r="BM59" s="16">
        <v>48.521605650000012</v>
      </c>
      <c r="BN59" s="16">
        <v>14441.224966334104</v>
      </c>
      <c r="BO59" s="16">
        <v>3463.3405527222008</v>
      </c>
      <c r="BP59" s="16">
        <v>305.12215702498361</v>
      </c>
      <c r="BQ59" s="16">
        <v>104.01793832499453</v>
      </c>
      <c r="BR59" s="16">
        <v>0</v>
      </c>
      <c r="BS59" s="16">
        <v>3</v>
      </c>
      <c r="BT59" s="16">
        <v>5</v>
      </c>
      <c r="BU59" s="16">
        <v>5</v>
      </c>
      <c r="BX59" s="37" t="str">
        <f t="shared" si="29"/>
        <v/>
      </c>
    </row>
    <row r="60" spans="14:76">
      <c r="N60" s="16">
        <v>20</v>
      </c>
      <c r="O60" s="17">
        <v>145</v>
      </c>
      <c r="P60" s="17">
        <f>求节点(节奏总纲!$O$4:$O$163,节奏总纲!Q$4:Q$163,O60)</f>
        <v>19631.496172516694</v>
      </c>
      <c r="Q60" s="17">
        <f>INDEX(其他调用!$D$4:$D$163,$O60)*$P$10</f>
        <v>19079414.205673017</v>
      </c>
      <c r="R60" s="50">
        <v>1</v>
      </c>
      <c r="S60" s="17">
        <f t="shared" si="30"/>
        <v>0.375</v>
      </c>
      <c r="T60" s="17">
        <f t="shared" si="31"/>
        <v>0.125</v>
      </c>
      <c r="U60" s="17">
        <f t="shared" si="32"/>
        <v>2.2500000000000003E-2</v>
      </c>
      <c r="V60" s="17">
        <f t="shared" si="33"/>
        <v>7.4999999999999997E-3</v>
      </c>
      <c r="W60" s="17">
        <f t="shared" si="44"/>
        <v>5410106.0896418318</v>
      </c>
      <c r="X60" s="17">
        <f t="shared" si="57"/>
        <v>21681.152506446611</v>
      </c>
      <c r="Y60" s="17">
        <f t="shared" si="45"/>
        <v>7227.0508354822032</v>
      </c>
      <c r="Z60" s="17">
        <f t="shared" si="46"/>
        <v>1300.8691503867967</v>
      </c>
      <c r="AA60" s="17">
        <f t="shared" si="47"/>
        <v>433.62305012893216</v>
      </c>
      <c r="AB60" s="17">
        <f>求节点(盗宝贼掉落!$CV$5:$CV$164,盗宝贼掉落!$DD$5:$DD$164,$O60)</f>
        <v>12990.091196048954</v>
      </c>
      <c r="AC60" s="17">
        <f>$AB60*INDEX(盗宝贼掉落!$D$64:$D$67,MATCH(AC$16,盗宝贼掉落!$B$64:$B$67,0))*INDEX(盗宝贼掉落!$F$64:$F$67,MATCH(AC$16,盗宝贼掉落!$B$64:$B$67,0))</f>
        <v>9742.5683970367154</v>
      </c>
      <c r="AD60" s="17">
        <f>$AB60*INDEX(盗宝贼掉落!$D$64:$D$67,MATCH(AD$16,盗宝贼掉落!$B$64:$B$67,0))*INDEX(盗宝贼掉落!$F$64:$F$67,MATCH(AD$16,盗宝贼掉落!$B$64:$B$67,0))</f>
        <v>649.50455980244772</v>
      </c>
      <c r="AE60" s="17">
        <f>$AB60*INDEX(盗宝贼掉落!$D$64:$D$67,MATCH(AE$16,盗宝贼掉落!$B$64:$B$67,0))*INDEX(盗宝贼掉落!$F$64:$F$67,MATCH(AE$16,盗宝贼掉落!$B$64:$B$67,0))</f>
        <v>0</v>
      </c>
      <c r="AF60" s="17">
        <f>$AB60*INDEX(盗宝贼掉落!$D$64:$D$67,MATCH(AF$16,盗宝贼掉落!$B$64:$B$67,0))*INDEX(盗宝贼掉落!$F$64:$F$67,MATCH(AF$16,盗宝贼掉落!$B$64:$B$67,0))</f>
        <v>0</v>
      </c>
      <c r="AG60" s="17">
        <f>求节点(匈奴铁骑掉落!$J$7:$J$166,匈奴铁骑掉落!L$7:L$166,O60)</f>
        <v>23536.195407020034</v>
      </c>
      <c r="AH60" s="17">
        <f>$AG60*INDEX(盗宝贼掉落!$D$64:$D$67,MATCH(AH$16,盗宝贼掉落!$B$64:$B$67,0))*INDEX(盗宝贼掉落!$G$64:$G$67,MATCH(AH$16,盗宝贼掉落!$B$64:$B$67,0))</f>
        <v>7060.8586221060114</v>
      </c>
      <c r="AI60" s="17">
        <f>$AG60*INDEX(盗宝贼掉落!$D$64:$D$67,MATCH(AI$16,盗宝贼掉落!$B$64:$B$67,0))*INDEX(盗宝贼掉落!$G$64:$G$67,MATCH(AI$16,盗宝贼掉落!$B$64:$B$67,0))</f>
        <v>1882.895632561603</v>
      </c>
      <c r="AJ60" s="17">
        <f>$AG60*INDEX(盗宝贼掉落!$D$64:$D$67,MATCH(AJ$16,盗宝贼掉落!$B$64:$B$67,0))*INDEX(盗宝贼掉落!$G$64:$G$67,MATCH(AJ$16,盗宝贼掉落!$B$64:$B$67,0))</f>
        <v>470.72390814040062</v>
      </c>
      <c r="AK60" s="17">
        <f>$AG60*INDEX(盗宝贼掉落!$D$64:$D$67,MATCH(AK$16,盗宝贼掉落!$B$64:$B$67,0))*INDEX(盗宝贼掉落!$G$64:$G$67,MATCH(AK$16,盗宝贼掉落!$B$64:$B$67,0))</f>
        <v>0</v>
      </c>
      <c r="AL60" s="17">
        <f t="shared" si="48"/>
        <v>38484.579525589339</v>
      </c>
      <c r="AM60" s="17">
        <f t="shared" si="37"/>
        <v>9759.4510278462549</v>
      </c>
      <c r="AN60" s="17">
        <f t="shared" si="38"/>
        <v>1771.5930585271974</v>
      </c>
      <c r="AO60" s="17">
        <f t="shared" si="39"/>
        <v>433.62305012893216</v>
      </c>
      <c r="AP60" s="84">
        <f>IFERROR(MAX(MIN(求节点(宝物升星!D$67:D$72,宝物升星!$C$67:$C$72,AL60/基础状态预期!C$8),宝物升星!D$14),AP59),AP59)</f>
        <v>0</v>
      </c>
      <c r="AQ60" s="84">
        <f>IFERROR(MAX(MIN(求节点(宝物升星!E$67:E$72,宝物升星!$C$67:$C$72,AM60/基础状态预期!D$8),宝物升星!E$14),AQ59),AQ59)</f>
        <v>3</v>
      </c>
      <c r="AR60" s="84">
        <f>IFERROR(MAX(MIN(求节点(宝物升星!F$67:F$72,宝物升星!$C$67:$C$72,AN60/基础状态预期!E$8),宝物升星!F$14),AR59),AR59)</f>
        <v>5</v>
      </c>
      <c r="AS60" s="54">
        <f>IFERROR(MAX(MIN(求节点(宝物升星!G$67:G$72,宝物升星!$C$67:$C$72,AO60/MAX(基础状态预期!L60,基础状态预期!L59)),宝物升星!G$14),AS59),AS59)</f>
        <v>5</v>
      </c>
      <c r="AV60" s="38">
        <f t="shared" si="40"/>
        <v>0.56337246693913556</v>
      </c>
      <c r="AW60" s="38">
        <f t="shared" si="49"/>
        <v>0.18347241178537688</v>
      </c>
      <c r="AX60" s="38">
        <f t="shared" si="50"/>
        <v>0.25315512127548756</v>
      </c>
      <c r="AY60" s="38">
        <f t="shared" si="41"/>
        <v>0.74051817206332049</v>
      </c>
      <c r="AZ60" s="38">
        <f t="shared" si="51"/>
        <v>0.19293048627317372</v>
      </c>
      <c r="BA60" s="38">
        <f t="shared" si="52"/>
        <v>6.6551341663505667E-2</v>
      </c>
      <c r="BB60" s="38">
        <f t="shared" si="42"/>
        <v>0.73429343388163082</v>
      </c>
      <c r="BC60" s="38">
        <f t="shared" si="53"/>
        <v>0.26570656611836918</v>
      </c>
      <c r="BD60" s="38">
        <f t="shared" si="54"/>
        <v>0</v>
      </c>
      <c r="BE60" s="38">
        <f t="shared" si="43"/>
        <v>1</v>
      </c>
      <c r="BF60" s="38">
        <f t="shared" si="55"/>
        <v>0</v>
      </c>
      <c r="BG60" s="38">
        <f t="shared" si="56"/>
        <v>0</v>
      </c>
      <c r="BJ60" s="16">
        <v>6766.6561795182588</v>
      </c>
      <c r="BK60" s="16">
        <v>2942.0244258775042</v>
      </c>
      <c r="BL60" s="16">
        <v>196.13496172516693</v>
      </c>
      <c r="BM60" s="16">
        <v>68.647236603808437</v>
      </c>
      <c r="BN60" s="16">
        <v>19490.289471237484</v>
      </c>
      <c r="BO60" s="16">
        <v>4584.7994489426819</v>
      </c>
      <c r="BP60" s="16">
        <v>374.90484253904344</v>
      </c>
      <c r="BQ60" s="16">
        <v>128.23719687510061</v>
      </c>
      <c r="BR60" s="16">
        <v>0</v>
      </c>
      <c r="BS60" s="16">
        <v>3</v>
      </c>
      <c r="BT60" s="16">
        <v>5</v>
      </c>
      <c r="BU60" s="16">
        <v>5</v>
      </c>
      <c r="BX60" s="37" t="str">
        <f t="shared" si="29"/>
        <v/>
      </c>
    </row>
    <row r="61" spans="14:76">
      <c r="N61" s="16">
        <v>21</v>
      </c>
      <c r="O61" s="17">
        <v>150</v>
      </c>
      <c r="P61" s="17">
        <f>求节点(节奏总纲!$O$4:$O$163,节奏总纲!Q$4:Q$163,O61)</f>
        <v>27671.731500000002</v>
      </c>
      <c r="Q61" s="17">
        <f>INDEX(其他调用!$D$4:$D$163,$O61)*$P$10</f>
        <v>26583503.319407489</v>
      </c>
      <c r="R61" s="50">
        <v>1</v>
      </c>
      <c r="S61" s="17">
        <f t="shared" si="30"/>
        <v>0.375</v>
      </c>
      <c r="T61" s="17">
        <f t="shared" si="31"/>
        <v>0.125</v>
      </c>
      <c r="U61" s="17">
        <f t="shared" si="32"/>
        <v>2.2500000000000003E-2</v>
      </c>
      <c r="V61" s="17">
        <f t="shared" si="33"/>
        <v>7.4999999999999997E-3</v>
      </c>
      <c r="W61" s="17">
        <f t="shared" si="44"/>
        <v>7504089.1137344725</v>
      </c>
      <c r="X61" s="17">
        <f t="shared" si="57"/>
        <v>30208.526499326694</v>
      </c>
      <c r="Y61" s="17">
        <f t="shared" si="45"/>
        <v>10069.508833108897</v>
      </c>
      <c r="Z61" s="17">
        <f t="shared" si="46"/>
        <v>1812.5115899596017</v>
      </c>
      <c r="AA61" s="17">
        <f t="shared" si="47"/>
        <v>604.17052998653378</v>
      </c>
      <c r="AB61" s="17">
        <f>求节点(盗宝贼掉落!$CV$5:$CV$164,盗宝贼掉落!$DD$5:$DD$164,$O61)</f>
        <v>18323.179288768632</v>
      </c>
      <c r="AC61" s="17">
        <f>$AB61*INDEX(盗宝贼掉落!$D$64:$D$67,MATCH(AC$16,盗宝贼掉落!$B$64:$B$67,0))*INDEX(盗宝贼掉落!$F$64:$F$67,MATCH(AC$16,盗宝贼掉落!$B$64:$B$67,0))</f>
        <v>13742.384466576474</v>
      </c>
      <c r="AD61" s="17">
        <f>$AB61*INDEX(盗宝贼掉落!$D$64:$D$67,MATCH(AD$16,盗宝贼掉落!$B$64:$B$67,0))*INDEX(盗宝贼掉落!$F$64:$F$67,MATCH(AD$16,盗宝贼掉落!$B$64:$B$67,0))</f>
        <v>916.15896443843167</v>
      </c>
      <c r="AE61" s="17">
        <f>$AB61*INDEX(盗宝贼掉落!$D$64:$D$67,MATCH(AE$16,盗宝贼掉落!$B$64:$B$67,0))*INDEX(盗宝贼掉落!$F$64:$F$67,MATCH(AE$16,盗宝贼掉落!$B$64:$B$67,0))</f>
        <v>0</v>
      </c>
      <c r="AF61" s="17">
        <f>$AB61*INDEX(盗宝贼掉落!$D$64:$D$67,MATCH(AF$16,盗宝贼掉落!$B$64:$B$67,0))*INDEX(盗宝贼掉落!$F$64:$F$67,MATCH(AF$16,盗宝贼掉落!$B$64:$B$67,0))</f>
        <v>0</v>
      </c>
      <c r="AG61" s="17">
        <f>求节点(匈奴铁骑掉落!$J$7:$J$166,匈奴铁骑掉落!L$7:L$166,O61)</f>
        <v>33184.477800000008</v>
      </c>
      <c r="AH61" s="17">
        <f>$AG61*INDEX(盗宝贼掉落!$D$64:$D$67,MATCH(AH$16,盗宝贼掉落!$B$64:$B$67,0))*INDEX(盗宝贼掉落!$G$64:$G$67,MATCH(AH$16,盗宝贼掉落!$B$64:$B$67,0))</f>
        <v>9955.3433400000031</v>
      </c>
      <c r="AI61" s="17">
        <f>$AG61*INDEX(盗宝贼掉落!$D$64:$D$67,MATCH(AI$16,盗宝贼掉落!$B$64:$B$67,0))*INDEX(盗宝贼掉落!$G$64:$G$67,MATCH(AI$16,盗宝贼掉落!$B$64:$B$67,0))</f>
        <v>2654.7582240000011</v>
      </c>
      <c r="AJ61" s="17">
        <f>$AG61*INDEX(盗宝贼掉落!$D$64:$D$67,MATCH(AJ$16,盗宝贼掉落!$B$64:$B$67,0))*INDEX(盗宝贼掉落!$G$64:$G$67,MATCH(AJ$16,盗宝贼掉落!$B$64:$B$67,0))</f>
        <v>663.68955600000004</v>
      </c>
      <c r="AK61" s="17">
        <f>$AG61*INDEX(盗宝贼掉落!$D$64:$D$67,MATCH(AK$16,盗宝贼掉落!$B$64:$B$67,0))*INDEX(盗宝贼掉落!$G$64:$G$67,MATCH(AK$16,盗宝贼掉落!$B$64:$B$67,0))</f>
        <v>0</v>
      </c>
      <c r="AL61" s="17">
        <f t="shared" si="48"/>
        <v>53906.254305903174</v>
      </c>
      <c r="AM61" s="17">
        <f t="shared" si="37"/>
        <v>13640.42602154733</v>
      </c>
      <c r="AN61" s="17">
        <f t="shared" si="38"/>
        <v>2476.2011459596015</v>
      </c>
      <c r="AO61" s="17">
        <f t="shared" si="39"/>
        <v>604.17052998653378</v>
      </c>
      <c r="AP61" s="84">
        <f>IFERROR(MAX(MIN(求节点(宝物升星!D$67:D$72,宝物升星!$C$67:$C$72,AL61/基础状态预期!C$8),宝物升星!D$14),AP60),AP60)</f>
        <v>0</v>
      </c>
      <c r="AQ61" s="84">
        <f>IFERROR(MAX(MIN(求节点(宝物升星!E$67:E$72,宝物升星!$C$67:$C$72,AM61/基础状态预期!D$8),宝物升星!E$14),AQ60),AQ60)</f>
        <v>3</v>
      </c>
      <c r="AR61" s="84">
        <f>IFERROR(MAX(MIN(求节点(宝物升星!F$67:F$72,宝物升星!$C$67:$C$72,AN61/基础状态预期!E$8),宝物升星!F$14),AR60),AR60)</f>
        <v>5</v>
      </c>
      <c r="AS61" s="54">
        <f>IFERROR(MAX(MIN(求节点(宝物升星!G$67:G$72,宝物升星!$C$67:$C$72,AO61/MAX(基础状态预期!L61,基础状态预期!L60)),宝物升星!G$14),AS60),AS60)</f>
        <v>5</v>
      </c>
      <c r="AV61" s="38">
        <f t="shared" si="40"/>
        <v>0.5603900120364812</v>
      </c>
      <c r="AW61" s="38">
        <f t="shared" si="49"/>
        <v>0.18467881822220789</v>
      </c>
      <c r="AX61" s="38">
        <f t="shared" si="50"/>
        <v>0.25493116974131091</v>
      </c>
      <c r="AY61" s="38">
        <f t="shared" si="41"/>
        <v>0.73821072869736093</v>
      </c>
      <c r="AZ61" s="38">
        <f t="shared" si="51"/>
        <v>0.19462428957910605</v>
      </c>
      <c r="BA61" s="38">
        <f t="shared" si="52"/>
        <v>6.7164981723533093E-2</v>
      </c>
      <c r="BB61" s="38">
        <f t="shared" si="42"/>
        <v>0.73197268037657726</v>
      </c>
      <c r="BC61" s="38">
        <f t="shared" si="53"/>
        <v>0.26802731962342285</v>
      </c>
      <c r="BD61" s="38">
        <f t="shared" si="54"/>
        <v>0</v>
      </c>
      <c r="BE61" s="38">
        <f t="shared" si="43"/>
        <v>1</v>
      </c>
      <c r="BF61" s="38">
        <f t="shared" si="55"/>
        <v>0</v>
      </c>
      <c r="BG61" s="38">
        <f t="shared" si="56"/>
        <v>0</v>
      </c>
      <c r="BJ61" s="16">
        <v>9540.537367500001</v>
      </c>
      <c r="BK61" s="16">
        <v>4148.059725000001</v>
      </c>
      <c r="BL61" s="16">
        <v>276.53731500000004</v>
      </c>
      <c r="BM61" s="16">
        <v>96.788060250000015</v>
      </c>
      <c r="BN61" s="16">
        <v>26468.668108573867</v>
      </c>
      <c r="BO61" s="16">
        <v>6125.7162793061234</v>
      </c>
      <c r="BP61" s="16">
        <v>467.58807860276943</v>
      </c>
      <c r="BQ61" s="16">
        <v>160.47164811758981</v>
      </c>
      <c r="BR61" s="16">
        <v>0</v>
      </c>
      <c r="BS61" s="16">
        <v>3</v>
      </c>
      <c r="BT61" s="16">
        <v>5</v>
      </c>
      <c r="BU61" s="16">
        <v>5</v>
      </c>
      <c r="BX61" s="37" t="str">
        <f t="shared" si="29"/>
        <v/>
      </c>
    </row>
    <row r="62" spans="14:76">
      <c r="N62" s="16">
        <v>22</v>
      </c>
      <c r="O62" s="17">
        <v>155</v>
      </c>
      <c r="P62" s="17">
        <f>求节点(节奏总纲!$O$4:$O$163,节奏总纲!Q$4:Q$163,O62)</f>
        <v>44078.560451263736</v>
      </c>
      <c r="Q62" s="17">
        <f>INDEX(其他调用!$D$4:$D$163,$O62)*$P$10</f>
        <v>41805223.516953342</v>
      </c>
      <c r="R62" s="50">
        <v>1</v>
      </c>
      <c r="S62" s="17">
        <f t="shared" si="30"/>
        <v>0.375</v>
      </c>
      <c r="T62" s="17">
        <f t="shared" si="31"/>
        <v>0.125</v>
      </c>
      <c r="U62" s="17">
        <f t="shared" si="32"/>
        <v>2.2500000000000003E-2</v>
      </c>
      <c r="V62" s="17">
        <f t="shared" si="33"/>
        <v>7.4999999999999997E-3</v>
      </c>
      <c r="W62" s="17">
        <f t="shared" si="44"/>
        <v>15221720.197545853</v>
      </c>
      <c r="X62" s="17">
        <f t="shared" si="57"/>
        <v>47505.935814719705</v>
      </c>
      <c r="Y62" s="17">
        <f t="shared" si="45"/>
        <v>15835.311938239902</v>
      </c>
      <c r="Z62" s="17">
        <f t="shared" si="46"/>
        <v>2850.3561488831829</v>
      </c>
      <c r="AA62" s="17">
        <f t="shared" si="47"/>
        <v>950.11871629439406</v>
      </c>
      <c r="AB62" s="17">
        <f>求节点(盗宝贼掉落!$CV$5:$CV$164,盗宝贼掉落!$DD$5:$DD$164,$O62)</f>
        <v>29205.828932141867</v>
      </c>
      <c r="AC62" s="17">
        <f>$AB62*INDEX(盗宝贼掉落!$D$64:$D$67,MATCH(AC$16,盗宝贼掉落!$B$64:$B$67,0))*INDEX(盗宝贼掉落!$F$64:$F$67,MATCH(AC$16,盗宝贼掉落!$B$64:$B$67,0))</f>
        <v>21904.371699106399</v>
      </c>
      <c r="AD62" s="17">
        <f>$AB62*INDEX(盗宝贼掉落!$D$64:$D$67,MATCH(AD$16,盗宝贼掉落!$B$64:$B$67,0))*INDEX(盗宝贼掉落!$F$64:$F$67,MATCH(AD$16,盗宝贼掉落!$B$64:$B$67,0))</f>
        <v>1460.2914466070933</v>
      </c>
      <c r="AE62" s="17">
        <f>$AB62*INDEX(盗宝贼掉落!$D$64:$D$67,MATCH(AE$16,盗宝贼掉落!$B$64:$B$67,0))*INDEX(盗宝贼掉落!$F$64:$F$67,MATCH(AE$16,盗宝贼掉落!$B$64:$B$67,0))</f>
        <v>0</v>
      </c>
      <c r="AF62" s="17">
        <f>$AB62*INDEX(盗宝贼掉落!$D$64:$D$67,MATCH(AF$16,盗宝贼掉落!$B$64:$B$67,0))*INDEX(盗宝贼掉落!$F$64:$F$67,MATCH(AF$16,盗宝贼掉落!$B$64:$B$67,0))</f>
        <v>0</v>
      </c>
      <c r="AG62" s="17">
        <f>求节点(匈奴铁骑掉落!$J$7:$J$166,匈奴铁骑掉落!L$7:L$166,O62)</f>
        <v>52872.672541516484</v>
      </c>
      <c r="AH62" s="17">
        <f>$AG62*INDEX(盗宝贼掉落!$D$64:$D$67,MATCH(AH$16,盗宝贼掉落!$B$64:$B$67,0))*INDEX(盗宝贼掉落!$G$64:$G$67,MATCH(AH$16,盗宝贼掉落!$B$64:$B$67,0))</f>
        <v>15861.801762454947</v>
      </c>
      <c r="AI62" s="17">
        <f>$AG62*INDEX(盗宝贼掉落!$D$64:$D$67,MATCH(AI$16,盗宝贼掉落!$B$64:$B$67,0))*INDEX(盗宝贼掉落!$G$64:$G$67,MATCH(AI$16,盗宝贼掉落!$B$64:$B$67,0))</f>
        <v>4229.813803321319</v>
      </c>
      <c r="AJ62" s="17">
        <f>$AG62*INDEX(盗宝贼掉落!$D$64:$D$67,MATCH(AJ$16,盗宝贼掉落!$B$64:$B$67,0))*INDEX(盗宝贼掉落!$G$64:$G$67,MATCH(AJ$16,盗宝贼掉落!$B$64:$B$67,0))</f>
        <v>1057.4534508303295</v>
      </c>
      <c r="AK62" s="17">
        <f>$AG62*INDEX(盗宝贼掉落!$D$64:$D$67,MATCH(AK$16,盗宝贼掉落!$B$64:$B$67,0))*INDEX(盗宝贼掉落!$G$64:$G$67,MATCH(AK$16,盗宝贼掉落!$B$64:$B$67,0))</f>
        <v>0</v>
      </c>
      <c r="AL62" s="17">
        <f t="shared" si="48"/>
        <v>85272.109276281059</v>
      </c>
      <c r="AM62" s="17">
        <f t="shared" si="37"/>
        <v>21525.417188168314</v>
      </c>
      <c r="AN62" s="17">
        <f t="shared" si="38"/>
        <v>3907.8095997135124</v>
      </c>
      <c r="AO62" s="17">
        <f t="shared" si="39"/>
        <v>950.11871629439406</v>
      </c>
      <c r="AP62" s="84">
        <f>IFERROR(MAX(MIN(求节点(宝物升星!D$67:D$72,宝物升星!$C$67:$C$72,AL62/基础状态预期!C$8),宝物升星!D$14),AP61),AP61)</f>
        <v>0</v>
      </c>
      <c r="AQ62" s="84">
        <f>IFERROR(MAX(MIN(求节点(宝物升星!E$67:E$72,宝物升星!$C$67:$C$72,AM62/基础状态预期!D$8),宝物升星!E$14),AQ61),AQ61)</f>
        <v>3</v>
      </c>
      <c r="AR62" s="84">
        <f>IFERROR(MAX(MIN(求节点(宝物升星!F$67:F$72,宝物升星!$C$67:$C$72,AN62/基础状态预期!E$8),宝物升星!F$14),AR61),AR61)</f>
        <v>5</v>
      </c>
      <c r="AS62" s="54">
        <f>IFERROR(MAX(MIN(求节点(宝物升星!G$67:G$72,宝物升星!$C$67:$C$72,AO62/MAX(基础状态预期!L62,基础状态预期!L61)),宝物升星!G$14),AS61),AS61)</f>
        <v>5</v>
      </c>
      <c r="AV62" s="38">
        <f t="shared" si="40"/>
        <v>0.55710989464094052</v>
      </c>
      <c r="AW62" s="38">
        <f t="shared" si="49"/>
        <v>0.18601394872340751</v>
      </c>
      <c r="AX62" s="38">
        <f t="shared" si="50"/>
        <v>0.25687615663565189</v>
      </c>
      <c r="AY62" s="38">
        <f t="shared" si="41"/>
        <v>0.73565644743665914</v>
      </c>
      <c r="AZ62" s="38">
        <f t="shared" si="51"/>
        <v>0.19650322065052858</v>
      </c>
      <c r="BA62" s="38">
        <f t="shared" si="52"/>
        <v>6.7840331912812302E-2</v>
      </c>
      <c r="BB62" s="38">
        <f t="shared" si="42"/>
        <v>0.72939995569184002</v>
      </c>
      <c r="BC62" s="38">
        <f t="shared" si="53"/>
        <v>0.27060004430816004</v>
      </c>
      <c r="BD62" s="38">
        <f t="shared" si="54"/>
        <v>0</v>
      </c>
      <c r="BE62" s="38">
        <f t="shared" si="43"/>
        <v>1</v>
      </c>
      <c r="BF62" s="38">
        <f t="shared" si="55"/>
        <v>0</v>
      </c>
      <c r="BG62" s="38">
        <f t="shared" si="56"/>
        <v>0</v>
      </c>
      <c r="BJ62" s="16">
        <v>15200.893355685988</v>
      </c>
      <c r="BK62" s="16">
        <v>6609.0840676895605</v>
      </c>
      <c r="BL62" s="16">
        <v>440.6056045126374</v>
      </c>
      <c r="BM62" s="16">
        <v>154.2119615794231</v>
      </c>
      <c r="BN62" s="16">
        <v>40495.692709104667</v>
      </c>
      <c r="BO62" s="16">
        <v>9199.1002307693052</v>
      </c>
      <c r="BP62" s="16">
        <v>643.93725090429973</v>
      </c>
      <c r="BQ62" s="16">
        <v>221.98917704331052</v>
      </c>
      <c r="BR62" s="16">
        <v>0</v>
      </c>
      <c r="BS62" s="16">
        <v>3</v>
      </c>
      <c r="BT62" s="16">
        <v>5</v>
      </c>
      <c r="BU62" s="16">
        <v>5</v>
      </c>
      <c r="BX62" s="37" t="str">
        <f t="shared" si="29"/>
        <v/>
      </c>
    </row>
    <row r="63" spans="14:76">
      <c r="N63" s="16">
        <v>23</v>
      </c>
      <c r="O63" s="17">
        <v>160</v>
      </c>
      <c r="P63" s="17">
        <f>求节点(节奏总纲!$O$4:$O$163,节奏总纲!Q$4:Q$163,O63)</f>
        <v>65535</v>
      </c>
      <c r="Q63" s="17">
        <f>INDEX(其他调用!$D$4:$D$163,$O63)*$P$10</f>
        <v>61491846.272423699</v>
      </c>
      <c r="R63" s="50">
        <v>1</v>
      </c>
      <c r="S63" s="17">
        <f t="shared" si="30"/>
        <v>0.375</v>
      </c>
      <c r="T63" s="17">
        <f t="shared" si="31"/>
        <v>0.125</v>
      </c>
      <c r="U63" s="17">
        <f t="shared" si="32"/>
        <v>2.2500000000000003E-2</v>
      </c>
      <c r="V63" s="17">
        <f t="shared" si="33"/>
        <v>7.4999999999999997E-3</v>
      </c>
      <c r="W63" s="17">
        <f t="shared" si="44"/>
        <v>19686622.755470358</v>
      </c>
      <c r="X63" s="17">
        <f t="shared" si="57"/>
        <v>69877.098036845113</v>
      </c>
      <c r="Y63" s="17">
        <f t="shared" si="45"/>
        <v>23292.366012281702</v>
      </c>
      <c r="Z63" s="17">
        <f t="shared" si="46"/>
        <v>4192.6258822107075</v>
      </c>
      <c r="AA63" s="17">
        <f t="shared" si="47"/>
        <v>1397.5419607369022</v>
      </c>
      <c r="AB63" s="17">
        <f>求节点(盗宝贼掉落!$CV$5:$CV$164,盗宝贼掉落!$DD$5:$DD$164,$O63)</f>
        <v>43437.885284818636</v>
      </c>
      <c r="AC63" s="17">
        <f>$AB63*INDEX(盗宝贼掉落!$D$64:$D$67,MATCH(AC$16,盗宝贼掉落!$B$64:$B$67,0))*INDEX(盗宝贼掉落!$F$64:$F$67,MATCH(AC$16,盗宝贼掉落!$B$64:$B$67,0))</f>
        <v>32578.413963613977</v>
      </c>
      <c r="AD63" s="17">
        <f>$AB63*INDEX(盗宝贼掉落!$D$64:$D$67,MATCH(AD$16,盗宝贼掉落!$B$64:$B$67,0))*INDEX(盗宝贼掉落!$F$64:$F$67,MATCH(AD$16,盗宝贼掉落!$B$64:$B$67,0))</f>
        <v>2171.894264240932</v>
      </c>
      <c r="AE63" s="17">
        <f>$AB63*INDEX(盗宝贼掉落!$D$64:$D$67,MATCH(AE$16,盗宝贼掉落!$B$64:$B$67,0))*INDEX(盗宝贼掉落!$F$64:$F$67,MATCH(AE$16,盗宝贼掉落!$B$64:$B$67,0))</f>
        <v>0</v>
      </c>
      <c r="AF63" s="17">
        <f>$AB63*INDEX(盗宝贼掉落!$D$64:$D$67,MATCH(AF$16,盗宝贼掉落!$B$64:$B$67,0))*INDEX(盗宝贼掉落!$F$64:$F$67,MATCH(AF$16,盗宝贼掉落!$B$64:$B$67,0))</f>
        <v>0</v>
      </c>
      <c r="AG63" s="17">
        <f>求节点(匈奴铁骑掉落!$J$7:$J$166,匈奴铁骑掉落!L$7:L$166,O63)</f>
        <v>78620.400000000009</v>
      </c>
      <c r="AH63" s="17">
        <f>$AG63*INDEX(盗宝贼掉落!$D$64:$D$67,MATCH(AH$16,盗宝贼掉落!$B$64:$B$67,0))*INDEX(盗宝贼掉落!$G$64:$G$67,MATCH(AH$16,盗宝贼掉落!$B$64:$B$67,0))</f>
        <v>23586.120000000006</v>
      </c>
      <c r="AI63" s="17">
        <f>$AG63*INDEX(盗宝贼掉落!$D$64:$D$67,MATCH(AI$16,盗宝贼掉落!$B$64:$B$67,0))*INDEX(盗宝贼掉落!$G$64:$G$67,MATCH(AI$16,盗宝贼掉落!$B$64:$B$67,0))</f>
        <v>6289.6320000000014</v>
      </c>
      <c r="AJ63" s="17">
        <f>$AG63*INDEX(盗宝贼掉落!$D$64:$D$67,MATCH(AJ$16,盗宝贼掉落!$B$64:$B$67,0))*INDEX(盗宝贼掉落!$G$64:$G$67,MATCH(AJ$16,盗宝贼掉落!$B$64:$B$67,0))</f>
        <v>1572.4080000000001</v>
      </c>
      <c r="AK63" s="17">
        <f>$AG63*INDEX(盗宝贼掉落!$D$64:$D$67,MATCH(AK$16,盗宝贼掉落!$B$64:$B$67,0))*INDEX(盗宝贼掉落!$G$64:$G$67,MATCH(AK$16,盗宝贼掉落!$B$64:$B$67,0))</f>
        <v>0</v>
      </c>
      <c r="AL63" s="17">
        <f t="shared" si="48"/>
        <v>126041.6320004591</v>
      </c>
      <c r="AM63" s="17">
        <f t="shared" si="37"/>
        <v>31753.892276522634</v>
      </c>
      <c r="AN63" s="17">
        <f t="shared" si="38"/>
        <v>5765.0338822107078</v>
      </c>
      <c r="AO63" s="17">
        <f t="shared" si="39"/>
        <v>1397.5419607369022</v>
      </c>
      <c r="AP63" s="84">
        <f>IFERROR(MAX(MIN(求节点(宝物升星!D$67:D$72,宝物升星!$C$67:$C$72,AL63/基础状态预期!C$8),宝物升星!D$14),AP62),AP62)</f>
        <v>0</v>
      </c>
      <c r="AQ63" s="84">
        <f>IFERROR(MAX(MIN(求节点(宝物升星!E$67:E$72,宝物升星!$C$67:$C$72,AM63/基础状态预期!D$8),宝物升星!E$14),AQ62),AQ62)</f>
        <v>3</v>
      </c>
      <c r="AR63" s="84">
        <f>IFERROR(MAX(MIN(求节点(宝物升星!F$67:F$72,宝物升星!$C$67:$C$72,AN63/基础状态预期!E$8),宝物升星!F$14),AR62),AR62)</f>
        <v>5</v>
      </c>
      <c r="AS63" s="54">
        <f>IFERROR(MAX(MIN(求节点(宝物升星!G$67:G$72,宝物升星!$C$67:$C$72,AO63/MAX(基础状态预期!L63,基础状态预期!L62)),宝物升星!G$14),AS62),AS62)</f>
        <v>5</v>
      </c>
      <c r="AV63" s="38">
        <f t="shared" si="40"/>
        <v>0.55439696335089184</v>
      </c>
      <c r="AW63" s="38">
        <f t="shared" si="49"/>
        <v>0.1871295985751287</v>
      </c>
      <c r="AX63" s="38">
        <f t="shared" si="50"/>
        <v>0.25847343807397949</v>
      </c>
      <c r="AY63" s="38">
        <f t="shared" si="41"/>
        <v>0.73352790295578996</v>
      </c>
      <c r="AZ63" s="38">
        <f t="shared" si="51"/>
        <v>0.19807436345843704</v>
      </c>
      <c r="BA63" s="38">
        <f t="shared" si="52"/>
        <v>6.8397733585773057E-2</v>
      </c>
      <c r="BB63" s="38">
        <f t="shared" si="42"/>
        <v>0.72725086580115095</v>
      </c>
      <c r="BC63" s="38">
        <f t="shared" si="53"/>
        <v>0.27274913419884905</v>
      </c>
      <c r="BD63" s="38">
        <f t="shared" si="54"/>
        <v>0</v>
      </c>
      <c r="BE63" s="38">
        <f t="shared" si="43"/>
        <v>1</v>
      </c>
      <c r="BF63" s="38">
        <f t="shared" si="55"/>
        <v>0</v>
      </c>
      <c r="BG63" s="38">
        <f t="shared" si="56"/>
        <v>0</v>
      </c>
      <c r="BJ63" s="16">
        <v>22603.364999999998</v>
      </c>
      <c r="BK63" s="16">
        <v>9827.5500000000011</v>
      </c>
      <c r="BL63" s="16">
        <v>655.17000000000007</v>
      </c>
      <c r="BM63" s="16">
        <v>229.30950000000001</v>
      </c>
      <c r="BN63" s="16">
        <v>58776.887997741134</v>
      </c>
      <c r="BO63" s="16">
        <v>13197.396107318546</v>
      </c>
      <c r="BP63" s="16">
        <v>870.78252918055534</v>
      </c>
      <c r="BQ63" s="16">
        <v>301.18034306018507</v>
      </c>
      <c r="BR63" s="16">
        <v>0</v>
      </c>
      <c r="BS63" s="16">
        <v>3</v>
      </c>
      <c r="BT63" s="16">
        <v>5</v>
      </c>
      <c r="BU63" s="16">
        <v>5</v>
      </c>
      <c r="BX63" s="37" t="str">
        <f t="shared" si="29"/>
        <v/>
      </c>
    </row>
    <row r="64" spans="14:76">
      <c r="N64" s="16">
        <v>24</v>
      </c>
      <c r="AC64" s="16"/>
      <c r="BX64" s="37" t="str">
        <f t="shared" si="29"/>
        <v/>
      </c>
    </row>
    <row r="65" spans="14:76">
      <c r="N65" s="16">
        <v>25</v>
      </c>
      <c r="AC65" s="16"/>
      <c r="BX65" s="37" t="str">
        <f t="shared" si="29"/>
        <v/>
      </c>
    </row>
    <row r="66" spans="14:76">
      <c r="N66" s="16">
        <v>26</v>
      </c>
      <c r="AC66" s="16"/>
      <c r="BX66" s="37" t="str">
        <f t="shared" si="29"/>
        <v/>
      </c>
    </row>
    <row r="67" spans="14:76" ht="11.25" customHeight="1">
      <c r="N67" s="16">
        <v>1</v>
      </c>
      <c r="O67" s="17" t="s">
        <v>219</v>
      </c>
      <c r="P67" s="186" t="s">
        <v>158</v>
      </c>
      <c r="Q67" s="175" t="s">
        <v>359</v>
      </c>
      <c r="R67" s="175" t="s">
        <v>360</v>
      </c>
      <c r="S67" s="196" t="s">
        <v>363</v>
      </c>
      <c r="T67" s="197"/>
      <c r="U67" s="197"/>
      <c r="V67" s="198"/>
      <c r="W67" s="175" t="s">
        <v>361</v>
      </c>
      <c r="X67" s="183" t="s">
        <v>362</v>
      </c>
      <c r="Y67" s="194"/>
      <c r="Z67" s="194"/>
      <c r="AA67" s="195"/>
      <c r="AB67" s="192" t="s">
        <v>493</v>
      </c>
      <c r="AC67" s="189" t="s">
        <v>340</v>
      </c>
      <c r="AD67" s="190"/>
      <c r="AE67" s="190"/>
      <c r="AF67" s="191"/>
      <c r="AG67" s="192" t="s">
        <v>494</v>
      </c>
      <c r="AH67" s="189" t="s">
        <v>497</v>
      </c>
      <c r="AI67" s="190"/>
      <c r="AJ67" s="190"/>
      <c r="AK67" s="191"/>
      <c r="AL67" s="171" t="s">
        <v>339</v>
      </c>
      <c r="AM67" s="173"/>
      <c r="AN67" s="173"/>
      <c r="AO67" s="172"/>
      <c r="AP67" s="189" t="s">
        <v>245</v>
      </c>
      <c r="AQ67" s="190"/>
      <c r="AR67" s="190"/>
      <c r="AS67" s="191"/>
      <c r="AV67" s="188" t="s">
        <v>1</v>
      </c>
      <c r="AW67" s="188"/>
      <c r="AX67" s="188"/>
      <c r="AY67" s="188" t="s">
        <v>2</v>
      </c>
      <c r="AZ67" s="188"/>
      <c r="BA67" s="188"/>
      <c r="BB67" s="188" t="s">
        <v>0</v>
      </c>
      <c r="BC67" s="188"/>
      <c r="BD67" s="188"/>
      <c r="BE67" s="188" t="s">
        <v>205</v>
      </c>
      <c r="BF67" s="188"/>
      <c r="BG67" s="188"/>
      <c r="BJ67" s="16" t="s">
        <v>552</v>
      </c>
      <c r="BN67" s="16" t="s">
        <v>498</v>
      </c>
      <c r="BR67" s="16" t="s">
        <v>553</v>
      </c>
      <c r="BX67" s="37" t="str">
        <f t="shared" si="29"/>
        <v/>
      </c>
    </row>
    <row r="68" spans="14:76">
      <c r="N68" s="16">
        <v>2</v>
      </c>
      <c r="O68" s="17" t="s">
        <v>161</v>
      </c>
      <c r="P68" s="187"/>
      <c r="Q68" s="177"/>
      <c r="R68" s="177"/>
      <c r="S68" s="54" t="s">
        <v>1</v>
      </c>
      <c r="T68" s="54" t="s">
        <v>2</v>
      </c>
      <c r="U68" s="54" t="s">
        <v>0</v>
      </c>
      <c r="V68" s="54" t="s">
        <v>205</v>
      </c>
      <c r="W68" s="177"/>
      <c r="X68" s="54" t="s">
        <v>1</v>
      </c>
      <c r="Y68" s="54" t="s">
        <v>2</v>
      </c>
      <c r="Z68" s="54" t="s">
        <v>0</v>
      </c>
      <c r="AA68" s="54" t="s">
        <v>205</v>
      </c>
      <c r="AB68" s="193"/>
      <c r="AC68" s="54" t="s">
        <v>1</v>
      </c>
      <c r="AD68" s="54" t="s">
        <v>2</v>
      </c>
      <c r="AE68" s="54" t="s">
        <v>0</v>
      </c>
      <c r="AF68" s="54" t="s">
        <v>205</v>
      </c>
      <c r="AG68" s="193"/>
      <c r="AH68" s="54" t="s">
        <v>1</v>
      </c>
      <c r="AI68" s="54" t="s">
        <v>2</v>
      </c>
      <c r="AJ68" s="54" t="s">
        <v>0</v>
      </c>
      <c r="AK68" s="54" t="s">
        <v>205</v>
      </c>
      <c r="AL68" s="17" t="s">
        <v>1</v>
      </c>
      <c r="AM68" s="17" t="s">
        <v>2</v>
      </c>
      <c r="AN68" s="17" t="s">
        <v>0</v>
      </c>
      <c r="AO68" s="17" t="s">
        <v>205</v>
      </c>
      <c r="AP68" s="54" t="s">
        <v>1</v>
      </c>
      <c r="AQ68" s="54" t="s">
        <v>2</v>
      </c>
      <c r="AR68" s="54" t="s">
        <v>0</v>
      </c>
      <c r="AS68" s="54" t="s">
        <v>205</v>
      </c>
      <c r="AV68" s="38" t="s">
        <v>428</v>
      </c>
      <c r="AW68" s="38" t="s">
        <v>556</v>
      </c>
      <c r="AX68" s="38" t="s">
        <v>429</v>
      </c>
      <c r="AY68" s="38" t="s">
        <v>428</v>
      </c>
      <c r="AZ68" s="38" t="s">
        <v>556</v>
      </c>
      <c r="BA68" s="38" t="s">
        <v>429</v>
      </c>
      <c r="BB68" s="38" t="s">
        <v>428</v>
      </c>
      <c r="BC68" s="38" t="s">
        <v>556</v>
      </c>
      <c r="BD68" s="38" t="s">
        <v>429</v>
      </c>
      <c r="BE68" s="38" t="s">
        <v>428</v>
      </c>
      <c r="BF68" s="38" t="s">
        <v>556</v>
      </c>
      <c r="BG68" s="38" t="s">
        <v>429</v>
      </c>
      <c r="BJ68" s="16" t="s">
        <v>79</v>
      </c>
      <c r="BK68" s="16" t="s">
        <v>80</v>
      </c>
      <c r="BL68" s="16" t="s">
        <v>81</v>
      </c>
      <c r="BM68" s="16" t="s">
        <v>205</v>
      </c>
      <c r="BN68" s="16" t="s">
        <v>79</v>
      </c>
      <c r="BO68" s="16" t="s">
        <v>80</v>
      </c>
      <c r="BP68" s="16" t="s">
        <v>81</v>
      </c>
      <c r="BQ68" s="16" t="s">
        <v>205</v>
      </c>
      <c r="BR68" s="16" t="s">
        <v>79</v>
      </c>
      <c r="BS68" s="16" t="s">
        <v>80</v>
      </c>
      <c r="BT68" s="16" t="s">
        <v>81</v>
      </c>
      <c r="BU68" s="16" t="s">
        <v>205</v>
      </c>
      <c r="BX68" s="37" t="str">
        <f t="shared" si="29"/>
        <v/>
      </c>
    </row>
    <row r="69" spans="14:76">
      <c r="N69" s="16">
        <v>3</v>
      </c>
      <c r="O69" s="17">
        <v>50</v>
      </c>
      <c r="P69" s="17">
        <f>求节点(节奏总纲!$O$4:$O$163,节奏总纲!R$4:R$163,O69)</f>
        <v>22.205300000000001</v>
      </c>
      <c r="Q69" s="17">
        <f>INDEX(其他调用!$E$4:$E$163,$O69)*$P$10</f>
        <v>67312.388512865</v>
      </c>
      <c r="R69" s="50">
        <v>1</v>
      </c>
      <c r="S69" s="17">
        <f t="shared" ref="S69:S89" si="58">E$15*E$16+E$19</f>
        <v>0.375</v>
      </c>
      <c r="T69" s="17">
        <f t="shared" ref="T69:T89" si="59">F$15*F$16+F$19</f>
        <v>0.125</v>
      </c>
      <c r="U69" s="17">
        <f t="shared" ref="U69:U89" si="60">G$15*G$16+G$19</f>
        <v>2.2500000000000003E-2</v>
      </c>
      <c r="V69" s="17">
        <f t="shared" ref="V69:V89" si="61">H$15*H$16+H$19</f>
        <v>7.4999999999999997E-3</v>
      </c>
      <c r="W69" s="51">
        <f>Q69</f>
        <v>67312.388512865</v>
      </c>
      <c r="X69" s="51">
        <f>$W69/$E$25*S69*$R69</f>
        <v>76.491350582801132</v>
      </c>
      <c r="Y69" s="51">
        <f t="shared" ref="Y69" si="62">$W69/$E$25*T69*$R69</f>
        <v>25.497116860933712</v>
      </c>
      <c r="Z69" s="51">
        <f t="shared" ref="Z69" si="63">$W69/$E$25*U69*$R69</f>
        <v>4.5894810349680686</v>
      </c>
      <c r="AA69" s="51">
        <f t="shared" ref="AA69" si="64">$W69/$E$25*V69*$R69</f>
        <v>1.5298270116560226</v>
      </c>
      <c r="AB69" s="17">
        <f>求节点(盗宝贼掉落!$CV$5:$CV$164,盗宝贼掉落!$DE$5:$DE$164,$O69)</f>
        <v>0</v>
      </c>
      <c r="AC69" s="17">
        <f>$AB69*INDEX(盗宝贼掉落!$D$64:$D$67,MATCH(AC$16,盗宝贼掉落!$B$64:$B$67,0))*INDEX(盗宝贼掉落!$F$64:$F$67,MATCH(AC$16,盗宝贼掉落!$B$64:$B$67,0))</f>
        <v>0</v>
      </c>
      <c r="AD69" s="17">
        <f>$AB69*INDEX(盗宝贼掉落!$D$64:$D$67,MATCH(AD$16,盗宝贼掉落!$B$64:$B$67,0))*INDEX(盗宝贼掉落!$F$64:$F$67,MATCH(AD$16,盗宝贼掉落!$B$64:$B$67,0))</f>
        <v>0</v>
      </c>
      <c r="AE69" s="17">
        <f>$AB69*INDEX(盗宝贼掉落!$D$64:$D$67,MATCH(AE$16,盗宝贼掉落!$B$64:$B$67,0))*INDEX(盗宝贼掉落!$F$64:$F$67,MATCH(AE$16,盗宝贼掉落!$B$64:$B$67,0))</f>
        <v>0</v>
      </c>
      <c r="AF69" s="17">
        <f>$AB69*INDEX(盗宝贼掉落!$D$64:$D$67,MATCH(AF$16,盗宝贼掉落!$B$64:$B$67,0))*INDEX(盗宝贼掉落!$F$64:$F$67,MATCH(AF$16,盗宝贼掉落!$B$64:$B$67,0))</f>
        <v>0</v>
      </c>
      <c r="AG69" s="17">
        <f>求节点(匈奴铁骑掉落!$J$7:$J$166,匈奴铁骑掉落!M$7:M$166,O69)</f>
        <v>8.6463600000000014</v>
      </c>
      <c r="AH69" s="17">
        <f>$AG69*INDEX(盗宝贼掉落!$D$64:$D$67,MATCH(AH$16,盗宝贼掉落!$B$64:$B$67,0))*INDEX(盗宝贼掉落!$G$64:$G$67,MATCH(AH$16,盗宝贼掉落!$B$64:$B$67,0))</f>
        <v>2.5939080000000008</v>
      </c>
      <c r="AI69" s="17">
        <f>$AG69*INDEX(盗宝贼掉落!$D$64:$D$67,MATCH(AI$16,盗宝贼掉落!$B$64:$B$67,0))*INDEX(盗宝贼掉落!$G$64:$G$67,MATCH(AI$16,盗宝贼掉落!$B$64:$B$67,0))</f>
        <v>0.69170880000000023</v>
      </c>
      <c r="AJ69" s="17">
        <f>$AG69*INDEX(盗宝贼掉落!$D$64:$D$67,MATCH(AJ$16,盗宝贼掉落!$B$64:$B$67,0))*INDEX(盗宝贼掉落!$G$64:$G$67,MATCH(AJ$16,盗宝贼掉落!$B$64:$B$67,0))</f>
        <v>0.1729272</v>
      </c>
      <c r="AK69" s="17">
        <f>$AG69*INDEX(盗宝贼掉落!$D$64:$D$67,MATCH(AK$16,盗宝贼掉落!$B$64:$B$67,0))*INDEX(盗宝贼掉落!$G$64:$G$67,MATCH(AK$16,盗宝贼掉落!$B$64:$B$67,0))</f>
        <v>0</v>
      </c>
      <c r="AL69" s="17">
        <f>X69+AC69+AH69</f>
        <v>79.085258582801131</v>
      </c>
      <c r="AM69" s="17">
        <f t="shared" ref="AM69:AM89" si="65">Y69+AD69+AI69</f>
        <v>26.188825660933713</v>
      </c>
      <c r="AN69" s="17">
        <f t="shared" ref="AN69:AN89" si="66">Z69+AE69+AJ69</f>
        <v>4.7624082349680688</v>
      </c>
      <c r="AO69" s="17">
        <f t="shared" ref="AO69:AO89" si="67">AA69+AF69+AK69</f>
        <v>1.5298270116560226</v>
      </c>
      <c r="AP69" s="85">
        <f>IFERROR(IF(基础状态预期!I69=0,0,MIN(求节点(宝物升星!D$67:D$72,宝物升星!$C$67:$C$72,AL69/基础状态预期!C$8),宝物升星!D$14)),0)</f>
        <v>0</v>
      </c>
      <c r="AQ69" s="85">
        <f>IFERROR(IF(基础状态预期!J69=0,0,MIN(求节点(宝物升星!E$67:E$72,宝物升星!$C$67:$C$72,AM69/基础状态预期!D$8),宝物升星!E$14)),0)</f>
        <v>0</v>
      </c>
      <c r="AR69" s="78">
        <f>IFERROR(MIN(求节点(宝物升星!F$67:F$72,宝物升星!$C$67:$C$72,AN69/基础状态预期!K69),宝物升星!F$14),0)</f>
        <v>0</v>
      </c>
      <c r="AS69" s="78">
        <f>IFERROR(MIN(求节点(宝物升星!G$67:G$72,宝物升星!$C$67:$C$72,AO69/基础状态预期!L69),宝物升星!G$14),0)</f>
        <v>0</v>
      </c>
      <c r="AV69" s="38">
        <f t="shared" ref="AV69:AV89" si="68">X69/AL69</f>
        <v>0.96720111881174142</v>
      </c>
      <c r="AW69" s="38">
        <f>AH69/AL69</f>
        <v>3.279888118825857E-2</v>
      </c>
      <c r="AX69" s="38">
        <f>AC69/AL69</f>
        <v>0</v>
      </c>
      <c r="AY69" s="38">
        <f t="shared" ref="AY69:AY89" si="69">Y69/AM69</f>
        <v>0.9735876358506661</v>
      </c>
      <c r="AZ69" s="38">
        <f>AI69/AM69</f>
        <v>2.6412364149333862E-2</v>
      </c>
      <c r="BA69" s="38">
        <f>AD69/AM69</f>
        <v>0</v>
      </c>
      <c r="BB69" s="38">
        <f t="shared" ref="BB69:BB89" si="70">Z69/AN69</f>
        <v>0.96368912712474353</v>
      </c>
      <c r="BC69" s="38">
        <f>AJ69/AN69</f>
        <v>3.6310872875256452E-2</v>
      </c>
      <c r="BD69" s="38">
        <f>AE69/AN69</f>
        <v>0</v>
      </c>
      <c r="BE69" s="38">
        <f t="shared" ref="BE69:BE89" si="71">AA69/AO69</f>
        <v>1</v>
      </c>
      <c r="BF69" s="38">
        <f>AK69/AO69</f>
        <v>0</v>
      </c>
      <c r="BG69" s="38">
        <f>AF69/AO69</f>
        <v>0</v>
      </c>
      <c r="BJ69" s="16">
        <v>2.4858285000000002</v>
      </c>
      <c r="BK69" s="16">
        <v>1.0807950000000002</v>
      </c>
      <c r="BL69" s="16">
        <v>7.205300000000002E-2</v>
      </c>
      <c r="BM69" s="16">
        <v>2.5218550000000006E-2</v>
      </c>
      <c r="BN69" s="16">
        <v>78.962303846691796</v>
      </c>
      <c r="BO69" s="16">
        <v>26.572953448897266</v>
      </c>
      <c r="BP69" s="16">
        <v>4.6606415208015095</v>
      </c>
      <c r="BQ69" s="16">
        <v>1.5547480569338359</v>
      </c>
      <c r="BR69" s="16">
        <v>0</v>
      </c>
      <c r="BS69" s="16">
        <v>0</v>
      </c>
      <c r="BT69" s="16">
        <v>0</v>
      </c>
      <c r="BU69" s="16">
        <v>0</v>
      </c>
      <c r="BX69" s="37" t="str">
        <f t="shared" si="29"/>
        <v/>
      </c>
    </row>
    <row r="70" spans="14:76">
      <c r="N70" s="16">
        <v>4</v>
      </c>
      <c r="O70" s="17">
        <v>60</v>
      </c>
      <c r="P70" s="17">
        <f>求节点(节奏总纲!$O$4:$O$163,节奏总纲!R$4:R$163,O70)</f>
        <v>44.717399999999998</v>
      </c>
      <c r="Q70" s="17">
        <f>INDEX(其他调用!$E$4:$E$163,$O70)*$P$10</f>
        <v>126907.00346152461</v>
      </c>
      <c r="R70" s="50">
        <v>1</v>
      </c>
      <c r="S70" s="17">
        <f t="shared" si="58"/>
        <v>0.375</v>
      </c>
      <c r="T70" s="17">
        <f t="shared" si="59"/>
        <v>0.125</v>
      </c>
      <c r="U70" s="17">
        <f t="shared" si="60"/>
        <v>2.2500000000000003E-2</v>
      </c>
      <c r="V70" s="17">
        <f t="shared" si="61"/>
        <v>7.4999999999999997E-3</v>
      </c>
      <c r="W70" s="17">
        <f t="shared" ref="W70:W89" si="72">Q70-Q69</f>
        <v>59594.614948659611</v>
      </c>
      <c r="X70" s="17">
        <f>$W70/$E$25*S70*$R70+X69</f>
        <v>144.21250393355069</v>
      </c>
      <c r="Y70" s="17">
        <f t="shared" ref="Y70:Y89" si="73">$W70/$E$25*T70*$R70+Y69</f>
        <v>48.070834644516893</v>
      </c>
      <c r="Z70" s="17">
        <f t="shared" ref="Z70:Z89" si="74">$W70/$E$25*U70*$R70+Z69</f>
        <v>8.6527502360130413</v>
      </c>
      <c r="AA70" s="17">
        <f t="shared" ref="AA70:AA89" si="75">$W70/$E$25*V70*$R70+AA69</f>
        <v>2.8842500786710135</v>
      </c>
      <c r="AB70" s="17">
        <f>求节点(盗宝贼掉落!$CV$5:$CV$164,盗宝贼掉落!$DE$5:$DE$164,$O70)</f>
        <v>11.779441997936837</v>
      </c>
      <c r="AC70" s="17">
        <f>$AB70*INDEX(盗宝贼掉落!$D$64:$D$67,MATCH(AC$16,盗宝贼掉落!$B$64:$B$67,0))*INDEX(盗宝贼掉落!$F$64:$F$67,MATCH(AC$16,盗宝贼掉落!$B$64:$B$67,0))</f>
        <v>8.8345814984526285</v>
      </c>
      <c r="AD70" s="17">
        <f>$AB70*INDEX(盗宝贼掉落!$D$64:$D$67,MATCH(AD$16,盗宝贼掉落!$B$64:$B$67,0))*INDEX(盗宝贼掉落!$F$64:$F$67,MATCH(AD$16,盗宝贼掉落!$B$64:$B$67,0))</f>
        <v>0.58897209989684185</v>
      </c>
      <c r="AE70" s="17">
        <f>$AB70*INDEX(盗宝贼掉落!$D$64:$D$67,MATCH(AE$16,盗宝贼掉落!$B$64:$B$67,0))*INDEX(盗宝贼掉落!$F$64:$F$67,MATCH(AE$16,盗宝贼掉落!$B$64:$B$67,0))</f>
        <v>0</v>
      </c>
      <c r="AF70" s="17">
        <f>$AB70*INDEX(盗宝贼掉落!$D$64:$D$67,MATCH(AF$16,盗宝贼掉落!$B$64:$B$67,0))*INDEX(盗宝贼掉落!$F$64:$F$67,MATCH(AF$16,盗宝贼掉落!$B$64:$B$67,0))</f>
        <v>0</v>
      </c>
      <c r="AG70" s="17">
        <f>求节点(匈奴铁骑掉落!$J$7:$J$166,匈奴铁骑掉落!M$7:M$166,O70)</f>
        <v>35.660879999999999</v>
      </c>
      <c r="AH70" s="17">
        <f>$AG70*INDEX(盗宝贼掉落!$D$64:$D$67,MATCH(AH$16,盗宝贼掉落!$B$64:$B$67,0))*INDEX(盗宝贼掉落!$G$64:$G$67,MATCH(AH$16,盗宝贼掉落!$B$64:$B$67,0))</f>
        <v>10.698264000000002</v>
      </c>
      <c r="AI70" s="17">
        <f>$AG70*INDEX(盗宝贼掉落!$D$64:$D$67,MATCH(AI$16,盗宝贼掉落!$B$64:$B$67,0))*INDEX(盗宝贼掉落!$G$64:$G$67,MATCH(AI$16,盗宝贼掉落!$B$64:$B$67,0))</f>
        <v>2.8528704000000005</v>
      </c>
      <c r="AJ70" s="17">
        <f>$AG70*INDEX(盗宝贼掉落!$D$64:$D$67,MATCH(AJ$16,盗宝贼掉落!$B$64:$B$67,0))*INDEX(盗宝贼掉落!$G$64:$G$67,MATCH(AJ$16,盗宝贼掉落!$B$64:$B$67,0))</f>
        <v>0.71321760000000001</v>
      </c>
      <c r="AK70" s="17">
        <f>$AG70*INDEX(盗宝贼掉落!$D$64:$D$67,MATCH(AK$16,盗宝贼掉落!$B$64:$B$67,0))*INDEX(盗宝贼掉落!$G$64:$G$67,MATCH(AK$16,盗宝贼掉落!$B$64:$B$67,0))</f>
        <v>0</v>
      </c>
      <c r="AL70" s="17">
        <f t="shared" ref="AL70:AL89" si="76">X70+AC70+AH70</f>
        <v>163.74534943200331</v>
      </c>
      <c r="AM70" s="17">
        <f t="shared" si="65"/>
        <v>51.512677144413736</v>
      </c>
      <c r="AN70" s="17">
        <f t="shared" si="66"/>
        <v>9.3659678360130414</v>
      </c>
      <c r="AO70" s="17">
        <f t="shared" si="67"/>
        <v>2.8842500786710135</v>
      </c>
      <c r="AP70" s="84">
        <f>IFERROR(MAX(MIN(求节点(宝物升星!D$67:D$72,宝物升星!$C$67:$C$72,AL70/基础状态预期!C$8),宝物升星!D$14),AP69),AP69)</f>
        <v>0</v>
      </c>
      <c r="AQ70" s="84">
        <f>IFERROR(MAX(MIN(求节点(宝物升星!E$67:E$72,宝物升星!$C$67:$C$72,AM70/基础状态预期!D$8),宝物升星!E$14),AQ69),AQ69)</f>
        <v>3</v>
      </c>
      <c r="AR70" s="84">
        <f>IFERROR(MAX(MIN(求节点(宝物升星!F$67:F$72,宝物升星!$C$67:$C$72,AN70/基础状态预期!E$8),宝物升星!F$14),AR69),AR69)</f>
        <v>0.17074597950163017</v>
      </c>
      <c r="AS70" s="54">
        <f>IFERROR(MAX(MIN(求节点(宝物升星!G$67:G$72,宝物升星!$C$67:$C$72,AO70/MAX(基础状态预期!L70,基础状态预期!L69)),宝物升星!G$14),AS69),AS69)</f>
        <v>0.3361068610914304</v>
      </c>
      <c r="AV70" s="38">
        <f t="shared" si="68"/>
        <v>0.88071205951065012</v>
      </c>
      <c r="AW70" s="38">
        <f t="shared" ref="AW70:AW89" si="77">AH70/AL70</f>
        <v>6.5334765458133201E-2</v>
      </c>
      <c r="AX70" s="38">
        <f t="shared" ref="AX70:AX89" si="78">AC70/AL70</f>
        <v>5.3953175031216785E-2</v>
      </c>
      <c r="AY70" s="38">
        <f t="shared" si="69"/>
        <v>0.93318455396430333</v>
      </c>
      <c r="AZ70" s="38">
        <f t="shared" ref="AZ70:AZ89" si="79">AI70/AM70</f>
        <v>5.5381909039634886E-2</v>
      </c>
      <c r="BA70" s="38">
        <f t="shared" ref="BA70:BA89" si="80">AD70/AM70</f>
        <v>1.1433536996061805E-2</v>
      </c>
      <c r="BB70" s="38">
        <f t="shared" si="70"/>
        <v>0.92385009083016378</v>
      </c>
      <c r="BC70" s="38">
        <f t="shared" ref="BC70:BC89" si="81">AJ70/AN70</f>
        <v>7.6149909169836161E-2</v>
      </c>
      <c r="BD70" s="38">
        <f t="shared" ref="BD70:BD89" si="82">AE70/AN70</f>
        <v>0</v>
      </c>
      <c r="BE70" s="38">
        <f t="shared" si="71"/>
        <v>1</v>
      </c>
      <c r="BF70" s="38">
        <f t="shared" ref="BF70:BF89" si="83">AK70/AO70</f>
        <v>0</v>
      </c>
      <c r="BG70" s="38">
        <f t="shared" ref="BG70:BG89" si="84">AF70/AO70</f>
        <v>0</v>
      </c>
      <c r="BJ70" s="16">
        <v>10.252502999999999</v>
      </c>
      <c r="BK70" s="16">
        <v>4.4576099999999999</v>
      </c>
      <c r="BL70" s="16">
        <v>0.29717399999999999</v>
      </c>
      <c r="BM70" s="16">
        <v>0.10401089999999999</v>
      </c>
      <c r="BN70" s="16">
        <v>163.25524152403756</v>
      </c>
      <c r="BO70" s="16">
        <v>53.102634441758489</v>
      </c>
      <c r="BP70" s="16">
        <v>8.9472634215350961</v>
      </c>
      <c r="BQ70" s="16">
        <v>2.9873740405116984</v>
      </c>
      <c r="BR70" s="16">
        <v>0</v>
      </c>
      <c r="BS70" s="16">
        <v>3</v>
      </c>
      <c r="BT70" s="16">
        <v>1.3292262496794747</v>
      </c>
      <c r="BU70" s="16">
        <v>0.38387825025674083</v>
      </c>
      <c r="BX70" s="37" t="str">
        <f t="shared" si="29"/>
        <v/>
      </c>
    </row>
    <row r="71" spans="14:76">
      <c r="N71" s="16">
        <v>5</v>
      </c>
      <c r="O71" s="17">
        <v>70</v>
      </c>
      <c r="P71" s="17">
        <f>求节点(节奏总纲!$O$4:$O$163,节奏总纲!R$4:R$163,O71)</f>
        <v>90.106499999999997</v>
      </c>
      <c r="Q71" s="17">
        <f>INDEX(其他调用!$E$4:$E$163,$O71)*$P$10</f>
        <v>249164.07252925762</v>
      </c>
      <c r="R71" s="50">
        <v>1</v>
      </c>
      <c r="S71" s="17">
        <f t="shared" si="58"/>
        <v>0.375</v>
      </c>
      <c r="T71" s="17">
        <f t="shared" si="59"/>
        <v>0.125</v>
      </c>
      <c r="U71" s="17">
        <f t="shared" si="60"/>
        <v>2.2500000000000003E-2</v>
      </c>
      <c r="V71" s="17">
        <f t="shared" si="61"/>
        <v>7.4999999999999997E-3</v>
      </c>
      <c r="W71" s="17">
        <f t="shared" si="72"/>
        <v>122257.06906773301</v>
      </c>
      <c r="X71" s="17">
        <f t="shared" ref="X71:X89" si="85">$W71/$E$25*S71*$R71+X70</f>
        <v>283.14099151052005</v>
      </c>
      <c r="Y71" s="17">
        <f t="shared" si="73"/>
        <v>94.38033050350667</v>
      </c>
      <c r="Z71" s="17">
        <f t="shared" si="74"/>
        <v>16.9884594906312</v>
      </c>
      <c r="AA71" s="17">
        <f t="shared" si="75"/>
        <v>5.6628198302103998</v>
      </c>
      <c r="AB71" s="17">
        <f>求节点(盗宝贼掉落!$CV$5:$CV$164,盗宝贼掉落!$DE$5:$DE$164,$O71)</f>
        <v>52.670482187936827</v>
      </c>
      <c r="AC71" s="17">
        <f>$AB71*INDEX(盗宝贼掉落!$D$64:$D$67,MATCH(AC$16,盗宝贼掉落!$B$64:$B$67,0))*INDEX(盗宝贼掉落!$F$64:$F$67,MATCH(AC$16,盗宝贼掉落!$B$64:$B$67,0))</f>
        <v>39.502861640952617</v>
      </c>
      <c r="AD71" s="17">
        <f>$AB71*INDEX(盗宝贼掉落!$D$64:$D$67,MATCH(AD$16,盗宝贼掉落!$B$64:$B$67,0))*INDEX(盗宝贼掉落!$F$64:$F$67,MATCH(AD$16,盗宝贼掉落!$B$64:$B$67,0))</f>
        <v>2.6335241093968413</v>
      </c>
      <c r="AE71" s="17">
        <f>$AB71*INDEX(盗宝贼掉落!$D$64:$D$67,MATCH(AE$16,盗宝贼掉落!$B$64:$B$67,0))*INDEX(盗宝贼掉落!$F$64:$F$67,MATCH(AE$16,盗宝贼掉落!$B$64:$B$67,0))</f>
        <v>0</v>
      </c>
      <c r="AF71" s="17">
        <f>$AB71*INDEX(盗宝贼掉落!$D$64:$D$67,MATCH(AF$16,盗宝贼掉落!$B$64:$B$67,0))*INDEX(盗宝贼掉落!$F$64:$F$67,MATCH(AF$16,盗宝贼掉落!$B$64:$B$67,0))</f>
        <v>0</v>
      </c>
      <c r="AG71" s="17">
        <f>求节点(匈奴铁骑掉落!$J$7:$J$166,匈奴铁骑掉落!M$7:M$166,O71)</f>
        <v>90.127800000000008</v>
      </c>
      <c r="AH71" s="17">
        <f>$AG71*INDEX(盗宝贼掉落!$D$64:$D$67,MATCH(AH$16,盗宝贼掉落!$B$64:$B$67,0))*INDEX(盗宝贼掉落!$G$64:$G$67,MATCH(AH$16,盗宝贼掉落!$B$64:$B$67,0))</f>
        <v>27.038340000000005</v>
      </c>
      <c r="AI71" s="17">
        <f>$AG71*INDEX(盗宝贼掉落!$D$64:$D$67,MATCH(AI$16,盗宝贼掉落!$B$64:$B$67,0))*INDEX(盗宝贼掉落!$G$64:$G$67,MATCH(AI$16,盗宝贼掉落!$B$64:$B$67,0))</f>
        <v>7.2102240000000011</v>
      </c>
      <c r="AJ71" s="17">
        <f>$AG71*INDEX(盗宝贼掉落!$D$64:$D$67,MATCH(AJ$16,盗宝贼掉落!$B$64:$B$67,0))*INDEX(盗宝贼掉落!$G$64:$G$67,MATCH(AJ$16,盗宝贼掉落!$B$64:$B$67,0))</f>
        <v>1.802556</v>
      </c>
      <c r="AK71" s="17">
        <f>$AG71*INDEX(盗宝贼掉落!$D$64:$D$67,MATCH(AK$16,盗宝贼掉落!$B$64:$B$67,0))*INDEX(盗宝贼掉落!$G$64:$G$67,MATCH(AK$16,盗宝贼掉落!$B$64:$B$67,0))</f>
        <v>0</v>
      </c>
      <c r="AL71" s="17">
        <f t="shared" si="76"/>
        <v>349.68219315147269</v>
      </c>
      <c r="AM71" s="17">
        <f t="shared" si="65"/>
        <v>104.22407861290351</v>
      </c>
      <c r="AN71" s="17">
        <f t="shared" si="66"/>
        <v>18.791015490631199</v>
      </c>
      <c r="AO71" s="17">
        <f t="shared" si="67"/>
        <v>5.6628198302103998</v>
      </c>
      <c r="AP71" s="84">
        <f>IFERROR(MAX(MIN(求节点(宝物升星!D$67:D$72,宝物升星!$C$67:$C$72,AL71/基础状态预期!C$8),宝物升星!D$14),AP70),AP70)</f>
        <v>0</v>
      </c>
      <c r="AQ71" s="84">
        <f>IFERROR(MAX(MIN(求节点(宝物升星!E$67:E$72,宝物升星!$C$67:$C$72,AM71/基础状态预期!D$8),宝物升星!E$14),AQ70),AQ70)</f>
        <v>3</v>
      </c>
      <c r="AR71" s="84">
        <f>IFERROR(MAX(MIN(求节点(宝物升星!F$67:F$72,宝物升星!$C$67:$C$72,AN71/基础状态预期!E$8),宝物升星!F$14),AR70),AR70)</f>
        <v>1.3488769363288999</v>
      </c>
      <c r="AS71" s="54">
        <f>IFERROR(MAX(MIN(求节点(宝物升星!G$67:G$72,宝物升星!$C$67:$C$72,AO71/MAX(基础状态预期!L71,基础状态预期!L70)),宝物升星!G$14),AS70),AS70)</f>
        <v>0.3361068610914304</v>
      </c>
      <c r="AV71" s="38">
        <f t="shared" si="68"/>
        <v>0.80970949352251165</v>
      </c>
      <c r="AW71" s="38">
        <f t="shared" si="77"/>
        <v>7.73226104432711E-2</v>
      </c>
      <c r="AX71" s="38">
        <f t="shared" si="78"/>
        <v>0.11296789603421718</v>
      </c>
      <c r="AY71" s="38">
        <f t="shared" si="69"/>
        <v>0.9055520735668261</v>
      </c>
      <c r="AZ71" s="38">
        <f t="shared" si="79"/>
        <v>6.9180021507115885E-2</v>
      </c>
      <c r="BA71" s="38">
        <f t="shared" si="80"/>
        <v>2.5267904926058005E-2</v>
      </c>
      <c r="BB71" s="38">
        <f t="shared" si="70"/>
        <v>0.90407351849085993</v>
      </c>
      <c r="BC71" s="38">
        <f t="shared" si="81"/>
        <v>9.5926481509140155E-2</v>
      </c>
      <c r="BD71" s="38">
        <f t="shared" si="82"/>
        <v>0</v>
      </c>
      <c r="BE71" s="38">
        <f t="shared" si="71"/>
        <v>1</v>
      </c>
      <c r="BF71" s="38">
        <f t="shared" si="83"/>
        <v>0</v>
      </c>
      <c r="BG71" s="38">
        <f t="shared" si="84"/>
        <v>0</v>
      </c>
      <c r="BJ71" s="16">
        <v>25.911742499999999</v>
      </c>
      <c r="BK71" s="16">
        <v>11.265975000000001</v>
      </c>
      <c r="BL71" s="16">
        <v>0.75106500000000009</v>
      </c>
      <c r="BM71" s="16">
        <v>0.26287275000000004</v>
      </c>
      <c r="BN71" s="16">
        <v>348.4432417761692</v>
      </c>
      <c r="BO71" s="16">
        <v>108.24237832113569</v>
      </c>
      <c r="BP71" s="16">
        <v>17.732783258112992</v>
      </c>
      <c r="BQ71" s="16">
        <v>5.9234455027043307</v>
      </c>
      <c r="BR71" s="16">
        <v>0</v>
      </c>
      <c r="BS71" s="16">
        <v>3</v>
      </c>
      <c r="BT71" s="16">
        <v>3.6163460600992297</v>
      </c>
      <c r="BU71" s="16">
        <v>0.38387825025674083</v>
      </c>
      <c r="BX71" s="37" t="str">
        <f t="shared" si="29"/>
        <v/>
      </c>
    </row>
    <row r="72" spans="14:76">
      <c r="N72" s="16">
        <v>6</v>
      </c>
      <c r="O72" s="17">
        <v>75</v>
      </c>
      <c r="P72" s="17">
        <f>求节点(节奏总纲!$O$4:$O$163,节奏总纲!R$4:R$163,O72)</f>
        <v>127.38168214210583</v>
      </c>
      <c r="Q72" s="17">
        <f>INDEX(其他调用!$E$4:$E$163,$O72)*$P$10</f>
        <v>335220.26359222329</v>
      </c>
      <c r="R72" s="50">
        <v>1</v>
      </c>
      <c r="S72" s="17">
        <f t="shared" si="58"/>
        <v>0.375</v>
      </c>
      <c r="T72" s="17">
        <f t="shared" si="59"/>
        <v>0.125</v>
      </c>
      <c r="U72" s="17">
        <f t="shared" si="60"/>
        <v>2.2500000000000003E-2</v>
      </c>
      <c r="V72" s="17">
        <f t="shared" si="61"/>
        <v>7.4999999999999997E-3</v>
      </c>
      <c r="W72" s="17">
        <f t="shared" si="72"/>
        <v>86056.191062965663</v>
      </c>
      <c r="X72" s="17">
        <f t="shared" si="85"/>
        <v>380.93211771843556</v>
      </c>
      <c r="Y72" s="17">
        <f t="shared" si="73"/>
        <v>126.97737257281184</v>
      </c>
      <c r="Z72" s="17">
        <f t="shared" si="74"/>
        <v>22.855927063106133</v>
      </c>
      <c r="AA72" s="17">
        <f t="shared" si="75"/>
        <v>7.6186423543687098</v>
      </c>
      <c r="AB72" s="17">
        <f>求节点(盗宝贼掉落!$CV$5:$CV$164,盗宝贼掉落!$DE$5:$DE$164,$O72)</f>
        <v>86.251693779759975</v>
      </c>
      <c r="AC72" s="17">
        <f>$AB72*INDEX(盗宝贼掉落!$D$64:$D$67,MATCH(AC$16,盗宝贼掉落!$B$64:$B$67,0))*INDEX(盗宝贼掉落!$F$64:$F$67,MATCH(AC$16,盗宝贼掉落!$B$64:$B$67,0))</f>
        <v>64.688770334819978</v>
      </c>
      <c r="AD72" s="17">
        <f>$AB72*INDEX(盗宝贼掉落!$D$64:$D$67,MATCH(AD$16,盗宝贼掉落!$B$64:$B$67,0))*INDEX(盗宝贼掉落!$F$64:$F$67,MATCH(AD$16,盗宝贼掉落!$B$64:$B$67,0))</f>
        <v>4.3125846889879993</v>
      </c>
      <c r="AE72" s="17">
        <f>$AB72*INDEX(盗宝贼掉落!$D$64:$D$67,MATCH(AE$16,盗宝贼掉落!$B$64:$B$67,0))*INDEX(盗宝贼掉落!$F$64:$F$67,MATCH(AE$16,盗宝贼掉落!$B$64:$B$67,0))</f>
        <v>0</v>
      </c>
      <c r="AF72" s="17">
        <f>$AB72*INDEX(盗宝贼掉落!$D$64:$D$67,MATCH(AF$16,盗宝贼掉落!$B$64:$B$67,0))*INDEX(盗宝贼掉落!$F$64:$F$67,MATCH(AF$16,盗宝贼掉落!$B$64:$B$67,0))</f>
        <v>0</v>
      </c>
      <c r="AG72" s="17">
        <f>求节点(匈奴铁骑掉落!$J$7:$J$166,匈奴铁骑掉落!M$7:M$166,O72)</f>
        <v>134.85801857052701</v>
      </c>
      <c r="AH72" s="17">
        <f>$AG72*INDEX(盗宝贼掉落!$D$64:$D$67,MATCH(AH$16,盗宝贼掉落!$B$64:$B$67,0))*INDEX(盗宝贼掉落!$G$64:$G$67,MATCH(AH$16,盗宝贼掉落!$B$64:$B$67,0))</f>
        <v>40.457405571158105</v>
      </c>
      <c r="AI72" s="17">
        <f>$AG72*INDEX(盗宝贼掉落!$D$64:$D$67,MATCH(AI$16,盗宝贼掉落!$B$64:$B$67,0))*INDEX(盗宝贼掉落!$G$64:$G$67,MATCH(AI$16,盗宝贼掉落!$B$64:$B$67,0))</f>
        <v>10.788641485642161</v>
      </c>
      <c r="AJ72" s="17">
        <f>$AG72*INDEX(盗宝贼掉落!$D$64:$D$67,MATCH(AJ$16,盗宝贼掉落!$B$64:$B$67,0))*INDEX(盗宝贼掉落!$G$64:$G$67,MATCH(AJ$16,盗宝贼掉落!$B$64:$B$67,0))</f>
        <v>2.6971603714105403</v>
      </c>
      <c r="AK72" s="17">
        <f>$AG72*INDEX(盗宝贼掉落!$D$64:$D$67,MATCH(AK$16,盗宝贼掉落!$B$64:$B$67,0))*INDEX(盗宝贼掉落!$G$64:$G$67,MATCH(AK$16,盗宝贼掉落!$B$64:$B$67,0))</f>
        <v>0</v>
      </c>
      <c r="AL72" s="17">
        <f t="shared" si="76"/>
        <v>486.07829362441367</v>
      </c>
      <c r="AM72" s="17">
        <f t="shared" si="65"/>
        <v>142.07859874744202</v>
      </c>
      <c r="AN72" s="17">
        <f t="shared" si="66"/>
        <v>25.553087434516673</v>
      </c>
      <c r="AO72" s="17">
        <f t="shared" si="67"/>
        <v>7.6186423543687098</v>
      </c>
      <c r="AP72" s="84">
        <f>IFERROR(MAX(MIN(求节点(宝物升星!D$67:D$72,宝物升星!$C$67:$C$72,AL72/基础状态预期!C$8),宝物升星!D$14),AP71),AP71)</f>
        <v>0</v>
      </c>
      <c r="AQ72" s="84">
        <f>IFERROR(MAX(MIN(求节点(宝物升星!E$67:E$72,宝物升星!$C$67:$C$72,AM72/基础状态预期!D$8),宝物升星!E$14),AQ71),AQ71)</f>
        <v>3</v>
      </c>
      <c r="AR72" s="84">
        <f>IFERROR(MAX(MIN(求节点(宝物升星!F$67:F$72,宝物升星!$C$67:$C$72,AN72/基础状态预期!E$8),宝物升星!F$14),AR71),AR71)</f>
        <v>2.1941359293145841</v>
      </c>
      <c r="AS72" s="54">
        <f>IFERROR(MAX(MIN(求节点(宝物升星!G$67:G$72,宝物升星!$C$67:$C$72,AO72/MAX(基础状态预期!L72,基础状态预期!L71)),宝物升星!G$14),AS71),AS71)</f>
        <v>0.37822592542481059</v>
      </c>
      <c r="AV72" s="38">
        <f t="shared" si="68"/>
        <v>0.78368469177678779</v>
      </c>
      <c r="AW72" s="38">
        <f t="shared" si="77"/>
        <v>8.3232281922095072E-2</v>
      </c>
      <c r="AX72" s="38">
        <f t="shared" si="78"/>
        <v>0.13308302630111712</v>
      </c>
      <c r="AY72" s="38">
        <f t="shared" si="69"/>
        <v>0.89371216842112855</v>
      </c>
      <c r="AZ72" s="38">
        <f t="shared" si="79"/>
        <v>7.5934317911031626E-2</v>
      </c>
      <c r="BA72" s="38">
        <f t="shared" si="80"/>
        <v>3.035351366783974E-2</v>
      </c>
      <c r="BB72" s="38">
        <f t="shared" si="70"/>
        <v>0.89444874799092722</v>
      </c>
      <c r="BC72" s="38">
        <f t="shared" si="81"/>
        <v>0.10555125200907278</v>
      </c>
      <c r="BD72" s="38">
        <f t="shared" si="82"/>
        <v>0</v>
      </c>
      <c r="BE72" s="38">
        <f t="shared" si="71"/>
        <v>1</v>
      </c>
      <c r="BF72" s="38">
        <f t="shared" si="83"/>
        <v>0</v>
      </c>
      <c r="BG72" s="38">
        <f t="shared" si="84"/>
        <v>0</v>
      </c>
      <c r="BJ72" s="16">
        <v>38.77168033902651</v>
      </c>
      <c r="BK72" s="16">
        <v>16.857252321315876</v>
      </c>
      <c r="BL72" s="16">
        <v>1.1238168214210584</v>
      </c>
      <c r="BM72" s="16">
        <v>0.39333588749737047</v>
      </c>
      <c r="BN72" s="16">
        <v>484.23529287377966</v>
      </c>
      <c r="BO72" s="16">
        <v>148.09478441028162</v>
      </c>
      <c r="BP72" s="16">
        <v>23.970307353417049</v>
      </c>
      <c r="BQ72" s="16">
        <v>8.0088327314960335</v>
      </c>
      <c r="BR72" s="16">
        <v>0</v>
      </c>
      <c r="BS72" s="16">
        <v>3</v>
      </c>
      <c r="BT72" s="16">
        <v>5</v>
      </c>
      <c r="BU72" s="16">
        <v>0.44881205725705131</v>
      </c>
      <c r="BX72" s="37" t="str">
        <f t="shared" si="29"/>
        <v/>
      </c>
    </row>
    <row r="73" spans="14:76">
      <c r="N73" s="16">
        <v>7</v>
      </c>
      <c r="O73" s="17">
        <v>80</v>
      </c>
      <c r="P73" s="17">
        <f>求节点(节奏总纲!$O$4:$O$163,节奏总纲!R$4:R$163,O73)</f>
        <v>180.33600000000001</v>
      </c>
      <c r="Q73" s="17">
        <f>INDEX(其他调用!$E$4:$E$163,$O73)*$P$10</f>
        <v>457438.22555200127</v>
      </c>
      <c r="R73" s="50">
        <v>1</v>
      </c>
      <c r="S73" s="17">
        <f t="shared" si="58"/>
        <v>0.375</v>
      </c>
      <c r="T73" s="17">
        <f t="shared" si="59"/>
        <v>0.125</v>
      </c>
      <c r="U73" s="17">
        <f t="shared" si="60"/>
        <v>2.2500000000000003E-2</v>
      </c>
      <c r="V73" s="17">
        <f t="shared" si="61"/>
        <v>7.4999999999999997E-3</v>
      </c>
      <c r="W73" s="17">
        <f t="shared" si="72"/>
        <v>122217.96195977798</v>
      </c>
      <c r="X73" s="17">
        <f t="shared" si="85"/>
        <v>519.81616540000141</v>
      </c>
      <c r="Y73" s="17">
        <f t="shared" si="73"/>
        <v>173.27205513333382</v>
      </c>
      <c r="Z73" s="17">
        <f t="shared" si="74"/>
        <v>31.188969924000087</v>
      </c>
      <c r="AA73" s="17">
        <f t="shared" si="75"/>
        <v>10.396323308000028</v>
      </c>
      <c r="AB73" s="17">
        <f>求节点(盗宝贼掉落!$CV$5:$CV$164,盗宝贼掉落!$DE$5:$DE$164,$O73)</f>
        <v>133.95823873793685</v>
      </c>
      <c r="AC73" s="17">
        <f>$AB73*INDEX(盗宝贼掉落!$D$64:$D$67,MATCH(AC$16,盗宝贼掉落!$B$64:$B$67,0))*INDEX(盗宝贼掉落!$F$64:$F$67,MATCH(AC$16,盗宝贼掉落!$B$64:$B$67,0))</f>
        <v>100.46867905345263</v>
      </c>
      <c r="AD73" s="17">
        <f>$AB73*INDEX(盗宝贼掉落!$D$64:$D$67,MATCH(AD$16,盗宝贼掉落!$B$64:$B$67,0))*INDEX(盗宝贼掉落!$F$64:$F$67,MATCH(AD$16,盗宝贼掉落!$B$64:$B$67,0))</f>
        <v>6.6979119368968432</v>
      </c>
      <c r="AE73" s="17">
        <f>$AB73*INDEX(盗宝贼掉落!$D$64:$D$67,MATCH(AE$16,盗宝贼掉落!$B$64:$B$67,0))*INDEX(盗宝贼掉落!$F$64:$F$67,MATCH(AE$16,盗宝贼掉落!$B$64:$B$67,0))</f>
        <v>0</v>
      </c>
      <c r="AF73" s="17">
        <f>$AB73*INDEX(盗宝贼掉落!$D$64:$D$67,MATCH(AF$16,盗宝贼掉落!$B$64:$B$67,0))*INDEX(盗宝贼掉落!$F$64:$F$67,MATCH(AF$16,盗宝贼掉落!$B$64:$B$67,0))</f>
        <v>0</v>
      </c>
      <c r="AG73" s="17">
        <f>求节点(匈奴铁骑掉落!$J$7:$J$166,匈奴铁骑掉落!M$7:M$166,O73)</f>
        <v>198.40320000000003</v>
      </c>
      <c r="AH73" s="17">
        <f>$AG73*INDEX(盗宝贼掉落!$D$64:$D$67,MATCH(AH$16,盗宝贼掉落!$B$64:$B$67,0))*INDEX(盗宝贼掉落!$G$64:$G$67,MATCH(AH$16,盗宝贼掉落!$B$64:$B$67,0))</f>
        <v>59.520960000000017</v>
      </c>
      <c r="AI73" s="17">
        <f>$AG73*INDEX(盗宝贼掉落!$D$64:$D$67,MATCH(AI$16,盗宝贼掉落!$B$64:$B$67,0))*INDEX(盗宝贼掉落!$G$64:$G$67,MATCH(AI$16,盗宝贼掉落!$B$64:$B$67,0))</f>
        <v>15.872256000000005</v>
      </c>
      <c r="AJ73" s="17">
        <f>$AG73*INDEX(盗宝贼掉落!$D$64:$D$67,MATCH(AJ$16,盗宝贼掉落!$B$64:$B$67,0))*INDEX(盗宝贼掉落!$G$64:$G$67,MATCH(AJ$16,盗宝贼掉落!$B$64:$B$67,0))</f>
        <v>3.968064</v>
      </c>
      <c r="AK73" s="17">
        <f>$AG73*INDEX(盗宝贼掉落!$D$64:$D$67,MATCH(AK$16,盗宝贼掉落!$B$64:$B$67,0))*INDEX(盗宝贼掉落!$G$64:$G$67,MATCH(AK$16,盗宝贼掉落!$B$64:$B$67,0))</f>
        <v>0</v>
      </c>
      <c r="AL73" s="17">
        <f t="shared" si="76"/>
        <v>679.80580445345413</v>
      </c>
      <c r="AM73" s="17">
        <f t="shared" si="65"/>
        <v>195.84222307023066</v>
      </c>
      <c r="AN73" s="17">
        <f t="shared" si="66"/>
        <v>35.157033924000089</v>
      </c>
      <c r="AO73" s="17">
        <f t="shared" si="67"/>
        <v>10.396323308000028</v>
      </c>
      <c r="AP73" s="84">
        <f>IFERROR(MAX(MIN(求节点(宝物升星!D$67:D$72,宝物升星!$C$67:$C$72,AL73/基础状态预期!C$8),宝物升星!D$14),AP72),AP72)</f>
        <v>0</v>
      </c>
      <c r="AQ73" s="84">
        <f>IFERROR(MAX(MIN(求节点(宝物升星!E$67:E$72,宝物升星!$C$67:$C$72,AM73/基础状态预期!D$8),宝物升星!E$14),AQ72),AQ72)</f>
        <v>3</v>
      </c>
      <c r="AR73" s="84">
        <f>IFERROR(MAX(MIN(求节点(宝物升星!F$67:F$72,宝物升星!$C$67:$C$72,AN73/基础状态预期!E$8),宝物升星!F$14),AR72),AR72)</f>
        <v>3.3946292405000111</v>
      </c>
      <c r="AS73" s="54">
        <f>IFERROR(MAX(MIN(求节点(宝物升星!G$67:G$72,宝物升星!$C$67:$C$72,AO73/MAX(基础状态预期!L73,基础状态预期!L72)),宝物升星!G$14),AS72),AS72)</f>
        <v>0.73272055133333791</v>
      </c>
      <c r="AV73" s="38">
        <f t="shared" si="68"/>
        <v>0.76465390850541481</v>
      </c>
      <c r="AW73" s="38">
        <f t="shared" si="77"/>
        <v>8.7555827870362618E-2</v>
      </c>
      <c r="AX73" s="38">
        <f t="shared" si="78"/>
        <v>0.14779026362422248</v>
      </c>
      <c r="AY73" s="38">
        <f t="shared" si="69"/>
        <v>0.88475331017457359</v>
      </c>
      <c r="AZ73" s="38">
        <f t="shared" si="79"/>
        <v>8.1046138831400424E-2</v>
      </c>
      <c r="BA73" s="38">
        <f t="shared" si="80"/>
        <v>3.4200550994026024E-2</v>
      </c>
      <c r="BB73" s="38">
        <f t="shared" si="70"/>
        <v>0.88713314073713179</v>
      </c>
      <c r="BC73" s="38">
        <f t="shared" si="81"/>
        <v>0.11286685926286817</v>
      </c>
      <c r="BD73" s="38">
        <f t="shared" si="82"/>
        <v>0</v>
      </c>
      <c r="BE73" s="38">
        <f t="shared" si="71"/>
        <v>1</v>
      </c>
      <c r="BF73" s="38">
        <f t="shared" si="83"/>
        <v>0</v>
      </c>
      <c r="BG73" s="38">
        <f t="shared" si="84"/>
        <v>0</v>
      </c>
      <c r="BJ73" s="16">
        <v>57.04092</v>
      </c>
      <c r="BK73" s="16">
        <v>24.800400000000003</v>
      </c>
      <c r="BL73" s="16">
        <v>1.6533600000000002</v>
      </c>
      <c r="BM73" s="16">
        <v>0.57867600000000008</v>
      </c>
      <c r="BN73" s="16">
        <v>677.22777759190001</v>
      </c>
      <c r="BO73" s="16">
        <v>204.73770478304593</v>
      </c>
      <c r="BP73" s="16">
        <v>32.836450712306842</v>
      </c>
      <c r="BQ73" s="16">
        <v>10.973039570768945</v>
      </c>
      <c r="BR73" s="16">
        <v>0</v>
      </c>
      <c r="BS73" s="16">
        <v>3</v>
      </c>
      <c r="BT73" s="16">
        <v>5</v>
      </c>
      <c r="BU73" s="16">
        <v>0.8288399284614909</v>
      </c>
      <c r="BX73" s="37" t="str">
        <f t="shared" si="29"/>
        <v/>
      </c>
    </row>
    <row r="74" spans="14:76">
      <c r="N74" s="16">
        <v>8</v>
      </c>
      <c r="O74" s="17">
        <v>85</v>
      </c>
      <c r="P74" s="17">
        <f>求节点(节奏总纲!$O$4:$O$163,节奏总纲!R$4:R$163,O74)</f>
        <v>253.91849799475142</v>
      </c>
      <c r="Q74" s="17">
        <f>INDEX(其他调用!$E$4:$E$163,$O74)*$P$10</f>
        <v>619384.13258078357</v>
      </c>
      <c r="R74" s="50">
        <v>1</v>
      </c>
      <c r="S74" s="17">
        <f t="shared" si="58"/>
        <v>0.375</v>
      </c>
      <c r="T74" s="17">
        <f t="shared" si="59"/>
        <v>0.125</v>
      </c>
      <c r="U74" s="17">
        <f t="shared" si="60"/>
        <v>2.2500000000000003E-2</v>
      </c>
      <c r="V74" s="17">
        <f t="shared" si="61"/>
        <v>7.4999999999999997E-3</v>
      </c>
      <c r="W74" s="17">
        <f t="shared" si="72"/>
        <v>161945.9070287823</v>
      </c>
      <c r="X74" s="17">
        <f t="shared" si="85"/>
        <v>703.84560520543585</v>
      </c>
      <c r="Y74" s="17">
        <f t="shared" si="73"/>
        <v>234.61520173514529</v>
      </c>
      <c r="Z74" s="17">
        <f t="shared" si="74"/>
        <v>42.230736312326158</v>
      </c>
      <c r="AA74" s="17">
        <f t="shared" si="75"/>
        <v>14.076912104108716</v>
      </c>
      <c r="AB74" s="17">
        <f>求节点(盗宝贼掉落!$CV$5:$CV$164,盗宝贼掉落!$DE$5:$DE$164,$O74)</f>
        <v>200.24871118140837</v>
      </c>
      <c r="AC74" s="17">
        <f>$AB74*INDEX(盗宝贼掉落!$D$64:$D$67,MATCH(AC$16,盗宝贼掉落!$B$64:$B$67,0))*INDEX(盗宝贼掉落!$F$64:$F$67,MATCH(AC$16,盗宝贼掉落!$B$64:$B$67,0))</f>
        <v>150.18653338605628</v>
      </c>
      <c r="AD74" s="17">
        <f>$AB74*INDEX(盗宝贼掉落!$D$64:$D$67,MATCH(AD$16,盗宝贼掉落!$B$64:$B$67,0))*INDEX(盗宝贼掉落!$F$64:$F$67,MATCH(AD$16,盗宝贼掉落!$B$64:$B$67,0))</f>
        <v>10.012435559070418</v>
      </c>
      <c r="AE74" s="17">
        <f>$AB74*INDEX(盗宝贼掉落!$D$64:$D$67,MATCH(AE$16,盗宝贼掉落!$B$64:$B$67,0))*INDEX(盗宝贼掉落!$F$64:$F$67,MATCH(AE$16,盗宝贼掉落!$B$64:$B$67,0))</f>
        <v>0</v>
      </c>
      <c r="AF74" s="17">
        <f>$AB74*INDEX(盗宝贼掉落!$D$64:$D$67,MATCH(AF$16,盗宝贼掉落!$B$64:$B$67,0))*INDEX(盗宝贼掉落!$F$64:$F$67,MATCH(AF$16,盗宝贼掉落!$B$64:$B$67,0))</f>
        <v>0</v>
      </c>
      <c r="AG74" s="17">
        <f>求节点(匈奴铁骑掉落!$J$7:$J$166,匈奴铁骑掉落!M$7:M$166,O74)</f>
        <v>286.70219759370173</v>
      </c>
      <c r="AH74" s="17">
        <f>$AG74*INDEX(盗宝贼掉落!$D$64:$D$67,MATCH(AH$16,盗宝贼掉落!$B$64:$B$67,0))*INDEX(盗宝贼掉落!$G$64:$G$67,MATCH(AH$16,盗宝贼掉落!$B$64:$B$67,0))</f>
        <v>86.010659278110523</v>
      </c>
      <c r="AI74" s="17">
        <f>$AG74*INDEX(盗宝贼掉落!$D$64:$D$67,MATCH(AI$16,盗宝贼掉落!$B$64:$B$67,0))*INDEX(盗宝贼掉落!$G$64:$G$67,MATCH(AI$16,盗宝贼掉落!$B$64:$B$67,0))</f>
        <v>22.936175807496141</v>
      </c>
      <c r="AJ74" s="17">
        <f>$AG74*INDEX(盗宝贼掉落!$D$64:$D$67,MATCH(AJ$16,盗宝贼掉落!$B$64:$B$67,0))*INDEX(盗宝贼掉落!$G$64:$G$67,MATCH(AJ$16,盗宝贼掉落!$B$64:$B$67,0))</f>
        <v>5.7340439518740345</v>
      </c>
      <c r="AK74" s="17">
        <f>$AG74*INDEX(盗宝贼掉落!$D$64:$D$67,MATCH(AK$16,盗宝贼掉落!$B$64:$B$67,0))*INDEX(盗宝贼掉落!$G$64:$G$67,MATCH(AK$16,盗宝贼掉落!$B$64:$B$67,0))</f>
        <v>0</v>
      </c>
      <c r="AL74" s="17">
        <f t="shared" si="76"/>
        <v>940.04279786960274</v>
      </c>
      <c r="AM74" s="17">
        <f t="shared" si="65"/>
        <v>267.56381310171184</v>
      </c>
      <c r="AN74" s="17">
        <f t="shared" si="66"/>
        <v>47.964780264200193</v>
      </c>
      <c r="AO74" s="17">
        <f t="shared" si="67"/>
        <v>14.076912104108716</v>
      </c>
      <c r="AP74" s="84">
        <f>IFERROR(MAX(MIN(求节点(宝物升星!D$67:D$72,宝物升星!$C$67:$C$72,AL74/基础状态预期!C$8),宝物升星!D$14),AP73),AP73)</f>
        <v>0</v>
      </c>
      <c r="AQ74" s="84">
        <f>IFERROR(MAX(MIN(求节点(宝物升星!E$67:E$72,宝物升星!$C$67:$C$72,AM74/基础状态预期!D$8),宝物升星!E$14),AQ73),AQ73)</f>
        <v>3</v>
      </c>
      <c r="AR74" s="84">
        <f>IFERROR(MAX(MIN(求节点(宝物升星!F$67:F$72,宝物升星!$C$67:$C$72,AN74/基础状态预期!E$8),宝物升星!F$14),AR73),AR73)</f>
        <v>4.9955975330250242</v>
      </c>
      <c r="AS74" s="54">
        <f>IFERROR(MAX(MIN(求节点(宝物升星!G$67:G$72,宝物升星!$C$67:$C$72,AO74/MAX(基础状态预期!L74,基础状态预期!L73)),宝物升星!G$14),AS73),AS73)</f>
        <v>1.3461520173514527</v>
      </c>
      <c r="AV74" s="38">
        <f t="shared" si="68"/>
        <v>0.74873783066105593</v>
      </c>
      <c r="AW74" s="38">
        <f t="shared" si="77"/>
        <v>9.1496535554588032E-2</v>
      </c>
      <c r="AX74" s="38">
        <f t="shared" si="78"/>
        <v>0.15976563378435593</v>
      </c>
      <c r="AY74" s="38">
        <f t="shared" si="69"/>
        <v>0.876856997272492</v>
      </c>
      <c r="AZ74" s="38">
        <f t="shared" si="79"/>
        <v>8.5722263939993909E-2</v>
      </c>
      <c r="BA74" s="38">
        <f t="shared" si="80"/>
        <v>3.742073878751416E-2</v>
      </c>
      <c r="BB74" s="38">
        <f t="shared" si="70"/>
        <v>0.88045303407438325</v>
      </c>
      <c r="BC74" s="38">
        <f t="shared" si="81"/>
        <v>0.11954696592561673</v>
      </c>
      <c r="BD74" s="38">
        <f t="shared" si="82"/>
        <v>0</v>
      </c>
      <c r="BE74" s="38">
        <f t="shared" si="71"/>
        <v>1</v>
      </c>
      <c r="BF74" s="38">
        <f t="shared" si="83"/>
        <v>0</v>
      </c>
      <c r="BG74" s="38">
        <f t="shared" si="84"/>
        <v>0</v>
      </c>
      <c r="BJ74" s="16">
        <v>82.426881808189236</v>
      </c>
      <c r="BK74" s="16">
        <v>35.837774699212716</v>
      </c>
      <c r="BL74" s="16">
        <v>2.3891849799475144</v>
      </c>
      <c r="BM74" s="16">
        <v>0.83621474298163012</v>
      </c>
      <c r="BN74" s="16">
        <v>963.23197267944158</v>
      </c>
      <c r="BO74" s="16">
        <v>289.38972942001516</v>
      </c>
      <c r="BP74" s="16">
        <v>46.226298429059284</v>
      </c>
      <c r="BQ74" s="16">
        <v>15.448585892685552</v>
      </c>
      <c r="BR74" s="16">
        <v>0</v>
      </c>
      <c r="BS74" s="16">
        <v>3</v>
      </c>
      <c r="BT74" s="16">
        <v>5</v>
      </c>
      <c r="BU74" s="16">
        <v>1.5747643154475921</v>
      </c>
      <c r="BX74" s="37" t="str">
        <f t="shared" si="29"/>
        <v/>
      </c>
    </row>
    <row r="75" spans="14:76">
      <c r="N75" s="16">
        <v>9</v>
      </c>
      <c r="O75" s="17">
        <v>90</v>
      </c>
      <c r="P75" s="17">
        <f>求节点(节奏总纲!$O$4:$O$163,节奏总纲!R$4:R$163,O75)</f>
        <v>354.12299999999999</v>
      </c>
      <c r="Q75" s="17">
        <f>INDEX(其他调用!$E$4:$E$163,$O75)*$P$10</f>
        <v>839921.75236592523</v>
      </c>
      <c r="R75" s="50">
        <v>1</v>
      </c>
      <c r="S75" s="17">
        <f t="shared" si="58"/>
        <v>0.375</v>
      </c>
      <c r="T75" s="17">
        <f t="shared" si="59"/>
        <v>0.125</v>
      </c>
      <c r="U75" s="17">
        <f t="shared" si="60"/>
        <v>2.2500000000000003E-2</v>
      </c>
      <c r="V75" s="17">
        <f t="shared" si="61"/>
        <v>7.4999999999999997E-3</v>
      </c>
      <c r="W75" s="17">
        <f t="shared" si="72"/>
        <v>220537.61978514167</v>
      </c>
      <c r="X75" s="17">
        <f t="shared" si="85"/>
        <v>954.45653677946052</v>
      </c>
      <c r="Y75" s="17">
        <f t="shared" si="73"/>
        <v>318.15217892648684</v>
      </c>
      <c r="Z75" s="17">
        <f t="shared" si="74"/>
        <v>57.267392206767639</v>
      </c>
      <c r="AA75" s="17">
        <f t="shared" si="75"/>
        <v>19.089130735589208</v>
      </c>
      <c r="AB75" s="17">
        <f>求节点(盗宝贼掉落!$CV$5:$CV$164,盗宝贼掉落!$DE$5:$DE$164,$O75)</f>
        <v>290.52294703793689</v>
      </c>
      <c r="AC75" s="17">
        <f>$AB75*INDEX(盗宝贼掉落!$D$64:$D$67,MATCH(AC$16,盗宝贼掉落!$B$64:$B$67,0))*INDEX(盗宝贼掉落!$F$64:$F$67,MATCH(AC$16,盗宝贼掉落!$B$64:$B$67,0))</f>
        <v>217.89221027845267</v>
      </c>
      <c r="AD75" s="17">
        <f>$AB75*INDEX(盗宝贼掉落!$D$64:$D$67,MATCH(AD$16,盗宝贼掉落!$B$64:$B$67,0))*INDEX(盗宝贼掉落!$F$64:$F$67,MATCH(AD$16,盗宝贼掉落!$B$64:$B$67,0))</f>
        <v>14.526147351896846</v>
      </c>
      <c r="AE75" s="17">
        <f>$AB75*INDEX(盗宝贼掉落!$D$64:$D$67,MATCH(AE$16,盗宝贼掉落!$B$64:$B$67,0))*INDEX(盗宝贼掉落!$F$64:$F$67,MATCH(AE$16,盗宝贼掉落!$B$64:$B$67,0))</f>
        <v>0</v>
      </c>
      <c r="AF75" s="17">
        <f>$AB75*INDEX(盗宝贼掉落!$D$64:$D$67,MATCH(AF$16,盗宝贼掉落!$B$64:$B$67,0))*INDEX(盗宝贼掉落!$F$64:$F$67,MATCH(AF$16,盗宝贼掉落!$B$64:$B$67,0))</f>
        <v>0</v>
      </c>
      <c r="AG75" s="17">
        <f>求节点(匈奴铁骑掉落!$J$7:$J$166,匈奴铁骑掉落!M$7:M$166,O75)</f>
        <v>406.94759999999997</v>
      </c>
      <c r="AH75" s="17">
        <f>$AG75*INDEX(盗宝贼掉落!$D$64:$D$67,MATCH(AH$16,盗宝贼掉落!$B$64:$B$67,0))*INDEX(盗宝贼掉落!$G$64:$G$67,MATCH(AH$16,盗宝贼掉落!$B$64:$B$67,0))</f>
        <v>122.08428000000001</v>
      </c>
      <c r="AI75" s="17">
        <f>$AG75*INDEX(盗宝贼掉落!$D$64:$D$67,MATCH(AI$16,盗宝贼掉落!$B$64:$B$67,0))*INDEX(盗宝贼掉落!$G$64:$G$67,MATCH(AI$16,盗宝贼掉落!$B$64:$B$67,0))</f>
        <v>32.555808000000006</v>
      </c>
      <c r="AJ75" s="17">
        <f>$AG75*INDEX(盗宝贼掉落!$D$64:$D$67,MATCH(AJ$16,盗宝贼掉落!$B$64:$B$67,0))*INDEX(盗宝贼掉落!$G$64:$G$67,MATCH(AJ$16,盗宝贼掉落!$B$64:$B$67,0))</f>
        <v>8.1389519999999997</v>
      </c>
      <c r="AK75" s="17">
        <f>$AG75*INDEX(盗宝贼掉落!$D$64:$D$67,MATCH(AK$16,盗宝贼掉落!$B$64:$B$67,0))*INDEX(盗宝贼掉落!$G$64:$G$67,MATCH(AK$16,盗宝贼掉落!$B$64:$B$67,0))</f>
        <v>0</v>
      </c>
      <c r="AL75" s="17">
        <f t="shared" si="76"/>
        <v>1294.4330270579133</v>
      </c>
      <c r="AM75" s="17">
        <f t="shared" si="65"/>
        <v>365.23413427838369</v>
      </c>
      <c r="AN75" s="17">
        <f t="shared" si="66"/>
        <v>65.406344206767642</v>
      </c>
      <c r="AO75" s="17">
        <f t="shared" si="67"/>
        <v>19.089130735589208</v>
      </c>
      <c r="AP75" s="84">
        <f>IFERROR(MAX(MIN(求节点(宝物升星!D$67:D$72,宝物升星!$C$67:$C$72,AL75/基础状态预期!C$8),宝物升星!D$14),AP74),AP74)</f>
        <v>0</v>
      </c>
      <c r="AQ75" s="84">
        <f>IFERROR(MAX(MIN(求节点(宝物升星!E$67:E$72,宝物升星!$C$67:$C$72,AM75/基础状态预期!D$8),宝物升星!E$14),AQ74),AQ74)</f>
        <v>3</v>
      </c>
      <c r="AR75" s="84">
        <f>IFERROR(MAX(MIN(求节点(宝物升星!F$67:F$72,宝物升星!$C$67:$C$72,AN75/基础状态预期!E$8),宝物升星!F$14),AR74),AR74)</f>
        <v>5</v>
      </c>
      <c r="AS75" s="54">
        <f>IFERROR(MAX(MIN(求节点(宝物升星!G$67:G$72,宝物升星!$C$67:$C$72,AO75/MAX(基础状态预期!L75,基础状态预期!L74)),宝物升星!G$14),AS74),AS74)</f>
        <v>2.1815217892648682</v>
      </c>
      <c r="AV75" s="38">
        <f t="shared" si="68"/>
        <v>0.73735490120243807</v>
      </c>
      <c r="AW75" s="38">
        <f t="shared" si="77"/>
        <v>9.4314867936800509E-2</v>
      </c>
      <c r="AX75" s="38">
        <f t="shared" si="78"/>
        <v>0.16833023086076135</v>
      </c>
      <c r="AY75" s="38">
        <f t="shared" si="69"/>
        <v>0.87109103193511839</v>
      </c>
      <c r="AZ75" s="38">
        <f t="shared" si="79"/>
        <v>8.913681648163195E-2</v>
      </c>
      <c r="BA75" s="38">
        <f t="shared" si="80"/>
        <v>3.9772151583249683E-2</v>
      </c>
      <c r="BB75" s="38">
        <f t="shared" si="70"/>
        <v>0.87556326379791982</v>
      </c>
      <c r="BC75" s="38">
        <f t="shared" si="81"/>
        <v>0.12443673620208018</v>
      </c>
      <c r="BD75" s="38">
        <f t="shared" si="82"/>
        <v>0</v>
      </c>
      <c r="BE75" s="38">
        <f t="shared" si="71"/>
        <v>1</v>
      </c>
      <c r="BF75" s="38">
        <f t="shared" si="83"/>
        <v>0</v>
      </c>
      <c r="BG75" s="38">
        <f t="shared" si="84"/>
        <v>0</v>
      </c>
      <c r="BJ75" s="16">
        <v>116.99743499999998</v>
      </c>
      <c r="BK75" s="16">
        <v>50.868449999999996</v>
      </c>
      <c r="BL75" s="16">
        <v>3.3912299999999997</v>
      </c>
      <c r="BM75" s="16">
        <v>1.1869304999999999</v>
      </c>
      <c r="BN75" s="16">
        <v>1352.7119267604146</v>
      </c>
      <c r="BO75" s="16">
        <v>404.66869117921749</v>
      </c>
      <c r="BP75" s="16">
        <v>64.460566888917711</v>
      </c>
      <c r="BQ75" s="16">
        <v>21.543376129639238</v>
      </c>
      <c r="BR75" s="16">
        <v>0</v>
      </c>
      <c r="BS75" s="16">
        <v>3</v>
      </c>
      <c r="BT75" s="16">
        <v>5</v>
      </c>
      <c r="BU75" s="16">
        <v>2.5905626882732062</v>
      </c>
      <c r="BX75" s="37" t="str">
        <f t="shared" si="29"/>
        <v/>
      </c>
    </row>
    <row r="76" spans="14:76">
      <c r="N76" s="16">
        <v>10</v>
      </c>
      <c r="O76" s="17">
        <v>95</v>
      </c>
      <c r="P76" s="17">
        <f>求节点(节奏总纲!$O$4:$O$163,节奏总纲!R$4:R$163,O76)</f>
        <v>495.95875020503337</v>
      </c>
      <c r="Q76" s="17">
        <f>INDEX(其他调用!$E$4:$E$163,$O76)*$P$10</f>
        <v>1140473.4252615056</v>
      </c>
      <c r="R76" s="50">
        <v>1</v>
      </c>
      <c r="S76" s="17">
        <f t="shared" si="58"/>
        <v>0.375</v>
      </c>
      <c r="T76" s="17">
        <f t="shared" si="59"/>
        <v>0.125</v>
      </c>
      <c r="U76" s="17">
        <f t="shared" si="60"/>
        <v>2.2500000000000003E-2</v>
      </c>
      <c r="V76" s="17">
        <f t="shared" si="61"/>
        <v>7.4999999999999997E-3</v>
      </c>
      <c r="W76" s="17">
        <f t="shared" si="72"/>
        <v>300551.67289558041</v>
      </c>
      <c r="X76" s="17">
        <f t="shared" si="85"/>
        <v>1295.9925287062565</v>
      </c>
      <c r="Y76" s="17">
        <f t="shared" si="73"/>
        <v>431.99750956875215</v>
      </c>
      <c r="Z76" s="17">
        <f t="shared" si="74"/>
        <v>77.759551722375392</v>
      </c>
      <c r="AA76" s="17">
        <f t="shared" si="75"/>
        <v>25.919850574125128</v>
      </c>
      <c r="AB76" s="17">
        <f>求节点(盗宝贼掉落!$CV$5:$CV$164,盗宝贼掉落!$DE$5:$DE$164,$O76)</f>
        <v>418.30277439765138</v>
      </c>
      <c r="AC76" s="17">
        <f>$AB76*INDEX(盗宝贼掉落!$D$64:$D$67,MATCH(AC$16,盗宝贼掉落!$B$64:$B$67,0))*INDEX(盗宝贼掉落!$F$64:$F$67,MATCH(AC$16,盗宝贼掉落!$B$64:$B$67,0))</f>
        <v>313.72708079823855</v>
      </c>
      <c r="AD76" s="17">
        <f>$AB76*INDEX(盗宝贼掉落!$D$64:$D$67,MATCH(AD$16,盗宝贼掉落!$B$64:$B$67,0))*INDEX(盗宝贼掉落!$F$64:$F$67,MATCH(AD$16,盗宝贼掉落!$B$64:$B$67,0))</f>
        <v>20.91513871988257</v>
      </c>
      <c r="AE76" s="17">
        <f>$AB76*INDEX(盗宝贼掉落!$D$64:$D$67,MATCH(AE$16,盗宝贼掉落!$B$64:$B$67,0))*INDEX(盗宝贼掉落!$F$64:$F$67,MATCH(AE$16,盗宝贼掉落!$B$64:$B$67,0))</f>
        <v>0</v>
      </c>
      <c r="AF76" s="17">
        <f>$AB76*INDEX(盗宝贼掉落!$D$64:$D$67,MATCH(AF$16,盗宝贼掉落!$B$64:$B$67,0))*INDEX(盗宝贼掉落!$F$64:$F$67,MATCH(AF$16,盗宝贼掉落!$B$64:$B$67,0))</f>
        <v>0</v>
      </c>
      <c r="AG76" s="17">
        <f>求节点(匈奴铁骑掉落!$J$7:$J$166,匈奴铁骑掉落!M$7:M$166,O76)</f>
        <v>577.15050024604011</v>
      </c>
      <c r="AH76" s="17">
        <f>$AG76*INDEX(盗宝贼掉落!$D$64:$D$67,MATCH(AH$16,盗宝贼掉落!$B$64:$B$67,0))*INDEX(盗宝贼掉落!$G$64:$G$67,MATCH(AH$16,盗宝贼掉落!$B$64:$B$67,0))</f>
        <v>173.14515007381206</v>
      </c>
      <c r="AI76" s="17">
        <f>$AG76*INDEX(盗宝贼掉落!$D$64:$D$67,MATCH(AI$16,盗宝贼掉落!$B$64:$B$67,0))*INDEX(盗宝贼掉落!$G$64:$G$67,MATCH(AI$16,盗宝贼掉落!$B$64:$B$67,0))</f>
        <v>46.172040019683209</v>
      </c>
      <c r="AJ76" s="17">
        <f>$AG76*INDEX(盗宝贼掉落!$D$64:$D$67,MATCH(AJ$16,盗宝贼掉落!$B$64:$B$67,0))*INDEX(盗宝贼掉落!$G$64:$G$67,MATCH(AJ$16,盗宝贼掉落!$B$64:$B$67,0))</f>
        <v>11.543010004920802</v>
      </c>
      <c r="AK76" s="17">
        <f>$AG76*INDEX(盗宝贼掉落!$D$64:$D$67,MATCH(AK$16,盗宝贼掉落!$B$64:$B$67,0))*INDEX(盗宝贼掉落!$G$64:$G$67,MATCH(AK$16,盗宝贼掉落!$B$64:$B$67,0))</f>
        <v>0</v>
      </c>
      <c r="AL76" s="17">
        <f t="shared" si="76"/>
        <v>1782.8647595783073</v>
      </c>
      <c r="AM76" s="17">
        <f t="shared" si="65"/>
        <v>499.08468830831794</v>
      </c>
      <c r="AN76" s="17">
        <f t="shared" si="66"/>
        <v>89.302561727296194</v>
      </c>
      <c r="AO76" s="17">
        <f t="shared" si="67"/>
        <v>25.919850574125128</v>
      </c>
      <c r="AP76" s="84">
        <f>IFERROR(MAX(MIN(求节点(宝物升星!D$67:D$72,宝物升星!$C$67:$C$72,AL76/基础状态预期!C$8),宝物升星!D$14),AP75),AP75)</f>
        <v>0</v>
      </c>
      <c r="AQ76" s="84">
        <f>IFERROR(MAX(MIN(求节点(宝物升星!E$67:E$72,宝物升星!$C$67:$C$72,AM76/基础状态预期!D$8),宝物升星!E$14),AQ75),AQ75)</f>
        <v>3</v>
      </c>
      <c r="AR76" s="84">
        <f>IFERROR(MAX(MIN(求节点(宝物升星!F$67:F$72,宝物升星!$C$67:$C$72,AN76/基础状态预期!E$8),宝物升星!F$14),AR75),AR75)</f>
        <v>5</v>
      </c>
      <c r="AS76" s="54">
        <f>IFERROR(MAX(MIN(求节点(宝物升星!G$67:G$72,宝物升星!$C$67:$C$72,AO76/MAX(基础状态预期!L76,基础状态预期!L75)),宝物升星!G$14),AS75),AS75)</f>
        <v>3.3199750956875214</v>
      </c>
      <c r="AV76" s="38">
        <f t="shared" si="68"/>
        <v>0.72691578076443197</v>
      </c>
      <c r="AW76" s="38">
        <f t="shared" si="77"/>
        <v>9.7116255814470906E-2</v>
      </c>
      <c r="AX76" s="38">
        <f t="shared" si="78"/>
        <v>0.17596796342109705</v>
      </c>
      <c r="AY76" s="38">
        <f t="shared" si="69"/>
        <v>0.86557956933729541</v>
      </c>
      <c r="AZ76" s="38">
        <f t="shared" si="79"/>
        <v>9.2513437300964951E-2</v>
      </c>
      <c r="BA76" s="38">
        <f t="shared" si="80"/>
        <v>4.1906993361739628E-2</v>
      </c>
      <c r="BB76" s="38">
        <f t="shared" si="70"/>
        <v>0.87074267768297886</v>
      </c>
      <c r="BC76" s="38">
        <f t="shared" si="81"/>
        <v>0.12925732231702117</v>
      </c>
      <c r="BD76" s="38">
        <f t="shared" si="82"/>
        <v>0</v>
      </c>
      <c r="BE76" s="38">
        <f t="shared" si="71"/>
        <v>1</v>
      </c>
      <c r="BF76" s="38">
        <f t="shared" si="83"/>
        <v>0</v>
      </c>
      <c r="BG76" s="38">
        <f t="shared" si="84"/>
        <v>0</v>
      </c>
      <c r="BJ76" s="16">
        <v>165.93076882073652</v>
      </c>
      <c r="BK76" s="16">
        <v>72.143812530755014</v>
      </c>
      <c r="BL76" s="16">
        <v>4.8095875020503343</v>
      </c>
      <c r="BM76" s="16">
        <v>1.683355625717617</v>
      </c>
      <c r="BN76" s="16">
        <v>1805.8866071218845</v>
      </c>
      <c r="BO76" s="16">
        <v>535.13520375160738</v>
      </c>
      <c r="BP76" s="16">
        <v>84.383312952224898</v>
      </c>
      <c r="BQ76" s="16">
        <v>28.207930775775804</v>
      </c>
      <c r="BR76" s="16">
        <v>0</v>
      </c>
      <c r="BS76" s="16">
        <v>3</v>
      </c>
      <c r="BT76" s="16">
        <v>5</v>
      </c>
      <c r="BU76" s="16">
        <v>3.7013217959626337</v>
      </c>
      <c r="BX76" s="37" t="str">
        <f t="shared" si="29"/>
        <v/>
      </c>
    </row>
    <row r="77" spans="14:76">
      <c r="N77" s="16">
        <v>11</v>
      </c>
      <c r="O77" s="17">
        <v>100</v>
      </c>
      <c r="P77" s="17">
        <f>求节点(节奏总纲!$O$4:$O$163,节奏总纲!R$4:R$163,O77)</f>
        <v>706.6884</v>
      </c>
      <c r="Q77" s="17">
        <f>INDEX(其他调用!$E$4:$E$163,$O77)*$P$10</f>
        <v>1586266.4076766092</v>
      </c>
      <c r="R77" s="50">
        <v>1</v>
      </c>
      <c r="S77" s="17">
        <f t="shared" si="58"/>
        <v>0.375</v>
      </c>
      <c r="T77" s="17">
        <f t="shared" si="59"/>
        <v>0.125</v>
      </c>
      <c r="U77" s="17">
        <f t="shared" si="60"/>
        <v>2.2500000000000003E-2</v>
      </c>
      <c r="V77" s="17">
        <f t="shared" si="61"/>
        <v>7.4999999999999997E-3</v>
      </c>
      <c r="W77" s="17">
        <f t="shared" si="72"/>
        <v>445792.98241510359</v>
      </c>
      <c r="X77" s="17">
        <f t="shared" si="85"/>
        <v>1802.5754632688743</v>
      </c>
      <c r="Y77" s="17">
        <f t="shared" si="73"/>
        <v>600.85848775629142</v>
      </c>
      <c r="Z77" s="17">
        <f t="shared" si="74"/>
        <v>108.15452779613246</v>
      </c>
      <c r="AA77" s="17">
        <f t="shared" si="75"/>
        <v>36.051509265377483</v>
      </c>
      <c r="AB77" s="17">
        <f>求节点(盗宝贼掉落!$CV$5:$CV$164,盗宝贼掉落!$DE$5:$DE$164,$O77)</f>
        <v>608.14911589793678</v>
      </c>
      <c r="AC77" s="17">
        <f>$AB77*INDEX(盗宝贼掉落!$D$64:$D$67,MATCH(AC$16,盗宝贼掉落!$B$64:$B$67,0))*INDEX(盗宝贼掉落!$F$64:$F$67,MATCH(AC$16,盗宝贼掉落!$B$64:$B$67,0))</f>
        <v>456.11183692345259</v>
      </c>
      <c r="AD77" s="17">
        <f>$AB77*INDEX(盗宝贼掉落!$D$64:$D$67,MATCH(AD$16,盗宝贼掉落!$B$64:$B$67,0))*INDEX(盗宝贼掉落!$F$64:$F$67,MATCH(AD$16,盗宝贼掉落!$B$64:$B$67,0))</f>
        <v>30.40745579489684</v>
      </c>
      <c r="AE77" s="17">
        <f>$AB77*INDEX(盗宝贼掉落!$D$64:$D$67,MATCH(AE$16,盗宝贼掉落!$B$64:$B$67,0))*INDEX(盗宝贼掉落!$F$64:$F$67,MATCH(AE$16,盗宝贼掉落!$B$64:$B$67,0))</f>
        <v>0</v>
      </c>
      <c r="AF77" s="17">
        <f>$AB77*INDEX(盗宝贼掉落!$D$64:$D$67,MATCH(AF$16,盗宝贼掉落!$B$64:$B$67,0))*INDEX(盗宝贼掉落!$F$64:$F$67,MATCH(AF$16,盗宝贼掉落!$B$64:$B$67,0))</f>
        <v>0</v>
      </c>
      <c r="AG77" s="17">
        <f>求节点(匈奴铁骑掉落!$J$7:$J$166,匈奴铁骑掉落!M$7:M$166,O77)</f>
        <v>830.02608000000009</v>
      </c>
      <c r="AH77" s="17">
        <f>$AG77*INDEX(盗宝贼掉落!$D$64:$D$67,MATCH(AH$16,盗宝贼掉落!$B$64:$B$67,0))*INDEX(盗宝贼掉落!$G$64:$G$67,MATCH(AH$16,盗宝贼掉落!$B$64:$B$67,0))</f>
        <v>249.00782400000006</v>
      </c>
      <c r="AI77" s="17">
        <f>$AG77*INDEX(盗宝贼掉落!$D$64:$D$67,MATCH(AI$16,盗宝贼掉落!$B$64:$B$67,0))*INDEX(盗宝贼掉落!$G$64:$G$67,MATCH(AI$16,盗宝贼掉落!$B$64:$B$67,0))</f>
        <v>66.402086400000016</v>
      </c>
      <c r="AJ77" s="17">
        <f>$AG77*INDEX(盗宝贼掉落!$D$64:$D$67,MATCH(AJ$16,盗宝贼掉落!$B$64:$B$67,0))*INDEX(盗宝贼掉落!$G$64:$G$67,MATCH(AJ$16,盗宝贼掉落!$B$64:$B$67,0))</f>
        <v>16.6005216</v>
      </c>
      <c r="AK77" s="17">
        <f>$AG77*INDEX(盗宝贼掉落!$D$64:$D$67,MATCH(AK$16,盗宝贼掉落!$B$64:$B$67,0))*INDEX(盗宝贼掉落!$G$64:$G$67,MATCH(AK$16,盗宝贼掉落!$B$64:$B$67,0))</f>
        <v>0</v>
      </c>
      <c r="AL77" s="17">
        <f t="shared" si="76"/>
        <v>2507.6951241923271</v>
      </c>
      <c r="AM77" s="17">
        <f t="shared" si="65"/>
        <v>697.66802995118826</v>
      </c>
      <c r="AN77" s="17">
        <f t="shared" si="66"/>
        <v>124.75504939613245</v>
      </c>
      <c r="AO77" s="17">
        <f t="shared" si="67"/>
        <v>36.051509265377483</v>
      </c>
      <c r="AP77" s="84">
        <f>IFERROR(MAX(MIN(求节点(宝物升星!D$67:D$72,宝物升星!$C$67:$C$72,AL77/基础状态预期!C$8),宝物升星!D$14),AP76),AP76)</f>
        <v>0</v>
      </c>
      <c r="AQ77" s="84">
        <f>IFERROR(MAX(MIN(求节点(宝物升星!E$67:E$72,宝物升星!$C$67:$C$72,AM77/基础状态预期!D$8),宝物升星!E$14),AQ76),AQ76)</f>
        <v>3</v>
      </c>
      <c r="AR77" s="84">
        <f>IFERROR(MAX(MIN(求节点(宝物升星!F$67:F$72,宝物升星!$C$67:$C$72,AN77/基础状态预期!E$8),宝物升星!F$14),AR76),AR76)</f>
        <v>5</v>
      </c>
      <c r="AS77" s="54">
        <f>IFERROR(MAX(MIN(求节点(宝物升星!G$67:G$72,宝物升星!$C$67:$C$72,AO77/MAX(基础状态预期!L77,基础状态预期!L76)),宝物升星!G$14),AS76),AS76)</f>
        <v>5</v>
      </c>
      <c r="AV77" s="38">
        <f t="shared" si="68"/>
        <v>0.71881762893702794</v>
      </c>
      <c r="AW77" s="38">
        <f t="shared" si="77"/>
        <v>9.9297487002212817E-2</v>
      </c>
      <c r="AX77" s="38">
        <f t="shared" si="78"/>
        <v>0.18188488406075923</v>
      </c>
      <c r="AY77" s="38">
        <f t="shared" si="69"/>
        <v>0.86123838553750265</v>
      </c>
      <c r="AZ77" s="38">
        <f t="shared" si="79"/>
        <v>9.5177195384237079E-2</v>
      </c>
      <c r="BA77" s="38">
        <f t="shared" si="80"/>
        <v>4.3584419078260286E-2</v>
      </c>
      <c r="BB77" s="38">
        <f t="shared" si="70"/>
        <v>0.86693507252529189</v>
      </c>
      <c r="BC77" s="38">
        <f t="shared" si="81"/>
        <v>0.13306492747470819</v>
      </c>
      <c r="BD77" s="38">
        <f t="shared" si="82"/>
        <v>0</v>
      </c>
      <c r="BE77" s="38">
        <f t="shared" si="71"/>
        <v>1</v>
      </c>
      <c r="BF77" s="38">
        <f t="shared" si="83"/>
        <v>0</v>
      </c>
      <c r="BG77" s="38">
        <f t="shared" si="84"/>
        <v>0</v>
      </c>
      <c r="BJ77" s="16">
        <v>238.63249799999997</v>
      </c>
      <c r="BK77" s="16">
        <v>103.75326000000001</v>
      </c>
      <c r="BL77" s="16">
        <v>6.9168840000000005</v>
      </c>
      <c r="BM77" s="16">
        <v>2.4209094000000002</v>
      </c>
      <c r="BN77" s="16">
        <v>2329.3795684473093</v>
      </c>
      <c r="BO77" s="16">
        <v>679.03912696951579</v>
      </c>
      <c r="BP77" s="16">
        <v>104.99499801143141</v>
      </c>
      <c r="BQ77" s="16">
        <v>35.113614070477134</v>
      </c>
      <c r="BR77" s="16">
        <v>0</v>
      </c>
      <c r="BS77" s="16">
        <v>3</v>
      </c>
      <c r="BT77" s="16">
        <v>5</v>
      </c>
      <c r="BU77" s="16">
        <v>4.8522690117461886</v>
      </c>
      <c r="BX77" s="37" t="str">
        <f t="shared" si="29"/>
        <v/>
      </c>
    </row>
    <row r="78" spans="14:76">
      <c r="N78" s="16">
        <v>12</v>
      </c>
      <c r="O78" s="17">
        <v>105</v>
      </c>
      <c r="P78" s="17">
        <f>求节点(节奏总纲!$O$4:$O$163,节奏总纲!R$4:R$163,O78)</f>
        <v>993.18226228521496</v>
      </c>
      <c r="Q78" s="17">
        <f>INDEX(其他调用!$E$4:$E$163,$O78)*$P$10</f>
        <v>2174476.6403590385</v>
      </c>
      <c r="R78" s="50">
        <v>1</v>
      </c>
      <c r="S78" s="17">
        <f t="shared" si="58"/>
        <v>0.375</v>
      </c>
      <c r="T78" s="17">
        <f t="shared" si="59"/>
        <v>0.125</v>
      </c>
      <c r="U78" s="17">
        <f t="shared" si="60"/>
        <v>2.2500000000000003E-2</v>
      </c>
      <c r="V78" s="17">
        <f t="shared" si="61"/>
        <v>7.4999999999999997E-3</v>
      </c>
      <c r="W78" s="17">
        <f t="shared" si="72"/>
        <v>588210.23268242925</v>
      </c>
      <c r="X78" s="17">
        <f t="shared" si="85"/>
        <v>2470.9961822261803</v>
      </c>
      <c r="Y78" s="17">
        <f t="shared" si="73"/>
        <v>823.66539407539335</v>
      </c>
      <c r="Z78" s="17">
        <f t="shared" si="74"/>
        <v>148.25977093357082</v>
      </c>
      <c r="AA78" s="17">
        <f t="shared" si="75"/>
        <v>49.4199236445236</v>
      </c>
      <c r="AB78" s="17">
        <f>求节点(盗宝贼掉落!$CV$5:$CV$164,盗宝贼掉落!$DE$5:$DE$164,$O78)</f>
        <v>866.25143643068702</v>
      </c>
      <c r="AC78" s="17">
        <f>$AB78*INDEX(盗宝贼掉落!$D$64:$D$67,MATCH(AC$16,盗宝贼掉落!$B$64:$B$67,0))*INDEX(盗宝贼掉落!$F$64:$F$67,MATCH(AC$16,盗宝贼掉落!$B$64:$B$67,0))</f>
        <v>649.68857732301524</v>
      </c>
      <c r="AD78" s="17">
        <f>$AB78*INDEX(盗宝贼掉落!$D$64:$D$67,MATCH(AD$16,盗宝贼掉落!$B$64:$B$67,0))*INDEX(盗宝贼掉落!$F$64:$F$67,MATCH(AD$16,盗宝贼掉落!$B$64:$B$67,0))</f>
        <v>43.312571821534355</v>
      </c>
      <c r="AE78" s="17">
        <f>$AB78*INDEX(盗宝贼掉落!$D$64:$D$67,MATCH(AE$16,盗宝贼掉落!$B$64:$B$67,0))*INDEX(盗宝贼掉落!$F$64:$F$67,MATCH(AE$16,盗宝贼掉落!$B$64:$B$67,0))</f>
        <v>0</v>
      </c>
      <c r="AF78" s="17">
        <f>$AB78*INDEX(盗宝贼掉落!$D$64:$D$67,MATCH(AF$16,盗宝贼掉落!$B$64:$B$67,0))*INDEX(盗宝贼掉落!$F$64:$F$67,MATCH(AF$16,盗宝贼掉落!$B$64:$B$67,0))</f>
        <v>0</v>
      </c>
      <c r="AG78" s="17">
        <f>求节点(匈奴铁骑掉落!$J$7:$J$166,匈奴铁骑掉落!M$7:M$166,O78)</f>
        <v>1173.818714742258</v>
      </c>
      <c r="AH78" s="17">
        <f>$AG78*INDEX(盗宝贼掉落!$D$64:$D$67,MATCH(AH$16,盗宝贼掉落!$B$64:$B$67,0))*INDEX(盗宝贼掉落!$G$64:$G$67,MATCH(AH$16,盗宝贼掉落!$B$64:$B$67,0))</f>
        <v>352.14561442267745</v>
      </c>
      <c r="AI78" s="17">
        <f>$AG78*INDEX(盗宝贼掉落!$D$64:$D$67,MATCH(AI$16,盗宝贼掉落!$B$64:$B$67,0))*INDEX(盗宝贼掉落!$G$64:$G$67,MATCH(AI$16,盗宝贼掉落!$B$64:$B$67,0))</f>
        <v>93.905497179380646</v>
      </c>
      <c r="AJ78" s="17">
        <f>$AG78*INDEX(盗宝贼掉落!$D$64:$D$67,MATCH(AJ$16,盗宝贼掉落!$B$64:$B$67,0))*INDEX(盗宝贼掉落!$G$64:$G$67,MATCH(AJ$16,盗宝贼掉落!$B$64:$B$67,0))</f>
        <v>23.476374294845161</v>
      </c>
      <c r="AK78" s="17">
        <f>$AG78*INDEX(盗宝贼掉落!$D$64:$D$67,MATCH(AK$16,盗宝贼掉落!$B$64:$B$67,0))*INDEX(盗宝贼掉落!$G$64:$G$67,MATCH(AK$16,盗宝贼掉落!$B$64:$B$67,0))</f>
        <v>0</v>
      </c>
      <c r="AL78" s="17">
        <f t="shared" si="76"/>
        <v>3472.8303739718731</v>
      </c>
      <c r="AM78" s="17">
        <f t="shared" si="65"/>
        <v>960.88346307630832</v>
      </c>
      <c r="AN78" s="17">
        <f t="shared" si="66"/>
        <v>171.73614522841598</v>
      </c>
      <c r="AO78" s="17">
        <f t="shared" si="67"/>
        <v>49.4199236445236</v>
      </c>
      <c r="AP78" s="84">
        <f>IFERROR(MAX(MIN(求节点(宝物升星!D$67:D$72,宝物升星!$C$67:$C$72,AL78/基础状态预期!C$8),宝物升星!D$14),AP77),AP77)</f>
        <v>0</v>
      </c>
      <c r="AQ78" s="84">
        <f>IFERROR(MAX(MIN(求节点(宝物升星!E$67:E$72,宝物升星!$C$67:$C$72,AM78/基础状态预期!D$8),宝物升星!E$14),AQ77),AQ77)</f>
        <v>3</v>
      </c>
      <c r="AR78" s="84">
        <f>IFERROR(MAX(MIN(求节点(宝物升星!F$67:F$72,宝物升星!$C$67:$C$72,AN78/基础状态预期!E$8),宝物升星!F$14),AR77),AR77)</f>
        <v>5</v>
      </c>
      <c r="AS78" s="54">
        <f>IFERROR(MAX(MIN(求节点(宝物升星!G$67:G$72,宝物升星!$C$67:$C$72,AO78/MAX(基础状态预期!L78,基础状态预期!L77)),宝物升星!G$14),AS77),AS77)</f>
        <v>5</v>
      </c>
      <c r="AV78" s="38">
        <f t="shared" si="68"/>
        <v>0.71152227898770193</v>
      </c>
      <c r="AW78" s="38">
        <f t="shared" si="77"/>
        <v>0.10140017694556409</v>
      </c>
      <c r="AX78" s="38">
        <f t="shared" si="78"/>
        <v>0.18707754406673396</v>
      </c>
      <c r="AY78" s="38">
        <f t="shared" si="69"/>
        <v>0.85719593033518793</v>
      </c>
      <c r="AZ78" s="38">
        <f t="shared" si="79"/>
        <v>9.7728289421006684E-2</v>
      </c>
      <c r="BA78" s="38">
        <f t="shared" si="80"/>
        <v>4.5075780243805381E-2</v>
      </c>
      <c r="BB78" s="38">
        <f t="shared" si="70"/>
        <v>0.8632997482060597</v>
      </c>
      <c r="BC78" s="38">
        <f t="shared" si="81"/>
        <v>0.1367002517939403</v>
      </c>
      <c r="BD78" s="38">
        <f t="shared" si="82"/>
        <v>0</v>
      </c>
      <c r="BE78" s="38">
        <f t="shared" si="71"/>
        <v>1</v>
      </c>
      <c r="BF78" s="38">
        <f t="shared" si="83"/>
        <v>0</v>
      </c>
      <c r="BG78" s="38">
        <f t="shared" si="84"/>
        <v>0</v>
      </c>
      <c r="BJ78" s="16">
        <v>337.47288048839914</v>
      </c>
      <c r="BK78" s="16">
        <v>146.72733934278224</v>
      </c>
      <c r="BL78" s="16">
        <v>9.7818226228521503</v>
      </c>
      <c r="BM78" s="16">
        <v>3.4236379179982528</v>
      </c>
      <c r="BN78" s="16">
        <v>2930.2031673562187</v>
      </c>
      <c r="BO78" s="16">
        <v>837.72048101258463</v>
      </c>
      <c r="BP78" s="16">
        <v>126.36432519554042</v>
      </c>
      <c r="BQ78" s="16">
        <v>42.284472108894334</v>
      </c>
      <c r="BR78" s="16">
        <v>0</v>
      </c>
      <c r="BS78" s="16">
        <v>3</v>
      </c>
      <c r="BT78" s="16">
        <v>5</v>
      </c>
      <c r="BU78" s="16">
        <v>5</v>
      </c>
      <c r="BX78" s="37" t="str">
        <f t="shared" si="29"/>
        <v/>
      </c>
    </row>
    <row r="79" spans="14:76">
      <c r="N79" s="16">
        <v>13</v>
      </c>
      <c r="O79" s="17">
        <v>110</v>
      </c>
      <c r="P79" s="17">
        <f>求节点(节奏总纲!$O$4:$O$163,节奏总纲!R$4:R$163,O79)</f>
        <v>1397.2821999999999</v>
      </c>
      <c r="Q79" s="17">
        <f>INDEX(其他调用!$E$4:$E$163,$O79)*$P$10</f>
        <v>3002920.3549717944</v>
      </c>
      <c r="R79" s="50">
        <v>1</v>
      </c>
      <c r="S79" s="17">
        <f t="shared" si="58"/>
        <v>0.375</v>
      </c>
      <c r="T79" s="17">
        <f t="shared" si="59"/>
        <v>0.125</v>
      </c>
      <c r="U79" s="17">
        <f t="shared" si="60"/>
        <v>2.2500000000000003E-2</v>
      </c>
      <c r="V79" s="17">
        <f t="shared" si="61"/>
        <v>7.4999999999999997E-3</v>
      </c>
      <c r="W79" s="17">
        <f t="shared" si="72"/>
        <v>828443.71461275592</v>
      </c>
      <c r="X79" s="17">
        <f t="shared" si="85"/>
        <v>3412.4094942861302</v>
      </c>
      <c r="Y79" s="17">
        <f t="shared" si="73"/>
        <v>1137.46983142871</v>
      </c>
      <c r="Z79" s="17">
        <f t="shared" si="74"/>
        <v>204.74456965716783</v>
      </c>
      <c r="AA79" s="17">
        <f t="shared" si="75"/>
        <v>68.248189885722596</v>
      </c>
      <c r="AB79" s="17">
        <f>求节点(盗宝贼掉落!$CV$5:$CV$164,盗宝贼掉落!$DE$5:$DE$164,$O79)</f>
        <v>1230.3050703179367</v>
      </c>
      <c r="AC79" s="17">
        <f>$AB79*INDEX(盗宝贼掉落!$D$64:$D$67,MATCH(AC$16,盗宝贼掉落!$B$64:$B$67,0))*INDEX(盗宝贼掉落!$F$64:$F$67,MATCH(AC$16,盗宝贼掉落!$B$64:$B$67,0))</f>
        <v>922.72880273845249</v>
      </c>
      <c r="AD79" s="17">
        <f>$AB79*INDEX(盗宝贼掉落!$D$64:$D$67,MATCH(AD$16,盗宝贼掉落!$B$64:$B$67,0))*INDEX(盗宝贼掉落!$F$64:$F$67,MATCH(AD$16,盗宝贼掉落!$B$64:$B$67,0))</f>
        <v>61.515253515896838</v>
      </c>
      <c r="AE79" s="17">
        <f>$AB79*INDEX(盗宝贼掉落!$D$64:$D$67,MATCH(AE$16,盗宝贼掉落!$B$64:$B$67,0))*INDEX(盗宝贼掉落!$F$64:$F$67,MATCH(AE$16,盗宝贼掉落!$B$64:$B$67,0))</f>
        <v>0</v>
      </c>
      <c r="AF79" s="17">
        <f>$AB79*INDEX(盗宝贼掉落!$D$64:$D$67,MATCH(AF$16,盗宝贼掉落!$B$64:$B$67,0))*INDEX(盗宝贼掉落!$F$64:$F$67,MATCH(AF$16,盗宝贼掉落!$B$64:$B$67,0))</f>
        <v>0</v>
      </c>
      <c r="AG79" s="17">
        <f>求节点(匈奴铁骑掉落!$J$7:$J$166,匈奴铁骑掉落!M$7:M$166,O79)</f>
        <v>1658.73864</v>
      </c>
      <c r="AH79" s="17">
        <f>$AG79*INDEX(盗宝贼掉落!$D$64:$D$67,MATCH(AH$16,盗宝贼掉落!$B$64:$B$67,0))*INDEX(盗宝贼掉落!$G$64:$G$67,MATCH(AH$16,盗宝贼掉落!$B$64:$B$67,0))</f>
        <v>497.62159200000008</v>
      </c>
      <c r="AI79" s="17">
        <f>$AG79*INDEX(盗宝贼掉落!$D$64:$D$67,MATCH(AI$16,盗宝贼掉落!$B$64:$B$67,0))*INDEX(盗宝贼掉落!$G$64:$G$67,MATCH(AI$16,盗宝贼掉落!$B$64:$B$67,0))</f>
        <v>132.69909120000003</v>
      </c>
      <c r="AJ79" s="17">
        <f>$AG79*INDEX(盗宝贼掉落!$D$64:$D$67,MATCH(AJ$16,盗宝贼掉落!$B$64:$B$67,0))*INDEX(盗宝贼掉落!$G$64:$G$67,MATCH(AJ$16,盗宝贼掉落!$B$64:$B$67,0))</f>
        <v>33.1747728</v>
      </c>
      <c r="AK79" s="17">
        <f>$AG79*INDEX(盗宝贼掉落!$D$64:$D$67,MATCH(AK$16,盗宝贼掉落!$B$64:$B$67,0))*INDEX(盗宝贼掉落!$G$64:$G$67,MATCH(AK$16,盗宝贼掉落!$B$64:$B$67,0))</f>
        <v>0</v>
      </c>
      <c r="AL79" s="17">
        <f t="shared" si="76"/>
        <v>4832.7598890245836</v>
      </c>
      <c r="AM79" s="17">
        <f t="shared" si="65"/>
        <v>1331.6841761446069</v>
      </c>
      <c r="AN79" s="17">
        <f t="shared" si="66"/>
        <v>237.91934245716783</v>
      </c>
      <c r="AO79" s="17">
        <f t="shared" si="67"/>
        <v>68.248189885722596</v>
      </c>
      <c r="AP79" s="84">
        <f>IFERROR(MAX(MIN(求节点(宝物升星!D$67:D$72,宝物升星!$C$67:$C$72,AL79/基础状态预期!C$8),宝物升星!D$14),AP78),AP78)</f>
        <v>0</v>
      </c>
      <c r="AQ79" s="84">
        <f>IFERROR(MAX(MIN(求节点(宝物升星!E$67:E$72,宝物升星!$C$67:$C$72,AM79/基础状态预期!D$8),宝物升星!E$14),AQ78),AQ78)</f>
        <v>3</v>
      </c>
      <c r="AR79" s="84">
        <f>IFERROR(MAX(MIN(求节点(宝物升星!F$67:F$72,宝物升星!$C$67:$C$72,AN79/基础状态预期!E$8),宝物升星!F$14),AR78),AR78)</f>
        <v>5</v>
      </c>
      <c r="AS79" s="54">
        <f>IFERROR(MAX(MIN(求节点(宝物升星!G$67:G$72,宝物升星!$C$67:$C$72,AO79/MAX(基础状态预期!L79,基础状态预期!L78)),宝物升星!G$14),AS78),AS78)</f>
        <v>5</v>
      </c>
      <c r="AV79" s="38">
        <f t="shared" si="68"/>
        <v>0.70609953166427042</v>
      </c>
      <c r="AW79" s="38">
        <f t="shared" si="77"/>
        <v>0.10296840799604409</v>
      </c>
      <c r="AX79" s="38">
        <f t="shared" si="78"/>
        <v>0.19093206033968527</v>
      </c>
      <c r="AY79" s="38">
        <f t="shared" si="69"/>
        <v>0.85415885523384993</v>
      </c>
      <c r="AZ79" s="38">
        <f t="shared" si="79"/>
        <v>9.9647569278911594E-2</v>
      </c>
      <c r="BA79" s="38">
        <f t="shared" si="80"/>
        <v>4.6193575487238445E-2</v>
      </c>
      <c r="BB79" s="38">
        <f t="shared" si="70"/>
        <v>0.86056294348589002</v>
      </c>
      <c r="BC79" s="38">
        <f t="shared" si="81"/>
        <v>0.13943705651410998</v>
      </c>
      <c r="BD79" s="38">
        <f t="shared" si="82"/>
        <v>0</v>
      </c>
      <c r="BE79" s="38">
        <f t="shared" si="71"/>
        <v>1</v>
      </c>
      <c r="BF79" s="38">
        <f t="shared" si="83"/>
        <v>0</v>
      </c>
      <c r="BG79" s="38">
        <f t="shared" si="84"/>
        <v>0</v>
      </c>
      <c r="BJ79" s="16">
        <v>476.88735899999995</v>
      </c>
      <c r="BK79" s="16">
        <v>207.34233</v>
      </c>
      <c r="BL79" s="16">
        <v>13.822822</v>
      </c>
      <c r="BM79" s="16">
        <v>4.8379877000000002</v>
      </c>
      <c r="BN79" s="16">
        <v>3651.0643473042051</v>
      </c>
      <c r="BO79" s="16">
        <v>1019.3403120378143</v>
      </c>
      <c r="BP79" s="16">
        <v>148.90971313394519</v>
      </c>
      <c r="BQ79" s="16">
        <v>49.866951411315057</v>
      </c>
      <c r="BR79" s="16">
        <v>0</v>
      </c>
      <c r="BS79" s="16">
        <v>3</v>
      </c>
      <c r="BT79" s="16">
        <v>5</v>
      </c>
      <c r="BU79" s="16">
        <v>5</v>
      </c>
      <c r="BX79" s="37" t="str">
        <f t="shared" si="29"/>
        <v/>
      </c>
    </row>
    <row r="80" spans="14:76">
      <c r="N80" s="16">
        <v>14</v>
      </c>
      <c r="O80" s="17">
        <v>115</v>
      </c>
      <c r="P80" s="17">
        <f>求节点(节奏总纲!$O$4:$O$163,节奏总纲!R$4:R$163,O80)</f>
        <v>1969.9684992535633</v>
      </c>
      <c r="Q80" s="17">
        <f>INDEX(其他调用!$E$4:$E$163,$O80)*$P$10</f>
        <v>4152659.0135184135</v>
      </c>
      <c r="R80" s="50">
        <v>1</v>
      </c>
      <c r="S80" s="17">
        <f t="shared" si="58"/>
        <v>0.375</v>
      </c>
      <c r="T80" s="17">
        <f t="shared" si="59"/>
        <v>0.125</v>
      </c>
      <c r="U80" s="17">
        <f t="shared" si="60"/>
        <v>2.2500000000000003E-2</v>
      </c>
      <c r="V80" s="17">
        <f t="shared" si="61"/>
        <v>7.4999999999999997E-3</v>
      </c>
      <c r="W80" s="17">
        <f t="shared" si="72"/>
        <v>1149738.6585466191</v>
      </c>
      <c r="X80" s="17">
        <f t="shared" si="85"/>
        <v>4718.9306971800161</v>
      </c>
      <c r="Y80" s="17">
        <f t="shared" si="73"/>
        <v>1572.9768990600051</v>
      </c>
      <c r="Z80" s="17">
        <f t="shared" si="74"/>
        <v>283.13584183080093</v>
      </c>
      <c r="AA80" s="17">
        <f t="shared" si="75"/>
        <v>94.3786139436003</v>
      </c>
      <c r="AB80" s="17">
        <f>求节点(盗宝贼掉落!$CV$5:$CV$164,盗宝贼掉落!$DE$5:$DE$164,$O80)</f>
        <v>1746.2381573154723</v>
      </c>
      <c r="AC80" s="17">
        <f>$AB80*INDEX(盗宝贼掉落!$D$64:$D$67,MATCH(AC$16,盗宝贼掉落!$B$64:$B$67,0))*INDEX(盗宝贼掉落!$F$64:$F$67,MATCH(AC$16,盗宝贼掉落!$B$64:$B$67,0))</f>
        <v>1309.6786179866042</v>
      </c>
      <c r="AD80" s="17">
        <f>$AB80*INDEX(盗宝贼掉落!$D$64:$D$67,MATCH(AD$16,盗宝贼掉落!$B$64:$B$67,0))*INDEX(盗宝贼掉落!$F$64:$F$67,MATCH(AD$16,盗宝贼掉落!$B$64:$B$67,0))</f>
        <v>87.31190786577362</v>
      </c>
      <c r="AE80" s="17">
        <f>$AB80*INDEX(盗宝贼掉落!$D$64:$D$67,MATCH(AE$16,盗宝贼掉落!$B$64:$B$67,0))*INDEX(盗宝贼掉落!$F$64:$F$67,MATCH(AE$16,盗宝贼掉落!$B$64:$B$67,0))</f>
        <v>0</v>
      </c>
      <c r="AF80" s="17">
        <f>$AB80*INDEX(盗宝贼掉落!$D$64:$D$67,MATCH(AF$16,盗宝贼掉落!$B$64:$B$67,0))*INDEX(盗宝贼掉落!$F$64:$F$67,MATCH(AF$16,盗宝贼掉落!$B$64:$B$67,0))</f>
        <v>0</v>
      </c>
      <c r="AG80" s="17">
        <f>求节点(匈奴铁骑掉落!$J$7:$J$166,匈奴铁骑掉落!M$7:M$166,O80)</f>
        <v>2345.9621991042764</v>
      </c>
      <c r="AH80" s="17">
        <f>$AG80*INDEX(盗宝贼掉落!$D$64:$D$67,MATCH(AH$16,盗宝贼掉落!$B$64:$B$67,0))*INDEX(盗宝贼掉落!$G$64:$G$67,MATCH(AH$16,盗宝贼掉落!$B$64:$B$67,0))</f>
        <v>703.78865973128302</v>
      </c>
      <c r="AI80" s="17">
        <f>$AG80*INDEX(盗宝贼掉落!$D$64:$D$67,MATCH(AI$16,盗宝贼掉落!$B$64:$B$67,0))*INDEX(盗宝贼掉落!$G$64:$G$67,MATCH(AI$16,盗宝贼掉落!$B$64:$B$67,0))</f>
        <v>187.67697592834213</v>
      </c>
      <c r="AJ80" s="17">
        <f>$AG80*INDEX(盗宝贼掉落!$D$64:$D$67,MATCH(AJ$16,盗宝贼掉落!$B$64:$B$67,0))*INDEX(盗宝贼掉落!$G$64:$G$67,MATCH(AJ$16,盗宝贼掉落!$B$64:$B$67,0))</f>
        <v>46.919243982085526</v>
      </c>
      <c r="AK80" s="17">
        <f>$AG80*INDEX(盗宝贼掉落!$D$64:$D$67,MATCH(AK$16,盗宝贼掉落!$B$64:$B$67,0))*INDEX(盗宝贼掉落!$G$64:$G$67,MATCH(AK$16,盗宝贼掉落!$B$64:$B$67,0))</f>
        <v>0</v>
      </c>
      <c r="AL80" s="17">
        <f t="shared" si="76"/>
        <v>6732.3979748979027</v>
      </c>
      <c r="AM80" s="17">
        <f t="shared" si="65"/>
        <v>1847.9657828541208</v>
      </c>
      <c r="AN80" s="17">
        <f t="shared" si="66"/>
        <v>330.05508581288643</v>
      </c>
      <c r="AO80" s="17">
        <f t="shared" si="67"/>
        <v>94.3786139436003</v>
      </c>
      <c r="AP80" s="84">
        <f>IFERROR(MAX(MIN(求节点(宝物升星!D$67:D$72,宝物升星!$C$67:$C$72,AL80/基础状态预期!C$8),宝物升星!D$14),AP79),AP79)</f>
        <v>0</v>
      </c>
      <c r="AQ80" s="84">
        <f>IFERROR(MAX(MIN(求节点(宝物升星!E$67:E$72,宝物升星!$C$67:$C$72,AM80/基础状态预期!D$8),宝物升星!E$14),AQ79),AQ79)</f>
        <v>3</v>
      </c>
      <c r="AR80" s="84">
        <f>IFERROR(MAX(MIN(求节点(宝物升星!F$67:F$72,宝物升星!$C$67:$C$72,AN80/基础状态预期!E$8),宝物升星!F$14),AR79),AR79)</f>
        <v>5</v>
      </c>
      <c r="AS80" s="54">
        <f>IFERROR(MAX(MIN(求节点(宝物升星!G$67:G$72,宝物升星!$C$67:$C$72,AO80/MAX(基础状态预期!L80,基础状态预期!L79)),宝物升星!G$14),AS79),AS79)</f>
        <v>5</v>
      </c>
      <c r="AV80" s="38">
        <f t="shared" si="68"/>
        <v>0.70092866089835981</v>
      </c>
      <c r="AW80" s="38">
        <f t="shared" si="77"/>
        <v>0.10453759007643276</v>
      </c>
      <c r="AX80" s="38">
        <f t="shared" si="78"/>
        <v>0.19453374902520756</v>
      </c>
      <c r="AY80" s="38">
        <f t="shared" si="69"/>
        <v>0.85119373619061023</v>
      </c>
      <c r="AZ80" s="38">
        <f t="shared" si="79"/>
        <v>0.10155868559345367</v>
      </c>
      <c r="BA80" s="38">
        <f t="shared" si="80"/>
        <v>4.724757821593608E-2</v>
      </c>
      <c r="BB80" s="38">
        <f t="shared" si="70"/>
        <v>0.85784420238055414</v>
      </c>
      <c r="BC80" s="38">
        <f t="shared" si="81"/>
        <v>0.14215579761944588</v>
      </c>
      <c r="BD80" s="38">
        <f t="shared" si="82"/>
        <v>0</v>
      </c>
      <c r="BE80" s="38">
        <f t="shared" si="71"/>
        <v>1</v>
      </c>
      <c r="BF80" s="38">
        <f t="shared" si="83"/>
        <v>0</v>
      </c>
      <c r="BG80" s="38">
        <f t="shared" si="84"/>
        <v>0</v>
      </c>
      <c r="BJ80" s="16">
        <v>674.46413224247931</v>
      </c>
      <c r="BK80" s="16">
        <v>293.24527488803454</v>
      </c>
      <c r="BL80" s="16">
        <v>19.549684992535635</v>
      </c>
      <c r="BM80" s="16">
        <v>6.8423897473874726</v>
      </c>
      <c r="BN80" s="16">
        <v>4543.9974118157852</v>
      </c>
      <c r="BO80" s="16">
        <v>1233.8420699493752</v>
      </c>
      <c r="BP80" s="16">
        <v>173.14096468773775</v>
      </c>
      <c r="BQ80" s="16">
        <v>58.039482979121502</v>
      </c>
      <c r="BR80" s="16">
        <v>0</v>
      </c>
      <c r="BS80" s="16">
        <v>3</v>
      </c>
      <c r="BT80" s="16">
        <v>5</v>
      </c>
      <c r="BU80" s="16">
        <v>5</v>
      </c>
      <c r="BX80" s="37" t="str">
        <f t="shared" si="29"/>
        <v/>
      </c>
    </row>
    <row r="81" spans="14:76">
      <c r="N81" s="16">
        <v>15</v>
      </c>
      <c r="O81" s="17">
        <v>120</v>
      </c>
      <c r="P81" s="17">
        <f>求节点(节奏总纲!$O$4:$O$163,节奏总纲!R$4:R$163,O81)</f>
        <v>2791.971</v>
      </c>
      <c r="Q81" s="17">
        <f>INDEX(其他调用!$E$4:$E$163,$O81)*$P$10</f>
        <v>5800116.7299608961</v>
      </c>
      <c r="R81" s="50">
        <v>1</v>
      </c>
      <c r="S81" s="17">
        <f t="shared" si="58"/>
        <v>0.375</v>
      </c>
      <c r="T81" s="17">
        <f t="shared" si="59"/>
        <v>0.125</v>
      </c>
      <c r="U81" s="17">
        <f t="shared" si="60"/>
        <v>2.2500000000000003E-2</v>
      </c>
      <c r="V81" s="17">
        <f t="shared" si="61"/>
        <v>7.4999999999999997E-3</v>
      </c>
      <c r="W81" s="17">
        <f t="shared" si="72"/>
        <v>1647457.7164424825</v>
      </c>
      <c r="X81" s="17">
        <f t="shared" si="85"/>
        <v>6591.0417385919282</v>
      </c>
      <c r="Y81" s="17">
        <f t="shared" si="73"/>
        <v>2197.0139128639757</v>
      </c>
      <c r="Z81" s="17">
        <f t="shared" si="74"/>
        <v>395.46250431551567</v>
      </c>
      <c r="AA81" s="17">
        <f t="shared" si="75"/>
        <v>131.82083477183855</v>
      </c>
      <c r="AB81" s="17">
        <f>求节点(盗宝贼掉落!$CV$5:$CV$164,盗宝贼掉落!$DE$5:$DE$164,$O81)</f>
        <v>2486.7802102379374</v>
      </c>
      <c r="AC81" s="17">
        <f>$AB81*INDEX(盗宝贼掉落!$D$64:$D$67,MATCH(AC$16,盗宝贼掉落!$B$64:$B$67,0))*INDEX(盗宝贼掉落!$F$64:$F$67,MATCH(AC$16,盗宝贼掉落!$B$64:$B$67,0))</f>
        <v>1865.085157678453</v>
      </c>
      <c r="AD81" s="17">
        <f>$AB81*INDEX(盗宝贼掉落!$D$64:$D$67,MATCH(AD$16,盗宝贼掉落!$B$64:$B$67,0))*INDEX(盗宝贼掉落!$F$64:$F$67,MATCH(AD$16,盗宝贼掉落!$B$64:$B$67,0))</f>
        <v>124.33901051189687</v>
      </c>
      <c r="AE81" s="17">
        <f>$AB81*INDEX(盗宝贼掉落!$D$64:$D$67,MATCH(AE$16,盗宝贼掉落!$B$64:$B$67,0))*INDEX(盗宝贼掉落!$F$64:$F$67,MATCH(AE$16,盗宝贼掉落!$B$64:$B$67,0))</f>
        <v>0</v>
      </c>
      <c r="AF81" s="17">
        <f>$AB81*INDEX(盗宝贼掉落!$D$64:$D$67,MATCH(AF$16,盗宝贼掉落!$B$64:$B$67,0))*INDEX(盗宝贼掉落!$F$64:$F$67,MATCH(AF$16,盗宝贼掉落!$B$64:$B$67,0))</f>
        <v>0</v>
      </c>
      <c r="AG81" s="17">
        <f>求节点(匈奴铁骑掉落!$J$7:$J$166,匈奴铁骑掉落!M$7:M$166,O81)</f>
        <v>3332.3652000000002</v>
      </c>
      <c r="AH81" s="17">
        <f>$AG81*INDEX(盗宝贼掉落!$D$64:$D$67,MATCH(AH$16,盗宝贼掉落!$B$64:$B$67,0))*INDEX(盗宝贼掉落!$G$64:$G$67,MATCH(AH$16,盗宝贼掉落!$B$64:$B$67,0))</f>
        <v>999.70956000000024</v>
      </c>
      <c r="AI81" s="17">
        <f>$AG81*INDEX(盗宝贼掉落!$D$64:$D$67,MATCH(AI$16,盗宝贼掉落!$B$64:$B$67,0))*INDEX(盗宝贼掉落!$G$64:$G$67,MATCH(AI$16,盗宝贼掉落!$B$64:$B$67,0))</f>
        <v>266.58921600000002</v>
      </c>
      <c r="AJ81" s="17">
        <f>$AG81*INDEX(盗宝贼掉落!$D$64:$D$67,MATCH(AJ$16,盗宝贼掉落!$B$64:$B$67,0))*INDEX(盗宝贼掉落!$G$64:$G$67,MATCH(AJ$16,盗宝贼掉落!$B$64:$B$67,0))</f>
        <v>66.647303999999991</v>
      </c>
      <c r="AK81" s="17">
        <f>$AG81*INDEX(盗宝贼掉落!$D$64:$D$67,MATCH(AK$16,盗宝贼掉落!$B$64:$B$67,0))*INDEX(盗宝贼掉落!$G$64:$G$67,MATCH(AK$16,盗宝贼掉落!$B$64:$B$67,0))</f>
        <v>0</v>
      </c>
      <c r="AL81" s="17">
        <f t="shared" si="76"/>
        <v>9455.8364562703828</v>
      </c>
      <c r="AM81" s="17">
        <f t="shared" si="65"/>
        <v>2587.9421393758726</v>
      </c>
      <c r="AN81" s="17">
        <f t="shared" si="66"/>
        <v>462.10980831551569</v>
      </c>
      <c r="AO81" s="17">
        <f t="shared" si="67"/>
        <v>131.82083477183855</v>
      </c>
      <c r="AP81" s="84">
        <f>IFERROR(MAX(MIN(求节点(宝物升星!D$67:D$72,宝物升星!$C$67:$C$72,AL81/基础状态预期!C$8),宝物升星!D$14),AP80),AP80)</f>
        <v>0</v>
      </c>
      <c r="AQ81" s="84">
        <f>IFERROR(MAX(MIN(求节点(宝物升星!E$67:E$72,宝物升星!$C$67:$C$72,AM81/基础状态预期!D$8),宝物升星!E$14),AQ80),AQ80)</f>
        <v>3</v>
      </c>
      <c r="AR81" s="84">
        <f>IFERROR(MAX(MIN(求节点(宝物升星!F$67:F$72,宝物升星!$C$67:$C$72,AN81/基础状态预期!E$8),宝物升星!F$14),AR80),AR80)</f>
        <v>5</v>
      </c>
      <c r="AS81" s="54">
        <f>IFERROR(MAX(MIN(求节点(宝物升星!G$67:G$72,宝物升星!$C$67:$C$72,AO81/MAX(基础状态预期!L81,基础状态预期!L80)),宝物升星!G$14),AS80),AS80)</f>
        <v>5</v>
      </c>
      <c r="AV81" s="38">
        <f t="shared" si="68"/>
        <v>0.6970342358471372</v>
      </c>
      <c r="AW81" s="38">
        <f t="shared" si="77"/>
        <v>0.10572407471547055</v>
      </c>
      <c r="AX81" s="38">
        <f t="shared" si="78"/>
        <v>0.19724168943739209</v>
      </c>
      <c r="AY81" s="38">
        <f t="shared" si="69"/>
        <v>0.84894243941397551</v>
      </c>
      <c r="AZ81" s="38">
        <f t="shared" si="79"/>
        <v>0.10301204649973074</v>
      </c>
      <c r="BA81" s="38">
        <f t="shared" si="80"/>
        <v>4.8045514086293831E-2</v>
      </c>
      <c r="BB81" s="38">
        <f t="shared" si="70"/>
        <v>0.85577604543183572</v>
      </c>
      <c r="BC81" s="38">
        <f t="shared" si="81"/>
        <v>0.14422395456816417</v>
      </c>
      <c r="BD81" s="38">
        <f t="shared" si="82"/>
        <v>0</v>
      </c>
      <c r="BE81" s="38">
        <f t="shared" si="71"/>
        <v>1</v>
      </c>
      <c r="BF81" s="38">
        <f t="shared" si="83"/>
        <v>0</v>
      </c>
      <c r="BG81" s="38">
        <f t="shared" si="84"/>
        <v>0</v>
      </c>
      <c r="BJ81" s="16">
        <v>958.05499499999996</v>
      </c>
      <c r="BK81" s="16">
        <v>416.54565000000002</v>
      </c>
      <c r="BL81" s="16">
        <v>27.769710000000003</v>
      </c>
      <c r="BM81" s="16">
        <v>9.7193985000000023</v>
      </c>
      <c r="BN81" s="16">
        <v>5691.4012902861032</v>
      </c>
      <c r="BO81" s="16">
        <v>1496.9717063811136</v>
      </c>
      <c r="BP81" s="16">
        <v>199.86537825645902</v>
      </c>
      <c r="BQ81" s="16">
        <v>67.084621252152999</v>
      </c>
      <c r="BR81" s="16">
        <v>0</v>
      </c>
      <c r="BS81" s="16">
        <v>3</v>
      </c>
      <c r="BT81" s="16">
        <v>5</v>
      </c>
      <c r="BU81" s="16">
        <v>5</v>
      </c>
      <c r="BX81" s="37" t="str">
        <f t="shared" si="29"/>
        <v/>
      </c>
    </row>
    <row r="82" spans="14:76">
      <c r="N82" s="16">
        <v>16</v>
      </c>
      <c r="O82" s="17">
        <v>125</v>
      </c>
      <c r="P82" s="17">
        <f>求节点(节奏总纲!$O$4:$O$163,节奏总纲!R$4:R$163,O82)</f>
        <v>3940.0382366319791</v>
      </c>
      <c r="Q82" s="17">
        <f>INDEX(其他调用!$E$4:$E$163,$O82)*$P$10</f>
        <v>8064977.0646247007</v>
      </c>
      <c r="R82" s="50">
        <v>1</v>
      </c>
      <c r="S82" s="17">
        <f t="shared" si="58"/>
        <v>0.375</v>
      </c>
      <c r="T82" s="17">
        <f t="shared" si="59"/>
        <v>0.125</v>
      </c>
      <c r="U82" s="17">
        <f t="shared" si="60"/>
        <v>2.2500000000000003E-2</v>
      </c>
      <c r="V82" s="17">
        <f t="shared" si="61"/>
        <v>7.4999999999999997E-3</v>
      </c>
      <c r="W82" s="17">
        <f t="shared" si="72"/>
        <v>2264860.3346638046</v>
      </c>
      <c r="X82" s="17">
        <f t="shared" si="85"/>
        <v>9164.7466643462503</v>
      </c>
      <c r="Y82" s="17">
        <f t="shared" si="73"/>
        <v>3054.9155547820837</v>
      </c>
      <c r="Z82" s="17">
        <f t="shared" si="74"/>
        <v>549.88479986077505</v>
      </c>
      <c r="AA82" s="17">
        <f t="shared" si="75"/>
        <v>183.29493328692502</v>
      </c>
      <c r="AB82" s="17">
        <f>求节点(盗宝贼掉落!$CV$5:$CV$164,盗宝贼掉落!$DE$5:$DE$164,$O82)</f>
        <v>3521.073983719687</v>
      </c>
      <c r="AC82" s="17">
        <f>$AB82*INDEX(盗宝贼掉落!$D$64:$D$67,MATCH(AC$16,盗宝贼掉落!$B$64:$B$67,0))*INDEX(盗宝贼掉落!$F$64:$F$67,MATCH(AC$16,盗宝贼掉落!$B$64:$B$67,0))</f>
        <v>2640.8054877897653</v>
      </c>
      <c r="AD82" s="17">
        <f>$AB82*INDEX(盗宝贼掉落!$D$64:$D$67,MATCH(AD$16,盗宝贼掉落!$B$64:$B$67,0))*INDEX(盗宝贼掉落!$F$64:$F$67,MATCH(AD$16,盗宝贼掉落!$B$64:$B$67,0))</f>
        <v>176.05369918598436</v>
      </c>
      <c r="AE82" s="17">
        <f>$AB82*INDEX(盗宝贼掉落!$D$64:$D$67,MATCH(AE$16,盗宝贼掉落!$B$64:$B$67,0))*INDEX(盗宝贼掉落!$F$64:$F$67,MATCH(AE$16,盗宝贼掉落!$B$64:$B$67,0))</f>
        <v>0</v>
      </c>
      <c r="AF82" s="17">
        <f>$AB82*INDEX(盗宝贼掉落!$D$64:$D$67,MATCH(AF$16,盗宝贼掉落!$B$64:$B$67,0))*INDEX(盗宝贼掉落!$F$64:$F$67,MATCH(AF$16,盗宝贼掉落!$B$64:$B$67,0))</f>
        <v>0</v>
      </c>
      <c r="AG82" s="17">
        <f>求节点(匈奴铁骑掉落!$J$7:$J$166,匈奴铁骑掉落!M$7:M$166,O82)</f>
        <v>4710.0458839583753</v>
      </c>
      <c r="AH82" s="17">
        <f>$AG82*INDEX(盗宝贼掉落!$D$64:$D$67,MATCH(AH$16,盗宝贼掉落!$B$64:$B$67,0))*INDEX(盗宝贼掉落!$G$64:$G$67,MATCH(AH$16,盗宝贼掉落!$B$64:$B$67,0))</f>
        <v>1413.0137651875127</v>
      </c>
      <c r="AI82" s="17">
        <f>$AG82*INDEX(盗宝贼掉落!$D$64:$D$67,MATCH(AI$16,盗宝贼掉落!$B$64:$B$67,0))*INDEX(盗宝贼掉落!$G$64:$G$67,MATCH(AI$16,盗宝贼掉落!$B$64:$B$67,0))</f>
        <v>376.80367071667007</v>
      </c>
      <c r="AJ82" s="17">
        <f>$AG82*INDEX(盗宝贼掉落!$D$64:$D$67,MATCH(AJ$16,盗宝贼掉落!$B$64:$B$67,0))*INDEX(盗宝贼掉落!$G$64:$G$67,MATCH(AJ$16,盗宝贼掉落!$B$64:$B$67,0))</f>
        <v>94.200917679167489</v>
      </c>
      <c r="AK82" s="17">
        <f>$AG82*INDEX(盗宝贼掉落!$D$64:$D$67,MATCH(AK$16,盗宝贼掉落!$B$64:$B$67,0))*INDEX(盗宝贼掉落!$G$64:$G$67,MATCH(AK$16,盗宝贼掉落!$B$64:$B$67,0))</f>
        <v>0</v>
      </c>
      <c r="AL82" s="17">
        <f t="shared" si="76"/>
        <v>13218.565917323527</v>
      </c>
      <c r="AM82" s="17">
        <f t="shared" si="65"/>
        <v>3607.7729246847384</v>
      </c>
      <c r="AN82" s="17">
        <f t="shared" si="66"/>
        <v>644.08571753994249</v>
      </c>
      <c r="AO82" s="17">
        <f t="shared" si="67"/>
        <v>183.29493328692502</v>
      </c>
      <c r="AP82" s="84">
        <f>IFERROR(MAX(MIN(求节点(宝物升星!D$67:D$72,宝物升星!$C$67:$C$72,AL82/基础状态预期!C$8),宝物升星!D$14),AP81),AP81)</f>
        <v>0</v>
      </c>
      <c r="AQ82" s="84">
        <f>IFERROR(MAX(MIN(求节点(宝物升星!E$67:E$72,宝物升星!$C$67:$C$72,AM82/基础状态预期!D$8),宝物升星!E$14),AQ81),AQ81)</f>
        <v>3</v>
      </c>
      <c r="AR82" s="84">
        <f>IFERROR(MAX(MIN(求节点(宝物升星!F$67:F$72,宝物升星!$C$67:$C$72,AN82/基础状态预期!E$8),宝物升星!F$14),AR81),AR81)</f>
        <v>5</v>
      </c>
      <c r="AS82" s="54">
        <f>IFERROR(MAX(MIN(求节点(宝物升星!G$67:G$72,宝物升星!$C$67:$C$72,AO82/MAX(基础状态预期!L82,基础状态预期!L81)),宝物升星!G$14),AS81),AS81)</f>
        <v>5</v>
      </c>
      <c r="AV82" s="38">
        <f t="shared" si="68"/>
        <v>0.69332382360293987</v>
      </c>
      <c r="AW82" s="38">
        <f t="shared" si="77"/>
        <v>0.10689614698185182</v>
      </c>
      <c r="AX82" s="38">
        <f t="shared" si="78"/>
        <v>0.19978002941520839</v>
      </c>
      <c r="AY82" s="38">
        <f t="shared" si="69"/>
        <v>0.84675937719917183</v>
      </c>
      <c r="AZ82" s="38">
        <f t="shared" si="79"/>
        <v>0.10444218042065291</v>
      </c>
      <c r="BA82" s="38">
        <f t="shared" si="80"/>
        <v>4.8798442380175194E-2</v>
      </c>
      <c r="BB82" s="38">
        <f t="shared" si="70"/>
        <v>0.85374474993955185</v>
      </c>
      <c r="BC82" s="38">
        <f t="shared" si="81"/>
        <v>0.14625525006044818</v>
      </c>
      <c r="BD82" s="38">
        <f t="shared" si="82"/>
        <v>0</v>
      </c>
      <c r="BE82" s="38">
        <f t="shared" si="71"/>
        <v>1</v>
      </c>
      <c r="BF82" s="38">
        <f t="shared" si="83"/>
        <v>0</v>
      </c>
      <c r="BG82" s="38">
        <f t="shared" si="84"/>
        <v>0</v>
      </c>
      <c r="BJ82" s="16">
        <v>1354.1381916380326</v>
      </c>
      <c r="BK82" s="16">
        <v>588.75573549479691</v>
      </c>
      <c r="BL82" s="16">
        <v>39.250382366319798</v>
      </c>
      <c r="BM82" s="16">
        <v>13.737633828211928</v>
      </c>
      <c r="BN82" s="16">
        <v>7171.6112930563959</v>
      </c>
      <c r="BO82" s="16">
        <v>1823.6986392236474</v>
      </c>
      <c r="BP82" s="16">
        <v>229.85043918403574</v>
      </c>
      <c r="BQ82" s="16">
        <v>77.270986100783901</v>
      </c>
      <c r="BR82" s="16">
        <v>0</v>
      </c>
      <c r="BS82" s="16">
        <v>3</v>
      </c>
      <c r="BT82" s="16">
        <v>5</v>
      </c>
      <c r="BU82" s="16">
        <v>5</v>
      </c>
      <c r="BX82" s="37" t="str">
        <f t="shared" ref="BX82:BX141" si="86">IF(AU82="","",AR82-AU82)</f>
        <v/>
      </c>
    </row>
    <row r="83" spans="14:76">
      <c r="N83" s="16">
        <v>17</v>
      </c>
      <c r="O83" s="17">
        <v>130</v>
      </c>
      <c r="P83" s="17">
        <f>求节点(节奏总纲!$O$4:$O$163,节奏总纲!R$4:R$163,O83)</f>
        <v>5542.0306</v>
      </c>
      <c r="Q83" s="17">
        <f>INDEX(其他调用!$E$4:$E$163,$O83)*$P$10</f>
        <v>11221139.672132218</v>
      </c>
      <c r="R83" s="50">
        <v>1</v>
      </c>
      <c r="S83" s="17">
        <f t="shared" si="58"/>
        <v>0.375</v>
      </c>
      <c r="T83" s="17">
        <f t="shared" si="59"/>
        <v>0.125</v>
      </c>
      <c r="U83" s="17">
        <f t="shared" si="60"/>
        <v>2.2500000000000003E-2</v>
      </c>
      <c r="V83" s="17">
        <f t="shared" si="61"/>
        <v>7.4999999999999997E-3</v>
      </c>
      <c r="W83" s="17">
        <f t="shared" si="72"/>
        <v>3156162.6075075176</v>
      </c>
      <c r="X83" s="17">
        <f t="shared" si="85"/>
        <v>12751.29508196843</v>
      </c>
      <c r="Y83" s="17">
        <f t="shared" si="73"/>
        <v>4250.431693989477</v>
      </c>
      <c r="Z83" s="17">
        <f t="shared" si="74"/>
        <v>765.07770491810584</v>
      </c>
      <c r="AA83" s="17">
        <f t="shared" si="75"/>
        <v>255.02590163936861</v>
      </c>
      <c r="AB83" s="17">
        <f>求节点(盗宝贼掉落!$CV$5:$CV$164,盗宝贼掉落!$DE$5:$DE$164,$O83)</f>
        <v>4964.3089038779372</v>
      </c>
      <c r="AC83" s="17">
        <f>$AB83*INDEX(盗宝贼掉落!$D$64:$D$67,MATCH(AC$16,盗宝贼掉落!$B$64:$B$67,0))*INDEX(盗宝贼掉落!$F$64:$F$67,MATCH(AC$16,盗宝贼掉落!$B$64:$B$67,0))</f>
        <v>3723.2316779084531</v>
      </c>
      <c r="AD83" s="17">
        <f>$AB83*INDEX(盗宝贼掉落!$D$64:$D$67,MATCH(AD$16,盗宝贼掉落!$B$64:$B$67,0))*INDEX(盗宝贼掉落!$F$64:$F$67,MATCH(AD$16,盗宝贼掉落!$B$64:$B$67,0))</f>
        <v>248.21544519389687</v>
      </c>
      <c r="AE83" s="17">
        <f>$AB83*INDEX(盗宝贼掉落!$D$64:$D$67,MATCH(AE$16,盗宝贼掉落!$B$64:$B$67,0))*INDEX(盗宝贼掉落!$F$64:$F$67,MATCH(AE$16,盗宝贼掉落!$B$64:$B$67,0))</f>
        <v>0</v>
      </c>
      <c r="AF83" s="17">
        <f>$AB83*INDEX(盗宝贼掉落!$D$64:$D$67,MATCH(AF$16,盗宝贼掉落!$B$64:$B$67,0))*INDEX(盗宝贼掉落!$F$64:$F$67,MATCH(AF$16,盗宝贼掉落!$B$64:$B$67,0))</f>
        <v>0</v>
      </c>
      <c r="AG83" s="17">
        <f>求节点(匈奴铁骑掉落!$J$7:$J$166,匈奴铁骑掉落!M$7:M$166,O83)</f>
        <v>6632.4367200000015</v>
      </c>
      <c r="AH83" s="17">
        <f>$AG83*INDEX(盗宝贼掉落!$D$64:$D$67,MATCH(AH$16,盗宝贼掉落!$B$64:$B$67,0))*INDEX(盗宝贼掉落!$G$64:$G$67,MATCH(AH$16,盗宝贼掉落!$B$64:$B$67,0))</f>
        <v>1989.7310160000006</v>
      </c>
      <c r="AI83" s="17">
        <f>$AG83*INDEX(盗宝贼掉落!$D$64:$D$67,MATCH(AI$16,盗宝贼掉落!$B$64:$B$67,0))*INDEX(盗宝贼掉落!$G$64:$G$67,MATCH(AI$16,盗宝贼掉落!$B$64:$B$67,0))</f>
        <v>530.59493760000021</v>
      </c>
      <c r="AJ83" s="17">
        <f>$AG83*INDEX(盗宝贼掉落!$D$64:$D$67,MATCH(AJ$16,盗宝贼掉落!$B$64:$B$67,0))*INDEX(盗宝贼掉落!$G$64:$G$67,MATCH(AJ$16,盗宝贼掉落!$B$64:$B$67,0))</f>
        <v>132.64873440000002</v>
      </c>
      <c r="AK83" s="17">
        <f>$AG83*INDEX(盗宝贼掉落!$D$64:$D$67,MATCH(AK$16,盗宝贼掉落!$B$64:$B$67,0))*INDEX(盗宝贼掉落!$G$64:$G$67,MATCH(AK$16,盗宝贼掉落!$B$64:$B$67,0))</f>
        <v>0</v>
      </c>
      <c r="AL83" s="17">
        <f t="shared" si="76"/>
        <v>18464.257775876886</v>
      </c>
      <c r="AM83" s="17">
        <f t="shared" si="65"/>
        <v>5029.2420767833737</v>
      </c>
      <c r="AN83" s="17">
        <f t="shared" si="66"/>
        <v>897.7264393181058</v>
      </c>
      <c r="AO83" s="17">
        <f t="shared" si="67"/>
        <v>255.02590163936861</v>
      </c>
      <c r="AP83" s="84">
        <f>IFERROR(MAX(MIN(求节点(宝物升星!D$67:D$72,宝物升星!$C$67:$C$72,AL83/基础状态预期!C$8),宝物升星!D$14),AP82),AP82)</f>
        <v>0</v>
      </c>
      <c r="AQ83" s="84">
        <f>IFERROR(MAX(MIN(求节点(宝物升星!E$67:E$72,宝物升星!$C$67:$C$72,AM83/基础状态预期!D$8),宝物升星!E$14),AQ82),AQ82)</f>
        <v>3</v>
      </c>
      <c r="AR83" s="84">
        <f>IFERROR(MAX(MIN(求节点(宝物升星!F$67:F$72,宝物升星!$C$67:$C$72,AN83/基础状态预期!E$8),宝物升星!F$14),AR82),AR82)</f>
        <v>5</v>
      </c>
      <c r="AS83" s="54">
        <f>IFERROR(MAX(MIN(求节点(宝物升星!G$67:G$72,宝物升星!$C$67:$C$72,AO83/MAX(基础状态预期!L83,基础状态预期!L82)),宝物升星!G$14),AS82),AS82)</f>
        <v>5</v>
      </c>
      <c r="AV83" s="38">
        <f t="shared" si="68"/>
        <v>0.69059342849013372</v>
      </c>
      <c r="AW83" s="38">
        <f t="shared" si="77"/>
        <v>0.1077612238819335</v>
      </c>
      <c r="AX83" s="38">
        <f t="shared" si="78"/>
        <v>0.20164534762793265</v>
      </c>
      <c r="AY83" s="38">
        <f t="shared" si="69"/>
        <v>0.84514358805889656</v>
      </c>
      <c r="AZ83" s="38">
        <f t="shared" si="79"/>
        <v>0.1055019681890836</v>
      </c>
      <c r="BA83" s="38">
        <f t="shared" si="80"/>
        <v>4.9354443752019923E-2</v>
      </c>
      <c r="BB83" s="38">
        <f t="shared" si="70"/>
        <v>0.85223924729146094</v>
      </c>
      <c r="BC83" s="38">
        <f t="shared" si="81"/>
        <v>0.14776075270853917</v>
      </c>
      <c r="BD83" s="38">
        <f t="shared" si="82"/>
        <v>0</v>
      </c>
      <c r="BE83" s="38">
        <f t="shared" si="71"/>
        <v>1</v>
      </c>
      <c r="BF83" s="38">
        <f t="shared" si="83"/>
        <v>0</v>
      </c>
      <c r="BG83" s="38">
        <f t="shared" si="84"/>
        <v>0</v>
      </c>
      <c r="BJ83" s="16">
        <v>1906.8255570000001</v>
      </c>
      <c r="BK83" s="16">
        <v>829.05459000000019</v>
      </c>
      <c r="BL83" s="16">
        <v>55.270306000000005</v>
      </c>
      <c r="BM83" s="16">
        <v>19.344607100000005</v>
      </c>
      <c r="BN83" s="16">
        <v>9115.1313245580004</v>
      </c>
      <c r="BO83" s="16">
        <v>2238.9613984104126</v>
      </c>
      <c r="BP83" s="16">
        <v>264.37475137897286</v>
      </c>
      <c r="BQ83" s="16">
        <v>89.046088892990952</v>
      </c>
      <c r="BR83" s="16">
        <v>0</v>
      </c>
      <c r="BS83" s="16">
        <v>3</v>
      </c>
      <c r="BT83" s="16">
        <v>5</v>
      </c>
      <c r="BU83" s="16">
        <v>5</v>
      </c>
      <c r="BX83" s="37" t="str">
        <f t="shared" si="86"/>
        <v/>
      </c>
    </row>
    <row r="84" spans="14:76">
      <c r="N84" s="16">
        <v>18</v>
      </c>
      <c r="O84" s="17">
        <v>135</v>
      </c>
      <c r="P84" s="17">
        <f>求节点(节奏总纲!$O$4:$O$163,节奏总纲!R$4:R$163,O84)</f>
        <v>7796.1918394923478</v>
      </c>
      <c r="Q84" s="17">
        <f>INDEX(其他调用!$E$4:$E$163,$O84)*$P$10</f>
        <v>15610038.741569065</v>
      </c>
      <c r="R84" s="50">
        <v>1</v>
      </c>
      <c r="S84" s="17">
        <f t="shared" si="58"/>
        <v>0.375</v>
      </c>
      <c r="T84" s="17">
        <f t="shared" si="59"/>
        <v>0.125</v>
      </c>
      <c r="U84" s="17">
        <f t="shared" si="60"/>
        <v>2.2500000000000003E-2</v>
      </c>
      <c r="V84" s="17">
        <f t="shared" si="61"/>
        <v>7.4999999999999997E-3</v>
      </c>
      <c r="W84" s="17">
        <f t="shared" si="72"/>
        <v>4388899.0694368463</v>
      </c>
      <c r="X84" s="17">
        <f t="shared" si="85"/>
        <v>17738.680388146666</v>
      </c>
      <c r="Y84" s="17">
        <f t="shared" si="73"/>
        <v>5912.893462715555</v>
      </c>
      <c r="Z84" s="17">
        <f t="shared" si="74"/>
        <v>1064.3208232888001</v>
      </c>
      <c r="AA84" s="17">
        <f t="shared" si="75"/>
        <v>354.7736077629333</v>
      </c>
      <c r="AB84" s="17">
        <f>求节点(盗宝贼掉落!$CV$5:$CV$164,盗宝贼掉落!$DE$5:$DE$164,$O84)</f>
        <v>6995.0827645365935</v>
      </c>
      <c r="AC84" s="17">
        <f>$AB84*INDEX(盗宝贼掉落!$D$64:$D$67,MATCH(AC$16,盗宝贼掉落!$B$64:$B$67,0))*INDEX(盗宝贼掉落!$F$64:$F$67,MATCH(AC$16,盗宝贼掉落!$B$64:$B$67,0))</f>
        <v>5246.3120734024451</v>
      </c>
      <c r="AD84" s="17">
        <f>$AB84*INDEX(盗宝贼掉落!$D$64:$D$67,MATCH(AD$16,盗宝贼掉落!$B$64:$B$67,0))*INDEX(盗宝贼掉落!$F$64:$F$67,MATCH(AD$16,盗宝贼掉落!$B$64:$B$67,0))</f>
        <v>349.7541382268297</v>
      </c>
      <c r="AE84" s="17">
        <f>$AB84*INDEX(盗宝贼掉落!$D$64:$D$67,MATCH(AE$16,盗宝贼掉落!$B$64:$B$67,0))*INDEX(盗宝贼掉落!$F$64:$F$67,MATCH(AE$16,盗宝贼掉落!$B$64:$B$67,0))</f>
        <v>0</v>
      </c>
      <c r="AF84" s="17">
        <f>$AB84*INDEX(盗宝贼掉落!$D$64:$D$67,MATCH(AF$16,盗宝贼掉落!$B$64:$B$67,0))*INDEX(盗宝贼掉落!$F$64:$F$67,MATCH(AF$16,盗宝贼掉落!$B$64:$B$67,0))</f>
        <v>0</v>
      </c>
      <c r="AG84" s="17">
        <f>求节点(匈奴铁骑掉落!$J$7:$J$166,匈奴铁骑掉落!M$7:M$166,O84)</f>
        <v>9337.4302073908166</v>
      </c>
      <c r="AH84" s="17">
        <f>$AG84*INDEX(盗宝贼掉落!$D$64:$D$67,MATCH(AH$16,盗宝贼掉落!$B$64:$B$67,0))*INDEX(盗宝贼掉落!$G$64:$G$67,MATCH(AH$16,盗宝贼掉落!$B$64:$B$67,0))</f>
        <v>2801.2290622172454</v>
      </c>
      <c r="AI84" s="17">
        <f>$AG84*INDEX(盗宝贼掉落!$D$64:$D$67,MATCH(AI$16,盗宝贼掉落!$B$64:$B$67,0))*INDEX(盗宝贼掉落!$G$64:$G$67,MATCH(AI$16,盗宝贼掉落!$B$64:$B$67,0))</f>
        <v>746.99441659126535</v>
      </c>
      <c r="AJ84" s="17">
        <f>$AG84*INDEX(盗宝贼掉落!$D$64:$D$67,MATCH(AJ$16,盗宝贼掉落!$B$64:$B$67,0))*INDEX(盗宝贼掉落!$G$64:$G$67,MATCH(AJ$16,盗宝贼掉落!$B$64:$B$67,0))</f>
        <v>186.74860414781631</v>
      </c>
      <c r="AK84" s="17">
        <f>$AG84*INDEX(盗宝贼掉落!$D$64:$D$67,MATCH(AK$16,盗宝贼掉落!$B$64:$B$67,0))*INDEX(盗宝贼掉落!$G$64:$G$67,MATCH(AK$16,盗宝贼掉落!$B$64:$B$67,0))</f>
        <v>0</v>
      </c>
      <c r="AL84" s="17">
        <f t="shared" si="76"/>
        <v>25786.221523766355</v>
      </c>
      <c r="AM84" s="17">
        <f t="shared" si="65"/>
        <v>7009.6420175336507</v>
      </c>
      <c r="AN84" s="17">
        <f t="shared" si="66"/>
        <v>1251.0694274366165</v>
      </c>
      <c r="AO84" s="17">
        <f t="shared" si="67"/>
        <v>354.7736077629333</v>
      </c>
      <c r="AP84" s="84">
        <f>IFERROR(MAX(MIN(求节点(宝物升星!D$67:D$72,宝物升星!$C$67:$C$72,AL84/基础状态预期!C$8),宝物升星!D$14),AP83),AP83)</f>
        <v>0</v>
      </c>
      <c r="AQ84" s="84">
        <f>IFERROR(MAX(MIN(求节点(宝物升星!E$67:E$72,宝物升星!$C$67:$C$72,AM84/基础状态预期!D$8),宝物升星!E$14),AQ83),AQ83)</f>
        <v>3</v>
      </c>
      <c r="AR84" s="84">
        <f>IFERROR(MAX(MIN(求节点(宝物升星!F$67:F$72,宝物升星!$C$67:$C$72,AN84/基础状态预期!E$8),宝物升星!F$14),AR83),AR83)</f>
        <v>5</v>
      </c>
      <c r="AS84" s="54">
        <f>IFERROR(MAX(MIN(求节点(宝物升星!G$67:G$72,宝物升星!$C$67:$C$72,AO84/MAX(基础状态预期!L84,基础状态预期!L83)),宝物升星!G$14),AS83),AS83)</f>
        <v>5</v>
      </c>
      <c r="AV84" s="38">
        <f t="shared" si="68"/>
        <v>0.68791313111917063</v>
      </c>
      <c r="AW84" s="38">
        <f t="shared" si="77"/>
        <v>0.10863278513431834</v>
      </c>
      <c r="AX84" s="38">
        <f t="shared" si="78"/>
        <v>0.20345408374651103</v>
      </c>
      <c r="AY84" s="38">
        <f t="shared" si="69"/>
        <v>0.84353715181535227</v>
      </c>
      <c r="AZ84" s="38">
        <f t="shared" si="79"/>
        <v>0.10656669980046941</v>
      </c>
      <c r="BA84" s="38">
        <f t="shared" si="80"/>
        <v>4.989614838417826E-2</v>
      </c>
      <c r="BB84" s="38">
        <f t="shared" si="70"/>
        <v>0.85072882443426368</v>
      </c>
      <c r="BC84" s="38">
        <f t="shared" si="81"/>
        <v>0.14927117556573624</v>
      </c>
      <c r="BD84" s="38">
        <f t="shared" si="82"/>
        <v>0</v>
      </c>
      <c r="BE84" s="38">
        <f t="shared" si="71"/>
        <v>1</v>
      </c>
      <c r="BF84" s="38">
        <f t="shared" si="83"/>
        <v>0</v>
      </c>
      <c r="BG84" s="38">
        <f t="shared" si="84"/>
        <v>0</v>
      </c>
      <c r="BJ84" s="16">
        <v>2684.5111846248597</v>
      </c>
      <c r="BK84" s="16">
        <v>1167.1787759238521</v>
      </c>
      <c r="BL84" s="16">
        <v>77.811918394923481</v>
      </c>
      <c r="BM84" s="16">
        <v>27.234171438223218</v>
      </c>
      <c r="BN84" s="16">
        <v>11724.303823697801</v>
      </c>
      <c r="BO84" s="16">
        <v>2781.426436040847</v>
      </c>
      <c r="BP84" s="16">
        <v>305.42075233515322</v>
      </c>
      <c r="BQ84" s="16">
        <v>103.10378275163313</v>
      </c>
      <c r="BR84" s="16">
        <v>0</v>
      </c>
      <c r="BS84" s="16">
        <v>3</v>
      </c>
      <c r="BT84" s="16">
        <v>5</v>
      </c>
      <c r="BU84" s="16">
        <v>5</v>
      </c>
      <c r="BX84" s="37" t="str">
        <f t="shared" si="86"/>
        <v/>
      </c>
    </row>
    <row r="85" spans="14:76">
      <c r="N85" s="16">
        <v>19</v>
      </c>
      <c r="O85" s="17">
        <v>140</v>
      </c>
      <c r="P85" s="17">
        <f>求节点(节奏总纲!$O$4:$O$163,节奏总纲!R$4:R$163,O85)</f>
        <v>11037.2271</v>
      </c>
      <c r="Q85" s="17">
        <f>INDEX(其他调用!$E$4:$E$163,$O85)*$P$10</f>
        <v>21912378.218354762</v>
      </c>
      <c r="R85" s="50">
        <v>1</v>
      </c>
      <c r="S85" s="17">
        <f t="shared" si="58"/>
        <v>0.375</v>
      </c>
      <c r="T85" s="17">
        <f t="shared" si="59"/>
        <v>0.125</v>
      </c>
      <c r="U85" s="17">
        <f t="shared" si="60"/>
        <v>2.2500000000000003E-2</v>
      </c>
      <c r="V85" s="17">
        <f t="shared" si="61"/>
        <v>7.4999999999999997E-3</v>
      </c>
      <c r="W85" s="17">
        <f t="shared" si="72"/>
        <v>6302339.476785697</v>
      </c>
      <c r="X85" s="17">
        <f t="shared" si="85"/>
        <v>24900.429793584957</v>
      </c>
      <c r="Y85" s="17">
        <f t="shared" si="73"/>
        <v>8300.1432645283185</v>
      </c>
      <c r="Z85" s="17">
        <f t="shared" si="74"/>
        <v>1494.0257876150977</v>
      </c>
      <c r="AA85" s="17">
        <f t="shared" si="75"/>
        <v>498.00859587169913</v>
      </c>
      <c r="AB85" s="17">
        <f>求节点(盗宝贼掉落!$CV$5:$CV$164,盗宝贼掉落!$DE$5:$DE$164,$O85)</f>
        <v>9914.9314307279383</v>
      </c>
      <c r="AC85" s="17">
        <f>$AB85*INDEX(盗宝贼掉落!$D$64:$D$67,MATCH(AC$16,盗宝贼掉落!$B$64:$B$67,0))*INDEX(盗宝贼掉落!$F$64:$F$67,MATCH(AC$16,盗宝贼掉落!$B$64:$B$67,0))</f>
        <v>7436.1985730459537</v>
      </c>
      <c r="AD85" s="17">
        <f>$AB85*INDEX(盗宝贼掉落!$D$64:$D$67,MATCH(AD$16,盗宝贼掉落!$B$64:$B$67,0))*INDEX(盗宝贼掉落!$F$64:$F$67,MATCH(AD$16,盗宝贼掉落!$B$64:$B$67,0))</f>
        <v>495.74657153639691</v>
      </c>
      <c r="AE85" s="17">
        <f>$AB85*INDEX(盗宝贼掉落!$D$64:$D$67,MATCH(AE$16,盗宝贼掉落!$B$64:$B$67,0))*INDEX(盗宝贼掉落!$F$64:$F$67,MATCH(AE$16,盗宝贼掉落!$B$64:$B$67,0))</f>
        <v>0</v>
      </c>
      <c r="AF85" s="17">
        <f>$AB85*INDEX(盗宝贼掉落!$D$64:$D$67,MATCH(AF$16,盗宝贼掉落!$B$64:$B$67,0))*INDEX(盗宝贼掉落!$F$64:$F$67,MATCH(AF$16,盗宝贼掉落!$B$64:$B$67,0))</f>
        <v>0</v>
      </c>
      <c r="AG85" s="17">
        <f>求节点(匈奴铁骑掉落!$J$7:$J$166,匈奴铁骑掉落!M$7:M$166,O85)</f>
        <v>13226.67252</v>
      </c>
      <c r="AH85" s="17">
        <f>$AG85*INDEX(盗宝贼掉落!$D$64:$D$67,MATCH(AH$16,盗宝贼掉落!$B$64:$B$67,0))*INDEX(盗宝贼掉落!$G$64:$G$67,MATCH(AH$16,盗宝贼掉落!$B$64:$B$67,0))</f>
        <v>3968.0017560000006</v>
      </c>
      <c r="AI85" s="17">
        <f>$AG85*INDEX(盗宝贼掉落!$D$64:$D$67,MATCH(AI$16,盗宝贼掉落!$B$64:$B$67,0))*INDEX(盗宝贼掉落!$G$64:$G$67,MATCH(AI$16,盗宝贼掉落!$B$64:$B$67,0))</f>
        <v>1058.1338016000002</v>
      </c>
      <c r="AJ85" s="17">
        <f>$AG85*INDEX(盗宝贼掉落!$D$64:$D$67,MATCH(AJ$16,盗宝贼掉落!$B$64:$B$67,0))*INDEX(盗宝贼掉落!$G$64:$G$67,MATCH(AJ$16,盗宝贼掉落!$B$64:$B$67,0))</f>
        <v>264.53345039999999</v>
      </c>
      <c r="AK85" s="17">
        <f>$AG85*INDEX(盗宝贼掉落!$D$64:$D$67,MATCH(AK$16,盗宝贼掉落!$B$64:$B$67,0))*INDEX(盗宝贼掉落!$G$64:$G$67,MATCH(AK$16,盗宝贼掉落!$B$64:$B$67,0))</f>
        <v>0</v>
      </c>
      <c r="AL85" s="17">
        <f t="shared" si="76"/>
        <v>36304.630122630908</v>
      </c>
      <c r="AM85" s="17">
        <f t="shared" si="65"/>
        <v>9854.0236376647154</v>
      </c>
      <c r="AN85" s="17">
        <f t="shared" si="66"/>
        <v>1758.5592380150977</v>
      </c>
      <c r="AO85" s="17">
        <f t="shared" si="67"/>
        <v>498.00859587169913</v>
      </c>
      <c r="AP85" s="84">
        <f>IFERROR(MAX(MIN(求节点(宝物升星!D$67:D$72,宝物升星!$C$67:$C$72,AL85/基础状态预期!C$8),宝物升星!D$14),AP84),AP84)</f>
        <v>0</v>
      </c>
      <c r="AQ85" s="84">
        <f>IFERROR(MAX(MIN(求节点(宝物升星!E$67:E$72,宝物升星!$C$67:$C$72,AM85/基础状态预期!D$8),宝物升星!E$14),AQ84),AQ84)</f>
        <v>3</v>
      </c>
      <c r="AR85" s="84">
        <f>IFERROR(MAX(MIN(求节点(宝物升星!F$67:F$72,宝物升星!$C$67:$C$72,AN85/基础状态预期!E$8),宝物升星!F$14),AR84),AR84)</f>
        <v>5</v>
      </c>
      <c r="AS85" s="54">
        <f>IFERROR(MAX(MIN(求节点(宝物升星!G$67:G$72,宝物升星!$C$67:$C$72,AO85/MAX(基础状态预期!L85,基础状态预期!L84)),宝物升星!G$14),AS84),AS84)</f>
        <v>5</v>
      </c>
      <c r="AV85" s="38">
        <f t="shared" si="68"/>
        <v>0.68587476885112209</v>
      </c>
      <c r="AW85" s="38">
        <f t="shared" si="77"/>
        <v>0.10929740208333651</v>
      </c>
      <c r="AX85" s="38">
        <f t="shared" si="78"/>
        <v>0.20482782906554153</v>
      </c>
      <c r="AY85" s="38">
        <f t="shared" si="69"/>
        <v>0.84231006233869277</v>
      </c>
      <c r="AZ85" s="38">
        <f t="shared" si="79"/>
        <v>0.10738088729110914</v>
      </c>
      <c r="BA85" s="38">
        <f t="shared" si="80"/>
        <v>5.0309050370198102E-2</v>
      </c>
      <c r="BB85" s="38">
        <f t="shared" si="70"/>
        <v>0.84957376204251078</v>
      </c>
      <c r="BC85" s="38">
        <f t="shared" si="81"/>
        <v>0.15042623795748922</v>
      </c>
      <c r="BD85" s="38">
        <f t="shared" si="82"/>
        <v>0</v>
      </c>
      <c r="BE85" s="38">
        <f t="shared" si="71"/>
        <v>1</v>
      </c>
      <c r="BF85" s="38">
        <f t="shared" si="83"/>
        <v>0</v>
      </c>
      <c r="BG85" s="38">
        <f t="shared" si="84"/>
        <v>0</v>
      </c>
      <c r="BJ85" s="16">
        <v>3802.6683494999993</v>
      </c>
      <c r="BK85" s="16">
        <v>1653.334065</v>
      </c>
      <c r="BL85" s="16">
        <v>110.22227099999998</v>
      </c>
      <c r="BM85" s="16">
        <v>38.577794849999997</v>
      </c>
      <c r="BN85" s="16">
        <v>15340.753964237396</v>
      </c>
      <c r="BO85" s="16">
        <v>3516.3763171002115</v>
      </c>
      <c r="BP85" s="16">
        <v>356.33549350148667</v>
      </c>
      <c r="BQ85" s="16">
        <v>120.61553568382888</v>
      </c>
      <c r="BR85" s="16">
        <v>0</v>
      </c>
      <c r="BS85" s="16">
        <v>3</v>
      </c>
      <c r="BT85" s="16">
        <v>5</v>
      </c>
      <c r="BU85" s="16">
        <v>5</v>
      </c>
      <c r="BX85" s="37" t="str">
        <f t="shared" si="86"/>
        <v/>
      </c>
    </row>
    <row r="86" spans="14:76">
      <c r="N86" s="16">
        <v>20</v>
      </c>
      <c r="O86" s="17">
        <v>145</v>
      </c>
      <c r="P86" s="17">
        <f>求节点(节奏总纲!$O$4:$O$163,节奏总纲!R$4:R$163,O86)</f>
        <v>15650.9803664995</v>
      </c>
      <c r="Q86" s="17">
        <f>INDEX(其他调用!$E$4:$E$163,$O86)*$P$10</f>
        <v>30804711.722074971</v>
      </c>
      <c r="R86" s="50">
        <v>1</v>
      </c>
      <c r="S86" s="17">
        <f t="shared" si="58"/>
        <v>0.375</v>
      </c>
      <c r="T86" s="17">
        <f t="shared" si="59"/>
        <v>0.125</v>
      </c>
      <c r="U86" s="17">
        <f t="shared" si="60"/>
        <v>2.2500000000000003E-2</v>
      </c>
      <c r="V86" s="17">
        <f t="shared" si="61"/>
        <v>7.4999999999999997E-3</v>
      </c>
      <c r="W86" s="17">
        <f t="shared" si="72"/>
        <v>8892333.503720209</v>
      </c>
      <c r="X86" s="17">
        <f t="shared" si="85"/>
        <v>35005.354229630648</v>
      </c>
      <c r="Y86" s="17">
        <f t="shared" si="73"/>
        <v>11668.451409876881</v>
      </c>
      <c r="Z86" s="17">
        <f t="shared" si="74"/>
        <v>2100.321253777839</v>
      </c>
      <c r="AA86" s="17">
        <f t="shared" si="75"/>
        <v>700.10708459261298</v>
      </c>
      <c r="AB86" s="17">
        <f>求节点(盗宝贼掉落!$CV$5:$CV$164,盗宝贼掉落!$DE$5:$DE$164,$O86)</f>
        <v>14071.461748517337</v>
      </c>
      <c r="AC86" s="17">
        <f>$AB86*INDEX(盗宝贼掉落!$D$64:$D$67,MATCH(AC$16,盗宝贼掉落!$B$64:$B$67,0))*INDEX(盗宝贼掉落!$F$64:$F$67,MATCH(AC$16,盗宝贼掉落!$B$64:$B$67,0))</f>
        <v>10553.596311388003</v>
      </c>
      <c r="AD86" s="17">
        <f>$AB86*INDEX(盗宝贼掉落!$D$64:$D$67,MATCH(AD$16,盗宝贼掉落!$B$64:$B$67,0))*INDEX(盗宝贼掉落!$F$64:$F$67,MATCH(AD$16,盗宝贼掉落!$B$64:$B$67,0))</f>
        <v>703.5730874258669</v>
      </c>
      <c r="AE86" s="17">
        <f>$AB86*INDEX(盗宝贼掉落!$D$64:$D$67,MATCH(AE$16,盗宝贼掉落!$B$64:$B$67,0))*INDEX(盗宝贼掉落!$F$64:$F$67,MATCH(AE$16,盗宝贼掉落!$B$64:$B$67,0))</f>
        <v>0</v>
      </c>
      <c r="AF86" s="17">
        <f>$AB86*INDEX(盗宝贼掉落!$D$64:$D$67,MATCH(AF$16,盗宝贼掉落!$B$64:$B$67,0))*INDEX(盗宝贼掉落!$F$64:$F$67,MATCH(AF$16,盗宝贼掉落!$B$64:$B$67,0))</f>
        <v>0</v>
      </c>
      <c r="AG86" s="17">
        <f>求节点(匈奴铁骑掉落!$J$7:$J$166,匈奴铁骑掉落!M$7:M$166,O86)</f>
        <v>18763.176439799401</v>
      </c>
      <c r="AH86" s="17">
        <f>$AG86*INDEX(盗宝贼掉落!$D$64:$D$67,MATCH(AH$16,盗宝贼掉落!$B$64:$B$67,0))*INDEX(盗宝贼掉落!$G$64:$G$67,MATCH(AH$16,盗宝贼掉落!$B$64:$B$67,0))</f>
        <v>5628.9529319398216</v>
      </c>
      <c r="AI86" s="17">
        <f>$AG86*INDEX(盗宝贼掉落!$D$64:$D$67,MATCH(AI$16,盗宝贼掉落!$B$64:$B$67,0))*INDEX(盗宝贼掉落!$G$64:$G$67,MATCH(AI$16,盗宝贼掉落!$B$64:$B$67,0))</f>
        <v>1501.0541151839523</v>
      </c>
      <c r="AJ86" s="17">
        <f>$AG86*INDEX(盗宝贼掉落!$D$64:$D$67,MATCH(AJ$16,盗宝贼掉落!$B$64:$B$67,0))*INDEX(盗宝贼掉落!$G$64:$G$67,MATCH(AJ$16,盗宝贼掉落!$B$64:$B$67,0))</f>
        <v>375.26352879598801</v>
      </c>
      <c r="AK86" s="17">
        <f>$AG86*INDEX(盗宝贼掉落!$D$64:$D$67,MATCH(AK$16,盗宝贼掉落!$B$64:$B$67,0))*INDEX(盗宝贼掉落!$G$64:$G$67,MATCH(AK$16,盗宝贼掉落!$B$64:$B$67,0))</f>
        <v>0</v>
      </c>
      <c r="AL86" s="17">
        <f t="shared" si="76"/>
        <v>51187.903472958475</v>
      </c>
      <c r="AM86" s="17">
        <f t="shared" si="65"/>
        <v>13873.078612486699</v>
      </c>
      <c r="AN86" s="17">
        <f t="shared" si="66"/>
        <v>2475.5847825738269</v>
      </c>
      <c r="AO86" s="17">
        <f t="shared" si="67"/>
        <v>700.10708459261298</v>
      </c>
      <c r="AP86" s="84">
        <f>IFERROR(MAX(MIN(求节点(宝物升星!D$67:D$72,宝物升星!$C$67:$C$72,AL86/基础状态预期!C$8),宝物升星!D$14),AP85),AP85)</f>
        <v>0</v>
      </c>
      <c r="AQ86" s="84">
        <f>IFERROR(MAX(MIN(求节点(宝物升星!E$67:E$72,宝物升星!$C$67:$C$72,AM86/基础状态预期!D$8),宝物升星!E$14),AQ85),AQ85)</f>
        <v>3</v>
      </c>
      <c r="AR86" s="84">
        <f>IFERROR(MAX(MIN(求节点(宝物升星!F$67:F$72,宝物升星!$C$67:$C$72,AN86/基础状态预期!E$8),宝物升星!F$14),AR85),AR85)</f>
        <v>5</v>
      </c>
      <c r="AS86" s="54">
        <f>IFERROR(MAX(MIN(求节点(宝物升星!G$67:G$72,宝物升星!$C$67:$C$72,AO86/MAX(基础状态预期!L86,基础状态预期!L85)),宝物升星!G$14),AS85),AS85)</f>
        <v>5</v>
      </c>
      <c r="AV86" s="38">
        <f t="shared" si="68"/>
        <v>0.68385989373687206</v>
      </c>
      <c r="AW86" s="38">
        <f t="shared" si="77"/>
        <v>0.10996646766190536</v>
      </c>
      <c r="AX86" s="38">
        <f t="shared" si="78"/>
        <v>0.20617363860122251</v>
      </c>
      <c r="AY86" s="38">
        <f t="shared" si="69"/>
        <v>0.84108594320041508</v>
      </c>
      <c r="AZ86" s="38">
        <f t="shared" si="79"/>
        <v>0.10819906360459193</v>
      </c>
      <c r="BA86" s="38">
        <f t="shared" si="80"/>
        <v>5.0714993194993077E-2</v>
      </c>
      <c r="BB86" s="38">
        <f t="shared" si="70"/>
        <v>0.84841418826066939</v>
      </c>
      <c r="BC86" s="38">
        <f t="shared" si="81"/>
        <v>0.15158581173933069</v>
      </c>
      <c r="BD86" s="38">
        <f t="shared" si="82"/>
        <v>0</v>
      </c>
      <c r="BE86" s="38">
        <f t="shared" si="71"/>
        <v>1</v>
      </c>
      <c r="BF86" s="38">
        <f t="shared" si="83"/>
        <v>0</v>
      </c>
      <c r="BG86" s="38">
        <f t="shared" si="84"/>
        <v>0</v>
      </c>
      <c r="BJ86" s="16">
        <v>5394.413226442327</v>
      </c>
      <c r="BK86" s="16">
        <v>2345.3970549749251</v>
      </c>
      <c r="BL86" s="16">
        <v>156.35980366499501</v>
      </c>
      <c r="BM86" s="16">
        <v>54.725931282748256</v>
      </c>
      <c r="BN86" s="16">
        <v>20358.303055542721</v>
      </c>
      <c r="BO86" s="16">
        <v>4519.0679816382562</v>
      </c>
      <c r="BP86" s="16">
        <v>420.97741472773862</v>
      </c>
      <c r="BQ86" s="16">
        <v>142.93180163699611</v>
      </c>
      <c r="BR86" s="16">
        <v>0</v>
      </c>
      <c r="BS86" s="16">
        <v>3</v>
      </c>
      <c r="BT86" s="16">
        <v>5</v>
      </c>
      <c r="BU86" s="16">
        <v>5</v>
      </c>
      <c r="BX86" s="37" t="str">
        <f t="shared" si="86"/>
        <v/>
      </c>
    </row>
    <row r="87" spans="14:76">
      <c r="N87" s="16">
        <v>21</v>
      </c>
      <c r="O87" s="17">
        <v>150</v>
      </c>
      <c r="P87" s="17">
        <f>求节点(节奏总纲!$O$4:$O$163,节奏总纲!R$4:R$163,O87)</f>
        <v>21996.487099999998</v>
      </c>
      <c r="Q87" s="17">
        <f>INDEX(其他调用!$E$4:$E$163,$O87)*$P$10</f>
        <v>43021997.385201767</v>
      </c>
      <c r="R87" s="50">
        <v>1</v>
      </c>
      <c r="S87" s="17">
        <f t="shared" si="58"/>
        <v>0.375</v>
      </c>
      <c r="T87" s="17">
        <f t="shared" si="59"/>
        <v>0.125</v>
      </c>
      <c r="U87" s="17">
        <f t="shared" si="60"/>
        <v>2.2500000000000003E-2</v>
      </c>
      <c r="V87" s="17">
        <f t="shared" si="61"/>
        <v>7.4999999999999997E-3</v>
      </c>
      <c r="W87" s="17">
        <f t="shared" si="72"/>
        <v>12217285.663126796</v>
      </c>
      <c r="X87" s="17">
        <f t="shared" si="85"/>
        <v>48888.633392274736</v>
      </c>
      <c r="Y87" s="17">
        <f t="shared" si="73"/>
        <v>16296.211130758244</v>
      </c>
      <c r="Z87" s="17">
        <f t="shared" si="74"/>
        <v>2933.3180035364844</v>
      </c>
      <c r="AA87" s="17">
        <f t="shared" si="75"/>
        <v>977.77266784549465</v>
      </c>
      <c r="AB87" s="17">
        <f>求节点(盗宝贼掉落!$CV$5:$CV$164,盗宝贼掉落!$DE$5:$DE$164,$O87)</f>
        <v>19788.128764727935</v>
      </c>
      <c r="AC87" s="17">
        <f>$AB87*INDEX(盗宝贼掉落!$D$64:$D$67,MATCH(AC$16,盗宝贼掉落!$B$64:$B$67,0))*INDEX(盗宝贼掉落!$F$64:$F$67,MATCH(AC$16,盗宝贼掉落!$B$64:$B$67,0))</f>
        <v>14841.09657354595</v>
      </c>
      <c r="AD87" s="17">
        <f>$AB87*INDEX(盗宝贼掉落!$D$64:$D$67,MATCH(AD$16,盗宝贼掉落!$B$64:$B$67,0))*INDEX(盗宝贼掉落!$F$64:$F$67,MATCH(AD$16,盗宝贼掉落!$B$64:$B$67,0))</f>
        <v>989.40643823639675</v>
      </c>
      <c r="AE87" s="17">
        <f>$AB87*INDEX(盗宝贼掉落!$D$64:$D$67,MATCH(AE$16,盗宝贼掉落!$B$64:$B$67,0))*INDEX(盗宝贼掉落!$F$64:$F$67,MATCH(AE$16,盗宝贼掉落!$B$64:$B$67,0))</f>
        <v>0</v>
      </c>
      <c r="AF87" s="17">
        <f>$AB87*INDEX(盗宝贼掉落!$D$64:$D$67,MATCH(AF$16,盗宝贼掉落!$B$64:$B$67,0))*INDEX(盗宝贼掉落!$F$64:$F$67,MATCH(AF$16,盗宝贼掉落!$B$64:$B$67,0))</f>
        <v>0</v>
      </c>
      <c r="AG87" s="17">
        <f>求节点(匈奴铁骑掉落!$J$7:$J$166,匈奴铁骑掉落!M$7:M$166,O87)</f>
        <v>26377.784520000001</v>
      </c>
      <c r="AH87" s="17">
        <f>$AG87*INDEX(盗宝贼掉落!$D$64:$D$67,MATCH(AH$16,盗宝贼掉落!$B$64:$B$67,0))*INDEX(盗宝贼掉落!$G$64:$G$67,MATCH(AH$16,盗宝贼掉落!$B$64:$B$67,0))</f>
        <v>7913.3353560000014</v>
      </c>
      <c r="AI87" s="17">
        <f>$AG87*INDEX(盗宝贼掉落!$D$64:$D$67,MATCH(AI$16,盗宝贼掉落!$B$64:$B$67,0))*INDEX(盗宝贼掉落!$G$64:$G$67,MATCH(AI$16,盗宝贼掉落!$B$64:$B$67,0))</f>
        <v>2110.2227616000005</v>
      </c>
      <c r="AJ87" s="17">
        <f>$AG87*INDEX(盗宝贼掉落!$D$64:$D$67,MATCH(AJ$16,盗宝贼掉落!$B$64:$B$67,0))*INDEX(盗宝贼掉落!$G$64:$G$67,MATCH(AJ$16,盗宝贼掉落!$B$64:$B$67,0))</f>
        <v>527.5556904</v>
      </c>
      <c r="AK87" s="17">
        <f>$AG87*INDEX(盗宝贼掉落!$D$64:$D$67,MATCH(AK$16,盗宝贼掉落!$B$64:$B$67,0))*INDEX(盗宝贼掉落!$G$64:$G$67,MATCH(AK$16,盗宝贼掉落!$B$64:$B$67,0))</f>
        <v>0</v>
      </c>
      <c r="AL87" s="17">
        <f t="shared" si="76"/>
        <v>71643.065321820686</v>
      </c>
      <c r="AM87" s="17">
        <f t="shared" si="65"/>
        <v>19395.840330594641</v>
      </c>
      <c r="AN87" s="17">
        <f t="shared" si="66"/>
        <v>3460.8736939364844</v>
      </c>
      <c r="AO87" s="17">
        <f t="shared" si="67"/>
        <v>977.77266784549465</v>
      </c>
      <c r="AP87" s="84">
        <f>IFERROR(MAX(MIN(求节点(宝物升星!D$67:D$72,宝物升星!$C$67:$C$72,AL87/基础状态预期!C$8),宝物升星!D$14),AP86),AP86)</f>
        <v>0</v>
      </c>
      <c r="AQ87" s="84">
        <f>IFERROR(MAX(MIN(求节点(宝物升星!E$67:E$72,宝物升星!$C$67:$C$72,AM87/基础状态预期!D$8),宝物升星!E$14),AQ86),AQ86)</f>
        <v>3</v>
      </c>
      <c r="AR87" s="84">
        <f>IFERROR(MAX(MIN(求节点(宝物升星!F$67:F$72,宝物升星!$C$67:$C$72,AN87/基础状态预期!E$8),宝物升星!F$14),AR86),AR86)</f>
        <v>5</v>
      </c>
      <c r="AS87" s="54">
        <f>IFERROR(MAX(MIN(求节点(宝物升星!G$67:G$72,宝物升星!$C$67:$C$72,AO87/MAX(基础状态预期!L87,基础状态预期!L86)),宝物升星!G$14),AS86),AS86)</f>
        <v>5</v>
      </c>
      <c r="AV87" s="38">
        <f t="shared" si="68"/>
        <v>0.68239170354683976</v>
      </c>
      <c r="AW87" s="38">
        <f t="shared" si="77"/>
        <v>0.11045500803815826</v>
      </c>
      <c r="AX87" s="38">
        <f t="shared" si="78"/>
        <v>0.20715328841500202</v>
      </c>
      <c r="AY87" s="38">
        <f t="shared" si="69"/>
        <v>0.84019103338631329</v>
      </c>
      <c r="AZ87" s="38">
        <f t="shared" si="79"/>
        <v>0.10879769711608596</v>
      </c>
      <c r="BA87" s="38">
        <f t="shared" si="80"/>
        <v>5.1011269497600743E-2</v>
      </c>
      <c r="BB87" s="38">
        <f t="shared" si="70"/>
        <v>0.8475657486939534</v>
      </c>
      <c r="BC87" s="38">
        <f t="shared" si="81"/>
        <v>0.15243425130604663</v>
      </c>
      <c r="BD87" s="38">
        <f t="shared" si="82"/>
        <v>0</v>
      </c>
      <c r="BE87" s="38">
        <f t="shared" si="71"/>
        <v>1</v>
      </c>
      <c r="BF87" s="38">
        <f t="shared" si="83"/>
        <v>0</v>
      </c>
      <c r="BG87" s="38">
        <f t="shared" si="84"/>
        <v>0</v>
      </c>
      <c r="BJ87" s="16">
        <v>7583.6130494999989</v>
      </c>
      <c r="BK87" s="16">
        <v>3297.2230650000001</v>
      </c>
      <c r="BL87" s="16">
        <v>219.81487100000001</v>
      </c>
      <c r="BM87" s="16">
        <v>76.935204850000005</v>
      </c>
      <c r="BN87" s="16">
        <v>27143.409616779292</v>
      </c>
      <c r="BO87" s="16">
        <v>5859.52950114751</v>
      </c>
      <c r="BP87" s="16">
        <v>502.93687062400056</v>
      </c>
      <c r="BQ87" s="16">
        <v>171.30920472466684</v>
      </c>
      <c r="BR87" s="16">
        <v>0</v>
      </c>
      <c r="BS87" s="16">
        <v>3</v>
      </c>
      <c r="BT87" s="16">
        <v>5</v>
      </c>
      <c r="BU87" s="16">
        <v>5</v>
      </c>
      <c r="BX87" s="37" t="str">
        <f t="shared" si="86"/>
        <v/>
      </c>
    </row>
    <row r="88" spans="14:76">
      <c r="N88" s="16">
        <v>22</v>
      </c>
      <c r="O88" s="17">
        <v>155</v>
      </c>
      <c r="P88" s="17">
        <f>求节点(节奏总纲!$O$4:$O$163,节奏总纲!R$4:R$163,O88)</f>
        <v>44402.940101346627</v>
      </c>
      <c r="Q88" s="17">
        <f>INDEX(其他调用!$E$4:$E$163,$O88)*$P$10</f>
        <v>85854503.067628965</v>
      </c>
      <c r="R88" s="50">
        <v>1</v>
      </c>
      <c r="S88" s="17">
        <f t="shared" si="58"/>
        <v>0.375</v>
      </c>
      <c r="T88" s="17">
        <f t="shared" si="59"/>
        <v>0.125</v>
      </c>
      <c r="U88" s="17">
        <f t="shared" si="60"/>
        <v>2.2500000000000003E-2</v>
      </c>
      <c r="V88" s="17">
        <f t="shared" si="61"/>
        <v>7.4999999999999997E-3</v>
      </c>
      <c r="W88" s="17">
        <f t="shared" si="72"/>
        <v>42832505.682427198</v>
      </c>
      <c r="X88" s="17">
        <f t="shared" si="85"/>
        <v>97561.935304123821</v>
      </c>
      <c r="Y88" s="17">
        <f t="shared" si="73"/>
        <v>32520.645101374605</v>
      </c>
      <c r="Z88" s="17">
        <f t="shared" si="74"/>
        <v>5853.7161182474301</v>
      </c>
      <c r="AA88" s="17">
        <f t="shared" si="75"/>
        <v>1951.2387060824763</v>
      </c>
      <c r="AB88" s="17">
        <f>求节点(盗宝贼掉落!$CV$5:$CV$164,盗宝贼掉落!$DE$5:$DE$164,$O88)</f>
        <v>39974.102273641111</v>
      </c>
      <c r="AC88" s="17">
        <f>$AB88*INDEX(盗宝贼掉落!$D$64:$D$67,MATCH(AC$16,盗宝贼掉落!$B$64:$B$67,0))*INDEX(盗宝贼掉落!$F$64:$F$67,MATCH(AC$16,盗宝贼掉落!$B$64:$B$67,0))</f>
        <v>29980.576705230833</v>
      </c>
      <c r="AD88" s="17">
        <f>$AB88*INDEX(盗宝贼掉落!$D$64:$D$67,MATCH(AD$16,盗宝贼掉落!$B$64:$B$67,0))*INDEX(盗宝贼掉落!$F$64:$F$67,MATCH(AD$16,盗宝贼掉落!$B$64:$B$67,0))</f>
        <v>1998.7051136820555</v>
      </c>
      <c r="AE88" s="17">
        <f>$AB88*INDEX(盗宝贼掉落!$D$64:$D$67,MATCH(AE$16,盗宝贼掉落!$B$64:$B$67,0))*INDEX(盗宝贼掉落!$F$64:$F$67,MATCH(AE$16,盗宝贼掉落!$B$64:$B$67,0))</f>
        <v>0</v>
      </c>
      <c r="AF88" s="17">
        <f>$AB88*INDEX(盗宝贼掉落!$D$64:$D$67,MATCH(AF$16,盗宝贼掉落!$B$64:$B$67,0))*INDEX(盗宝贼掉落!$F$64:$F$67,MATCH(AF$16,盗宝贼掉落!$B$64:$B$67,0))</f>
        <v>0</v>
      </c>
      <c r="AG88" s="17">
        <f>求节点(匈奴铁骑掉落!$J$7:$J$166,匈奴铁骑掉落!M$7:M$166,O88)</f>
        <v>53265.528121615949</v>
      </c>
      <c r="AH88" s="17">
        <f>$AG88*INDEX(盗宝贼掉落!$D$64:$D$67,MATCH(AH$16,盗宝贼掉落!$B$64:$B$67,0))*INDEX(盗宝贼掉落!$G$64:$G$67,MATCH(AH$16,盗宝贼掉落!$B$64:$B$67,0))</f>
        <v>15979.658436484788</v>
      </c>
      <c r="AI88" s="17">
        <f>$AG88*INDEX(盗宝贼掉落!$D$64:$D$67,MATCH(AI$16,盗宝贼掉落!$B$64:$B$67,0))*INDEX(盗宝贼掉落!$G$64:$G$67,MATCH(AI$16,盗宝贼掉落!$B$64:$B$67,0))</f>
        <v>4261.2422497292764</v>
      </c>
      <c r="AJ88" s="17">
        <f>$AG88*INDEX(盗宝贼掉落!$D$64:$D$67,MATCH(AJ$16,盗宝贼掉落!$B$64:$B$67,0))*INDEX(盗宝贼掉落!$G$64:$G$67,MATCH(AJ$16,盗宝贼掉落!$B$64:$B$67,0))</f>
        <v>1065.3105624323189</v>
      </c>
      <c r="AK88" s="17">
        <f>$AG88*INDEX(盗宝贼掉落!$D$64:$D$67,MATCH(AK$16,盗宝贼掉落!$B$64:$B$67,0))*INDEX(盗宝贼掉落!$G$64:$G$67,MATCH(AK$16,盗宝贼掉落!$B$64:$B$67,0))</f>
        <v>0</v>
      </c>
      <c r="AL88" s="17">
        <f t="shared" si="76"/>
        <v>143522.17044583944</v>
      </c>
      <c r="AM88" s="17">
        <f t="shared" si="65"/>
        <v>38780.592464785943</v>
      </c>
      <c r="AN88" s="17">
        <f t="shared" si="66"/>
        <v>6919.026680679749</v>
      </c>
      <c r="AO88" s="17">
        <f t="shared" si="67"/>
        <v>1951.2387060824763</v>
      </c>
      <c r="AP88" s="84">
        <f>IFERROR(MAX(MIN(求节点(宝物升星!D$67:D$72,宝物升星!$C$67:$C$72,AL88/基础状态预期!C$8),宝物升星!D$14),AP87),AP87)</f>
        <v>0</v>
      </c>
      <c r="AQ88" s="84">
        <f>IFERROR(MAX(MIN(求节点(宝物升星!E$67:E$72,宝物升星!$C$67:$C$72,AM88/基础状态预期!D$8),宝物升星!E$14),AQ87),AQ87)</f>
        <v>3</v>
      </c>
      <c r="AR88" s="84">
        <f>IFERROR(MAX(MIN(求节点(宝物升星!F$67:F$72,宝物升星!$C$67:$C$72,AN88/基础状态预期!E$8),宝物升星!F$14),AR87),AR87)</f>
        <v>5</v>
      </c>
      <c r="AS88" s="54">
        <f>IFERROR(MAX(MIN(求节点(宝物升星!G$67:G$72,宝物升星!$C$67:$C$72,AO88/MAX(基础状态预期!L88,基础状态预期!L87)),宝物升星!G$14),AS87),AS87)</f>
        <v>5</v>
      </c>
      <c r="AV88" s="38">
        <f t="shared" si="68"/>
        <v>0.67976909073389813</v>
      </c>
      <c r="AW88" s="38">
        <f t="shared" si="77"/>
        <v>0.11133930309753075</v>
      </c>
      <c r="AX88" s="38">
        <f t="shared" si="78"/>
        <v>0.20889160616857114</v>
      </c>
      <c r="AY88" s="38">
        <f t="shared" si="69"/>
        <v>0.83858040928344313</v>
      </c>
      <c r="AZ88" s="38">
        <f t="shared" si="79"/>
        <v>0.10988079291461637</v>
      </c>
      <c r="BA88" s="38">
        <f t="shared" si="80"/>
        <v>5.1538797801940379E-2</v>
      </c>
      <c r="BB88" s="38">
        <f t="shared" si="70"/>
        <v>0.84603173082031546</v>
      </c>
      <c r="BC88" s="38">
        <f t="shared" si="81"/>
        <v>0.15396826917968454</v>
      </c>
      <c r="BD88" s="38">
        <f t="shared" si="82"/>
        <v>0</v>
      </c>
      <c r="BE88" s="38">
        <f t="shared" si="71"/>
        <v>1</v>
      </c>
      <c r="BF88" s="38">
        <f t="shared" si="83"/>
        <v>0</v>
      </c>
      <c r="BG88" s="38">
        <f t="shared" si="84"/>
        <v>0</v>
      </c>
      <c r="BJ88" s="16">
        <v>15313.839334964583</v>
      </c>
      <c r="BK88" s="16">
        <v>6658.1910152019937</v>
      </c>
      <c r="BL88" s="16">
        <v>443.87940101346624</v>
      </c>
      <c r="BM88" s="16">
        <v>155.35779035471319</v>
      </c>
      <c r="BN88" s="16">
        <v>50321.522509949711</v>
      </c>
      <c r="BO88" s="16">
        <v>10332.598285468812</v>
      </c>
      <c r="BP88" s="16">
        <v>745.50578919872373</v>
      </c>
      <c r="BQ88" s="16">
        <v>255.89991974979901</v>
      </c>
      <c r="BR88" s="16">
        <v>0</v>
      </c>
      <c r="BS88" s="16">
        <v>3</v>
      </c>
      <c r="BT88" s="16">
        <v>5</v>
      </c>
      <c r="BU88" s="16">
        <v>5</v>
      </c>
      <c r="BX88" s="37" t="str">
        <f t="shared" si="86"/>
        <v/>
      </c>
    </row>
    <row r="89" spans="14:76">
      <c r="N89" s="16">
        <v>23</v>
      </c>
      <c r="O89" s="17">
        <v>160</v>
      </c>
      <c r="P89" s="17">
        <f>求节点(节奏总纲!$O$4:$O$163,节奏总纲!R$4:R$163,O89)</f>
        <v>66190.350000000006</v>
      </c>
      <c r="Q89" s="17">
        <f>INDEX(其他调用!$E$4:$E$163,$O89)*$P$10</f>
        <v>127238917.26610886</v>
      </c>
      <c r="R89" s="50">
        <v>1</v>
      </c>
      <c r="S89" s="17">
        <f t="shared" si="58"/>
        <v>0.375</v>
      </c>
      <c r="T89" s="17">
        <f t="shared" si="59"/>
        <v>0.125</v>
      </c>
      <c r="U89" s="17">
        <f t="shared" si="60"/>
        <v>2.2500000000000003E-2</v>
      </c>
      <c r="V89" s="17">
        <f t="shared" si="61"/>
        <v>7.4999999999999997E-3</v>
      </c>
      <c r="W89" s="17">
        <f t="shared" si="72"/>
        <v>41384414.198479891</v>
      </c>
      <c r="X89" s="17">
        <f t="shared" si="85"/>
        <v>144589.67871148733</v>
      </c>
      <c r="Y89" s="17">
        <f t="shared" si="73"/>
        <v>48196.559570495774</v>
      </c>
      <c r="Z89" s="17">
        <f t="shared" si="74"/>
        <v>8675.3807226892422</v>
      </c>
      <c r="AA89" s="17">
        <f t="shared" si="75"/>
        <v>2891.7935742297464</v>
      </c>
      <c r="AB89" s="17">
        <f>求节点(盗宝贼掉落!$CV$5:$CV$164,盗宝贼掉落!$DE$5:$DE$164,$O89)</f>
        <v>59602.379851337944</v>
      </c>
      <c r="AC89" s="17">
        <f>$AB89*INDEX(盗宝贼掉落!$D$64:$D$67,MATCH(AC$16,盗宝贼掉落!$B$64:$B$67,0))*INDEX(盗宝贼掉落!$F$64:$F$67,MATCH(AC$16,盗宝贼掉落!$B$64:$B$67,0))</f>
        <v>44701.784888503462</v>
      </c>
      <c r="AD89" s="17">
        <f>$AB89*INDEX(盗宝贼掉落!$D$64:$D$67,MATCH(AD$16,盗宝贼掉落!$B$64:$B$67,0))*INDEX(盗宝贼掉落!$F$64:$F$67,MATCH(AD$16,盗宝贼掉落!$B$64:$B$67,0))</f>
        <v>2980.1189925668973</v>
      </c>
      <c r="AE89" s="17">
        <f>$AB89*INDEX(盗宝贼掉落!$D$64:$D$67,MATCH(AE$16,盗宝贼掉落!$B$64:$B$67,0))*INDEX(盗宝贼掉落!$F$64:$F$67,MATCH(AE$16,盗宝贼掉落!$B$64:$B$67,0))</f>
        <v>0</v>
      </c>
      <c r="AF89" s="17">
        <f>$AB89*INDEX(盗宝贼掉落!$D$64:$D$67,MATCH(AF$16,盗宝贼掉落!$B$64:$B$67,0))*INDEX(盗宝贼掉落!$F$64:$F$67,MATCH(AF$16,盗宝贼掉落!$B$64:$B$67,0))</f>
        <v>0</v>
      </c>
      <c r="AG89" s="17">
        <f>求节点(匈奴铁骑掉落!$J$7:$J$166,匈奴铁骑掉落!M$7:M$166,O89)</f>
        <v>79410.420000000013</v>
      </c>
      <c r="AH89" s="17">
        <f>$AG89*INDEX(盗宝贼掉落!$D$64:$D$67,MATCH(AH$16,盗宝贼掉落!$B$64:$B$67,0))*INDEX(盗宝贼掉落!$G$64:$G$67,MATCH(AH$16,盗宝贼掉落!$B$64:$B$67,0))</f>
        <v>23823.126000000007</v>
      </c>
      <c r="AI89" s="17">
        <f>$AG89*INDEX(盗宝贼掉落!$D$64:$D$67,MATCH(AI$16,盗宝贼掉落!$B$64:$B$67,0))*INDEX(盗宝贼掉落!$G$64:$G$67,MATCH(AI$16,盗宝贼掉落!$B$64:$B$67,0))</f>
        <v>6352.8336000000018</v>
      </c>
      <c r="AJ89" s="17">
        <f>$AG89*INDEX(盗宝贼掉落!$D$64:$D$67,MATCH(AJ$16,盗宝贼掉落!$B$64:$B$67,0))*INDEX(盗宝贼掉落!$G$64:$G$67,MATCH(AJ$16,盗宝贼掉落!$B$64:$B$67,0))</f>
        <v>1588.2084000000002</v>
      </c>
      <c r="AK89" s="17">
        <f>$AG89*INDEX(盗宝贼掉落!$D$64:$D$67,MATCH(AK$16,盗宝贼掉落!$B$64:$B$67,0))*INDEX(盗宝贼掉落!$G$64:$G$67,MATCH(AK$16,盗宝贼掉落!$B$64:$B$67,0))</f>
        <v>0</v>
      </c>
      <c r="AL89" s="17">
        <f t="shared" si="76"/>
        <v>213114.58959999081</v>
      </c>
      <c r="AM89" s="17">
        <f t="shared" si="65"/>
        <v>57529.512163062667</v>
      </c>
      <c r="AN89" s="17">
        <f t="shared" si="66"/>
        <v>10263.589122689242</v>
      </c>
      <c r="AO89" s="17">
        <f t="shared" si="67"/>
        <v>2891.7935742297464</v>
      </c>
      <c r="AP89" s="84">
        <f>IFERROR(MAX(MIN(求节点(宝物升星!D$67:D$72,宝物升星!$C$67:$C$72,AL89/基础状态预期!C$8),宝物升星!D$14),AP88),AP88)</f>
        <v>0</v>
      </c>
      <c r="AQ89" s="84">
        <f>IFERROR(MAX(MIN(求节点(宝物升星!E$67:E$72,宝物升星!$C$67:$C$72,AM89/基础状态预期!D$8),宝物升星!E$14),AQ88),AQ88)</f>
        <v>3</v>
      </c>
      <c r="AR89" s="84">
        <f>IFERROR(MAX(MIN(求节点(宝物升星!F$67:F$72,宝物升星!$C$67:$C$72,AN89/基础状态预期!E$8),宝物升星!F$14),AR88),AR88)</f>
        <v>5</v>
      </c>
      <c r="AS89" s="54">
        <f>IFERROR(MAX(MIN(求节点(宝物升星!G$67:G$72,宝物升星!$C$67:$C$72,AO89/MAX(基础状态预期!L89,基础状态预期!L88)),宝物升星!G$14),AS88),AS88)</f>
        <v>5</v>
      </c>
      <c r="AV89" s="38">
        <f t="shared" si="68"/>
        <v>0.67845978533369056</v>
      </c>
      <c r="AW89" s="38">
        <f t="shared" si="77"/>
        <v>0.11178552366928629</v>
      </c>
      <c r="AX89" s="38">
        <f t="shared" si="78"/>
        <v>0.2097546909970231</v>
      </c>
      <c r="AY89" s="38">
        <f t="shared" si="69"/>
        <v>0.83777104582230066</v>
      </c>
      <c r="AZ89" s="38">
        <f t="shared" si="79"/>
        <v>0.11042738520002425</v>
      </c>
      <c r="BA89" s="38">
        <f t="shared" si="80"/>
        <v>5.1801568977675239E-2</v>
      </c>
      <c r="BB89" s="38">
        <f t="shared" si="70"/>
        <v>0.8452579910385325</v>
      </c>
      <c r="BC89" s="38">
        <f t="shared" si="81"/>
        <v>0.15474200896146761</v>
      </c>
      <c r="BD89" s="38">
        <f t="shared" si="82"/>
        <v>0</v>
      </c>
      <c r="BE89" s="38">
        <f t="shared" si="71"/>
        <v>1</v>
      </c>
      <c r="BF89" s="38">
        <f t="shared" si="83"/>
        <v>0</v>
      </c>
      <c r="BG89" s="38">
        <f t="shared" si="84"/>
        <v>0</v>
      </c>
      <c r="BJ89" s="16">
        <v>22830.495750000002</v>
      </c>
      <c r="BK89" s="16">
        <v>9926.3025000000016</v>
      </c>
      <c r="BL89" s="16">
        <v>661.75350000000014</v>
      </c>
      <c r="BM89" s="16">
        <v>231.61372500000004</v>
      </c>
      <c r="BN89" s="16">
        <v>72867.793584278697</v>
      </c>
      <c r="BO89" s="16">
        <v>14684.925807825311</v>
      </c>
      <c r="BP89" s="16">
        <v>981.8842767465145</v>
      </c>
      <c r="BQ89" s="16">
        <v>338.32398391550487</v>
      </c>
      <c r="BR89" s="16">
        <v>0</v>
      </c>
      <c r="BS89" s="16">
        <v>3</v>
      </c>
      <c r="BT89" s="16">
        <v>5</v>
      </c>
      <c r="BU89" s="16">
        <v>5</v>
      </c>
      <c r="BX89" s="37" t="str">
        <f t="shared" si="86"/>
        <v/>
      </c>
    </row>
    <row r="90" spans="14:76">
      <c r="N90" s="16">
        <v>24</v>
      </c>
      <c r="BX90" s="37" t="str">
        <f t="shared" si="86"/>
        <v/>
      </c>
    </row>
    <row r="91" spans="14:76">
      <c r="N91" s="16">
        <v>25</v>
      </c>
      <c r="BX91" s="37" t="str">
        <f t="shared" si="86"/>
        <v/>
      </c>
    </row>
    <row r="92" spans="14:76">
      <c r="N92" s="16">
        <v>26</v>
      </c>
      <c r="BX92" s="37" t="str">
        <f t="shared" si="86"/>
        <v/>
      </c>
    </row>
    <row r="93" spans="14:76" ht="11.25" customHeight="1">
      <c r="N93" s="16">
        <v>1</v>
      </c>
      <c r="O93" s="17" t="s">
        <v>220</v>
      </c>
      <c r="P93" s="186" t="s">
        <v>158</v>
      </c>
      <c r="Q93" s="175" t="s">
        <v>359</v>
      </c>
      <c r="R93" s="175" t="s">
        <v>360</v>
      </c>
      <c r="S93" s="196" t="s">
        <v>363</v>
      </c>
      <c r="T93" s="197"/>
      <c r="U93" s="197"/>
      <c r="V93" s="198"/>
      <c r="W93" s="175" t="s">
        <v>361</v>
      </c>
      <c r="X93" s="183" t="s">
        <v>362</v>
      </c>
      <c r="Y93" s="194"/>
      <c r="Z93" s="194"/>
      <c r="AA93" s="195"/>
      <c r="AB93" s="192" t="s">
        <v>493</v>
      </c>
      <c r="AC93" s="189" t="s">
        <v>340</v>
      </c>
      <c r="AD93" s="190"/>
      <c r="AE93" s="190"/>
      <c r="AF93" s="191"/>
      <c r="AG93" s="192" t="s">
        <v>494</v>
      </c>
      <c r="AH93" s="189" t="s">
        <v>497</v>
      </c>
      <c r="AI93" s="190"/>
      <c r="AJ93" s="190"/>
      <c r="AK93" s="191"/>
      <c r="AL93" s="171" t="s">
        <v>339</v>
      </c>
      <c r="AM93" s="173"/>
      <c r="AN93" s="173"/>
      <c r="AO93" s="172"/>
      <c r="AP93" s="189" t="s">
        <v>245</v>
      </c>
      <c r="AQ93" s="190"/>
      <c r="AR93" s="190"/>
      <c r="AS93" s="191"/>
      <c r="AV93" s="188" t="s">
        <v>1</v>
      </c>
      <c r="AW93" s="188"/>
      <c r="AX93" s="188"/>
      <c r="AY93" s="188" t="s">
        <v>2</v>
      </c>
      <c r="AZ93" s="188"/>
      <c r="BA93" s="188"/>
      <c r="BB93" s="188" t="s">
        <v>0</v>
      </c>
      <c r="BC93" s="188"/>
      <c r="BD93" s="188"/>
      <c r="BE93" s="188" t="s">
        <v>205</v>
      </c>
      <c r="BF93" s="188"/>
      <c r="BG93" s="188"/>
      <c r="BJ93" s="16" t="s">
        <v>552</v>
      </c>
      <c r="BN93" s="16" t="s">
        <v>498</v>
      </c>
      <c r="BR93" s="16" t="s">
        <v>553</v>
      </c>
      <c r="BX93" s="37" t="str">
        <f t="shared" si="86"/>
        <v/>
      </c>
    </row>
    <row r="94" spans="14:76">
      <c r="N94" s="16">
        <v>2</v>
      </c>
      <c r="O94" s="17" t="s">
        <v>161</v>
      </c>
      <c r="P94" s="187"/>
      <c r="Q94" s="177"/>
      <c r="R94" s="177"/>
      <c r="S94" s="54" t="s">
        <v>1</v>
      </c>
      <c r="T94" s="54" t="s">
        <v>2</v>
      </c>
      <c r="U94" s="54" t="s">
        <v>0</v>
      </c>
      <c r="V94" s="54" t="s">
        <v>205</v>
      </c>
      <c r="W94" s="177"/>
      <c r="X94" s="54" t="s">
        <v>1</v>
      </c>
      <c r="Y94" s="54" t="s">
        <v>2</v>
      </c>
      <c r="Z94" s="54" t="s">
        <v>0</v>
      </c>
      <c r="AA94" s="54" t="s">
        <v>205</v>
      </c>
      <c r="AB94" s="193"/>
      <c r="AC94" s="54" t="s">
        <v>1</v>
      </c>
      <c r="AD94" s="54" t="s">
        <v>2</v>
      </c>
      <c r="AE94" s="54" t="s">
        <v>0</v>
      </c>
      <c r="AF94" s="54" t="s">
        <v>205</v>
      </c>
      <c r="AG94" s="193"/>
      <c r="AH94" s="54" t="s">
        <v>1</v>
      </c>
      <c r="AI94" s="54" t="s">
        <v>2</v>
      </c>
      <c r="AJ94" s="54" t="s">
        <v>0</v>
      </c>
      <c r="AK94" s="54" t="s">
        <v>205</v>
      </c>
      <c r="AL94" s="17" t="s">
        <v>1</v>
      </c>
      <c r="AM94" s="17" t="s">
        <v>2</v>
      </c>
      <c r="AN94" s="17" t="s">
        <v>0</v>
      </c>
      <c r="AO94" s="17" t="s">
        <v>205</v>
      </c>
      <c r="AP94" s="54" t="s">
        <v>1</v>
      </c>
      <c r="AQ94" s="54" t="s">
        <v>2</v>
      </c>
      <c r="AR94" s="54" t="s">
        <v>0</v>
      </c>
      <c r="AS94" s="54" t="s">
        <v>205</v>
      </c>
      <c r="AV94" s="38" t="s">
        <v>428</v>
      </c>
      <c r="AW94" s="38" t="s">
        <v>556</v>
      </c>
      <c r="AX94" s="38" t="s">
        <v>429</v>
      </c>
      <c r="AY94" s="38" t="s">
        <v>428</v>
      </c>
      <c r="AZ94" s="38" t="s">
        <v>556</v>
      </c>
      <c r="BA94" s="38" t="s">
        <v>429</v>
      </c>
      <c r="BB94" s="38" t="s">
        <v>428</v>
      </c>
      <c r="BC94" s="38" t="s">
        <v>556</v>
      </c>
      <c r="BD94" s="38" t="s">
        <v>429</v>
      </c>
      <c r="BE94" s="38" t="s">
        <v>428</v>
      </c>
      <c r="BF94" s="38" t="s">
        <v>556</v>
      </c>
      <c r="BG94" s="38" t="s">
        <v>429</v>
      </c>
      <c r="BJ94" s="16" t="s">
        <v>79</v>
      </c>
      <c r="BK94" s="16" t="s">
        <v>80</v>
      </c>
      <c r="BL94" s="16" t="s">
        <v>81</v>
      </c>
      <c r="BM94" s="16" t="s">
        <v>205</v>
      </c>
      <c r="BN94" s="16" t="s">
        <v>79</v>
      </c>
      <c r="BO94" s="16" t="s">
        <v>80</v>
      </c>
      <c r="BP94" s="16" t="s">
        <v>81</v>
      </c>
      <c r="BQ94" s="16" t="s">
        <v>205</v>
      </c>
      <c r="BR94" s="16" t="s">
        <v>79</v>
      </c>
      <c r="BS94" s="16" t="s">
        <v>80</v>
      </c>
      <c r="BT94" s="16" t="s">
        <v>81</v>
      </c>
      <c r="BU94" s="16" t="s">
        <v>205</v>
      </c>
      <c r="BX94" s="37" t="str">
        <f t="shared" si="86"/>
        <v/>
      </c>
    </row>
    <row r="95" spans="14:76">
      <c r="N95" s="16">
        <v>3</v>
      </c>
      <c r="O95" s="17">
        <v>50</v>
      </c>
      <c r="P95" s="17">
        <f>求节点(节奏总纲!$O$4:$O$163,节奏总纲!S$4:S$163,O95)</f>
        <v>16.386599999999998</v>
      </c>
      <c r="Q95" s="17">
        <f>INDEX(其他调用!$F$4:$F$163,$O95)*$P$10</f>
        <v>132695.14482121472</v>
      </c>
      <c r="R95" s="50">
        <v>1</v>
      </c>
      <c r="S95" s="17">
        <f t="shared" ref="S95:S115" si="87">E$15*E$16+E$20</f>
        <v>0.375</v>
      </c>
      <c r="T95" s="17">
        <f t="shared" ref="T95:T115" si="88">F$15*F$16+F$20</f>
        <v>0.125</v>
      </c>
      <c r="U95" s="17">
        <f t="shared" ref="U95:U115" si="89">G$15*G$16+G$20</f>
        <v>2.2500000000000003E-2</v>
      </c>
      <c r="V95" s="17">
        <f t="shared" ref="V95:V115" si="90">H$15*H$16+H$20</f>
        <v>7.4999999999999997E-3</v>
      </c>
      <c r="W95" s="51">
        <f>Q95</f>
        <v>132695.14482121472</v>
      </c>
      <c r="X95" s="51">
        <f>$W95/$E$25*S95*$R95</f>
        <v>150.78993729683492</v>
      </c>
      <c r="Y95" s="51">
        <f t="shared" ref="Y95" si="91">$W95/$E$25*T95*$R95</f>
        <v>50.263312432278305</v>
      </c>
      <c r="Z95" s="51">
        <f t="shared" ref="Z95" si="92">$W95/$E$25*U95*$R95</f>
        <v>9.0473962378100961</v>
      </c>
      <c r="AA95" s="51">
        <f t="shared" ref="AA95" si="93">$W95/$E$25*V95*$R95</f>
        <v>3.0157987459366984</v>
      </c>
      <c r="AB95" s="17">
        <f>求节点(盗宝贼掉落!$CV$5:$CV$164,盗宝贼掉落!$DF$5:$DF$164,$O95)</f>
        <v>0</v>
      </c>
      <c r="AC95" s="17">
        <f>$AB95*INDEX(盗宝贼掉落!$D$64:$D$67,MATCH(AC$16,盗宝贼掉落!$B$64:$B$67,0))*INDEX(盗宝贼掉落!$F$64:$F$67,MATCH(AC$16,盗宝贼掉落!$B$64:$B$67,0))</f>
        <v>0</v>
      </c>
      <c r="AD95" s="17">
        <f>$AB95*INDEX(盗宝贼掉落!$D$64:$D$67,MATCH(AD$16,盗宝贼掉落!$B$64:$B$67,0))*INDEX(盗宝贼掉落!$F$64:$F$67,MATCH(AD$16,盗宝贼掉落!$B$64:$B$67,0))</f>
        <v>0</v>
      </c>
      <c r="AE95" s="17">
        <f>$AB95*INDEX(盗宝贼掉落!$D$64:$D$67,MATCH(AE$16,盗宝贼掉落!$B$64:$B$67,0))*INDEX(盗宝贼掉落!$F$64:$F$67,MATCH(AE$16,盗宝贼掉落!$B$64:$B$67,0))</f>
        <v>0</v>
      </c>
      <c r="AF95" s="17">
        <f>$AB95*INDEX(盗宝贼掉落!$D$64:$D$67,MATCH(AF$16,盗宝贼掉落!$B$64:$B$67,0))*INDEX(盗宝贼掉落!$F$64:$F$67,MATCH(AF$16,盗宝贼掉落!$B$64:$B$67,0))</f>
        <v>0</v>
      </c>
      <c r="AG95" s="17">
        <f>求节点(匈奴铁骑掉落!$J$7:$J$166,匈奴铁骑掉落!N$7:N$166,O95)</f>
        <v>6.4639199999999981</v>
      </c>
      <c r="AH95" s="17">
        <f>$AG95*INDEX(盗宝贼掉落!$D$64:$D$67,MATCH(AH$16,盗宝贼掉落!$B$64:$B$67,0))*INDEX(盗宝贼掉落!$G$64:$G$67,MATCH(AH$16,盗宝贼掉落!$B$64:$B$67,0))</f>
        <v>1.9391759999999998</v>
      </c>
      <c r="AI95" s="17">
        <f>$AG95*INDEX(盗宝贼掉落!$D$64:$D$67,MATCH(AI$16,盗宝贼掉落!$B$64:$B$67,0))*INDEX(盗宝贼掉落!$G$64:$G$67,MATCH(AI$16,盗宝贼掉落!$B$64:$B$67,0))</f>
        <v>0.51711359999999995</v>
      </c>
      <c r="AJ95" s="17">
        <f>$AG95*INDEX(盗宝贼掉落!$D$64:$D$67,MATCH(AJ$16,盗宝贼掉落!$B$64:$B$67,0))*INDEX(盗宝贼掉落!$G$64:$G$67,MATCH(AJ$16,盗宝贼掉落!$B$64:$B$67,0))</f>
        <v>0.12927839999999996</v>
      </c>
      <c r="AK95" s="17">
        <f>$AG95*INDEX(盗宝贼掉落!$D$64:$D$67,MATCH(AK$16,盗宝贼掉落!$B$64:$B$67,0))*INDEX(盗宝贼掉落!$G$64:$G$67,MATCH(AK$16,盗宝贼掉落!$B$64:$B$67,0))</f>
        <v>0</v>
      </c>
      <c r="AL95" s="17">
        <f>X95+AC95+AH95</f>
        <v>152.72911329683492</v>
      </c>
      <c r="AM95" s="17">
        <f t="shared" ref="AM95:AM115" si="94">Y95+AD95+AI95</f>
        <v>50.780426032278307</v>
      </c>
      <c r="AN95" s="17">
        <f t="shared" ref="AN95:AN115" si="95">Z95+AE95+AJ95</f>
        <v>9.1766746378100965</v>
      </c>
      <c r="AO95" s="17">
        <f t="shared" ref="AO95:AO115" si="96">AA95+AF95+AK95</f>
        <v>3.0157987459366984</v>
      </c>
      <c r="AP95" s="85">
        <f>IFERROR(IF(基础状态预期!I95=0,0,MIN(求节点(宝物升星!D$67:D$72,宝物升星!$C$67:$C$72,AL95/基础状态预期!C$8),宝物升星!D$14)),0)</f>
        <v>0</v>
      </c>
      <c r="AQ95" s="85">
        <f>IFERROR(IF(基础状态预期!J95=0,0,MIN(求节点(宝物升星!E$67:E$72,宝物升星!$C$67:$C$72,AM95/基础状态预期!D$8),宝物升星!E$14)),0)</f>
        <v>0</v>
      </c>
      <c r="AR95" s="78">
        <f>IFERROR(MIN(求节点(宝物升星!F$67:F$72,宝物升星!$C$67:$C$72,AN95/基础状态预期!K95),宝物升星!F$14),0)</f>
        <v>0</v>
      </c>
      <c r="AS95" s="78">
        <f>IFERROR(MIN(求节点(宝物升星!G$67:G$72,宝物升星!$C$67:$C$72,AO95/基础状态预期!L95),宝物升星!G$14),0)</f>
        <v>0</v>
      </c>
      <c r="AV95" s="38">
        <f t="shared" ref="AV95:AV115" si="97">X95/AL95</f>
        <v>0.98730316729966772</v>
      </c>
      <c r="AW95" s="38">
        <f>AH95/AL95</f>
        <v>1.2696832700332231E-2</v>
      </c>
      <c r="AX95" s="38">
        <f>AC95/AL95</f>
        <v>0</v>
      </c>
      <c r="AY95" s="38">
        <f t="shared" ref="AY95:AY115" si="98">Y95/AM95</f>
        <v>0.98981667464405865</v>
      </c>
      <c r="AZ95" s="38">
        <f>AI95/AM95</f>
        <v>1.0183325355941273E-2</v>
      </c>
      <c r="BA95" s="38">
        <f>AD95/AM95</f>
        <v>0</v>
      </c>
      <c r="BB95" s="38">
        <f t="shared" ref="BB95:BB115" si="99">Z95/AN95</f>
        <v>0.98591228248767337</v>
      </c>
      <c r="BC95" s="38">
        <f>AJ95/AN95</f>
        <v>1.4087717512326525E-2</v>
      </c>
      <c r="BD95" s="38">
        <f>AE95/AN95</f>
        <v>0</v>
      </c>
      <c r="BE95" s="38">
        <f t="shared" ref="BE95:BE115" si="100">AA95/AO95</f>
        <v>1</v>
      </c>
      <c r="BF95" s="38">
        <f>AK95/AO95</f>
        <v>0</v>
      </c>
      <c r="BG95" s="38">
        <f>AF95/AO95</f>
        <v>0</v>
      </c>
      <c r="BJ95" s="16">
        <v>1.8583769999999991</v>
      </c>
      <c r="BK95" s="16">
        <v>0.80798999999999976</v>
      </c>
      <c r="BL95" s="16">
        <v>5.3865999999999983E-2</v>
      </c>
      <c r="BM95" s="16">
        <v>1.8853099999999994E-2</v>
      </c>
      <c r="BN95" s="16">
        <v>152.638036449791</v>
      </c>
      <c r="BO95" s="16">
        <v>51.067876483263667</v>
      </c>
      <c r="BP95" s="16">
        <v>9.1006455669874615</v>
      </c>
      <c r="BQ95" s="16">
        <v>3.0344462889958201</v>
      </c>
      <c r="BR95" s="16">
        <v>0</v>
      </c>
      <c r="BS95" s="16">
        <v>0</v>
      </c>
      <c r="BT95" s="16">
        <v>0</v>
      </c>
      <c r="BU95" s="16">
        <v>0</v>
      </c>
      <c r="BX95" s="37" t="str">
        <f t="shared" si="86"/>
        <v/>
      </c>
    </row>
    <row r="96" spans="14:76">
      <c r="N96" s="16">
        <v>4</v>
      </c>
      <c r="O96" s="17">
        <v>60</v>
      </c>
      <c r="P96" s="17">
        <f>求节点(节奏总纲!$O$4:$O$163,节奏总纲!S$4:S$163,O96)</f>
        <v>32.810400000000001</v>
      </c>
      <c r="Q96" s="17">
        <f>INDEX(其他调用!$F$4:$F$163,$O96)*$P$10</f>
        <v>241685.59403821771</v>
      </c>
      <c r="R96" s="50">
        <v>1</v>
      </c>
      <c r="S96" s="17">
        <f t="shared" si="87"/>
        <v>0.375</v>
      </c>
      <c r="T96" s="17">
        <f t="shared" si="88"/>
        <v>0.125</v>
      </c>
      <c r="U96" s="17">
        <f t="shared" si="89"/>
        <v>2.2500000000000003E-2</v>
      </c>
      <c r="V96" s="17">
        <f t="shared" si="90"/>
        <v>7.4999999999999997E-3</v>
      </c>
      <c r="W96" s="17">
        <f t="shared" ref="W96:W115" si="101">Q96-Q95</f>
        <v>108990.44921700298</v>
      </c>
      <c r="X96" s="17">
        <f>$W96/$E$25*S96*$R96+X95</f>
        <v>274.64272049797466</v>
      </c>
      <c r="Y96" s="17">
        <f t="shared" ref="Y96:Y115" si="102">$W96/$E$25*T96*$R96+Y95</f>
        <v>91.547573499324898</v>
      </c>
      <c r="Z96" s="17">
        <f t="shared" ref="Z96:Z115" si="103">$W96/$E$25*U96*$R96+Z95</f>
        <v>16.478563229878482</v>
      </c>
      <c r="AA96" s="17">
        <f t="shared" ref="AA96:AA115" si="104">$W96/$E$25*V96*$R96+AA95</f>
        <v>5.4928544099594934</v>
      </c>
      <c r="AB96" s="17">
        <f>求节点(盗宝贼掉落!$CV$5:$CV$164,盗宝贼掉落!$DF$5:$DF$164,$O96)</f>
        <v>14.153365546547251</v>
      </c>
      <c r="AC96" s="17">
        <f>$AB96*INDEX(盗宝贼掉落!$D$64:$D$67,MATCH(AC$16,盗宝贼掉落!$B$64:$B$67,0))*INDEX(盗宝贼掉落!$F$64:$F$67,MATCH(AC$16,盗宝贼掉落!$B$64:$B$67,0))</f>
        <v>10.615024159910439</v>
      </c>
      <c r="AD96" s="17">
        <f>$AB96*INDEX(盗宝贼掉落!$D$64:$D$67,MATCH(AD$16,盗宝贼掉落!$B$64:$B$67,0))*INDEX(盗宝贼掉落!$F$64:$F$67,MATCH(AD$16,盗宝贼掉落!$B$64:$B$67,0))</f>
        <v>0.70766827732736259</v>
      </c>
      <c r="AE96" s="17">
        <f>$AB96*INDEX(盗宝贼掉落!$D$64:$D$67,MATCH(AE$16,盗宝贼掉落!$B$64:$B$67,0))*INDEX(盗宝贼掉落!$F$64:$F$67,MATCH(AE$16,盗宝贼掉落!$B$64:$B$67,0))</f>
        <v>0</v>
      </c>
      <c r="AF96" s="17">
        <f>$AB96*INDEX(盗宝贼掉落!$D$64:$D$67,MATCH(AF$16,盗宝贼掉落!$B$64:$B$67,0))*INDEX(盗宝贼掉落!$F$64:$F$67,MATCH(AF$16,盗宝贼掉落!$B$64:$B$67,0))</f>
        <v>0</v>
      </c>
      <c r="AG96" s="17">
        <f>求节点(匈奴铁骑掉落!$J$7:$J$166,匈奴铁骑掉落!N$7:N$166,O96)</f>
        <v>26.172480000000004</v>
      </c>
      <c r="AH96" s="17">
        <f>$AG96*INDEX(盗宝贼掉落!$D$64:$D$67,MATCH(AH$16,盗宝贼掉落!$B$64:$B$67,0))*INDEX(盗宝贼掉落!$G$64:$G$67,MATCH(AH$16,盗宝贼掉落!$B$64:$B$67,0))</f>
        <v>7.8517440000000027</v>
      </c>
      <c r="AI96" s="17">
        <f>$AG96*INDEX(盗宝贼掉落!$D$64:$D$67,MATCH(AI$16,盗宝贼掉落!$B$64:$B$67,0))*INDEX(盗宝贼掉落!$G$64:$G$67,MATCH(AI$16,盗宝贼掉落!$B$64:$B$67,0))</f>
        <v>2.0937984000000003</v>
      </c>
      <c r="AJ96" s="17">
        <f>$AG96*INDEX(盗宝贼掉落!$D$64:$D$67,MATCH(AJ$16,盗宝贼掉落!$B$64:$B$67,0))*INDEX(盗宝贼掉落!$G$64:$G$67,MATCH(AJ$16,盗宝贼掉落!$B$64:$B$67,0))</f>
        <v>0.52344960000000007</v>
      </c>
      <c r="AK96" s="17">
        <f>$AG96*INDEX(盗宝贼掉落!$D$64:$D$67,MATCH(AK$16,盗宝贼掉落!$B$64:$B$67,0))*INDEX(盗宝贼掉落!$G$64:$G$67,MATCH(AK$16,盗宝贼掉落!$B$64:$B$67,0))</f>
        <v>0</v>
      </c>
      <c r="AL96" s="17">
        <f t="shared" ref="AL96:AL115" si="105">X96+AC96+AH96</f>
        <v>293.10948865788509</v>
      </c>
      <c r="AM96" s="17">
        <f t="shared" si="94"/>
        <v>94.349040176652252</v>
      </c>
      <c r="AN96" s="17">
        <f t="shared" si="95"/>
        <v>17.002012829878481</v>
      </c>
      <c r="AO96" s="17">
        <f t="shared" si="96"/>
        <v>5.4928544099594934</v>
      </c>
      <c r="AP96" s="84">
        <f>IFERROR(MAX(MIN(求节点(宝物升星!D$67:D$72,宝物升星!$C$67:$C$72,AL96/基础状态预期!C$8),宝物升星!D$14),AP95),AP95)</f>
        <v>0</v>
      </c>
      <c r="AQ96" s="84">
        <f>IFERROR(MAX(MIN(求节点(宝物升星!E$67:E$72,宝物升星!$C$67:$C$72,AM96/基础状态预期!D$8),宝物升星!E$14),AQ95),AQ95)</f>
        <v>3</v>
      </c>
      <c r="AR96" s="84">
        <f>IFERROR(MAX(MIN(求节点(宝物升星!F$67:F$72,宝物升星!$C$67:$C$72,AN96/基础状态预期!E$8),宝物升星!F$14),AR95),AR95)</f>
        <v>1.1252516037348101</v>
      </c>
      <c r="AS96" s="54">
        <f>IFERROR(MAX(MIN(求节点(宝物升星!G$67:G$72,宝物升星!$C$67:$C$72,AO96/MAX(基础状态预期!L96,基础状态预期!L95)),宝物升星!G$14),AS95),AS95)</f>
        <v>1.4654700205772984</v>
      </c>
      <c r="AV96" s="38">
        <f t="shared" si="97"/>
        <v>0.93699703054831951</v>
      </c>
      <c r="AW96" s="38">
        <f t="shared" ref="AW96:AW115" si="106">AH96/AL96</f>
        <v>2.678775100714836E-2</v>
      </c>
      <c r="AX96" s="38">
        <f t="shared" ref="AX96:AX115" si="107">AC96/AL96</f>
        <v>3.6215218444532189E-2</v>
      </c>
      <c r="AY96" s="38">
        <f t="shared" si="98"/>
        <v>0.97030741730830439</v>
      </c>
      <c r="AZ96" s="38">
        <f t="shared" ref="AZ96:AZ115" si="108">AI96/AM96</f>
        <v>2.2192047699475533E-2</v>
      </c>
      <c r="BA96" s="38">
        <f t="shared" ref="BA96:BA115" si="109">AD96/AM96</f>
        <v>7.5005349922201243E-3</v>
      </c>
      <c r="BB96" s="38">
        <f t="shared" si="99"/>
        <v>0.96921249235383966</v>
      </c>
      <c r="BC96" s="38">
        <f t="shared" ref="BC96:BC115" si="110">AJ96/AN96</f>
        <v>3.0787507646160346E-2</v>
      </c>
      <c r="BD96" s="38">
        <f t="shared" ref="BD96:BD115" si="111">AE96/AN96</f>
        <v>0</v>
      </c>
      <c r="BE96" s="38">
        <f t="shared" si="100"/>
        <v>1</v>
      </c>
      <c r="BF96" s="38">
        <f t="shared" ref="BF96:BF115" si="112">AK96/AO96</f>
        <v>0</v>
      </c>
      <c r="BG96" s="38">
        <f t="shared" ref="BG96:BG115" si="113">AF96/AO96</f>
        <v>0</v>
      </c>
      <c r="BJ96" s="16">
        <v>7.5245879999999996</v>
      </c>
      <c r="BK96" s="16">
        <v>3.2715600000000005</v>
      </c>
      <c r="BL96" s="16">
        <v>0.21810400000000005</v>
      </c>
      <c r="BM96" s="16">
        <v>7.6336400000000013E-2</v>
      </c>
      <c r="BN96" s="16">
        <v>292.75318451229424</v>
      </c>
      <c r="BO96" s="16">
        <v>95.517085728121955</v>
      </c>
      <c r="BP96" s="16">
        <v>16.69491834114303</v>
      </c>
      <c r="BQ96" s="16">
        <v>5.5686078470476756</v>
      </c>
      <c r="BR96" s="16">
        <v>0</v>
      </c>
      <c r="BS96" s="16">
        <v>3</v>
      </c>
      <c r="BT96" s="16">
        <v>3.4259110123713041</v>
      </c>
      <c r="BU96" s="16">
        <v>1.4994719827916909</v>
      </c>
      <c r="BX96" s="37" t="str">
        <f t="shared" si="86"/>
        <v/>
      </c>
    </row>
    <row r="97" spans="14:76">
      <c r="N97" s="16">
        <v>5</v>
      </c>
      <c r="O97" s="17">
        <v>70</v>
      </c>
      <c r="P97" s="17">
        <f>求节点(节奏总纲!$O$4:$O$163,节奏总纲!S$4:S$163,O97)</f>
        <v>65.925700000000006</v>
      </c>
      <c r="Q97" s="17">
        <f>INDEX(其他调用!$F$4:$F$163,$O97)*$P$10</f>
        <v>472429.12018195319</v>
      </c>
      <c r="R97" s="50">
        <v>1</v>
      </c>
      <c r="S97" s="17">
        <f t="shared" si="87"/>
        <v>0.375</v>
      </c>
      <c r="T97" s="17">
        <f t="shared" si="88"/>
        <v>0.125</v>
      </c>
      <c r="U97" s="17">
        <f t="shared" si="89"/>
        <v>2.2500000000000003E-2</v>
      </c>
      <c r="V97" s="17">
        <f t="shared" si="90"/>
        <v>7.4999999999999997E-3</v>
      </c>
      <c r="W97" s="17">
        <f t="shared" si="101"/>
        <v>230743.52614373548</v>
      </c>
      <c r="X97" s="17">
        <f t="shared" ref="X97:X115" si="114">$W97/$E$25*S97*$R97+X96</f>
        <v>536.85127293403775</v>
      </c>
      <c r="Y97" s="17">
        <f t="shared" si="102"/>
        <v>178.9504243113459</v>
      </c>
      <c r="Z97" s="17">
        <f t="shared" si="103"/>
        <v>32.211076376042264</v>
      </c>
      <c r="AA97" s="17">
        <f t="shared" si="104"/>
        <v>10.737025458680755</v>
      </c>
      <c r="AB97" s="17">
        <f>求节点(盗宝贼掉落!$CV$5:$CV$164,盗宝贼掉落!$DF$5:$DF$164,$O97)</f>
        <v>47.921036956547262</v>
      </c>
      <c r="AC97" s="17">
        <f>$AB97*INDEX(盗宝贼掉落!$D$64:$D$67,MATCH(AC$16,盗宝贼掉落!$B$64:$B$67,0))*INDEX(盗宝贼掉落!$F$64:$F$67,MATCH(AC$16,盗宝贼掉落!$B$64:$B$67,0))</f>
        <v>35.940777717410448</v>
      </c>
      <c r="AD97" s="17">
        <f>$AB97*INDEX(盗宝贼掉落!$D$64:$D$67,MATCH(AD$16,盗宝贼掉落!$B$64:$B$67,0))*INDEX(盗宝贼掉落!$F$64:$F$67,MATCH(AD$16,盗宝贼掉落!$B$64:$B$67,0))</f>
        <v>2.3960518478273634</v>
      </c>
      <c r="AE97" s="17">
        <f>$AB97*INDEX(盗宝贼掉落!$D$64:$D$67,MATCH(AE$16,盗宝贼掉落!$B$64:$B$67,0))*INDEX(盗宝贼掉落!$F$64:$F$67,MATCH(AE$16,盗宝贼掉落!$B$64:$B$67,0))</f>
        <v>0</v>
      </c>
      <c r="AF97" s="17">
        <f>$AB97*INDEX(盗宝贼掉落!$D$64:$D$67,MATCH(AF$16,盗宝贼掉落!$B$64:$B$67,0))*INDEX(盗宝贼掉落!$F$64:$F$67,MATCH(AF$16,盗宝贼掉落!$B$64:$B$67,0))</f>
        <v>0</v>
      </c>
      <c r="AG97" s="17">
        <f>求节点(匈奴铁骑掉落!$J$7:$J$166,匈奴铁骑掉落!N$7:N$166,O97)</f>
        <v>65.910840000000007</v>
      </c>
      <c r="AH97" s="17">
        <f>$AG97*INDEX(盗宝贼掉落!$D$64:$D$67,MATCH(AH$16,盗宝贼掉落!$B$64:$B$67,0))*INDEX(盗宝贼掉落!$G$64:$G$67,MATCH(AH$16,盗宝贼掉落!$B$64:$B$67,0))</f>
        <v>19.773252000000006</v>
      </c>
      <c r="AI97" s="17">
        <f>$AG97*INDEX(盗宝贼掉落!$D$64:$D$67,MATCH(AI$16,盗宝贼掉落!$B$64:$B$67,0))*INDEX(盗宝贼掉落!$G$64:$G$67,MATCH(AI$16,盗宝贼掉落!$B$64:$B$67,0))</f>
        <v>5.2728672000000012</v>
      </c>
      <c r="AJ97" s="17">
        <f>$AG97*INDEX(盗宝贼掉落!$D$64:$D$67,MATCH(AJ$16,盗宝贼掉落!$B$64:$B$67,0))*INDEX(盗宝贼掉落!$G$64:$G$67,MATCH(AJ$16,盗宝贼掉落!$B$64:$B$67,0))</f>
        <v>1.3182168000000003</v>
      </c>
      <c r="AK97" s="17">
        <f>$AG97*INDEX(盗宝贼掉落!$D$64:$D$67,MATCH(AK$16,盗宝贼掉落!$B$64:$B$67,0))*INDEX(盗宝贼掉落!$G$64:$G$67,MATCH(AK$16,盗宝贼掉落!$B$64:$B$67,0))</f>
        <v>0</v>
      </c>
      <c r="AL97" s="17">
        <f t="shared" si="105"/>
        <v>592.56530265144818</v>
      </c>
      <c r="AM97" s="17">
        <f t="shared" si="94"/>
        <v>186.61934335917326</v>
      </c>
      <c r="AN97" s="17">
        <f t="shared" si="95"/>
        <v>33.529293176042266</v>
      </c>
      <c r="AO97" s="17">
        <f t="shared" si="96"/>
        <v>10.737025458680755</v>
      </c>
      <c r="AP97" s="84">
        <f>IFERROR(MAX(MIN(求节点(宝物升星!D$67:D$72,宝物升星!$C$67:$C$72,AL97/基础状态预期!C$8),宝物升星!D$14),AP96),AP96)</f>
        <v>0</v>
      </c>
      <c r="AQ97" s="84">
        <f>IFERROR(MAX(MIN(求节点(宝物升星!E$67:E$72,宝物升星!$C$67:$C$72,AM97/基础状态预期!D$8),宝物升星!E$14),AQ96),AQ96)</f>
        <v>3</v>
      </c>
      <c r="AR97" s="84">
        <f>IFERROR(MAX(MIN(求节点(宝物升星!F$67:F$72,宝物升星!$C$67:$C$72,AN97/基础状态预期!E$8),宝物升星!F$14),AR96),AR96)</f>
        <v>3.1911616470052833</v>
      </c>
      <c r="AS97" s="54">
        <f>IFERROR(MAX(MIN(求节点(宝物升星!G$67:G$72,宝物升星!$C$67:$C$72,AO97/MAX(基础状态预期!L97,基础状态预期!L96)),宝物升星!G$14),AS96),AS96)</f>
        <v>1.4654700205772984</v>
      </c>
      <c r="AV97" s="38">
        <f t="shared" si="97"/>
        <v>0.90597824498309876</v>
      </c>
      <c r="AW97" s="38">
        <f t="shared" si="106"/>
        <v>3.3368899447072074E-2</v>
      </c>
      <c r="AX97" s="38">
        <f t="shared" si="107"/>
        <v>6.0652855569829259E-2</v>
      </c>
      <c r="AY97" s="38">
        <f t="shared" si="98"/>
        <v>0.95890608706586478</v>
      </c>
      <c r="AZ97" s="38">
        <f t="shared" si="108"/>
        <v>2.8254665915588829E-2</v>
      </c>
      <c r="BA97" s="38">
        <f t="shared" si="109"/>
        <v>1.2839247018546459E-2</v>
      </c>
      <c r="BB97" s="38">
        <f t="shared" si="99"/>
        <v>0.96068462305248026</v>
      </c>
      <c r="BC97" s="38">
        <f t="shared" si="110"/>
        <v>3.9315376947519659E-2</v>
      </c>
      <c r="BD97" s="38">
        <f t="shared" si="111"/>
        <v>0</v>
      </c>
      <c r="BE97" s="38">
        <f t="shared" si="100"/>
        <v>1</v>
      </c>
      <c r="BF97" s="38">
        <f t="shared" si="112"/>
        <v>0</v>
      </c>
      <c r="BG97" s="38">
        <f t="shared" si="113"/>
        <v>0</v>
      </c>
      <c r="BJ97" s="16">
        <v>18.9493665</v>
      </c>
      <c r="BK97" s="16">
        <v>8.2388550000000009</v>
      </c>
      <c r="BL97" s="16">
        <v>0.54925700000000011</v>
      </c>
      <c r="BM97" s="16">
        <v>0.19223995000000005</v>
      </c>
      <c r="BN97" s="16">
        <v>591.6576651852638</v>
      </c>
      <c r="BO97" s="16">
        <v>189.5574138371118</v>
      </c>
      <c r="BP97" s="16">
        <v>32.755308258071196</v>
      </c>
      <c r="BQ97" s="16">
        <v>10.927590369357064</v>
      </c>
      <c r="BR97" s="16">
        <v>0</v>
      </c>
      <c r="BS97" s="16">
        <v>3</v>
      </c>
      <c r="BT97" s="16">
        <v>5</v>
      </c>
      <c r="BU97" s="16">
        <v>1.4994719827916909</v>
      </c>
      <c r="BX97" s="37" t="str">
        <f t="shared" si="86"/>
        <v/>
      </c>
    </row>
    <row r="98" spans="14:76">
      <c r="N98" s="16">
        <v>6</v>
      </c>
      <c r="O98" s="17">
        <v>75</v>
      </c>
      <c r="P98" s="17">
        <f>求节点(节奏总纲!$O$4:$O$163,节奏总纲!S$4:S$163,O98)</f>
        <v>93.214012172388934</v>
      </c>
      <c r="Q98" s="17">
        <f>INDEX(其他调用!$F$4:$F$163,$O98)*$P$10</f>
        <v>661207.03549184185</v>
      </c>
      <c r="R98" s="50">
        <v>1</v>
      </c>
      <c r="S98" s="17">
        <f t="shared" si="87"/>
        <v>0.375</v>
      </c>
      <c r="T98" s="17">
        <f t="shared" si="88"/>
        <v>0.125</v>
      </c>
      <c r="U98" s="17">
        <f t="shared" si="89"/>
        <v>2.2500000000000003E-2</v>
      </c>
      <c r="V98" s="17">
        <f t="shared" si="90"/>
        <v>7.4999999999999997E-3</v>
      </c>
      <c r="W98" s="17">
        <f t="shared" si="101"/>
        <v>188777.91530988866</v>
      </c>
      <c r="X98" s="17">
        <f t="shared" si="114"/>
        <v>751.37163124072936</v>
      </c>
      <c r="Y98" s="17">
        <f t="shared" si="102"/>
        <v>250.45721041357643</v>
      </c>
      <c r="Z98" s="17">
        <f t="shared" si="103"/>
        <v>45.082297874443768</v>
      </c>
      <c r="AA98" s="17">
        <f t="shared" si="104"/>
        <v>15.027432624814587</v>
      </c>
      <c r="AB98" s="17">
        <f>求节点(盗宝贼掉落!$CV$5:$CV$164,盗宝贼掉落!$DF$5:$DF$164,$O98)</f>
        <v>75.746928878732263</v>
      </c>
      <c r="AC98" s="17">
        <f>$AB98*INDEX(盗宝贼掉落!$D$64:$D$67,MATCH(AC$16,盗宝贼掉落!$B$64:$B$67,0))*INDEX(盗宝贼掉落!$F$64:$F$67,MATCH(AC$16,盗宝贼掉落!$B$64:$B$67,0))</f>
        <v>56.810196659049197</v>
      </c>
      <c r="AD98" s="17">
        <f>$AB98*INDEX(盗宝贼掉落!$D$64:$D$67,MATCH(AD$16,盗宝贼掉落!$B$64:$B$67,0))*INDEX(盗宝贼掉落!$F$64:$F$67,MATCH(AD$16,盗宝贼掉落!$B$64:$B$67,0))</f>
        <v>3.7873464439366131</v>
      </c>
      <c r="AE98" s="17">
        <f>$AB98*INDEX(盗宝贼掉落!$D$64:$D$67,MATCH(AE$16,盗宝贼掉落!$B$64:$B$67,0))*INDEX(盗宝贼掉落!$F$64:$F$67,MATCH(AE$16,盗宝贼掉落!$B$64:$B$67,0))</f>
        <v>0</v>
      </c>
      <c r="AF98" s="17">
        <f>$AB98*INDEX(盗宝贼掉落!$D$64:$D$67,MATCH(AF$16,盗宝贼掉落!$B$64:$B$67,0))*INDEX(盗宝贼掉落!$F$64:$F$67,MATCH(AF$16,盗宝贼掉落!$B$64:$B$67,0))</f>
        <v>0</v>
      </c>
      <c r="AG98" s="17">
        <f>求节点(匈奴铁骑掉落!$J$7:$J$166,匈奴铁骑掉落!N$7:N$166,O98)</f>
        <v>98.656814606866718</v>
      </c>
      <c r="AH98" s="17">
        <f>$AG98*INDEX(盗宝贼掉落!$D$64:$D$67,MATCH(AH$16,盗宝贼掉落!$B$64:$B$67,0))*INDEX(盗宝贼掉落!$G$64:$G$67,MATCH(AH$16,盗宝贼掉落!$B$64:$B$67,0))</f>
        <v>29.59704438206002</v>
      </c>
      <c r="AI98" s="17">
        <f>$AG98*INDEX(盗宝贼掉落!$D$64:$D$67,MATCH(AI$16,盗宝贼掉落!$B$64:$B$67,0))*INDEX(盗宝贼掉落!$G$64:$G$67,MATCH(AI$16,盗宝贼掉落!$B$64:$B$67,0))</f>
        <v>7.8925451685493391</v>
      </c>
      <c r="AJ98" s="17">
        <f>$AG98*INDEX(盗宝贼掉落!$D$64:$D$67,MATCH(AJ$16,盗宝贼掉落!$B$64:$B$67,0))*INDEX(盗宝贼掉落!$G$64:$G$67,MATCH(AJ$16,盗宝贼掉落!$B$64:$B$67,0))</f>
        <v>1.9731362921373341</v>
      </c>
      <c r="AK98" s="17">
        <f>$AG98*INDEX(盗宝贼掉落!$D$64:$D$67,MATCH(AK$16,盗宝贼掉落!$B$64:$B$67,0))*INDEX(盗宝贼掉落!$G$64:$G$67,MATCH(AK$16,盗宝贼掉落!$B$64:$B$67,0))</f>
        <v>0</v>
      </c>
      <c r="AL98" s="17">
        <f t="shared" si="105"/>
        <v>837.77887228183863</v>
      </c>
      <c r="AM98" s="17">
        <f t="shared" si="94"/>
        <v>262.13710202606239</v>
      </c>
      <c r="AN98" s="17">
        <f t="shared" si="95"/>
        <v>47.055434166581101</v>
      </c>
      <c r="AO98" s="17">
        <f t="shared" si="96"/>
        <v>15.027432624814587</v>
      </c>
      <c r="AP98" s="84">
        <f>IFERROR(MAX(MIN(求节点(宝物升星!D$67:D$72,宝物升星!$C$67:$C$72,AL98/基础状态预期!C$8),宝物升星!D$14),AP97),AP97)</f>
        <v>0</v>
      </c>
      <c r="AQ98" s="84">
        <f>IFERROR(MAX(MIN(求节点(宝物升星!E$67:E$72,宝物升星!$C$67:$C$72,AM98/基础状态预期!D$8),宝物升星!E$14),AQ97),AQ97)</f>
        <v>3</v>
      </c>
      <c r="AR98" s="84">
        <f>IFERROR(MAX(MIN(求节点(宝物升星!F$67:F$72,宝物升星!$C$67:$C$72,AN98/基础状态预期!E$8),宝物升星!F$14),AR97),AR97)</f>
        <v>4.8819292708226376</v>
      </c>
      <c r="AS98" s="54">
        <f>IFERROR(MAX(MIN(求节点(宝物升星!G$67:G$72,宝物升星!$C$67:$C$72,AO98/MAX(基础状态预期!L98,基础状态预期!L97)),宝物升星!G$14),AS97),AS97)</f>
        <v>1.6886518530918333</v>
      </c>
      <c r="AV98" s="38">
        <f t="shared" si="97"/>
        <v>0.89686151811663151</v>
      </c>
      <c r="AW98" s="38">
        <f t="shared" si="106"/>
        <v>3.5327990907012545E-2</v>
      </c>
      <c r="AX98" s="38">
        <f t="shared" si="107"/>
        <v>6.7810490976355844E-2</v>
      </c>
      <c r="AY98" s="38">
        <f t="shared" si="98"/>
        <v>0.95544357695949234</v>
      </c>
      <c r="AZ98" s="38">
        <f t="shared" si="108"/>
        <v>3.0108462737810537E-2</v>
      </c>
      <c r="BA98" s="38">
        <f t="shared" si="109"/>
        <v>1.4447960302697115E-2</v>
      </c>
      <c r="BB98" s="38">
        <f t="shared" si="99"/>
        <v>0.95806783367140491</v>
      </c>
      <c r="BC98" s="38">
        <f t="shared" si="110"/>
        <v>4.1932166328595068E-2</v>
      </c>
      <c r="BD98" s="38">
        <f t="shared" si="111"/>
        <v>0</v>
      </c>
      <c r="BE98" s="38">
        <f t="shared" si="100"/>
        <v>1</v>
      </c>
      <c r="BF98" s="38">
        <f t="shared" si="112"/>
        <v>0</v>
      </c>
      <c r="BG98" s="38">
        <f t="shared" si="113"/>
        <v>0</v>
      </c>
      <c r="BJ98" s="16">
        <v>28.36383419947418</v>
      </c>
      <c r="BK98" s="16">
        <v>12.33210182585834</v>
      </c>
      <c r="BL98" s="16">
        <v>0.82214012172388928</v>
      </c>
      <c r="BM98" s="16">
        <v>0.28774904260336126</v>
      </c>
      <c r="BN98" s="16">
        <v>836.41795336604969</v>
      </c>
      <c r="BO98" s="16">
        <v>266.53408910563701</v>
      </c>
      <c r="BP98" s="16">
        <v>45.89677547217547</v>
      </c>
      <c r="BQ98" s="16">
        <v>15.312627492753885</v>
      </c>
      <c r="BR98" s="16">
        <v>0</v>
      </c>
      <c r="BS98" s="16">
        <v>3</v>
      </c>
      <c r="BT98" s="16">
        <v>5</v>
      </c>
      <c r="BU98" s="16">
        <v>1.7396778486375455</v>
      </c>
      <c r="BX98" s="37" t="str">
        <f t="shared" si="86"/>
        <v/>
      </c>
    </row>
    <row r="99" spans="14:76">
      <c r="N99" s="16">
        <v>7</v>
      </c>
      <c r="O99" s="17">
        <v>80</v>
      </c>
      <c r="P99" s="17">
        <f>求节点(节奏总纲!$O$4:$O$163,节奏总纲!S$4:S$163,O99)</f>
        <v>131.58000000000001</v>
      </c>
      <c r="Q99" s="17">
        <f>INDEX(其他调用!$F$4:$F$163,$O99)*$P$10</f>
        <v>912256.4054211257</v>
      </c>
      <c r="R99" s="50">
        <v>1</v>
      </c>
      <c r="S99" s="17">
        <f t="shared" si="87"/>
        <v>0.375</v>
      </c>
      <c r="T99" s="17">
        <f t="shared" si="88"/>
        <v>0.125</v>
      </c>
      <c r="U99" s="17">
        <f t="shared" si="89"/>
        <v>2.2500000000000003E-2</v>
      </c>
      <c r="V99" s="17">
        <f t="shared" si="90"/>
        <v>7.4999999999999997E-3</v>
      </c>
      <c r="W99" s="17">
        <f t="shared" si="101"/>
        <v>251049.36992928386</v>
      </c>
      <c r="X99" s="17">
        <f t="shared" si="114"/>
        <v>1036.65500616037</v>
      </c>
      <c r="Y99" s="17">
        <f t="shared" si="102"/>
        <v>345.55166872012336</v>
      </c>
      <c r="Z99" s="17">
        <f t="shared" si="103"/>
        <v>62.199300369622215</v>
      </c>
      <c r="AA99" s="17">
        <f t="shared" si="104"/>
        <v>20.7331001232074</v>
      </c>
      <c r="AB99" s="17">
        <f>求节点(盗宝贼掉落!$CV$5:$CV$164,盗宝贼掉落!$DF$5:$DF$164,$O99)</f>
        <v>114.86872666654727</v>
      </c>
      <c r="AC99" s="17">
        <f>$AB99*INDEX(盗宝贼掉落!$D$64:$D$67,MATCH(AC$16,盗宝贼掉落!$B$64:$B$67,0))*INDEX(盗宝贼掉落!$F$64:$F$67,MATCH(AC$16,盗宝贼掉落!$B$64:$B$67,0))</f>
        <v>86.151544999910456</v>
      </c>
      <c r="AD99" s="17">
        <f>$AB99*INDEX(盗宝贼掉落!$D$64:$D$67,MATCH(AD$16,盗宝贼掉落!$B$64:$B$67,0))*INDEX(盗宝贼掉落!$F$64:$F$67,MATCH(AD$16,盗宝贼掉落!$B$64:$B$67,0))</f>
        <v>5.7434363333273639</v>
      </c>
      <c r="AE99" s="17">
        <f>$AB99*INDEX(盗宝贼掉落!$D$64:$D$67,MATCH(AE$16,盗宝贼掉落!$B$64:$B$67,0))*INDEX(盗宝贼掉落!$F$64:$F$67,MATCH(AE$16,盗宝贼掉落!$B$64:$B$67,0))</f>
        <v>0</v>
      </c>
      <c r="AF99" s="17">
        <f>$AB99*INDEX(盗宝贼掉落!$D$64:$D$67,MATCH(AF$16,盗宝贼掉落!$B$64:$B$67,0))*INDEX(盗宝贼掉落!$F$64:$F$67,MATCH(AF$16,盗宝贼掉落!$B$64:$B$67,0))</f>
        <v>0</v>
      </c>
      <c r="AG99" s="17">
        <f>求节点(匈奴铁骑掉落!$J$7:$J$166,匈奴铁骑掉落!N$7:N$166,O99)</f>
        <v>144.696</v>
      </c>
      <c r="AH99" s="17">
        <f>$AG99*INDEX(盗宝贼掉落!$D$64:$D$67,MATCH(AH$16,盗宝贼掉落!$B$64:$B$67,0))*INDEX(盗宝贼掉落!$G$64:$G$67,MATCH(AH$16,盗宝贼掉落!$B$64:$B$67,0))</f>
        <v>43.408800000000006</v>
      </c>
      <c r="AI99" s="17">
        <f>$AG99*INDEX(盗宝贼掉落!$D$64:$D$67,MATCH(AI$16,盗宝贼掉落!$B$64:$B$67,0))*INDEX(盗宝贼掉落!$G$64:$G$67,MATCH(AI$16,盗宝贼掉落!$B$64:$B$67,0))</f>
        <v>11.57568</v>
      </c>
      <c r="AJ99" s="17">
        <f>$AG99*INDEX(盗宝贼掉落!$D$64:$D$67,MATCH(AJ$16,盗宝贼掉落!$B$64:$B$67,0))*INDEX(盗宝贼掉落!$G$64:$G$67,MATCH(AJ$16,盗宝贼掉落!$B$64:$B$67,0))</f>
        <v>2.89392</v>
      </c>
      <c r="AK99" s="17">
        <f>$AG99*INDEX(盗宝贼掉落!$D$64:$D$67,MATCH(AK$16,盗宝贼掉落!$B$64:$B$67,0))*INDEX(盗宝贼掉落!$G$64:$G$67,MATCH(AK$16,盗宝贼掉落!$B$64:$B$67,0))</f>
        <v>0</v>
      </c>
      <c r="AL99" s="17">
        <f t="shared" si="105"/>
        <v>1166.2153511602803</v>
      </c>
      <c r="AM99" s="17">
        <f t="shared" si="94"/>
        <v>362.87078505345067</v>
      </c>
      <c r="AN99" s="17">
        <f t="shared" si="95"/>
        <v>65.093220369622216</v>
      </c>
      <c r="AO99" s="17">
        <f t="shared" si="96"/>
        <v>20.7331001232074</v>
      </c>
      <c r="AP99" s="84">
        <f>IFERROR(MAX(MIN(求节点(宝物升星!D$67:D$72,宝物升星!$C$67:$C$72,AL99/基础状态预期!C$8),宝物升星!D$14),AP98),AP98)</f>
        <v>0</v>
      </c>
      <c r="AQ99" s="84">
        <f>IFERROR(MAX(MIN(求节点(宝物升星!E$67:E$72,宝物升星!$C$67:$C$72,AM99/基础状态预期!D$8),宝物升星!E$14),AQ98),AQ98)</f>
        <v>3</v>
      </c>
      <c r="AR99" s="84">
        <f>IFERROR(MAX(MIN(求节点(宝物升星!F$67:F$72,宝物升星!$C$67:$C$72,AN99/基础状态预期!E$8),宝物升星!F$14),AR98),AR98)</f>
        <v>5</v>
      </c>
      <c r="AS99" s="54">
        <f>IFERROR(MAX(MIN(求节点(宝物升星!G$67:G$72,宝物升星!$C$67:$C$72,AO99/MAX(基础状态预期!L99,基础状态预期!L98)),宝物升星!G$14),AS98),AS98)</f>
        <v>2.4555166872012335</v>
      </c>
      <c r="AV99" s="38">
        <f t="shared" si="97"/>
        <v>0.88890529963354603</v>
      </c>
      <c r="AW99" s="38">
        <f t="shared" si="106"/>
        <v>3.7221941862463158E-2</v>
      </c>
      <c r="AX99" s="38">
        <f t="shared" si="107"/>
        <v>7.3872758503991012E-2</v>
      </c>
      <c r="AY99" s="38">
        <f t="shared" si="98"/>
        <v>0.95227194625002332</v>
      </c>
      <c r="AZ99" s="38">
        <f t="shared" si="108"/>
        <v>3.1900280972729476E-2</v>
      </c>
      <c r="BA99" s="38">
        <f t="shared" si="109"/>
        <v>1.5827772777247302E-2</v>
      </c>
      <c r="BB99" s="38">
        <f t="shared" si="99"/>
        <v>0.95554191383423182</v>
      </c>
      <c r="BC99" s="38">
        <f t="shared" si="110"/>
        <v>4.4458086165768164E-2</v>
      </c>
      <c r="BD99" s="38">
        <f t="shared" si="111"/>
        <v>0</v>
      </c>
      <c r="BE99" s="38">
        <f t="shared" si="100"/>
        <v>1</v>
      </c>
      <c r="BF99" s="38">
        <f t="shared" si="112"/>
        <v>0</v>
      </c>
      <c r="BG99" s="38">
        <f t="shared" si="113"/>
        <v>0</v>
      </c>
      <c r="BJ99" s="16">
        <v>41.600099999999998</v>
      </c>
      <c r="BK99" s="16">
        <v>18.087</v>
      </c>
      <c r="BL99" s="16">
        <v>1.2058</v>
      </c>
      <c r="BM99" s="16">
        <v>0.42203000000000002</v>
      </c>
      <c r="BN99" s="16">
        <v>1164.2280825941043</v>
      </c>
      <c r="BO99" s="16">
        <v>369.32258219805868</v>
      </c>
      <c r="BP99" s="16">
        <v>63.394386255651654</v>
      </c>
      <c r="BQ99" s="16">
        <v>21.151558751883879</v>
      </c>
      <c r="BR99" s="16">
        <v>0</v>
      </c>
      <c r="BS99" s="16">
        <v>3</v>
      </c>
      <c r="BT99" s="16">
        <v>5</v>
      </c>
      <c r="BU99" s="16">
        <v>2.5252597919806465</v>
      </c>
      <c r="BX99" s="37" t="str">
        <f t="shared" si="86"/>
        <v/>
      </c>
    </row>
    <row r="100" spans="14:76">
      <c r="N100" s="16">
        <v>8</v>
      </c>
      <c r="O100" s="17">
        <v>85</v>
      </c>
      <c r="P100" s="17">
        <f>求节点(节奏总纲!$O$4:$O$163,节奏总纲!S$4:S$163,O100)</f>
        <v>185.57387739130132</v>
      </c>
      <c r="Q100" s="17">
        <f>INDEX(其他调用!$F$4:$F$163,$O100)*$P$10</f>
        <v>1264906.5600208507</v>
      </c>
      <c r="R100" s="50">
        <v>1</v>
      </c>
      <c r="S100" s="17">
        <f t="shared" si="87"/>
        <v>0.375</v>
      </c>
      <c r="T100" s="17">
        <f t="shared" si="88"/>
        <v>0.125</v>
      </c>
      <c r="U100" s="17">
        <f t="shared" si="89"/>
        <v>2.2500000000000003E-2</v>
      </c>
      <c r="V100" s="17">
        <f t="shared" si="90"/>
        <v>7.4999999999999997E-3</v>
      </c>
      <c r="W100" s="17">
        <f t="shared" si="101"/>
        <v>352650.15459972504</v>
      </c>
      <c r="X100" s="17">
        <f t="shared" si="114"/>
        <v>1437.3938182055122</v>
      </c>
      <c r="Y100" s="17">
        <f t="shared" si="102"/>
        <v>479.13127273517068</v>
      </c>
      <c r="Z100" s="17">
        <f t="shared" si="103"/>
        <v>86.243629092330735</v>
      </c>
      <c r="AA100" s="17">
        <f t="shared" si="104"/>
        <v>28.74787636411024</v>
      </c>
      <c r="AB100" s="17">
        <f>求节点(盗宝贼掉落!$CV$5:$CV$164,盗宝贼掉落!$DF$5:$DF$164,$O100)</f>
        <v>169.92628344245725</v>
      </c>
      <c r="AC100" s="17">
        <f>$AB100*INDEX(盗宝贼掉落!$D$64:$D$67,MATCH(AC$16,盗宝贼掉落!$B$64:$B$67,0))*INDEX(盗宝贼掉落!$F$64:$F$67,MATCH(AC$16,盗宝贼掉落!$B$64:$B$67,0))</f>
        <v>127.44471258184294</v>
      </c>
      <c r="AD100" s="17">
        <f>$AB100*INDEX(盗宝贼掉落!$D$64:$D$67,MATCH(AD$16,盗宝贼掉落!$B$64:$B$67,0))*INDEX(盗宝贼掉落!$F$64:$F$67,MATCH(AD$16,盗宝贼掉落!$B$64:$B$67,0))</f>
        <v>8.4963141721228634</v>
      </c>
      <c r="AE100" s="17">
        <f>$AB100*INDEX(盗宝贼掉落!$D$64:$D$67,MATCH(AE$16,盗宝贼掉落!$B$64:$B$67,0))*INDEX(盗宝贼掉落!$F$64:$F$67,MATCH(AE$16,盗宝贼掉落!$B$64:$B$67,0))</f>
        <v>0</v>
      </c>
      <c r="AF100" s="17">
        <f>$AB100*INDEX(盗宝贼掉落!$D$64:$D$67,MATCH(AF$16,盗宝贼掉落!$B$64:$B$67,0))*INDEX(盗宝贼掉落!$F$64:$F$67,MATCH(AF$16,盗宝贼掉落!$B$64:$B$67,0))</f>
        <v>0</v>
      </c>
      <c r="AG100" s="17">
        <f>求节点(匈奴铁骑掉落!$J$7:$J$166,匈奴铁骑掉落!N$7:N$166,O100)</f>
        <v>209.48865286956163</v>
      </c>
      <c r="AH100" s="17">
        <f>$AG100*INDEX(盗宝贼掉落!$D$64:$D$67,MATCH(AH$16,盗宝贼掉落!$B$64:$B$67,0))*INDEX(盗宝贼掉落!$G$64:$G$67,MATCH(AH$16,盗宝贼掉落!$B$64:$B$67,0))</f>
        <v>62.846595860868497</v>
      </c>
      <c r="AI100" s="17">
        <f>$AG100*INDEX(盗宝贼掉落!$D$64:$D$67,MATCH(AI$16,盗宝贼掉落!$B$64:$B$67,0))*INDEX(盗宝贼掉落!$G$64:$G$67,MATCH(AI$16,盗宝贼掉落!$B$64:$B$67,0))</f>
        <v>16.759092229564931</v>
      </c>
      <c r="AJ100" s="17">
        <f>$AG100*INDEX(盗宝贼掉落!$D$64:$D$67,MATCH(AJ$16,盗宝贼掉落!$B$64:$B$67,0))*INDEX(盗宝贼掉落!$G$64:$G$67,MATCH(AJ$16,盗宝贼掉落!$B$64:$B$67,0))</f>
        <v>4.1897730573912328</v>
      </c>
      <c r="AK100" s="17">
        <f>$AG100*INDEX(盗宝贼掉落!$D$64:$D$67,MATCH(AK$16,盗宝贼掉落!$B$64:$B$67,0))*INDEX(盗宝贼掉落!$G$64:$G$67,MATCH(AK$16,盗宝贼掉落!$B$64:$B$67,0))</f>
        <v>0</v>
      </c>
      <c r="AL100" s="17">
        <f t="shared" si="105"/>
        <v>1627.6851266482236</v>
      </c>
      <c r="AM100" s="17">
        <f t="shared" si="94"/>
        <v>504.3866791368585</v>
      </c>
      <c r="AN100" s="17">
        <f t="shared" si="95"/>
        <v>90.433402149721971</v>
      </c>
      <c r="AO100" s="17">
        <f t="shared" si="96"/>
        <v>28.74787636411024</v>
      </c>
      <c r="AP100" s="84">
        <f>IFERROR(MAX(MIN(求节点(宝物升星!D$67:D$72,宝物升星!$C$67:$C$72,AL100/基础状态预期!C$8),宝物升星!D$14),AP99),AP99)</f>
        <v>0</v>
      </c>
      <c r="AQ100" s="84">
        <f>IFERROR(MAX(MIN(求节点(宝物升星!E$67:E$72,宝物升星!$C$67:$C$72,AM100/基础状态预期!D$8),宝物升星!E$14),AQ99),AQ99)</f>
        <v>3</v>
      </c>
      <c r="AR100" s="84">
        <f>IFERROR(MAX(MIN(求节点(宝物升星!F$67:F$72,宝物升星!$C$67:$C$72,AN100/基础状态预期!E$8),宝物升星!F$14),AR99),AR99)</f>
        <v>5</v>
      </c>
      <c r="AS100" s="54">
        <f>IFERROR(MAX(MIN(求节点(宝物升星!G$67:G$72,宝物升星!$C$67:$C$72,AO100/MAX(基础状态预期!L100,基础状态预期!L99)),宝物升星!G$14),AS99),AS99)</f>
        <v>3.7913127273517064</v>
      </c>
      <c r="AV100" s="38">
        <f t="shared" si="97"/>
        <v>0.88309083536656452</v>
      </c>
      <c r="AW100" s="38">
        <f t="shared" si="106"/>
        <v>3.8611027914400145E-2</v>
      </c>
      <c r="AX100" s="38">
        <f t="shared" si="107"/>
        <v>7.8298136719035322E-2</v>
      </c>
      <c r="AY100" s="38">
        <f t="shared" si="98"/>
        <v>0.94992848255844775</v>
      </c>
      <c r="AZ100" s="38">
        <f t="shared" si="108"/>
        <v>3.3226674935674855E-2</v>
      </c>
      <c r="BA100" s="38">
        <f t="shared" si="109"/>
        <v>1.6844842505877328E-2</v>
      </c>
      <c r="BB100" s="38">
        <f t="shared" si="99"/>
        <v>0.95367007148028526</v>
      </c>
      <c r="BC100" s="38">
        <f t="shared" si="110"/>
        <v>4.6329928519714701E-2</v>
      </c>
      <c r="BD100" s="38">
        <f t="shared" si="111"/>
        <v>0</v>
      </c>
      <c r="BE100" s="38">
        <f t="shared" si="100"/>
        <v>1</v>
      </c>
      <c r="BF100" s="38">
        <f t="shared" si="112"/>
        <v>0</v>
      </c>
      <c r="BG100" s="38">
        <f t="shared" si="113"/>
        <v>0</v>
      </c>
      <c r="BJ100" s="16">
        <v>60.227987699998955</v>
      </c>
      <c r="BK100" s="16">
        <v>26.186081608695204</v>
      </c>
      <c r="BL100" s="16">
        <v>1.7457387739130135</v>
      </c>
      <c r="BM100" s="16">
        <v>0.61100857086955473</v>
      </c>
      <c r="BN100" s="16">
        <v>1627.062784273747</v>
      </c>
      <c r="BO100" s="16">
        <v>514.47909044478649</v>
      </c>
      <c r="BP100" s="16">
        <v>88.109143813427352</v>
      </c>
      <c r="BQ100" s="16">
        <v>29.398810250707658</v>
      </c>
      <c r="BR100" s="16">
        <v>0</v>
      </c>
      <c r="BS100" s="16">
        <v>3</v>
      </c>
      <c r="BT100" s="16">
        <v>5</v>
      </c>
      <c r="BU100" s="16">
        <v>3.8998017084512764</v>
      </c>
      <c r="BX100" s="37" t="str">
        <f t="shared" si="86"/>
        <v/>
      </c>
    </row>
    <row r="101" spans="14:76">
      <c r="N101" s="16">
        <v>9</v>
      </c>
      <c r="O101" s="17">
        <v>90</v>
      </c>
      <c r="P101" s="17">
        <f>求节点(节奏总纲!$O$4:$O$163,节奏总纲!S$4:S$163,O101)</f>
        <v>254.88680000000002</v>
      </c>
      <c r="Q101" s="17">
        <f>INDEX(其他调用!$F$4:$F$163,$O101)*$P$10</f>
        <v>1710239.516269526</v>
      </c>
      <c r="R101" s="50">
        <v>1</v>
      </c>
      <c r="S101" s="17">
        <f t="shared" si="87"/>
        <v>0.375</v>
      </c>
      <c r="T101" s="17">
        <f t="shared" si="88"/>
        <v>0.125</v>
      </c>
      <c r="U101" s="17">
        <f t="shared" si="89"/>
        <v>2.2500000000000003E-2</v>
      </c>
      <c r="V101" s="17">
        <f t="shared" si="90"/>
        <v>7.4999999999999997E-3</v>
      </c>
      <c r="W101" s="17">
        <f t="shared" si="101"/>
        <v>445332.95624867524</v>
      </c>
      <c r="X101" s="17">
        <f t="shared" si="114"/>
        <v>1943.4539957608249</v>
      </c>
      <c r="Y101" s="17">
        <f t="shared" si="102"/>
        <v>647.8179985869416</v>
      </c>
      <c r="Z101" s="17">
        <f t="shared" si="103"/>
        <v>116.60723974564951</v>
      </c>
      <c r="AA101" s="17">
        <f t="shared" si="104"/>
        <v>38.869079915216496</v>
      </c>
      <c r="AB101" s="17">
        <f>求节点(盗宝贼掉落!$CV$5:$CV$164,盗宝贼掉落!$DF$5:$DF$164,$O101)</f>
        <v>240.60467062654729</v>
      </c>
      <c r="AC101" s="17">
        <f>$AB101*INDEX(盗宝贼掉落!$D$64:$D$67,MATCH(AC$16,盗宝贼掉落!$B$64:$B$67,0))*INDEX(盗宝贼掉落!$F$64:$F$67,MATCH(AC$16,盗宝贼掉落!$B$64:$B$67,0))</f>
        <v>180.45350296991046</v>
      </c>
      <c r="AD101" s="17">
        <f>$AB101*INDEX(盗宝贼掉落!$D$64:$D$67,MATCH(AD$16,盗宝贼掉落!$B$64:$B$67,0))*INDEX(盗宝贼掉落!$F$64:$F$67,MATCH(AD$16,盗宝贼掉落!$B$64:$B$67,0))</f>
        <v>12.030233531327365</v>
      </c>
      <c r="AE101" s="17">
        <f>$AB101*INDEX(盗宝贼掉落!$D$64:$D$67,MATCH(AE$16,盗宝贼掉落!$B$64:$B$67,0))*INDEX(盗宝贼掉落!$F$64:$F$67,MATCH(AE$16,盗宝贼掉落!$B$64:$B$67,0))</f>
        <v>0</v>
      </c>
      <c r="AF101" s="17">
        <f>$AB101*INDEX(盗宝贼掉落!$D$64:$D$67,MATCH(AF$16,盗宝贼掉落!$B$64:$B$67,0))*INDEX(盗宝贼掉落!$F$64:$F$67,MATCH(AF$16,盗宝贼掉落!$B$64:$B$67,0))</f>
        <v>0</v>
      </c>
      <c r="AG101" s="17">
        <f>求节点(匈奴铁骑掉落!$J$7:$J$166,匈奴铁骑掉落!N$7:N$166,O101)</f>
        <v>292.66416000000004</v>
      </c>
      <c r="AH101" s="17">
        <f>$AG101*INDEX(盗宝贼掉落!$D$64:$D$67,MATCH(AH$16,盗宝贼掉落!$B$64:$B$67,0))*INDEX(盗宝贼掉落!$G$64:$G$67,MATCH(AH$16,盗宝贼掉落!$B$64:$B$67,0))</f>
        <v>87.79924800000002</v>
      </c>
      <c r="AI101" s="17">
        <f>$AG101*INDEX(盗宝贼掉落!$D$64:$D$67,MATCH(AI$16,盗宝贼掉落!$B$64:$B$67,0))*INDEX(盗宝贼掉落!$G$64:$G$67,MATCH(AI$16,盗宝贼掉落!$B$64:$B$67,0))</f>
        <v>23.413132800000007</v>
      </c>
      <c r="AJ101" s="17">
        <f>$AG101*INDEX(盗宝贼掉落!$D$64:$D$67,MATCH(AJ$16,盗宝贼掉落!$B$64:$B$67,0))*INDEX(盗宝贼掉落!$G$64:$G$67,MATCH(AJ$16,盗宝贼掉落!$B$64:$B$67,0))</f>
        <v>5.8532832000000008</v>
      </c>
      <c r="AK101" s="17">
        <f>$AG101*INDEX(盗宝贼掉落!$D$64:$D$67,MATCH(AK$16,盗宝贼掉落!$B$64:$B$67,0))*INDEX(盗宝贼掉落!$G$64:$G$67,MATCH(AK$16,盗宝贼掉落!$B$64:$B$67,0))</f>
        <v>0</v>
      </c>
      <c r="AL101" s="17">
        <f t="shared" si="105"/>
        <v>2211.7067467307352</v>
      </c>
      <c r="AM101" s="17">
        <f t="shared" si="94"/>
        <v>683.2613649182689</v>
      </c>
      <c r="AN101" s="17">
        <f t="shared" si="95"/>
        <v>122.46052294564952</v>
      </c>
      <c r="AO101" s="17">
        <f t="shared" si="96"/>
        <v>38.869079915216496</v>
      </c>
      <c r="AP101" s="84">
        <f>IFERROR(MAX(MIN(求节点(宝物升星!D$67:D$72,宝物升星!$C$67:$C$72,AL101/基础状态预期!C$8),宝物升星!D$14),AP100),AP100)</f>
        <v>0</v>
      </c>
      <c r="AQ101" s="84">
        <f>IFERROR(MAX(MIN(求节点(宝物升星!E$67:E$72,宝物升星!$C$67:$C$72,AM101/基础状态预期!D$8),宝物升星!E$14),AQ100),AQ100)</f>
        <v>3</v>
      </c>
      <c r="AR101" s="84">
        <f>IFERROR(MAX(MIN(求节点(宝物升星!F$67:F$72,宝物升星!$C$67:$C$72,AN101/基础状态预期!E$8),宝物升星!F$14),AR100),AR100)</f>
        <v>5</v>
      </c>
      <c r="AS101" s="54">
        <f>IFERROR(MAX(MIN(求节点(宝物升星!G$67:G$72,宝物升星!$C$67:$C$72,AO101/MAX(基础状态预期!L101,基础状态预期!L100)),宝物升星!G$14),AS100),AS100)</f>
        <v>5</v>
      </c>
      <c r="AV101" s="38">
        <f t="shared" si="97"/>
        <v>0.8787123331940675</v>
      </c>
      <c r="AW101" s="38">
        <f t="shared" si="106"/>
        <v>3.9697508781298282E-2</v>
      </c>
      <c r="AX101" s="38">
        <f t="shared" si="107"/>
        <v>8.1590158024634277E-2</v>
      </c>
      <c r="AY101" s="38">
        <f t="shared" si="98"/>
        <v>0.94812619569735657</v>
      </c>
      <c r="AZ101" s="38">
        <f t="shared" si="108"/>
        <v>3.4266730130132067E-2</v>
      </c>
      <c r="BA101" s="38">
        <f t="shared" si="109"/>
        <v>1.7607074172511439E-2</v>
      </c>
      <c r="BB101" s="38">
        <f t="shared" si="99"/>
        <v>0.95220269308667072</v>
      </c>
      <c r="BC101" s="38">
        <f t="shared" si="110"/>
        <v>4.7797306913329188E-2</v>
      </c>
      <c r="BD101" s="38">
        <f t="shared" si="111"/>
        <v>0</v>
      </c>
      <c r="BE101" s="38">
        <f t="shared" si="100"/>
        <v>1</v>
      </c>
      <c r="BF101" s="38">
        <f t="shared" si="112"/>
        <v>0</v>
      </c>
      <c r="BG101" s="38">
        <f t="shared" si="113"/>
        <v>0</v>
      </c>
      <c r="BJ101" s="16">
        <v>84.140946</v>
      </c>
      <c r="BK101" s="16">
        <v>36.583020000000005</v>
      </c>
      <c r="BL101" s="16">
        <v>2.4388680000000007</v>
      </c>
      <c r="BM101" s="16">
        <v>0.85360380000000025</v>
      </c>
      <c r="BN101" s="16">
        <v>2237.887658411933</v>
      </c>
      <c r="BO101" s="16">
        <v>706.37765667866825</v>
      </c>
      <c r="BP101" s="16">
        <v>120.83646056652138</v>
      </c>
      <c r="BQ101" s="16">
        <v>40.319467988840458</v>
      </c>
      <c r="BR101" s="16">
        <v>0</v>
      </c>
      <c r="BS101" s="16">
        <v>3</v>
      </c>
      <c r="BT101" s="16">
        <v>5</v>
      </c>
      <c r="BU101" s="16">
        <v>5</v>
      </c>
      <c r="BX101" s="37" t="str">
        <f t="shared" si="86"/>
        <v/>
      </c>
    </row>
    <row r="102" spans="14:76">
      <c r="N102" s="16">
        <v>10</v>
      </c>
      <c r="O102" s="17">
        <v>95</v>
      </c>
      <c r="P102" s="17">
        <f>求节点(节奏总纲!$O$4:$O$163,节奏总纲!S$4:S$163,O102)</f>
        <v>355.39251454406457</v>
      </c>
      <c r="Q102" s="17">
        <f>INDEX(其他调用!$F$4:$F$163,$O102)*$P$10</f>
        <v>2355985.0034490922</v>
      </c>
      <c r="R102" s="50">
        <v>1</v>
      </c>
      <c r="S102" s="17">
        <f t="shared" si="87"/>
        <v>0.375</v>
      </c>
      <c r="T102" s="17">
        <f t="shared" si="88"/>
        <v>0.125</v>
      </c>
      <c r="U102" s="17">
        <f t="shared" si="89"/>
        <v>2.2500000000000003E-2</v>
      </c>
      <c r="V102" s="17">
        <f t="shared" si="90"/>
        <v>7.4999999999999997E-3</v>
      </c>
      <c r="W102" s="17">
        <f t="shared" si="101"/>
        <v>645745.48717956617</v>
      </c>
      <c r="X102" s="17">
        <f t="shared" si="114"/>
        <v>2677.2556857376048</v>
      </c>
      <c r="Y102" s="17">
        <f t="shared" si="102"/>
        <v>892.41856191253487</v>
      </c>
      <c r="Z102" s="17">
        <f t="shared" si="103"/>
        <v>160.6353411442563</v>
      </c>
      <c r="AA102" s="17">
        <f t="shared" si="104"/>
        <v>53.545113714752091</v>
      </c>
      <c r="AB102" s="17">
        <f>求节点(盗宝贼掉落!$CV$5:$CV$164,盗宝贼掉落!$DF$5:$DF$164,$O102)</f>
        <v>343.0903477471299</v>
      </c>
      <c r="AC102" s="17">
        <f>$AB102*INDEX(盗宝贼掉落!$D$64:$D$67,MATCH(AC$16,盗宝贼掉落!$B$64:$B$67,0))*INDEX(盗宝贼掉落!$F$64:$F$67,MATCH(AC$16,盗宝贼掉落!$B$64:$B$67,0))</f>
        <v>257.31776081034741</v>
      </c>
      <c r="AD102" s="17">
        <f>$AB102*INDEX(盗宝贼掉落!$D$64:$D$67,MATCH(AD$16,盗宝贼掉落!$B$64:$B$67,0))*INDEX(盗宝贼掉落!$F$64:$F$67,MATCH(AD$16,盗宝贼掉落!$B$64:$B$67,0))</f>
        <v>17.154517387356496</v>
      </c>
      <c r="AE102" s="17">
        <f>$AB102*INDEX(盗宝贼掉落!$D$64:$D$67,MATCH(AE$16,盗宝贼掉落!$B$64:$B$67,0))*INDEX(盗宝贼掉落!$F$64:$F$67,MATCH(AE$16,盗宝贼掉落!$B$64:$B$67,0))</f>
        <v>0</v>
      </c>
      <c r="AF102" s="17">
        <f>$AB102*INDEX(盗宝贼掉落!$D$64:$D$67,MATCH(AF$16,盗宝贼掉落!$B$64:$B$67,0))*INDEX(盗宝贼掉落!$F$64:$F$67,MATCH(AF$16,盗宝贼掉落!$B$64:$B$67,0))</f>
        <v>0</v>
      </c>
      <c r="AG102" s="17">
        <f>求节点(匈奴铁骑掉落!$J$7:$J$166,匈奴铁骑掉落!N$7:N$166,O102)</f>
        <v>413.27101745287746</v>
      </c>
      <c r="AH102" s="17">
        <f>$AG102*INDEX(盗宝贼掉落!$D$64:$D$67,MATCH(AH$16,盗宝贼掉落!$B$64:$B$67,0))*INDEX(盗宝贼掉落!$G$64:$G$67,MATCH(AH$16,盗宝贼掉落!$B$64:$B$67,0))</f>
        <v>123.98130523586326</v>
      </c>
      <c r="AI102" s="17">
        <f>$AG102*INDEX(盗宝贼掉落!$D$64:$D$67,MATCH(AI$16,盗宝贼掉落!$B$64:$B$67,0))*INDEX(盗宝贼掉落!$G$64:$G$67,MATCH(AI$16,盗宝贼掉落!$B$64:$B$67,0))</f>
        <v>33.061681396230199</v>
      </c>
      <c r="AJ102" s="17">
        <f>$AG102*INDEX(盗宝贼掉落!$D$64:$D$67,MATCH(AJ$16,盗宝贼掉落!$B$64:$B$67,0))*INDEX(盗宝贼掉落!$G$64:$G$67,MATCH(AJ$16,盗宝贼掉落!$B$64:$B$67,0))</f>
        <v>8.265420349057548</v>
      </c>
      <c r="AK102" s="17">
        <f>$AG102*INDEX(盗宝贼掉落!$D$64:$D$67,MATCH(AK$16,盗宝贼掉落!$B$64:$B$67,0))*INDEX(盗宝贼掉落!$G$64:$G$67,MATCH(AK$16,盗宝贼掉落!$B$64:$B$67,0))</f>
        <v>0</v>
      </c>
      <c r="AL102" s="17">
        <f t="shared" si="105"/>
        <v>3058.5547517838154</v>
      </c>
      <c r="AM102" s="17">
        <f t="shared" si="94"/>
        <v>942.63476069612148</v>
      </c>
      <c r="AN102" s="17">
        <f t="shared" si="95"/>
        <v>168.90076149331384</v>
      </c>
      <c r="AO102" s="17">
        <f t="shared" si="96"/>
        <v>53.545113714752091</v>
      </c>
      <c r="AP102" s="84">
        <f>IFERROR(MAX(MIN(求节点(宝物升星!D$67:D$72,宝物升星!$C$67:$C$72,AL102/基础状态预期!C$8),宝物升星!D$14),AP101),AP101)</f>
        <v>0</v>
      </c>
      <c r="AQ102" s="84">
        <f>IFERROR(MAX(MIN(求节点(宝物升星!E$67:E$72,宝物升星!$C$67:$C$72,AM102/基础状态预期!D$8),宝物升星!E$14),AQ101),AQ101)</f>
        <v>3</v>
      </c>
      <c r="AR102" s="84">
        <f>IFERROR(MAX(MIN(求节点(宝物升星!F$67:F$72,宝物升星!$C$67:$C$72,AN102/基础状态预期!E$8),宝物升星!F$14),AR101),AR101)</f>
        <v>5</v>
      </c>
      <c r="AS102" s="54">
        <f>IFERROR(MAX(MIN(求节点(宝物升星!G$67:G$72,宝物升星!$C$67:$C$72,AO102/MAX(基础状态预期!L102,基础状态预期!L101)),宝物升星!G$14),AS101),AS101)</f>
        <v>5</v>
      </c>
      <c r="AV102" s="38">
        <f t="shared" si="97"/>
        <v>0.87533358171082976</v>
      </c>
      <c r="AW102" s="38">
        <f t="shared" si="106"/>
        <v>4.0535911663361485E-2</v>
      </c>
      <c r="AX102" s="38">
        <f t="shared" si="107"/>
        <v>8.4130506625808843E-2</v>
      </c>
      <c r="AY102" s="38">
        <f t="shared" si="98"/>
        <v>0.94672783046266751</v>
      </c>
      <c r="AZ102" s="38">
        <f t="shared" si="108"/>
        <v>3.507369213905781E-2</v>
      </c>
      <c r="BA102" s="38">
        <f t="shared" si="109"/>
        <v>1.8198477398274751E-2</v>
      </c>
      <c r="BB102" s="38">
        <f t="shared" si="99"/>
        <v>0.95106345124805891</v>
      </c>
      <c r="BC102" s="38">
        <f t="shared" si="110"/>
        <v>4.8936548751941214E-2</v>
      </c>
      <c r="BD102" s="38">
        <f t="shared" si="111"/>
        <v>0</v>
      </c>
      <c r="BE102" s="38">
        <f t="shared" si="100"/>
        <v>1</v>
      </c>
      <c r="BF102" s="38">
        <f t="shared" si="112"/>
        <v>0</v>
      </c>
      <c r="BG102" s="38">
        <f t="shared" si="113"/>
        <v>0</v>
      </c>
      <c r="BJ102" s="16">
        <v>118.81541751770226</v>
      </c>
      <c r="BK102" s="16">
        <v>51.658877181609682</v>
      </c>
      <c r="BL102" s="16">
        <v>3.4439251454406454</v>
      </c>
      <c r="BM102" s="16">
        <v>1.2053738009042259</v>
      </c>
      <c r="BN102" s="16">
        <v>3123.6011462578799</v>
      </c>
      <c r="BO102" s="16">
        <v>984.63605054557627</v>
      </c>
      <c r="BP102" s="16">
        <v>168.29200322123049</v>
      </c>
      <c r="BQ102" s="16">
        <v>56.154733159500836</v>
      </c>
      <c r="BR102" s="16">
        <v>0</v>
      </c>
      <c r="BS102" s="16">
        <v>3</v>
      </c>
      <c r="BT102" s="16">
        <v>5</v>
      </c>
      <c r="BU102" s="16">
        <v>5</v>
      </c>
      <c r="BX102" s="37" t="str">
        <f t="shared" si="86"/>
        <v/>
      </c>
    </row>
    <row r="103" spans="14:76">
      <c r="N103" s="16">
        <v>11</v>
      </c>
      <c r="O103" s="17">
        <v>100</v>
      </c>
      <c r="P103" s="17">
        <f>求节点(节奏总纲!$O$4:$O$163,节奏总纲!S$4:S$163,O103)</f>
        <v>508.22640000000001</v>
      </c>
      <c r="Q103" s="17">
        <f>INDEX(其他调用!$F$4:$F$163,$O103)*$P$10</f>
        <v>3324012.3497677837</v>
      </c>
      <c r="R103" s="50">
        <v>1</v>
      </c>
      <c r="S103" s="17">
        <f t="shared" si="87"/>
        <v>0.375</v>
      </c>
      <c r="T103" s="17">
        <f t="shared" si="88"/>
        <v>0.125</v>
      </c>
      <c r="U103" s="17">
        <f t="shared" si="89"/>
        <v>2.2500000000000003E-2</v>
      </c>
      <c r="V103" s="17">
        <f t="shared" si="90"/>
        <v>7.4999999999999997E-3</v>
      </c>
      <c r="W103" s="17">
        <f t="shared" si="101"/>
        <v>968027.3463186915</v>
      </c>
      <c r="X103" s="17">
        <f t="shared" si="114"/>
        <v>3777.2867610997541</v>
      </c>
      <c r="Y103" s="17">
        <f t="shared" si="102"/>
        <v>1259.0955870332514</v>
      </c>
      <c r="Z103" s="17">
        <f t="shared" si="103"/>
        <v>226.63720566598528</v>
      </c>
      <c r="AA103" s="17">
        <f t="shared" si="104"/>
        <v>75.545735221995074</v>
      </c>
      <c r="AB103" s="17">
        <f>求节点(盗宝贼掉落!$CV$5:$CV$164,盗宝贼掉落!$DF$5:$DF$164,$O103)</f>
        <v>498.93506074654721</v>
      </c>
      <c r="AC103" s="17">
        <f>$AB103*INDEX(盗宝贼掉落!$D$64:$D$67,MATCH(AC$16,盗宝贼掉落!$B$64:$B$67,0))*INDEX(盗宝贼掉落!$F$64:$F$67,MATCH(AC$16,盗宝贼掉落!$B$64:$B$67,0))</f>
        <v>374.20129555991042</v>
      </c>
      <c r="AD103" s="17">
        <f>$AB103*INDEX(盗宝贼掉落!$D$64:$D$67,MATCH(AD$16,盗宝贼掉落!$B$64:$B$67,0))*INDEX(盗宝贼掉落!$F$64:$F$67,MATCH(AD$16,盗宝贼掉落!$B$64:$B$67,0))</f>
        <v>24.946753037327362</v>
      </c>
      <c r="AE103" s="17">
        <f>$AB103*INDEX(盗宝贼掉落!$D$64:$D$67,MATCH(AE$16,盗宝贼掉落!$B$64:$B$67,0))*INDEX(盗宝贼掉落!$F$64:$F$67,MATCH(AE$16,盗宝贼掉落!$B$64:$B$67,0))</f>
        <v>0</v>
      </c>
      <c r="AF103" s="17">
        <f>$AB103*INDEX(盗宝贼掉落!$D$64:$D$67,MATCH(AF$16,盗宝贼掉落!$B$64:$B$67,0))*INDEX(盗宝贼掉落!$F$64:$F$67,MATCH(AF$16,盗宝贼掉落!$B$64:$B$67,0))</f>
        <v>0</v>
      </c>
      <c r="AG103" s="17">
        <f>求节点(匈奴铁骑掉落!$J$7:$J$166,匈奴铁骑掉落!N$7:N$166,O103)</f>
        <v>596.67168000000004</v>
      </c>
      <c r="AH103" s="17">
        <f>$AG103*INDEX(盗宝贼掉落!$D$64:$D$67,MATCH(AH$16,盗宝贼掉落!$B$64:$B$67,0))*INDEX(盗宝贼掉落!$G$64:$G$67,MATCH(AH$16,盗宝贼掉落!$B$64:$B$67,0))</f>
        <v>179.00150400000004</v>
      </c>
      <c r="AI103" s="17">
        <f>$AG103*INDEX(盗宝贼掉落!$D$64:$D$67,MATCH(AI$16,盗宝贼掉落!$B$64:$B$67,0))*INDEX(盗宝贼掉落!$G$64:$G$67,MATCH(AI$16,盗宝贼掉落!$B$64:$B$67,0))</f>
        <v>47.733734400000003</v>
      </c>
      <c r="AJ103" s="17">
        <f>$AG103*INDEX(盗宝贼掉落!$D$64:$D$67,MATCH(AJ$16,盗宝贼掉落!$B$64:$B$67,0))*INDEX(盗宝贼掉落!$G$64:$G$67,MATCH(AJ$16,盗宝贼掉落!$B$64:$B$67,0))</f>
        <v>11.933433599999999</v>
      </c>
      <c r="AK103" s="17">
        <f>$AG103*INDEX(盗宝贼掉落!$D$64:$D$67,MATCH(AK$16,盗宝贼掉落!$B$64:$B$67,0))*INDEX(盗宝贼掉落!$G$64:$G$67,MATCH(AK$16,盗宝贼掉落!$B$64:$B$67,0))</f>
        <v>0</v>
      </c>
      <c r="AL103" s="17">
        <f t="shared" si="105"/>
        <v>4330.4895606596647</v>
      </c>
      <c r="AM103" s="17">
        <f t="shared" si="94"/>
        <v>1331.7760744705788</v>
      </c>
      <c r="AN103" s="17">
        <f t="shared" si="95"/>
        <v>238.57063926598528</v>
      </c>
      <c r="AO103" s="17">
        <f t="shared" si="96"/>
        <v>75.545735221995074</v>
      </c>
      <c r="AP103" s="84">
        <f>IFERROR(MAX(MIN(求节点(宝物升星!D$67:D$72,宝物升星!$C$67:$C$72,AL103/基础状态预期!C$8),宝物升星!D$14),AP102),AP102)</f>
        <v>0</v>
      </c>
      <c r="AQ103" s="84">
        <f>IFERROR(MAX(MIN(求节点(宝物升星!E$67:E$72,宝物升星!$C$67:$C$72,AM103/基础状态预期!D$8),宝物升星!E$14),AQ102),AQ102)</f>
        <v>3</v>
      </c>
      <c r="AR103" s="84">
        <f>IFERROR(MAX(MIN(求节点(宝物升星!F$67:F$72,宝物升星!$C$67:$C$72,AN103/基础状态预期!E$8),宝物升星!F$14),AR102),AR102)</f>
        <v>5</v>
      </c>
      <c r="AS103" s="54">
        <f>IFERROR(MAX(MIN(求节点(宝物升星!G$67:G$72,宝物升星!$C$67:$C$72,AO103/MAX(基础状态预期!L103,基础状态预期!L102)),宝物升星!G$14),AS102),AS102)</f>
        <v>5</v>
      </c>
      <c r="AV103" s="38">
        <f t="shared" si="97"/>
        <v>0.87225398149311295</v>
      </c>
      <c r="AW103" s="38">
        <f t="shared" si="106"/>
        <v>4.1335165803455413E-2</v>
      </c>
      <c r="AX103" s="38">
        <f t="shared" si="107"/>
        <v>8.6410852703431573E-2</v>
      </c>
      <c r="AY103" s="38">
        <f t="shared" si="98"/>
        <v>0.94542589491538953</v>
      </c>
      <c r="AZ103" s="38">
        <f t="shared" si="108"/>
        <v>3.5842162443844479E-2</v>
      </c>
      <c r="BA103" s="38">
        <f t="shared" si="109"/>
        <v>1.8731942640765976E-2</v>
      </c>
      <c r="BB103" s="38">
        <f t="shared" si="99"/>
        <v>0.94997945414944684</v>
      </c>
      <c r="BC103" s="38">
        <f t="shared" si="110"/>
        <v>5.0020545850553176E-2</v>
      </c>
      <c r="BD103" s="38">
        <f t="shared" si="111"/>
        <v>0</v>
      </c>
      <c r="BE103" s="38">
        <f t="shared" si="100"/>
        <v>1</v>
      </c>
      <c r="BF103" s="38">
        <f t="shared" si="112"/>
        <v>0</v>
      </c>
      <c r="BG103" s="38">
        <f t="shared" si="113"/>
        <v>0</v>
      </c>
      <c r="BJ103" s="16">
        <v>171.54310799999999</v>
      </c>
      <c r="BK103" s="16">
        <v>74.583960000000005</v>
      </c>
      <c r="BL103" s="16">
        <v>4.972264</v>
      </c>
      <c r="BM103" s="16">
        <v>1.7402924000000002</v>
      </c>
      <c r="BN103" s="16">
        <v>4166.9282197659841</v>
      </c>
      <c r="BO103" s="16">
        <v>1306.5919851060187</v>
      </c>
      <c r="BP103" s="16">
        <v>222.24329297236443</v>
      </c>
      <c r="BQ103" s="16">
        <v>74.163968724121474</v>
      </c>
      <c r="BR103" s="16">
        <v>0</v>
      </c>
      <c r="BS103" s="16">
        <v>3</v>
      </c>
      <c r="BT103" s="16">
        <v>5</v>
      </c>
      <c r="BU103" s="16">
        <v>5</v>
      </c>
      <c r="BX103" s="37" t="str">
        <f t="shared" si="86"/>
        <v/>
      </c>
    </row>
    <row r="104" spans="14:76">
      <c r="N104" s="16">
        <v>12</v>
      </c>
      <c r="O104" s="17">
        <v>105</v>
      </c>
      <c r="P104" s="17">
        <f>求节点(节奏总纲!$O$4:$O$163,节奏总纲!S$4:S$163,O104)</f>
        <v>713.59197658872131</v>
      </c>
      <c r="Q104" s="17">
        <f>INDEX(其他调用!$F$4:$F$163,$O104)*$P$10</f>
        <v>4624186.0891007129</v>
      </c>
      <c r="R104" s="50">
        <v>1</v>
      </c>
      <c r="S104" s="17">
        <f t="shared" si="87"/>
        <v>0.375</v>
      </c>
      <c r="T104" s="17">
        <f t="shared" si="88"/>
        <v>0.125</v>
      </c>
      <c r="U104" s="17">
        <f t="shared" si="89"/>
        <v>2.2500000000000003E-2</v>
      </c>
      <c r="V104" s="17">
        <f t="shared" si="90"/>
        <v>7.4999999999999997E-3</v>
      </c>
      <c r="W104" s="17">
        <f t="shared" si="101"/>
        <v>1300173.7393329293</v>
      </c>
      <c r="X104" s="17">
        <f t="shared" si="114"/>
        <v>5254.7569194326279</v>
      </c>
      <c r="Y104" s="17">
        <f t="shared" si="102"/>
        <v>1751.585639810876</v>
      </c>
      <c r="Z104" s="17">
        <f t="shared" si="103"/>
        <v>315.28541516595772</v>
      </c>
      <c r="AA104" s="17">
        <f t="shared" si="104"/>
        <v>105.09513838865256</v>
      </c>
      <c r="AB104" s="17">
        <f>求节点(盗宝贼掉落!$CV$5:$CV$164,盗宝贼掉落!$DF$5:$DF$164,$O104)</f>
        <v>708.34633919406645</v>
      </c>
      <c r="AC104" s="17">
        <f>$AB104*INDEX(盗宝贼掉落!$D$64:$D$67,MATCH(AC$16,盗宝贼掉落!$B$64:$B$67,0))*INDEX(盗宝贼掉落!$F$64:$F$67,MATCH(AC$16,盗宝贼掉落!$B$64:$B$67,0))</f>
        <v>531.25975439554986</v>
      </c>
      <c r="AD104" s="17">
        <f>$AB104*INDEX(盗宝贼掉落!$D$64:$D$67,MATCH(AD$16,盗宝贼掉落!$B$64:$B$67,0))*INDEX(盗宝贼掉落!$F$64:$F$67,MATCH(AD$16,盗宝贼掉落!$B$64:$B$67,0))</f>
        <v>35.417316959703321</v>
      </c>
      <c r="AE104" s="17">
        <f>$AB104*INDEX(盗宝贼掉落!$D$64:$D$67,MATCH(AE$16,盗宝贼掉落!$B$64:$B$67,0))*INDEX(盗宝贼掉落!$F$64:$F$67,MATCH(AE$16,盗宝贼掉落!$B$64:$B$67,0))</f>
        <v>0</v>
      </c>
      <c r="AF104" s="17">
        <f>$AB104*INDEX(盗宝贼掉落!$D$64:$D$67,MATCH(AF$16,盗宝贼掉落!$B$64:$B$67,0))*INDEX(盗宝贼掉落!$F$64:$F$67,MATCH(AF$16,盗宝贼掉落!$B$64:$B$67,0))</f>
        <v>0</v>
      </c>
      <c r="AG104" s="17">
        <f>求节点(匈奴铁骑掉落!$J$7:$J$166,匈奴铁骑掉落!N$7:N$166,O104)</f>
        <v>843.11037190646573</v>
      </c>
      <c r="AH104" s="17">
        <f>$AG104*INDEX(盗宝贼掉落!$D$64:$D$67,MATCH(AH$16,盗宝贼掉落!$B$64:$B$67,0))*INDEX(盗宝贼掉落!$G$64:$G$67,MATCH(AH$16,盗宝贼掉落!$B$64:$B$67,0))</f>
        <v>252.93311157193975</v>
      </c>
      <c r="AI104" s="17">
        <f>$AG104*INDEX(盗宝贼掉落!$D$64:$D$67,MATCH(AI$16,盗宝贼掉落!$B$64:$B$67,0))*INDEX(盗宝贼掉落!$G$64:$G$67,MATCH(AI$16,盗宝贼掉落!$B$64:$B$67,0))</f>
        <v>67.448829752517256</v>
      </c>
      <c r="AJ104" s="17">
        <f>$AG104*INDEX(盗宝贼掉落!$D$64:$D$67,MATCH(AJ$16,盗宝贼掉落!$B$64:$B$67,0))*INDEX(盗宝贼掉落!$G$64:$G$67,MATCH(AJ$16,盗宝贼掉落!$B$64:$B$67,0))</f>
        <v>16.862207438129314</v>
      </c>
      <c r="AK104" s="17">
        <f>$AG104*INDEX(盗宝贼掉落!$D$64:$D$67,MATCH(AK$16,盗宝贼掉落!$B$64:$B$67,0))*INDEX(盗宝贼掉落!$G$64:$G$67,MATCH(AK$16,盗宝贼掉落!$B$64:$B$67,0))</f>
        <v>0</v>
      </c>
      <c r="AL104" s="17">
        <f t="shared" si="105"/>
        <v>6038.9497854001174</v>
      </c>
      <c r="AM104" s="17">
        <f t="shared" si="94"/>
        <v>1854.4517865230966</v>
      </c>
      <c r="AN104" s="17">
        <f t="shared" si="95"/>
        <v>332.14762260408702</v>
      </c>
      <c r="AO104" s="17">
        <f t="shared" si="96"/>
        <v>105.09513838865256</v>
      </c>
      <c r="AP104" s="84">
        <f>IFERROR(MAX(MIN(求节点(宝物升星!D$67:D$72,宝物升星!$C$67:$C$72,AL104/基础状态预期!C$8),宝物升星!D$14),AP103),AP103)</f>
        <v>0</v>
      </c>
      <c r="AQ104" s="84">
        <f>IFERROR(MAX(MIN(求节点(宝物升星!E$67:E$72,宝物升星!$C$67:$C$72,AM104/基础状态预期!D$8),宝物升星!E$14),AQ103),AQ103)</f>
        <v>3</v>
      </c>
      <c r="AR104" s="84">
        <f>IFERROR(MAX(MIN(求节点(宝物升星!F$67:F$72,宝物升星!$C$67:$C$72,AN104/基础状态预期!E$8),宝物升星!F$14),AR103),AR103)</f>
        <v>5</v>
      </c>
      <c r="AS104" s="54">
        <f>IFERROR(MAX(MIN(求节点(宝物升星!G$67:G$72,宝物升星!$C$67:$C$72,AO104/MAX(基础状态预期!L104,基础状态预期!L103)),宝物升星!G$14),AS103),AS103)</f>
        <v>5</v>
      </c>
      <c r="AV104" s="38">
        <f t="shared" si="97"/>
        <v>0.87014416515544313</v>
      </c>
      <c r="AW104" s="38">
        <f t="shared" si="106"/>
        <v>4.1883625557449698E-2</v>
      </c>
      <c r="AX104" s="38">
        <f t="shared" si="107"/>
        <v>8.7972209287107139E-2</v>
      </c>
      <c r="AY104" s="38">
        <f t="shared" si="98"/>
        <v>0.94453015847606159</v>
      </c>
      <c r="AZ104" s="38">
        <f t="shared" si="108"/>
        <v>3.6371304038578842E-2</v>
      </c>
      <c r="BA104" s="38">
        <f t="shared" si="109"/>
        <v>1.9098537485359536E-2</v>
      </c>
      <c r="BB104" s="38">
        <f t="shared" si="99"/>
        <v>0.94923279201601063</v>
      </c>
      <c r="BC104" s="38">
        <f t="shared" si="110"/>
        <v>5.0767207983989426E-2</v>
      </c>
      <c r="BD104" s="38">
        <f t="shared" si="111"/>
        <v>0</v>
      </c>
      <c r="BE104" s="38">
        <f t="shared" si="100"/>
        <v>1</v>
      </c>
      <c r="BF104" s="38">
        <f t="shared" si="112"/>
        <v>0</v>
      </c>
      <c r="BG104" s="38">
        <f t="shared" si="113"/>
        <v>0</v>
      </c>
      <c r="BJ104" s="16">
        <v>242.39423192310886</v>
      </c>
      <c r="BK104" s="16">
        <v>105.38879648830822</v>
      </c>
      <c r="BL104" s="16">
        <v>7.0259197658872141</v>
      </c>
      <c r="BM104" s="16">
        <v>2.4590719180605252</v>
      </c>
      <c r="BN104" s="16">
        <v>5268.5536508009754</v>
      </c>
      <c r="BO104" s="16">
        <v>1639.106001608784</v>
      </c>
      <c r="BP104" s="16">
        <v>276.71989963482628</v>
      </c>
      <c r="BQ104" s="16">
        <v>92.357065207706867</v>
      </c>
      <c r="BR104" s="16">
        <v>0</v>
      </c>
      <c r="BS104" s="16">
        <v>3</v>
      </c>
      <c r="BT104" s="16">
        <v>5</v>
      </c>
      <c r="BU104" s="16">
        <v>5</v>
      </c>
      <c r="BX104" s="37" t="str">
        <f t="shared" si="86"/>
        <v/>
      </c>
    </row>
    <row r="105" spans="14:76">
      <c r="N105" s="16">
        <v>13</v>
      </c>
      <c r="O105" s="17">
        <v>110</v>
      </c>
      <c r="P105" s="17">
        <f>求节点(节奏总纲!$O$4:$O$163,节奏总纲!S$4:S$163,O105)</f>
        <v>1001.3924000000001</v>
      </c>
      <c r="Q105" s="17">
        <f>INDEX(其他调用!$F$4:$F$163,$O105)*$P$10</f>
        <v>6426020.2026207894</v>
      </c>
      <c r="R105" s="50">
        <v>1</v>
      </c>
      <c r="S105" s="17">
        <f t="shared" si="87"/>
        <v>0.375</v>
      </c>
      <c r="T105" s="17">
        <f t="shared" si="88"/>
        <v>0.125</v>
      </c>
      <c r="U105" s="17">
        <f t="shared" si="89"/>
        <v>2.2500000000000003E-2</v>
      </c>
      <c r="V105" s="17">
        <f t="shared" si="90"/>
        <v>7.4999999999999997E-3</v>
      </c>
      <c r="W105" s="17">
        <f t="shared" si="101"/>
        <v>1801834.1135200765</v>
      </c>
      <c r="X105" s="17">
        <f t="shared" si="114"/>
        <v>7302.2956847963515</v>
      </c>
      <c r="Y105" s="17">
        <f t="shared" si="102"/>
        <v>2434.0985615987838</v>
      </c>
      <c r="Z105" s="17">
        <f t="shared" si="103"/>
        <v>438.13774108778114</v>
      </c>
      <c r="AA105" s="17">
        <f t="shared" si="104"/>
        <v>146.04591369592703</v>
      </c>
      <c r="AB105" s="17">
        <f>求节点(盗宝贼掉落!$CV$5:$CV$164,盗宝贼掉落!$DF$5:$DF$164,$O105)</f>
        <v>1001.8164309465474</v>
      </c>
      <c r="AC105" s="17">
        <f>$AB105*INDEX(盗宝贼掉落!$D$64:$D$67,MATCH(AC$16,盗宝贼掉落!$B$64:$B$67,0))*INDEX(盗宝贼掉落!$F$64:$F$67,MATCH(AC$16,盗宝贼掉落!$B$64:$B$67,0))</f>
        <v>751.36232320991053</v>
      </c>
      <c r="AD105" s="17">
        <f>$AB105*INDEX(盗宝贼掉落!$D$64:$D$67,MATCH(AD$16,盗宝贼掉落!$B$64:$B$67,0))*INDEX(盗宝贼掉落!$F$64:$F$67,MATCH(AD$16,盗宝贼掉落!$B$64:$B$67,0))</f>
        <v>50.090821547327373</v>
      </c>
      <c r="AE105" s="17">
        <f>$AB105*INDEX(盗宝贼掉落!$D$64:$D$67,MATCH(AE$16,盗宝贼掉落!$B$64:$B$67,0))*INDEX(盗宝贼掉落!$F$64:$F$67,MATCH(AE$16,盗宝贼掉落!$B$64:$B$67,0))</f>
        <v>0</v>
      </c>
      <c r="AF105" s="17">
        <f>$AB105*INDEX(盗宝贼掉落!$D$64:$D$67,MATCH(AF$16,盗宝贼掉落!$B$64:$B$67,0))*INDEX(盗宝贼掉落!$F$64:$F$67,MATCH(AF$16,盗宝贼掉落!$B$64:$B$67,0))</f>
        <v>0</v>
      </c>
      <c r="AG105" s="17">
        <f>求节点(匈奴铁骑掉落!$J$7:$J$166,匈奴铁骑掉落!N$7:N$166,O105)</f>
        <v>1188.4708800000001</v>
      </c>
      <c r="AH105" s="17">
        <f>$AG105*INDEX(盗宝贼掉落!$D$64:$D$67,MATCH(AH$16,盗宝贼掉落!$B$64:$B$67,0))*INDEX(盗宝贼掉落!$G$64:$G$67,MATCH(AH$16,盗宝贼掉落!$B$64:$B$67,0))</f>
        <v>356.54126400000007</v>
      </c>
      <c r="AI105" s="17">
        <f>$AG105*INDEX(盗宝贼掉落!$D$64:$D$67,MATCH(AI$16,盗宝贼掉落!$B$64:$B$67,0))*INDEX(盗宝贼掉落!$G$64:$G$67,MATCH(AI$16,盗宝贼掉落!$B$64:$B$67,0))</f>
        <v>95.077670400000017</v>
      </c>
      <c r="AJ105" s="17">
        <f>$AG105*INDEX(盗宝贼掉落!$D$64:$D$67,MATCH(AJ$16,盗宝贼掉落!$B$64:$B$67,0))*INDEX(盗宝贼掉落!$G$64:$G$67,MATCH(AJ$16,盗宝贼掉落!$B$64:$B$67,0))</f>
        <v>23.769417600000001</v>
      </c>
      <c r="AK105" s="17">
        <f>$AG105*INDEX(盗宝贼掉落!$D$64:$D$67,MATCH(AK$16,盗宝贼掉落!$B$64:$B$67,0))*INDEX(盗宝贼掉落!$G$64:$G$67,MATCH(AK$16,盗宝贼掉落!$B$64:$B$67,0))</f>
        <v>0</v>
      </c>
      <c r="AL105" s="17">
        <f t="shared" si="105"/>
        <v>8410.1992720062626</v>
      </c>
      <c r="AM105" s="17">
        <f t="shared" si="94"/>
        <v>2579.2670535461111</v>
      </c>
      <c r="AN105" s="17">
        <f t="shared" si="95"/>
        <v>461.90715868778113</v>
      </c>
      <c r="AO105" s="17">
        <f t="shared" si="96"/>
        <v>146.04591369592703</v>
      </c>
      <c r="AP105" s="84">
        <f>IFERROR(MAX(MIN(求节点(宝物升星!D$67:D$72,宝物升星!$C$67:$C$72,AL105/基础状态预期!C$8),宝物升星!D$14),AP104),AP104)</f>
        <v>0</v>
      </c>
      <c r="AQ105" s="84">
        <f>IFERROR(MAX(MIN(求节点(宝物升星!E$67:E$72,宝物升星!$C$67:$C$72,AM105/基础状态预期!D$8),宝物升星!E$14),AQ104),AQ104)</f>
        <v>3</v>
      </c>
      <c r="AR105" s="84">
        <f>IFERROR(MAX(MIN(求节点(宝物升星!F$67:F$72,宝物升星!$C$67:$C$72,AN105/基础状态预期!E$8),宝物升星!F$14),AR104),AR104)</f>
        <v>5</v>
      </c>
      <c r="AS105" s="54">
        <f>IFERROR(MAX(MIN(求节点(宝物升星!G$67:G$72,宝物升星!$C$67:$C$72,AO105/MAX(基础状态预期!L105,基础状态预期!L104)),宝物升星!G$14),AS104),AS104)</f>
        <v>5</v>
      </c>
      <c r="AV105" s="38">
        <f t="shared" si="97"/>
        <v>0.8682666662967643</v>
      </c>
      <c r="AW105" s="38">
        <f t="shared" si="106"/>
        <v>4.2393913921488655E-2</v>
      </c>
      <c r="AX105" s="38">
        <f t="shared" si="107"/>
        <v>8.9339419781747004E-2</v>
      </c>
      <c r="AY105" s="38">
        <f t="shared" si="98"/>
        <v>0.94371715338753226</v>
      </c>
      <c r="AZ105" s="38">
        <f t="shared" si="108"/>
        <v>3.6862282356253988E-2</v>
      </c>
      <c r="BA105" s="38">
        <f t="shared" si="109"/>
        <v>1.9420564256213753E-2</v>
      </c>
      <c r="BB105" s="38">
        <f t="shared" si="99"/>
        <v>0.94854070314145844</v>
      </c>
      <c r="BC105" s="38">
        <f t="shared" si="110"/>
        <v>5.1459296858541573E-2</v>
      </c>
      <c r="BD105" s="38">
        <f t="shared" si="111"/>
        <v>0</v>
      </c>
      <c r="BE105" s="38">
        <f t="shared" si="100"/>
        <v>1</v>
      </c>
      <c r="BF105" s="38">
        <f t="shared" si="112"/>
        <v>0</v>
      </c>
      <c r="BG105" s="38">
        <f t="shared" si="113"/>
        <v>0</v>
      </c>
      <c r="BJ105" s="16">
        <v>341.68537799999996</v>
      </c>
      <c r="BK105" s="16">
        <v>148.55886000000001</v>
      </c>
      <c r="BL105" s="16">
        <v>9.9039240000000017</v>
      </c>
      <c r="BM105" s="16">
        <v>3.4663734000000006</v>
      </c>
      <c r="BN105" s="16">
        <v>6461.6632139684698</v>
      </c>
      <c r="BO105" s="16">
        <v>1988.1881858001809</v>
      </c>
      <c r="BP105" s="16">
        <v>332.02085476551366</v>
      </c>
      <c r="BQ105" s="16">
        <v>110.83868365517118</v>
      </c>
      <c r="BR105" s="16">
        <v>0</v>
      </c>
      <c r="BS105" s="16">
        <v>3</v>
      </c>
      <c r="BT105" s="16">
        <v>5</v>
      </c>
      <c r="BU105" s="16">
        <v>5</v>
      </c>
      <c r="BX105" s="37" t="str">
        <f t="shared" si="86"/>
        <v/>
      </c>
    </row>
    <row r="106" spans="14:76">
      <c r="N106" s="16">
        <v>14</v>
      </c>
      <c r="O106" s="17">
        <v>115</v>
      </c>
      <c r="P106" s="17">
        <f>求节点(节奏总纲!$O$4:$O$163,节奏总纲!S$4:S$163,O106)</f>
        <v>1407.1203566096881</v>
      </c>
      <c r="Q106" s="17">
        <f>INDEX(其他调用!$F$4:$F$163,$O106)*$P$10</f>
        <v>8965514.3817026485</v>
      </c>
      <c r="R106" s="50">
        <v>1</v>
      </c>
      <c r="S106" s="17">
        <f t="shared" si="87"/>
        <v>0.375</v>
      </c>
      <c r="T106" s="17">
        <f t="shared" si="88"/>
        <v>0.125</v>
      </c>
      <c r="U106" s="17">
        <f t="shared" si="89"/>
        <v>2.2500000000000003E-2</v>
      </c>
      <c r="V106" s="17">
        <f t="shared" si="90"/>
        <v>7.4999999999999997E-3</v>
      </c>
      <c r="W106" s="17">
        <f t="shared" si="101"/>
        <v>2539494.1790818591</v>
      </c>
      <c r="X106" s="17">
        <f t="shared" si="114"/>
        <v>10188.084524662101</v>
      </c>
      <c r="Y106" s="17">
        <f t="shared" si="102"/>
        <v>3396.0281748873667</v>
      </c>
      <c r="Z106" s="17">
        <f t="shared" si="103"/>
        <v>611.28507147972607</v>
      </c>
      <c r="AA106" s="17">
        <f t="shared" si="104"/>
        <v>203.76169049324201</v>
      </c>
      <c r="AB106" s="17">
        <f>求节点(盗宝贼掉落!$CV$5:$CV$164,盗宝贼掉落!$DF$5:$DF$164,$O106)</f>
        <v>1415.537228301446</v>
      </c>
      <c r="AC106" s="17">
        <f>$AB106*INDEX(盗宝贼掉落!$D$64:$D$67,MATCH(AC$16,盗宝贼掉落!$B$64:$B$67,0))*INDEX(盗宝贼掉落!$F$64:$F$67,MATCH(AC$16,盗宝贼掉落!$B$64:$B$67,0))</f>
        <v>1061.6529212260846</v>
      </c>
      <c r="AD106" s="17">
        <f>$AB106*INDEX(盗宝贼掉落!$D$64:$D$67,MATCH(AD$16,盗宝贼掉落!$B$64:$B$67,0))*INDEX(盗宝贼掉落!$F$64:$F$67,MATCH(AD$16,盗宝贼掉落!$B$64:$B$67,0))</f>
        <v>70.776861415072304</v>
      </c>
      <c r="AE106" s="17">
        <f>$AB106*INDEX(盗宝贼掉落!$D$64:$D$67,MATCH(AE$16,盗宝贼掉落!$B$64:$B$67,0))*INDEX(盗宝贼掉落!$F$64:$F$67,MATCH(AE$16,盗宝贼掉落!$B$64:$B$67,0))</f>
        <v>0</v>
      </c>
      <c r="AF106" s="17">
        <f>$AB106*INDEX(盗宝贼掉落!$D$64:$D$67,MATCH(AF$16,盗宝贼掉落!$B$64:$B$67,0))*INDEX(盗宝贼掉落!$F$64:$F$67,MATCH(AF$16,盗宝贼掉落!$B$64:$B$67,0))</f>
        <v>0</v>
      </c>
      <c r="AG106" s="17">
        <f>求节点(匈奴铁骑掉落!$J$7:$J$166,匈奴铁骑掉落!N$7:N$166,O106)</f>
        <v>1675.3444279316257</v>
      </c>
      <c r="AH106" s="17">
        <f>$AG106*INDEX(盗宝贼掉落!$D$64:$D$67,MATCH(AH$16,盗宝贼掉落!$B$64:$B$67,0))*INDEX(盗宝贼掉落!$G$64:$G$67,MATCH(AH$16,盗宝贼掉落!$B$64:$B$67,0))</f>
        <v>502.60332837948778</v>
      </c>
      <c r="AI106" s="17">
        <f>$AG106*INDEX(盗宝贼掉落!$D$64:$D$67,MATCH(AI$16,盗宝贼掉落!$B$64:$B$67,0))*INDEX(盗宝贼掉落!$G$64:$G$67,MATCH(AI$16,盗宝贼掉落!$B$64:$B$67,0))</f>
        <v>134.02755423453007</v>
      </c>
      <c r="AJ106" s="17">
        <f>$AG106*INDEX(盗宝贼掉落!$D$64:$D$67,MATCH(AJ$16,盗宝贼掉落!$B$64:$B$67,0))*INDEX(盗宝贼掉落!$G$64:$G$67,MATCH(AJ$16,盗宝贼掉落!$B$64:$B$67,0))</f>
        <v>33.506888558632511</v>
      </c>
      <c r="AK106" s="17">
        <f>$AG106*INDEX(盗宝贼掉落!$D$64:$D$67,MATCH(AK$16,盗宝贼掉落!$B$64:$B$67,0))*INDEX(盗宝贼掉落!$G$64:$G$67,MATCH(AK$16,盗宝贼掉落!$B$64:$B$67,0))</f>
        <v>0</v>
      </c>
      <c r="AL106" s="17">
        <f t="shared" si="105"/>
        <v>11752.340774267674</v>
      </c>
      <c r="AM106" s="17">
        <f t="shared" si="94"/>
        <v>3600.8325905369693</v>
      </c>
      <c r="AN106" s="17">
        <f t="shared" si="95"/>
        <v>644.79196003835864</v>
      </c>
      <c r="AO106" s="17">
        <f t="shared" si="96"/>
        <v>203.76169049324201</v>
      </c>
      <c r="AP106" s="84">
        <f>IFERROR(MAX(MIN(求节点(宝物升星!D$67:D$72,宝物升星!$C$67:$C$72,AL106/基础状态预期!C$8),宝物升星!D$14),AP105),AP105)</f>
        <v>0</v>
      </c>
      <c r="AQ106" s="84">
        <f>IFERROR(MAX(MIN(求节点(宝物升星!E$67:E$72,宝物升星!$C$67:$C$72,AM106/基础状态预期!D$8),宝物升星!E$14),AQ105),AQ105)</f>
        <v>3</v>
      </c>
      <c r="AR106" s="84">
        <f>IFERROR(MAX(MIN(求节点(宝物升星!F$67:F$72,宝物升星!$C$67:$C$72,AN106/基础状态预期!E$8),宝物升星!F$14),AR105),AR105)</f>
        <v>5</v>
      </c>
      <c r="AS106" s="54">
        <f>IFERROR(MAX(MIN(求节点(宝物升星!G$67:G$72,宝物升星!$C$67:$C$72,AO106/MAX(基础状态预期!L106,基础状态预期!L105)),宝物升星!G$14),AS105),AS105)</f>
        <v>5</v>
      </c>
      <c r="AV106" s="38">
        <f t="shared" si="97"/>
        <v>0.86689832437206138</v>
      </c>
      <c r="AW106" s="38">
        <f t="shared" si="106"/>
        <v>4.2766231683815908E-2</v>
      </c>
      <c r="AX106" s="38">
        <f t="shared" si="107"/>
        <v>9.033544394412267E-2</v>
      </c>
      <c r="AY106" s="38">
        <f t="shared" si="98"/>
        <v>0.94312303876946935</v>
      </c>
      <c r="AZ106" s="38">
        <f t="shared" si="108"/>
        <v>3.7221267821990971E-2</v>
      </c>
      <c r="BA106" s="38">
        <f t="shared" si="109"/>
        <v>1.9655693408539662E-2</v>
      </c>
      <c r="BB106" s="38">
        <f t="shared" si="99"/>
        <v>0.94803457450579987</v>
      </c>
      <c r="BC106" s="38">
        <f t="shared" si="110"/>
        <v>5.1965425494200003E-2</v>
      </c>
      <c r="BD106" s="38">
        <f t="shared" si="111"/>
        <v>0</v>
      </c>
      <c r="BE106" s="38">
        <f t="shared" si="100"/>
        <v>1</v>
      </c>
      <c r="BF106" s="38">
        <f t="shared" si="112"/>
        <v>0</v>
      </c>
      <c r="BG106" s="38">
        <f t="shared" si="113"/>
        <v>0</v>
      </c>
      <c r="BJ106" s="16">
        <v>481.66152303034232</v>
      </c>
      <c r="BK106" s="16">
        <v>209.41805349145321</v>
      </c>
      <c r="BL106" s="16">
        <v>13.961203566096879</v>
      </c>
      <c r="BM106" s="16">
        <v>4.8864212481339075</v>
      </c>
      <c r="BN106" s="16">
        <v>7785.6458052912303</v>
      </c>
      <c r="BO106" s="16">
        <v>2360.9720352514605</v>
      </c>
      <c r="BP106" s="16">
        <v>388.50108522818516</v>
      </c>
      <c r="BQ106" s="16">
        <v>129.73304846882999</v>
      </c>
      <c r="BR106" s="16">
        <v>0</v>
      </c>
      <c r="BS106" s="16">
        <v>3</v>
      </c>
      <c r="BT106" s="16">
        <v>5</v>
      </c>
      <c r="BU106" s="16">
        <v>5</v>
      </c>
      <c r="BX106" s="37" t="str">
        <f t="shared" si="86"/>
        <v/>
      </c>
    </row>
    <row r="107" spans="14:76">
      <c r="N107" s="16">
        <v>15</v>
      </c>
      <c r="O107" s="17">
        <v>120</v>
      </c>
      <c r="P107" s="17">
        <f>求节点(节奏总纲!$O$4:$O$163,节奏总纲!S$4:S$163,O107)</f>
        <v>1988.5319999999999</v>
      </c>
      <c r="Q107" s="17">
        <f>INDEX(其他调用!$F$4:$F$163,$O107)*$P$10</f>
        <v>12576938.515448799</v>
      </c>
      <c r="R107" s="50">
        <v>1</v>
      </c>
      <c r="S107" s="17">
        <f t="shared" si="87"/>
        <v>0.375</v>
      </c>
      <c r="T107" s="17">
        <f t="shared" si="88"/>
        <v>0.125</v>
      </c>
      <c r="U107" s="17">
        <f t="shared" si="89"/>
        <v>2.2500000000000003E-2</v>
      </c>
      <c r="V107" s="17">
        <f t="shared" si="90"/>
        <v>7.4999999999999997E-3</v>
      </c>
      <c r="W107" s="17">
        <f t="shared" si="101"/>
        <v>3611424.1337461509</v>
      </c>
      <c r="X107" s="17">
        <f t="shared" si="114"/>
        <v>14291.975585737273</v>
      </c>
      <c r="Y107" s="17">
        <f t="shared" si="102"/>
        <v>4763.9918619124237</v>
      </c>
      <c r="Z107" s="17">
        <f t="shared" si="103"/>
        <v>857.51853514423635</v>
      </c>
      <c r="AA107" s="17">
        <f t="shared" si="104"/>
        <v>285.83951171474541</v>
      </c>
      <c r="AB107" s="17">
        <f>求节点(盗宝贼掉落!$CV$5:$CV$164,盗宝贼掉落!$DF$5:$DF$164,$O107)</f>
        <v>2008.4026810665473</v>
      </c>
      <c r="AC107" s="17">
        <f>$AB107*INDEX(盗宝贼掉落!$D$64:$D$67,MATCH(AC$16,盗宝贼掉落!$B$64:$B$67,0))*INDEX(盗宝贼掉落!$F$64:$F$67,MATCH(AC$16,盗宝贼掉落!$B$64:$B$67,0))</f>
        <v>1506.3020107999105</v>
      </c>
      <c r="AD107" s="17">
        <f>$AB107*INDEX(盗宝贼掉落!$D$64:$D$67,MATCH(AD$16,盗宝贼掉落!$B$64:$B$67,0))*INDEX(盗宝贼掉落!$F$64:$F$67,MATCH(AD$16,盗宝贼掉落!$B$64:$B$67,0))</f>
        <v>100.42013405332737</v>
      </c>
      <c r="AE107" s="17">
        <f>$AB107*INDEX(盗宝贼掉落!$D$64:$D$67,MATCH(AE$16,盗宝贼掉落!$B$64:$B$67,0))*INDEX(盗宝贼掉落!$F$64:$F$67,MATCH(AE$16,盗宝贼掉落!$B$64:$B$67,0))</f>
        <v>0</v>
      </c>
      <c r="AF107" s="17">
        <f>$AB107*INDEX(盗宝贼掉落!$D$64:$D$67,MATCH(AF$16,盗宝贼掉落!$B$64:$B$67,0))*INDEX(盗宝贼掉落!$F$64:$F$67,MATCH(AF$16,盗宝贼掉落!$B$64:$B$67,0))</f>
        <v>0</v>
      </c>
      <c r="AG107" s="17">
        <f>求节点(匈奴铁骑掉落!$J$7:$J$166,匈奴铁骑掉落!N$7:N$166,O107)</f>
        <v>2373.0383999999999</v>
      </c>
      <c r="AH107" s="17">
        <f>$AG107*INDEX(盗宝贼掉落!$D$64:$D$67,MATCH(AH$16,盗宝贼掉落!$B$64:$B$67,0))*INDEX(盗宝贼掉落!$G$64:$G$67,MATCH(AH$16,盗宝贼掉落!$B$64:$B$67,0))</f>
        <v>711.91152000000011</v>
      </c>
      <c r="AI107" s="17">
        <f>$AG107*INDEX(盗宝贼掉落!$D$64:$D$67,MATCH(AI$16,盗宝贼掉落!$B$64:$B$67,0))*INDEX(盗宝贼掉落!$G$64:$G$67,MATCH(AI$16,盗宝贼掉落!$B$64:$B$67,0))</f>
        <v>189.84307200000001</v>
      </c>
      <c r="AJ107" s="17">
        <f>$AG107*INDEX(盗宝贼掉落!$D$64:$D$67,MATCH(AJ$16,盗宝贼掉落!$B$64:$B$67,0))*INDEX(盗宝贼掉落!$G$64:$G$67,MATCH(AJ$16,盗宝贼掉落!$B$64:$B$67,0))</f>
        <v>47.460768000000002</v>
      </c>
      <c r="AK107" s="17">
        <f>$AG107*INDEX(盗宝贼掉落!$D$64:$D$67,MATCH(AK$16,盗宝贼掉落!$B$64:$B$67,0))*INDEX(盗宝贼掉落!$G$64:$G$67,MATCH(AK$16,盗宝贼掉落!$B$64:$B$67,0))</f>
        <v>0</v>
      </c>
      <c r="AL107" s="17">
        <f t="shared" si="105"/>
        <v>16510.189116537185</v>
      </c>
      <c r="AM107" s="17">
        <f t="shared" si="94"/>
        <v>5054.2550679657506</v>
      </c>
      <c r="AN107" s="17">
        <f t="shared" si="95"/>
        <v>904.97930314423638</v>
      </c>
      <c r="AO107" s="17">
        <f t="shared" si="96"/>
        <v>285.83951171474541</v>
      </c>
      <c r="AP107" s="84">
        <f>IFERROR(MAX(MIN(求节点(宝物升星!D$67:D$72,宝物升星!$C$67:$C$72,AL107/基础状态预期!C$8),宝物升星!D$14),AP106),AP106)</f>
        <v>0</v>
      </c>
      <c r="AQ107" s="84">
        <f>IFERROR(MAX(MIN(求节点(宝物升星!E$67:E$72,宝物升星!$C$67:$C$72,AM107/基础状态预期!D$8),宝物升星!E$14),AQ106),AQ106)</f>
        <v>3</v>
      </c>
      <c r="AR107" s="84">
        <f>IFERROR(MAX(MIN(求节点(宝物升星!F$67:F$72,宝物升星!$C$67:$C$72,AN107/基础状态预期!E$8),宝物升星!F$14),AR106),AR106)</f>
        <v>5</v>
      </c>
      <c r="AS107" s="54">
        <f>IFERROR(MAX(MIN(求节点(宝物升星!G$67:G$72,宝物升星!$C$67:$C$72,AO107/MAX(基础状态预期!L107,基础状态预期!L106)),宝物升星!G$14),AS106),AS106)</f>
        <v>5</v>
      </c>
      <c r="AV107" s="38">
        <f t="shared" si="97"/>
        <v>0.86564578302873152</v>
      </c>
      <c r="AW107" s="38">
        <f t="shared" si="106"/>
        <v>4.3119525462426381E-2</v>
      </c>
      <c r="AX107" s="38">
        <f t="shared" si="107"/>
        <v>9.1234691508841989E-2</v>
      </c>
      <c r="AY107" s="38">
        <f t="shared" si="98"/>
        <v>0.94257052678385045</v>
      </c>
      <c r="AZ107" s="38">
        <f t="shared" si="108"/>
        <v>3.7561039054645202E-2</v>
      </c>
      <c r="BA107" s="38">
        <f t="shared" si="109"/>
        <v>1.9868434161504384E-2</v>
      </c>
      <c r="BB107" s="38">
        <f t="shared" si="99"/>
        <v>0.94755596306445511</v>
      </c>
      <c r="BC107" s="38">
        <f t="shared" si="110"/>
        <v>5.2444036935544884E-2</v>
      </c>
      <c r="BD107" s="38">
        <f t="shared" si="111"/>
        <v>0</v>
      </c>
      <c r="BE107" s="38">
        <f t="shared" si="100"/>
        <v>1</v>
      </c>
      <c r="BF107" s="38">
        <f t="shared" si="112"/>
        <v>0</v>
      </c>
      <c r="BG107" s="38">
        <f t="shared" si="113"/>
        <v>0</v>
      </c>
      <c r="BJ107" s="16">
        <v>682.24853999999993</v>
      </c>
      <c r="BK107" s="16">
        <v>296.62979999999999</v>
      </c>
      <c r="BL107" s="16">
        <v>19.775320000000001</v>
      </c>
      <c r="BM107" s="16">
        <v>6.9213620000000002</v>
      </c>
      <c r="BN107" s="16">
        <v>9304.5977601109571</v>
      </c>
      <c r="BO107" s="16">
        <v>2769.0656704903436</v>
      </c>
      <c r="BP107" s="16">
        <v>446.73815255866293</v>
      </c>
      <c r="BQ107" s="16">
        <v>149.24230618622093</v>
      </c>
      <c r="BR107" s="16">
        <v>0</v>
      </c>
      <c r="BS107" s="16">
        <v>3</v>
      </c>
      <c r="BT107" s="16">
        <v>5</v>
      </c>
      <c r="BU107" s="16">
        <v>5</v>
      </c>
      <c r="BX107" s="37" t="str">
        <f t="shared" si="86"/>
        <v/>
      </c>
    </row>
    <row r="108" spans="14:76">
      <c r="N108" s="16">
        <v>16</v>
      </c>
      <c r="O108" s="17">
        <v>125</v>
      </c>
      <c r="P108" s="17">
        <f>求节点(节奏总纲!$O$4:$O$163,节奏总纲!S$4:S$163,O108)</f>
        <v>2816.4641988448207</v>
      </c>
      <c r="Q108" s="17">
        <f>INDEX(其他调用!$F$4:$F$163,$O108)*$P$10</f>
        <v>17717255.261147659</v>
      </c>
      <c r="R108" s="50">
        <v>1</v>
      </c>
      <c r="S108" s="17">
        <f t="shared" si="87"/>
        <v>0.375</v>
      </c>
      <c r="T108" s="17">
        <f t="shared" si="88"/>
        <v>0.125</v>
      </c>
      <c r="U108" s="17">
        <f t="shared" si="89"/>
        <v>2.2500000000000003E-2</v>
      </c>
      <c r="V108" s="17">
        <f t="shared" si="90"/>
        <v>7.4999999999999997E-3</v>
      </c>
      <c r="W108" s="17">
        <f t="shared" si="101"/>
        <v>5140316.7456988599</v>
      </c>
      <c r="X108" s="17">
        <f t="shared" si="114"/>
        <v>20133.244614940522</v>
      </c>
      <c r="Y108" s="17">
        <f t="shared" si="102"/>
        <v>6711.0815383135068</v>
      </c>
      <c r="Z108" s="17">
        <f t="shared" si="103"/>
        <v>1207.9946768964314</v>
      </c>
      <c r="AA108" s="17">
        <f t="shared" si="104"/>
        <v>402.6648922988104</v>
      </c>
      <c r="AB108" s="17">
        <f>求节点(盗宝贼掉落!$CV$5:$CV$164,盗宝贼掉落!$DF$5:$DF$164,$O108)</f>
        <v>2852.6451442286107</v>
      </c>
      <c r="AC108" s="17">
        <f>$AB108*INDEX(盗宝贼掉落!$D$64:$D$67,MATCH(AC$16,盗宝贼掉落!$B$64:$B$67,0))*INDEX(盗宝贼掉落!$F$64:$F$67,MATCH(AC$16,盗宝贼掉落!$B$64:$B$67,0))</f>
        <v>2139.483858171458</v>
      </c>
      <c r="AD108" s="17">
        <f>$AB108*INDEX(盗宝贼掉落!$D$64:$D$67,MATCH(AD$16,盗宝贼掉落!$B$64:$B$67,0))*INDEX(盗宝贼掉落!$F$64:$F$67,MATCH(AD$16,盗宝贼掉落!$B$64:$B$67,0))</f>
        <v>142.63225721143053</v>
      </c>
      <c r="AE108" s="17">
        <f>$AB108*INDEX(盗宝贼掉落!$D$64:$D$67,MATCH(AE$16,盗宝贼掉落!$B$64:$B$67,0))*INDEX(盗宝贼掉落!$F$64:$F$67,MATCH(AE$16,盗宝贼掉落!$B$64:$B$67,0))</f>
        <v>0</v>
      </c>
      <c r="AF108" s="17">
        <f>$AB108*INDEX(盗宝贼掉落!$D$64:$D$67,MATCH(AF$16,盗宝贼掉落!$B$64:$B$67,0))*INDEX(盗宝贼掉落!$F$64:$F$67,MATCH(AF$16,盗宝贼掉落!$B$64:$B$67,0))</f>
        <v>0</v>
      </c>
      <c r="AG108" s="17">
        <f>求节点(匈奴铁骑掉落!$J$7:$J$166,匈奴铁骑掉落!N$7:N$166,O108)</f>
        <v>3366.5570386137852</v>
      </c>
      <c r="AH108" s="17">
        <f>$AG108*INDEX(盗宝贼掉落!$D$64:$D$67,MATCH(AH$16,盗宝贼掉落!$B$64:$B$67,0))*INDEX(盗宝贼掉落!$G$64:$G$67,MATCH(AH$16,盗宝贼掉落!$B$64:$B$67,0))</f>
        <v>1009.9671115841358</v>
      </c>
      <c r="AI108" s="17">
        <f>$AG108*INDEX(盗宝贼掉落!$D$64:$D$67,MATCH(AI$16,盗宝贼掉落!$B$64:$B$67,0))*INDEX(盗宝贼掉落!$G$64:$G$67,MATCH(AI$16,盗宝贼掉落!$B$64:$B$67,0))</f>
        <v>269.32456308910281</v>
      </c>
      <c r="AJ108" s="17">
        <f>$AG108*INDEX(盗宝贼掉落!$D$64:$D$67,MATCH(AJ$16,盗宝贼掉落!$B$64:$B$67,0))*INDEX(盗宝贼掉落!$G$64:$G$67,MATCH(AJ$16,盗宝贼掉落!$B$64:$B$67,0))</f>
        <v>67.331140772275702</v>
      </c>
      <c r="AK108" s="17">
        <f>$AG108*INDEX(盗宝贼掉落!$D$64:$D$67,MATCH(AK$16,盗宝贼掉落!$B$64:$B$67,0))*INDEX(盗宝贼掉落!$G$64:$G$67,MATCH(AK$16,盗宝贼掉落!$B$64:$B$67,0))</f>
        <v>0</v>
      </c>
      <c r="AL108" s="17">
        <f t="shared" si="105"/>
        <v>23282.695584696117</v>
      </c>
      <c r="AM108" s="17">
        <f t="shared" si="94"/>
        <v>7123.0383586140397</v>
      </c>
      <c r="AN108" s="17">
        <f t="shared" si="95"/>
        <v>1275.325817668707</v>
      </c>
      <c r="AO108" s="17">
        <f t="shared" si="96"/>
        <v>402.6648922988104</v>
      </c>
      <c r="AP108" s="84">
        <f>IFERROR(MAX(MIN(求节点(宝物升星!D$67:D$72,宝物升星!$C$67:$C$72,AL108/基础状态预期!C$8),宝物升星!D$14),AP107),AP107)</f>
        <v>0</v>
      </c>
      <c r="AQ108" s="84">
        <f>IFERROR(MAX(MIN(求节点(宝物升星!E$67:E$72,宝物升星!$C$67:$C$72,AM108/基础状态预期!D$8),宝物升星!E$14),AQ107),AQ107)</f>
        <v>3</v>
      </c>
      <c r="AR108" s="84">
        <f>IFERROR(MAX(MIN(求节点(宝物升星!F$67:F$72,宝物升星!$C$67:$C$72,AN108/基础状态预期!E$8),宝物升星!F$14),AR107),AR107)</f>
        <v>5</v>
      </c>
      <c r="AS108" s="54">
        <f>IFERROR(MAX(MIN(求节点(宝物升星!G$67:G$72,宝物升星!$C$67:$C$72,AO108/MAX(基础状态预期!L108,基础状态预期!L107)),宝物升星!G$14),AS107),AS107)</f>
        <v>5</v>
      </c>
      <c r="AV108" s="38">
        <f t="shared" si="97"/>
        <v>0.86472996830204873</v>
      </c>
      <c r="AW108" s="38">
        <f t="shared" si="106"/>
        <v>4.337844421450901E-2</v>
      </c>
      <c r="AX108" s="38">
        <f t="shared" si="107"/>
        <v>9.1891587483442255E-2</v>
      </c>
      <c r="AY108" s="38">
        <f t="shared" si="98"/>
        <v>0.94216557604209095</v>
      </c>
      <c r="AZ108" s="38">
        <f t="shared" si="108"/>
        <v>3.7810348552089847E-2</v>
      </c>
      <c r="BA108" s="38">
        <f t="shared" si="109"/>
        <v>2.0024075405819252E-2</v>
      </c>
      <c r="BB108" s="38">
        <f t="shared" si="99"/>
        <v>0.94720475360927237</v>
      </c>
      <c r="BC108" s="38">
        <f t="shared" si="110"/>
        <v>5.2795246390727732E-2</v>
      </c>
      <c r="BD108" s="38">
        <f t="shared" si="111"/>
        <v>0</v>
      </c>
      <c r="BE108" s="38">
        <f t="shared" si="100"/>
        <v>1</v>
      </c>
      <c r="BF108" s="38">
        <f t="shared" si="112"/>
        <v>0</v>
      </c>
      <c r="BG108" s="38">
        <f t="shared" si="113"/>
        <v>0</v>
      </c>
      <c r="BJ108" s="16">
        <v>967.88514860146313</v>
      </c>
      <c r="BK108" s="16">
        <v>420.81962982672314</v>
      </c>
      <c r="BL108" s="16">
        <v>28.054641988448211</v>
      </c>
      <c r="BM108" s="16">
        <v>9.819124695956873</v>
      </c>
      <c r="BN108" s="16">
        <v>11097.132064360208</v>
      </c>
      <c r="BO108" s="16">
        <v>3226.7062395672501</v>
      </c>
      <c r="BP108" s="16">
        <v>507.44042544368563</v>
      </c>
      <c r="BQ108" s="16">
        <v>169.61438584770264</v>
      </c>
      <c r="BR108" s="16">
        <v>0</v>
      </c>
      <c r="BS108" s="16">
        <v>3</v>
      </c>
      <c r="BT108" s="16">
        <v>5</v>
      </c>
      <c r="BU108" s="16">
        <v>5</v>
      </c>
      <c r="BX108" s="37" t="str">
        <f t="shared" si="86"/>
        <v/>
      </c>
    </row>
    <row r="109" spans="14:76">
      <c r="N109" s="16">
        <v>17</v>
      </c>
      <c r="O109" s="17">
        <v>130</v>
      </c>
      <c r="P109" s="17">
        <f>求节点(节奏总纲!$O$4:$O$163,节奏总纲!S$4:S$163,O109)</f>
        <v>3951.3384000000001</v>
      </c>
      <c r="Q109" s="17">
        <f>INDEX(其他调用!$F$4:$F$163,$O109)*$P$10</f>
        <v>24723129.022692617</v>
      </c>
      <c r="R109" s="50">
        <v>1</v>
      </c>
      <c r="S109" s="17">
        <f t="shared" si="87"/>
        <v>0.375</v>
      </c>
      <c r="T109" s="17">
        <f t="shared" si="88"/>
        <v>0.125</v>
      </c>
      <c r="U109" s="17">
        <f t="shared" si="89"/>
        <v>2.2500000000000003E-2</v>
      </c>
      <c r="V109" s="17">
        <f t="shared" si="90"/>
        <v>7.4999999999999997E-3</v>
      </c>
      <c r="W109" s="17">
        <f t="shared" si="101"/>
        <v>7005873.7615449578</v>
      </c>
      <c r="X109" s="17">
        <f t="shared" si="114"/>
        <v>28094.464798514338</v>
      </c>
      <c r="Y109" s="17">
        <f t="shared" si="102"/>
        <v>9364.8215995047794</v>
      </c>
      <c r="Z109" s="17">
        <f t="shared" si="103"/>
        <v>1685.6678879108604</v>
      </c>
      <c r="AA109" s="17">
        <f t="shared" si="104"/>
        <v>561.88929597028664</v>
      </c>
      <c r="AB109" s="17">
        <f>求节点(盗宝贼掉落!$CV$5:$CV$164,盗宝贼掉落!$DF$5:$DF$164,$O109)</f>
        <v>4009.8763671465472</v>
      </c>
      <c r="AC109" s="17">
        <f>$AB109*INDEX(盗宝贼掉落!$D$64:$D$67,MATCH(AC$16,盗宝贼掉落!$B$64:$B$67,0))*INDEX(盗宝贼掉落!$F$64:$F$67,MATCH(AC$16,盗宝贼掉落!$B$64:$B$67,0))</f>
        <v>3007.4072753599103</v>
      </c>
      <c r="AD109" s="17">
        <f>$AB109*INDEX(盗宝贼掉落!$D$64:$D$67,MATCH(AD$16,盗宝贼掉落!$B$64:$B$67,0))*INDEX(盗宝贼掉落!$F$64:$F$67,MATCH(AD$16,盗宝贼掉落!$B$64:$B$67,0))</f>
        <v>200.49381835732737</v>
      </c>
      <c r="AE109" s="17">
        <f>$AB109*INDEX(盗宝贼掉落!$D$64:$D$67,MATCH(AE$16,盗宝贼掉落!$B$64:$B$67,0))*INDEX(盗宝贼掉落!$F$64:$F$67,MATCH(AE$16,盗宝贼掉落!$B$64:$B$67,0))</f>
        <v>0</v>
      </c>
      <c r="AF109" s="17">
        <f>$AB109*INDEX(盗宝贼掉落!$D$64:$D$67,MATCH(AF$16,盗宝贼掉落!$B$64:$B$67,0))*INDEX(盗宝贼掉落!$F$64:$F$67,MATCH(AF$16,盗宝贼掉落!$B$64:$B$67,0))</f>
        <v>0</v>
      </c>
      <c r="AG109" s="17">
        <f>求节点(匈奴铁骑掉落!$J$7:$J$166,匈奴铁骑掉落!N$7:N$166,O109)</f>
        <v>4728.4060799999997</v>
      </c>
      <c r="AH109" s="17">
        <f>$AG109*INDEX(盗宝贼掉落!$D$64:$D$67,MATCH(AH$16,盗宝贼掉落!$B$64:$B$67,0))*INDEX(盗宝贼掉落!$G$64:$G$67,MATCH(AH$16,盗宝贼掉落!$B$64:$B$67,0))</f>
        <v>1418.5218240000002</v>
      </c>
      <c r="AI109" s="17">
        <f>$AG109*INDEX(盗宝贼掉落!$D$64:$D$67,MATCH(AI$16,盗宝贼掉落!$B$64:$B$67,0))*INDEX(盗宝贼掉落!$G$64:$G$67,MATCH(AI$16,盗宝贼掉落!$B$64:$B$67,0))</f>
        <v>378.27248639999999</v>
      </c>
      <c r="AJ109" s="17">
        <f>$AG109*INDEX(盗宝贼掉落!$D$64:$D$67,MATCH(AJ$16,盗宝贼掉落!$B$64:$B$67,0))*INDEX(盗宝贼掉落!$G$64:$G$67,MATCH(AJ$16,盗宝贼掉落!$B$64:$B$67,0))</f>
        <v>94.568121599999984</v>
      </c>
      <c r="AK109" s="17">
        <f>$AG109*INDEX(盗宝贼掉落!$D$64:$D$67,MATCH(AK$16,盗宝贼掉落!$B$64:$B$67,0))*INDEX(盗宝贼掉落!$G$64:$G$67,MATCH(AK$16,盗宝贼掉落!$B$64:$B$67,0))</f>
        <v>0</v>
      </c>
      <c r="AL109" s="17">
        <f t="shared" si="105"/>
        <v>32520.393897874248</v>
      </c>
      <c r="AM109" s="17">
        <f t="shared" si="94"/>
        <v>9943.5879042621054</v>
      </c>
      <c r="AN109" s="17">
        <f t="shared" si="95"/>
        <v>1780.2360095108604</v>
      </c>
      <c r="AO109" s="17">
        <f t="shared" si="96"/>
        <v>561.88929597028664</v>
      </c>
      <c r="AP109" s="84">
        <f>IFERROR(MAX(MIN(求节点(宝物升星!D$67:D$72,宝物升星!$C$67:$C$72,AL109/基础状态预期!C$8),宝物升星!D$14),AP108),AP108)</f>
        <v>0</v>
      </c>
      <c r="AQ109" s="84">
        <f>IFERROR(MAX(MIN(求节点(宝物升星!E$67:E$72,宝物升星!$C$67:$C$72,AM109/基础状态预期!D$8),宝物升星!E$14),AQ108),AQ108)</f>
        <v>3</v>
      </c>
      <c r="AR109" s="84">
        <f>IFERROR(MAX(MIN(求节点(宝物升星!F$67:F$72,宝物升星!$C$67:$C$72,AN109/基础状态预期!E$8),宝物升星!F$14),AR108),AR108)</f>
        <v>5</v>
      </c>
      <c r="AS109" s="54">
        <f>IFERROR(MAX(MIN(求节点(宝物升星!G$67:G$72,宝物升星!$C$67:$C$72,AO109/MAX(基础状态预期!L109,基础状态预期!L108)),宝物升星!G$14),AS108),AS108)</f>
        <v>5</v>
      </c>
      <c r="AV109" s="38">
        <f t="shared" si="97"/>
        <v>0.86390296768056007</v>
      </c>
      <c r="AW109" s="38">
        <f t="shared" si="106"/>
        <v>4.3619453948026264E-2</v>
      </c>
      <c r="AX109" s="38">
        <f t="shared" si="107"/>
        <v>9.2477578371413724E-2</v>
      </c>
      <c r="AY109" s="38">
        <f t="shared" si="98"/>
        <v>0.94179502305106089</v>
      </c>
      <c r="AZ109" s="38">
        <f t="shared" si="108"/>
        <v>3.8041850692330244E-2</v>
      </c>
      <c r="BA109" s="38">
        <f t="shared" si="109"/>
        <v>2.0163126256609046E-2</v>
      </c>
      <c r="BB109" s="38">
        <f t="shared" si="99"/>
        <v>0.94687888510581042</v>
      </c>
      <c r="BC109" s="38">
        <f t="shared" si="110"/>
        <v>5.3121114894189574E-2</v>
      </c>
      <c r="BD109" s="38">
        <f t="shared" si="111"/>
        <v>0</v>
      </c>
      <c r="BE109" s="38">
        <f t="shared" si="100"/>
        <v>1</v>
      </c>
      <c r="BF109" s="38">
        <f t="shared" si="112"/>
        <v>0</v>
      </c>
      <c r="BG109" s="38">
        <f t="shared" si="113"/>
        <v>0</v>
      </c>
      <c r="BJ109" s="16">
        <v>1359.4167479999999</v>
      </c>
      <c r="BK109" s="16">
        <v>591.05075999999997</v>
      </c>
      <c r="BL109" s="16">
        <v>39.403384000000003</v>
      </c>
      <c r="BM109" s="16">
        <v>13.791184400000001</v>
      </c>
      <c r="BN109" s="16">
        <v>13230.302929223437</v>
      </c>
      <c r="BO109" s="16">
        <v>3746.0375469785035</v>
      </c>
      <c r="BP109" s="16">
        <v>571.21211835181168</v>
      </c>
      <c r="BQ109" s="16">
        <v>191.06076251727055</v>
      </c>
      <c r="BR109" s="16">
        <v>0</v>
      </c>
      <c r="BS109" s="16">
        <v>3</v>
      </c>
      <c r="BT109" s="16">
        <v>5</v>
      </c>
      <c r="BU109" s="16">
        <v>5</v>
      </c>
      <c r="BX109" s="37" t="str">
        <f t="shared" si="86"/>
        <v/>
      </c>
    </row>
    <row r="110" spans="14:76">
      <c r="N110" s="16">
        <v>18</v>
      </c>
      <c r="O110" s="17">
        <v>135</v>
      </c>
      <c r="P110" s="17">
        <f>求节点(节奏总纲!$O$4:$O$163,节奏总纲!S$4:S$163,O110)</f>
        <v>5548.8497639180305</v>
      </c>
      <c r="Q110" s="17">
        <f>INDEX(其他调用!$F$4:$F$163,$O110)*$P$10</f>
        <v>34581632.335050635</v>
      </c>
      <c r="R110" s="50">
        <v>1</v>
      </c>
      <c r="S110" s="17">
        <f t="shared" si="87"/>
        <v>0.375</v>
      </c>
      <c r="T110" s="17">
        <f t="shared" si="88"/>
        <v>0.125</v>
      </c>
      <c r="U110" s="17">
        <f t="shared" si="89"/>
        <v>2.2500000000000003E-2</v>
      </c>
      <c r="V110" s="17">
        <f t="shared" si="90"/>
        <v>7.4999999999999997E-3</v>
      </c>
      <c r="W110" s="17">
        <f t="shared" si="101"/>
        <v>9858503.312358018</v>
      </c>
      <c r="X110" s="17">
        <f t="shared" si="114"/>
        <v>39297.309471648448</v>
      </c>
      <c r="Y110" s="17">
        <f t="shared" si="102"/>
        <v>13099.10315721615</v>
      </c>
      <c r="Z110" s="17">
        <f t="shared" si="103"/>
        <v>2357.8385682989074</v>
      </c>
      <c r="AA110" s="17">
        <f t="shared" si="104"/>
        <v>785.94618943296882</v>
      </c>
      <c r="AB110" s="17">
        <f>求节点(盗宝贼掉落!$CV$5:$CV$164,盗宝贼掉落!$DF$5:$DF$164,$O110)</f>
        <v>5638.858704933763</v>
      </c>
      <c r="AC110" s="17">
        <f>$AB110*INDEX(盗宝贼掉落!$D$64:$D$67,MATCH(AC$16,盗宝贼掉落!$B$64:$B$67,0))*INDEX(盗宝贼掉落!$F$64:$F$67,MATCH(AC$16,盗宝贼掉落!$B$64:$B$67,0))</f>
        <v>4229.1440287003225</v>
      </c>
      <c r="AD110" s="17">
        <f>$AB110*INDEX(盗宝贼掉落!$D$64:$D$67,MATCH(AD$16,盗宝贼掉落!$B$64:$B$67,0))*INDEX(盗宝贼掉落!$F$64:$F$67,MATCH(AD$16,盗宝贼掉落!$B$64:$B$67,0))</f>
        <v>281.94293524668814</v>
      </c>
      <c r="AE110" s="17">
        <f>$AB110*INDEX(盗宝贼掉落!$D$64:$D$67,MATCH(AE$16,盗宝贼掉落!$B$64:$B$67,0))*INDEX(盗宝贼掉落!$F$64:$F$67,MATCH(AE$16,盗宝贼掉落!$B$64:$B$67,0))</f>
        <v>0</v>
      </c>
      <c r="AF110" s="17">
        <f>$AB110*INDEX(盗宝贼掉落!$D$64:$D$67,MATCH(AF$16,盗宝贼掉落!$B$64:$B$67,0))*INDEX(盗宝贼掉落!$F$64:$F$67,MATCH(AF$16,盗宝贼掉落!$B$64:$B$67,0))</f>
        <v>0</v>
      </c>
      <c r="AG110" s="17">
        <f>求节点(匈奴铁骑掉落!$J$7:$J$166,匈奴铁骑掉落!N$7:N$166,O110)</f>
        <v>6645.4197167016364</v>
      </c>
      <c r="AH110" s="17">
        <f>$AG110*INDEX(盗宝贼掉落!$D$64:$D$67,MATCH(AH$16,盗宝贼掉落!$B$64:$B$67,0))*INDEX(盗宝贼掉落!$G$64:$G$67,MATCH(AH$16,盗宝贼掉落!$B$64:$B$67,0))</f>
        <v>1993.6259150104911</v>
      </c>
      <c r="AI110" s="17">
        <f>$AG110*INDEX(盗宝贼掉落!$D$64:$D$67,MATCH(AI$16,盗宝贼掉落!$B$64:$B$67,0))*INDEX(盗宝贼掉落!$G$64:$G$67,MATCH(AI$16,盗宝贼掉落!$B$64:$B$67,0))</f>
        <v>531.633577336131</v>
      </c>
      <c r="AJ110" s="17">
        <f>$AG110*INDEX(盗宝贼掉落!$D$64:$D$67,MATCH(AJ$16,盗宝贼掉落!$B$64:$B$67,0))*INDEX(盗宝贼掉落!$G$64:$G$67,MATCH(AJ$16,盗宝贼掉落!$B$64:$B$67,0))</f>
        <v>132.90839433403272</v>
      </c>
      <c r="AK110" s="17">
        <f>$AG110*INDEX(盗宝贼掉落!$D$64:$D$67,MATCH(AK$16,盗宝贼掉落!$B$64:$B$67,0))*INDEX(盗宝贼掉落!$G$64:$G$67,MATCH(AK$16,盗宝贼掉落!$B$64:$B$67,0))</f>
        <v>0</v>
      </c>
      <c r="AL110" s="17">
        <f t="shared" si="105"/>
        <v>45520.079415359258</v>
      </c>
      <c r="AM110" s="17">
        <f t="shared" si="94"/>
        <v>13912.67966979897</v>
      </c>
      <c r="AN110" s="17">
        <f t="shared" si="95"/>
        <v>2490.7469626329403</v>
      </c>
      <c r="AO110" s="17">
        <f t="shared" si="96"/>
        <v>785.94618943296882</v>
      </c>
      <c r="AP110" s="84">
        <f>IFERROR(MAX(MIN(求节点(宝物升星!D$67:D$72,宝物升星!$C$67:$C$72,AL110/基础状态预期!C$8),宝物升星!D$14),AP109),AP109)</f>
        <v>0</v>
      </c>
      <c r="AQ110" s="84">
        <f>IFERROR(MAX(MIN(求节点(宝物升星!E$67:E$72,宝物升星!$C$67:$C$72,AM110/基础状态预期!D$8),宝物升星!E$14),AQ109),AQ109)</f>
        <v>3</v>
      </c>
      <c r="AR110" s="84">
        <f>IFERROR(MAX(MIN(求节点(宝物升星!F$67:F$72,宝物升星!$C$67:$C$72,AN110/基础状态预期!E$8),宝物升星!F$14),AR109),AR109)</f>
        <v>5</v>
      </c>
      <c r="AS110" s="54">
        <f>IFERROR(MAX(MIN(求节点(宝物升星!G$67:G$72,宝物升星!$C$67:$C$72,AO110/MAX(基础状态预期!L110,基础状态预期!L109)),宝物升星!G$14),AS109),AS109)</f>
        <v>5</v>
      </c>
      <c r="AV110" s="38">
        <f t="shared" si="97"/>
        <v>0.86329615361762435</v>
      </c>
      <c r="AW110" s="38">
        <f t="shared" si="106"/>
        <v>4.3796626469368757E-2</v>
      </c>
      <c r="AX110" s="38">
        <f t="shared" si="107"/>
        <v>9.2907219913006933E-2</v>
      </c>
      <c r="AY110" s="38">
        <f t="shared" si="98"/>
        <v>0.9415226590497231</v>
      </c>
      <c r="AZ110" s="38">
        <f t="shared" si="108"/>
        <v>3.8212162570678436E-2</v>
      </c>
      <c r="BA110" s="38">
        <f t="shared" si="109"/>
        <v>2.0265178379598389E-2</v>
      </c>
      <c r="BB110" s="38">
        <f t="shared" si="99"/>
        <v>0.94663914226215218</v>
      </c>
      <c r="BC110" s="38">
        <f t="shared" si="110"/>
        <v>5.3360857737847753E-2</v>
      </c>
      <c r="BD110" s="38">
        <f t="shared" si="111"/>
        <v>0</v>
      </c>
      <c r="BE110" s="38">
        <f t="shared" si="100"/>
        <v>1</v>
      </c>
      <c r="BF110" s="38">
        <f t="shared" si="112"/>
        <v>0</v>
      </c>
      <c r="BG110" s="38">
        <f t="shared" si="113"/>
        <v>0</v>
      </c>
      <c r="BJ110" s="16">
        <v>1910.5581685517202</v>
      </c>
      <c r="BK110" s="16">
        <v>830.67746458770455</v>
      </c>
      <c r="BL110" s="16">
        <v>55.378497639180296</v>
      </c>
      <c r="BM110" s="16">
        <v>19.382474173713106</v>
      </c>
      <c r="BN110" s="16">
        <v>15876.896951391809</v>
      </c>
      <c r="BO110" s="16">
        <v>4358.3519845476485</v>
      </c>
      <c r="BP110" s="16">
        <v>639.61018288756634</v>
      </c>
      <c r="BQ110" s="16">
        <v>214.12636925650844</v>
      </c>
      <c r="BR110" s="16">
        <v>0</v>
      </c>
      <c r="BS110" s="16">
        <v>3</v>
      </c>
      <c r="BT110" s="16">
        <v>5</v>
      </c>
      <c r="BU110" s="16">
        <v>5</v>
      </c>
      <c r="BX110" s="37" t="str">
        <f t="shared" si="86"/>
        <v/>
      </c>
    </row>
    <row r="111" spans="14:76">
      <c r="N111" s="16">
        <v>19</v>
      </c>
      <c r="O111" s="17">
        <v>140</v>
      </c>
      <c r="P111" s="17">
        <f>求节点(节奏总纲!$O$4:$O$163,节奏总纲!S$4:S$163,O111)</f>
        <v>7827.7974000000004</v>
      </c>
      <c r="Q111" s="17">
        <f>INDEX(其他调用!$F$4:$F$163,$O111)*$P$10</f>
        <v>48587153.689521983</v>
      </c>
      <c r="R111" s="50">
        <v>1</v>
      </c>
      <c r="S111" s="17">
        <f t="shared" si="87"/>
        <v>0.375</v>
      </c>
      <c r="T111" s="17">
        <f t="shared" si="88"/>
        <v>0.125</v>
      </c>
      <c r="U111" s="17">
        <f t="shared" si="89"/>
        <v>2.2500000000000003E-2</v>
      </c>
      <c r="V111" s="17">
        <f t="shared" si="90"/>
        <v>7.4999999999999997E-3</v>
      </c>
      <c r="W111" s="17">
        <f t="shared" si="101"/>
        <v>14005521.354471348</v>
      </c>
      <c r="X111" s="17">
        <f t="shared" si="114"/>
        <v>55212.674647184074</v>
      </c>
      <c r="Y111" s="17">
        <f t="shared" si="102"/>
        <v>18404.22488239469</v>
      </c>
      <c r="Z111" s="17">
        <f t="shared" si="103"/>
        <v>3312.760478831045</v>
      </c>
      <c r="AA111" s="17">
        <f t="shared" si="104"/>
        <v>1104.2534929436813</v>
      </c>
      <c r="AB111" s="17">
        <f>求节点(盗宝贼掉落!$CV$5:$CV$164,盗宝贼掉落!$DF$5:$DF$164,$O111)</f>
        <v>7962.7016094465471</v>
      </c>
      <c r="AC111" s="17">
        <f>$AB111*INDEX(盗宝贼掉落!$D$64:$D$67,MATCH(AC$16,盗宝贼掉落!$B$64:$B$67,0))*INDEX(盗宝贼掉落!$F$64:$F$67,MATCH(AC$16,盗宝贼掉落!$B$64:$B$67,0))</f>
        <v>5972.0262070849103</v>
      </c>
      <c r="AD111" s="17">
        <f>$AB111*INDEX(盗宝贼掉落!$D$64:$D$67,MATCH(AD$16,盗宝贼掉落!$B$64:$B$67,0))*INDEX(盗宝贼掉落!$F$64:$F$67,MATCH(AD$16,盗宝贼掉落!$B$64:$B$67,0))</f>
        <v>398.13508047232739</v>
      </c>
      <c r="AE111" s="17">
        <f>$AB111*INDEX(盗宝贼掉落!$D$64:$D$67,MATCH(AE$16,盗宝贼掉落!$B$64:$B$67,0))*INDEX(盗宝贼掉落!$F$64:$F$67,MATCH(AE$16,盗宝贼掉落!$B$64:$B$67,0))</f>
        <v>0</v>
      </c>
      <c r="AF111" s="17">
        <f>$AB111*INDEX(盗宝贼掉落!$D$64:$D$67,MATCH(AF$16,盗宝贼掉落!$B$64:$B$67,0))*INDEX(盗宝贼掉落!$F$64:$F$67,MATCH(AF$16,盗宝贼掉落!$B$64:$B$67,0))</f>
        <v>0</v>
      </c>
      <c r="AG111" s="17">
        <f>求节点(匈奴铁骑掉落!$J$7:$J$166,匈奴铁骑掉落!N$7:N$166,O111)</f>
        <v>9380.1568800000005</v>
      </c>
      <c r="AH111" s="17">
        <f>$AG111*INDEX(盗宝贼掉落!$D$64:$D$67,MATCH(AH$16,盗宝贼掉落!$B$64:$B$67,0))*INDEX(盗宝贼掉落!$G$64:$G$67,MATCH(AH$16,盗宝贼掉落!$B$64:$B$67,0))</f>
        <v>2814.0470640000008</v>
      </c>
      <c r="AI111" s="17">
        <f>$AG111*INDEX(盗宝贼掉落!$D$64:$D$67,MATCH(AI$16,盗宝贼掉落!$B$64:$B$67,0))*INDEX(盗宝贼掉落!$G$64:$G$67,MATCH(AI$16,盗宝贼掉落!$B$64:$B$67,0))</f>
        <v>750.4125504000001</v>
      </c>
      <c r="AJ111" s="17">
        <f>$AG111*INDEX(盗宝贼掉落!$D$64:$D$67,MATCH(AJ$16,盗宝贼掉落!$B$64:$B$67,0))*INDEX(盗宝贼掉落!$G$64:$G$67,MATCH(AJ$16,盗宝贼掉落!$B$64:$B$67,0))</f>
        <v>187.6031376</v>
      </c>
      <c r="AK111" s="17">
        <f>$AG111*INDEX(盗宝贼掉落!$D$64:$D$67,MATCH(AK$16,盗宝贼掉落!$B$64:$B$67,0))*INDEX(盗宝贼掉落!$G$64:$G$67,MATCH(AK$16,盗宝贼掉落!$B$64:$B$67,0))</f>
        <v>0</v>
      </c>
      <c r="AL111" s="17">
        <f t="shared" si="105"/>
        <v>63998.747918268986</v>
      </c>
      <c r="AM111" s="17">
        <f t="shared" si="94"/>
        <v>19552.772513267017</v>
      </c>
      <c r="AN111" s="17">
        <f t="shared" si="95"/>
        <v>3500.3636164310451</v>
      </c>
      <c r="AO111" s="17">
        <f t="shared" si="96"/>
        <v>1104.2534929436813</v>
      </c>
      <c r="AP111" s="84">
        <f>IFERROR(MAX(MIN(求节点(宝物升星!D$67:D$72,宝物升星!$C$67:$C$72,AL111/基础状态预期!C$8),宝物升星!D$14),AP110),AP110)</f>
        <v>0</v>
      </c>
      <c r="AQ111" s="84">
        <f>IFERROR(MAX(MIN(求节点(宝物升星!E$67:E$72,宝物升星!$C$67:$C$72,AM111/基础状态预期!D$8),宝物升星!E$14),AQ110),AQ110)</f>
        <v>3</v>
      </c>
      <c r="AR111" s="84">
        <f>IFERROR(MAX(MIN(求节点(宝物升星!F$67:F$72,宝物升星!$C$67:$C$72,AN111/基础状态预期!E$8),宝物升星!F$14),AR110),AR110)</f>
        <v>5</v>
      </c>
      <c r="AS111" s="54">
        <f>IFERROR(MAX(MIN(求节点(宝物升星!G$67:G$72,宝物升星!$C$67:$C$72,AO111/MAX(基础状态预期!L111,基础状态预期!L110)),宝物升星!G$14),AS110),AS110)</f>
        <v>5</v>
      </c>
      <c r="AV111" s="38">
        <f t="shared" si="97"/>
        <v>0.86271491932458799</v>
      </c>
      <c r="AW111" s="38">
        <f t="shared" si="106"/>
        <v>4.3970345601038033E-2</v>
      </c>
      <c r="AX111" s="38">
        <f t="shared" si="107"/>
        <v>9.3314735074373933E-2</v>
      </c>
      <c r="AY111" s="38">
        <f t="shared" si="98"/>
        <v>0.94125909100139071</v>
      </c>
      <c r="AZ111" s="38">
        <f t="shared" si="108"/>
        <v>3.8378830924914994E-2</v>
      </c>
      <c r="BA111" s="38">
        <f t="shared" si="109"/>
        <v>2.0362078073694324E-2</v>
      </c>
      <c r="BB111" s="38">
        <f t="shared" si="99"/>
        <v>0.94640467158343988</v>
      </c>
      <c r="BC111" s="38">
        <f t="shared" si="110"/>
        <v>5.3595328416560138E-2</v>
      </c>
      <c r="BD111" s="38">
        <f t="shared" si="111"/>
        <v>0</v>
      </c>
      <c r="BE111" s="38">
        <f t="shared" si="100"/>
        <v>1</v>
      </c>
      <c r="BF111" s="38">
        <f t="shared" si="112"/>
        <v>0</v>
      </c>
      <c r="BG111" s="38">
        <f t="shared" si="113"/>
        <v>0</v>
      </c>
      <c r="BJ111" s="16">
        <v>2696.7951029999999</v>
      </c>
      <c r="BK111" s="16">
        <v>1172.5196100000001</v>
      </c>
      <c r="BL111" s="16">
        <v>78.167974000000015</v>
      </c>
      <c r="BM111" s="16">
        <v>27.358790900000002</v>
      </c>
      <c r="BN111" s="16">
        <v>19279.731912500916</v>
      </c>
      <c r="BO111" s="16">
        <v>5107.6248912776628</v>
      </c>
      <c r="BP111" s="16">
        <v>714.82261014496044</v>
      </c>
      <c r="BQ111" s="16">
        <v>239.57700294832014</v>
      </c>
      <c r="BR111" s="16">
        <v>0</v>
      </c>
      <c r="BS111" s="16">
        <v>3</v>
      </c>
      <c r="BT111" s="16">
        <v>5</v>
      </c>
      <c r="BU111" s="16">
        <v>5</v>
      </c>
      <c r="BX111" s="37" t="str">
        <f t="shared" si="86"/>
        <v/>
      </c>
    </row>
    <row r="112" spans="14:76">
      <c r="N112" s="16">
        <v>20</v>
      </c>
      <c r="O112" s="17">
        <v>145</v>
      </c>
      <c r="P112" s="17">
        <f>求节点(节奏总纲!$O$4:$O$163,节奏总纲!S$4:S$163,O112)</f>
        <v>11105.129370337838</v>
      </c>
      <c r="Q112" s="17">
        <f>INDEX(其他调用!$F$4:$F$163,$O112)*$P$10</f>
        <v>68719802.974371672</v>
      </c>
      <c r="R112" s="50">
        <v>1</v>
      </c>
      <c r="S112" s="17">
        <f t="shared" si="87"/>
        <v>0.375</v>
      </c>
      <c r="T112" s="17">
        <f t="shared" si="88"/>
        <v>0.125</v>
      </c>
      <c r="U112" s="17">
        <f t="shared" si="89"/>
        <v>2.2500000000000003E-2</v>
      </c>
      <c r="V112" s="17">
        <f t="shared" si="90"/>
        <v>7.4999999999999997E-3</v>
      </c>
      <c r="W112" s="17">
        <f t="shared" si="101"/>
        <v>20132649.284849688</v>
      </c>
      <c r="X112" s="17">
        <f t="shared" si="114"/>
        <v>78090.685198149629</v>
      </c>
      <c r="Y112" s="17">
        <f t="shared" si="102"/>
        <v>26030.22839938321</v>
      </c>
      <c r="Z112" s="17">
        <f t="shared" si="103"/>
        <v>4685.4411118889784</v>
      </c>
      <c r="AA112" s="17">
        <f t="shared" si="104"/>
        <v>1561.8137039629923</v>
      </c>
      <c r="AB112" s="17">
        <f>求节点(盗宝贼掉落!$CV$5:$CV$164,盗宝贼掉落!$DF$5:$DF$164,$O112)</f>
        <v>11304.597019600042</v>
      </c>
      <c r="AC112" s="17">
        <f>$AB112*INDEX(盗宝贼掉落!$D$64:$D$67,MATCH(AC$16,盗宝贼掉落!$B$64:$B$67,0))*INDEX(盗宝贼掉落!$F$64:$F$67,MATCH(AC$16,盗宝贼掉落!$B$64:$B$67,0))</f>
        <v>8478.4477647000313</v>
      </c>
      <c r="AD112" s="17">
        <f>$AB112*INDEX(盗宝贼掉落!$D$64:$D$67,MATCH(AD$16,盗宝贼掉落!$B$64:$B$67,0))*INDEX(盗宝贼掉落!$F$64:$F$67,MATCH(AD$16,盗宝贼掉落!$B$64:$B$67,0))</f>
        <v>565.22985098000208</v>
      </c>
      <c r="AE112" s="17">
        <f>$AB112*INDEX(盗宝贼掉落!$D$64:$D$67,MATCH(AE$16,盗宝贼掉落!$B$64:$B$67,0))*INDEX(盗宝贼掉落!$F$64:$F$67,MATCH(AE$16,盗宝贼掉落!$B$64:$B$67,0))</f>
        <v>0</v>
      </c>
      <c r="AF112" s="17">
        <f>$AB112*INDEX(盗宝贼掉落!$D$64:$D$67,MATCH(AF$16,盗宝贼掉落!$B$64:$B$67,0))*INDEX(盗宝贼掉落!$F$64:$F$67,MATCH(AF$16,盗宝贼掉落!$B$64:$B$67,0))</f>
        <v>0</v>
      </c>
      <c r="AG112" s="17">
        <f>求节点(匈奴铁骑掉落!$J$7:$J$166,匈奴铁骑掉落!N$7:N$166,O112)</f>
        <v>13312.955244405406</v>
      </c>
      <c r="AH112" s="17">
        <f>$AG112*INDEX(盗宝贼掉落!$D$64:$D$67,MATCH(AH$16,盗宝贼掉落!$B$64:$B$67,0))*INDEX(盗宝贼掉落!$G$64:$G$67,MATCH(AH$16,盗宝贼掉落!$B$64:$B$67,0))</f>
        <v>3993.8865733216226</v>
      </c>
      <c r="AI112" s="17">
        <f>$AG112*INDEX(盗宝贼掉落!$D$64:$D$67,MATCH(AI$16,盗宝贼掉落!$B$64:$B$67,0))*INDEX(盗宝贼掉落!$G$64:$G$67,MATCH(AI$16,盗宝贼掉落!$B$64:$B$67,0))</f>
        <v>1065.0364195524326</v>
      </c>
      <c r="AJ112" s="17">
        <f>$AG112*INDEX(盗宝贼掉落!$D$64:$D$67,MATCH(AJ$16,盗宝贼掉落!$B$64:$B$67,0))*INDEX(盗宝贼掉落!$G$64:$G$67,MATCH(AJ$16,盗宝贼掉落!$B$64:$B$67,0))</f>
        <v>266.25910488810808</v>
      </c>
      <c r="AK112" s="17">
        <f>$AG112*INDEX(盗宝贼掉落!$D$64:$D$67,MATCH(AK$16,盗宝贼掉落!$B$64:$B$67,0))*INDEX(盗宝贼掉落!$G$64:$G$67,MATCH(AK$16,盗宝贼掉落!$B$64:$B$67,0))</f>
        <v>0</v>
      </c>
      <c r="AL112" s="17">
        <f t="shared" si="105"/>
        <v>90563.019536171283</v>
      </c>
      <c r="AM112" s="17">
        <f t="shared" si="94"/>
        <v>27660.494669915643</v>
      </c>
      <c r="AN112" s="17">
        <f t="shared" si="95"/>
        <v>4951.7002167770861</v>
      </c>
      <c r="AO112" s="17">
        <f t="shared" si="96"/>
        <v>1561.8137039629923</v>
      </c>
      <c r="AP112" s="84">
        <f>IFERROR(MAX(MIN(求节点(宝物升星!D$67:D$72,宝物升星!$C$67:$C$72,AL112/基础状态预期!C$8),宝物升星!D$14),AP111),AP111)</f>
        <v>0</v>
      </c>
      <c r="AQ112" s="84">
        <f>IFERROR(MAX(MIN(求节点(宝物升星!E$67:E$72,宝物升星!$C$67:$C$72,AM112/基础状态预期!D$8),宝物升星!E$14),AQ111),AQ111)</f>
        <v>3</v>
      </c>
      <c r="AR112" s="84">
        <f>IFERROR(MAX(MIN(求节点(宝物升星!F$67:F$72,宝物升星!$C$67:$C$72,AN112/基础状态预期!E$8),宝物升星!F$14),AR111),AR111)</f>
        <v>5</v>
      </c>
      <c r="AS112" s="54">
        <f>IFERROR(MAX(MIN(求节点(宝物升星!G$67:G$72,宝物升星!$C$67:$C$72,AO112/MAX(基础状态预期!L112,基础状态预期!L111)),宝物升星!G$14),AS111),AS111)</f>
        <v>5</v>
      </c>
      <c r="AV112" s="38">
        <f t="shared" si="97"/>
        <v>0.86228005203558666</v>
      </c>
      <c r="AW112" s="38">
        <f t="shared" si="106"/>
        <v>4.4100633942825263E-2</v>
      </c>
      <c r="AX112" s="38">
        <f t="shared" si="107"/>
        <v>9.3619314021588032E-2</v>
      </c>
      <c r="AY112" s="38">
        <f t="shared" si="98"/>
        <v>0.94106156487846337</v>
      </c>
      <c r="AZ112" s="38">
        <f t="shared" si="108"/>
        <v>3.8503881881432771E-2</v>
      </c>
      <c r="BA112" s="38">
        <f t="shared" si="109"/>
        <v>2.0434553240103927E-2</v>
      </c>
      <c r="BB112" s="38">
        <f t="shared" si="99"/>
        <v>0.94622875108917481</v>
      </c>
      <c r="BC112" s="38">
        <f t="shared" si="110"/>
        <v>5.3771248910825256E-2</v>
      </c>
      <c r="BD112" s="38">
        <f t="shared" si="111"/>
        <v>0</v>
      </c>
      <c r="BE112" s="38">
        <f t="shared" si="100"/>
        <v>1</v>
      </c>
      <c r="BF112" s="38">
        <f t="shared" si="112"/>
        <v>0</v>
      </c>
      <c r="BG112" s="38">
        <f t="shared" si="113"/>
        <v>0</v>
      </c>
      <c r="BJ112" s="16">
        <v>3827.4746327665534</v>
      </c>
      <c r="BK112" s="16">
        <v>1664.1194055506758</v>
      </c>
      <c r="BL112" s="16">
        <v>110.94129370337838</v>
      </c>
      <c r="BM112" s="16">
        <v>38.82945279618243</v>
      </c>
      <c r="BN112" s="16">
        <v>23790.548848158829</v>
      </c>
      <c r="BO112" s="16">
        <v>6057.5580734280929</v>
      </c>
      <c r="BP112" s="16">
        <v>800.01888074491308</v>
      </c>
      <c r="BQ112" s="16">
        <v>268.52198181002734</v>
      </c>
      <c r="BR112" s="16">
        <v>0</v>
      </c>
      <c r="BS112" s="16">
        <v>3</v>
      </c>
      <c r="BT112" s="16">
        <v>5</v>
      </c>
      <c r="BU112" s="16">
        <v>5</v>
      </c>
      <c r="BX112" s="37" t="str">
        <f t="shared" si="86"/>
        <v/>
      </c>
    </row>
    <row r="113" spans="14:76">
      <c r="N113" s="16">
        <v>21</v>
      </c>
      <c r="O113" s="17">
        <v>150</v>
      </c>
      <c r="P113" s="17">
        <f>求节点(节奏总纲!$O$4:$O$163,节奏总纲!S$4:S$163,O113)</f>
        <v>15603.645400000001</v>
      </c>
      <c r="Q113" s="17">
        <f>INDEX(其他调用!$F$4:$F$163,$O113)*$P$10</f>
        <v>96267935.353511468</v>
      </c>
      <c r="R113" s="50">
        <v>1</v>
      </c>
      <c r="S113" s="17">
        <f t="shared" si="87"/>
        <v>0.375</v>
      </c>
      <c r="T113" s="17">
        <f t="shared" si="88"/>
        <v>0.125</v>
      </c>
      <c r="U113" s="17">
        <f t="shared" si="89"/>
        <v>2.2500000000000003E-2</v>
      </c>
      <c r="V113" s="17">
        <f t="shared" si="90"/>
        <v>7.4999999999999997E-3</v>
      </c>
      <c r="W113" s="17">
        <f t="shared" si="101"/>
        <v>27548132.379139796</v>
      </c>
      <c r="X113" s="17">
        <f t="shared" si="114"/>
        <v>109395.38108353576</v>
      </c>
      <c r="Y113" s="17">
        <f t="shared" si="102"/>
        <v>36465.127027845258</v>
      </c>
      <c r="Z113" s="17">
        <f t="shared" si="103"/>
        <v>6563.7228650121469</v>
      </c>
      <c r="AA113" s="17">
        <f t="shared" si="104"/>
        <v>2187.9076216707149</v>
      </c>
      <c r="AB113" s="17">
        <f>求节点(盗宝贼掉落!$CV$5:$CV$164,盗宝贼掉落!$DF$5:$DF$164,$O113)</f>
        <v>15891.733815046551</v>
      </c>
      <c r="AC113" s="17">
        <f>$AB113*INDEX(盗宝贼掉落!$D$64:$D$67,MATCH(AC$16,盗宝贼掉落!$B$64:$B$67,0))*INDEX(盗宝贼掉落!$F$64:$F$67,MATCH(AC$16,盗宝贼掉落!$B$64:$B$67,0))</f>
        <v>11918.800361284913</v>
      </c>
      <c r="AD113" s="17">
        <f>$AB113*INDEX(盗宝贼掉落!$D$64:$D$67,MATCH(AD$16,盗宝贼掉落!$B$64:$B$67,0))*INDEX(盗宝贼掉落!$F$64:$F$67,MATCH(AD$16,盗宝贼掉落!$B$64:$B$67,0))</f>
        <v>794.58669075232763</v>
      </c>
      <c r="AE113" s="17">
        <f>$AB113*INDEX(盗宝贼掉落!$D$64:$D$67,MATCH(AE$16,盗宝贼掉落!$B$64:$B$67,0))*INDEX(盗宝贼掉落!$F$64:$F$67,MATCH(AE$16,盗宝贼掉落!$B$64:$B$67,0))</f>
        <v>0</v>
      </c>
      <c r="AF113" s="17">
        <f>$AB113*INDEX(盗宝贼掉落!$D$64:$D$67,MATCH(AF$16,盗宝贼掉落!$B$64:$B$67,0))*INDEX(盗宝贼掉落!$F$64:$F$67,MATCH(AF$16,盗宝贼掉落!$B$64:$B$67,0))</f>
        <v>0</v>
      </c>
      <c r="AG113" s="17">
        <f>求节点(匈奴铁骑掉落!$J$7:$J$166,匈奴铁骑掉落!N$7:N$166,O113)</f>
        <v>18711.174480000001</v>
      </c>
      <c r="AH113" s="17">
        <f>$AG113*INDEX(盗宝贼掉落!$D$64:$D$67,MATCH(AH$16,盗宝贼掉落!$B$64:$B$67,0))*INDEX(盗宝贼掉落!$G$64:$G$67,MATCH(AH$16,盗宝贼掉落!$B$64:$B$67,0))</f>
        <v>5613.3523440000017</v>
      </c>
      <c r="AI113" s="17">
        <f>$AG113*INDEX(盗宝贼掉落!$D$64:$D$67,MATCH(AI$16,盗宝贼掉落!$B$64:$B$67,0))*INDEX(盗宝贼掉落!$G$64:$G$67,MATCH(AI$16,盗宝贼掉落!$B$64:$B$67,0))</f>
        <v>1496.8939584000002</v>
      </c>
      <c r="AJ113" s="17">
        <f>$AG113*INDEX(盗宝贼掉落!$D$64:$D$67,MATCH(AJ$16,盗宝贼掉落!$B$64:$B$67,0))*INDEX(盗宝贼掉落!$G$64:$G$67,MATCH(AJ$16,盗宝贼掉落!$B$64:$B$67,0))</f>
        <v>374.22348959999999</v>
      </c>
      <c r="AK113" s="17">
        <f>$AG113*INDEX(盗宝贼掉落!$D$64:$D$67,MATCH(AK$16,盗宝贼掉落!$B$64:$B$67,0))*INDEX(盗宝贼掉落!$G$64:$G$67,MATCH(AK$16,盗宝贼掉落!$B$64:$B$67,0))</f>
        <v>0</v>
      </c>
      <c r="AL113" s="17">
        <f t="shared" si="105"/>
        <v>126927.53378882067</v>
      </c>
      <c r="AM113" s="17">
        <f t="shared" si="94"/>
        <v>38756.607676997592</v>
      </c>
      <c r="AN113" s="17">
        <f t="shared" si="95"/>
        <v>6937.9463546121469</v>
      </c>
      <c r="AO113" s="17">
        <f t="shared" si="96"/>
        <v>2187.9076216707149</v>
      </c>
      <c r="AP113" s="84">
        <f>IFERROR(MAX(MIN(求节点(宝物升星!D$67:D$72,宝物升星!$C$67:$C$72,AL113/基础状态预期!C$8),宝物升星!D$14),AP112),AP112)</f>
        <v>0</v>
      </c>
      <c r="AQ113" s="84">
        <f>IFERROR(MAX(MIN(求节点(宝物升星!E$67:E$72,宝物升星!$C$67:$C$72,AM113/基础状态预期!D$8),宝物升星!E$14),AQ112),AQ112)</f>
        <v>3</v>
      </c>
      <c r="AR113" s="84">
        <f>IFERROR(MAX(MIN(求节点(宝物升星!F$67:F$72,宝物升星!$C$67:$C$72,AN113/基础状态预期!E$8),宝物升星!F$14),AR112),AR112)</f>
        <v>5</v>
      </c>
      <c r="AS113" s="54">
        <f>IFERROR(MAX(MIN(求节点(宝物升星!G$67:G$72,宝物升星!$C$67:$C$72,AO113/MAX(基础状态预期!L113,基础状态预期!L112)),宝物升星!G$14),AS112),AS112)</f>
        <v>5</v>
      </c>
      <c r="AV113" s="38">
        <f t="shared" si="97"/>
        <v>0.86187273807387976</v>
      </c>
      <c r="AW113" s="38">
        <f t="shared" si="106"/>
        <v>4.4224859464608982E-2</v>
      </c>
      <c r="AX113" s="38">
        <f t="shared" si="107"/>
        <v>9.3902402461511311E-2</v>
      </c>
      <c r="AY113" s="38">
        <f t="shared" si="98"/>
        <v>0.94087509752530918</v>
      </c>
      <c r="AZ113" s="38">
        <f t="shared" si="108"/>
        <v>3.8622935497226729E-2</v>
      </c>
      <c r="BA113" s="38">
        <f t="shared" si="109"/>
        <v>2.0501966977463877E-2</v>
      </c>
      <c r="BB113" s="38">
        <f t="shared" si="99"/>
        <v>0.94606134575381562</v>
      </c>
      <c r="BC113" s="38">
        <f t="shared" si="110"/>
        <v>5.3938654246184388E-2</v>
      </c>
      <c r="BD113" s="38">
        <f t="shared" si="111"/>
        <v>0</v>
      </c>
      <c r="BE113" s="38">
        <f t="shared" si="100"/>
        <v>1</v>
      </c>
      <c r="BF113" s="38">
        <f t="shared" si="112"/>
        <v>0</v>
      </c>
      <c r="BG113" s="38">
        <f t="shared" si="113"/>
        <v>0</v>
      </c>
      <c r="BJ113" s="16">
        <v>5379.4626630000002</v>
      </c>
      <c r="BK113" s="16">
        <v>2338.8968100000002</v>
      </c>
      <c r="BL113" s="16">
        <v>155.92645400000004</v>
      </c>
      <c r="BM113" s="16">
        <v>54.574258900000011</v>
      </c>
      <c r="BN113" s="16">
        <v>29656.605323253396</v>
      </c>
      <c r="BO113" s="16">
        <v>7252.9309337418226</v>
      </c>
      <c r="BP113" s="16">
        <v>897.42699193810904</v>
      </c>
      <c r="BQ113" s="16">
        <v>301.74110487936974</v>
      </c>
      <c r="BR113" s="16">
        <v>0</v>
      </c>
      <c r="BS113" s="16">
        <v>3</v>
      </c>
      <c r="BT113" s="16">
        <v>5</v>
      </c>
      <c r="BU113" s="16">
        <v>5</v>
      </c>
      <c r="BX113" s="37" t="str">
        <f t="shared" si="86"/>
        <v/>
      </c>
    </row>
    <row r="114" spans="14:76">
      <c r="N114" s="16">
        <v>22</v>
      </c>
      <c r="O114" s="17">
        <v>155</v>
      </c>
      <c r="P114" s="17">
        <f>求节点(节奏总纲!$O$4:$O$163,节奏总纲!S$4:S$163,O114)</f>
        <v>44402.940101346627</v>
      </c>
      <c r="Q114" s="17">
        <f>INDEX(其他调用!$F$4:$F$163,$O114)*$P$10</f>
        <v>272235331.54018372</v>
      </c>
      <c r="R114" s="50">
        <v>1</v>
      </c>
      <c r="S114" s="17">
        <f t="shared" si="87"/>
        <v>0.375</v>
      </c>
      <c r="T114" s="17">
        <f t="shared" si="88"/>
        <v>0.125</v>
      </c>
      <c r="U114" s="17">
        <f t="shared" si="89"/>
        <v>2.2500000000000003E-2</v>
      </c>
      <c r="V114" s="17">
        <f t="shared" si="90"/>
        <v>7.4999999999999997E-3</v>
      </c>
      <c r="W114" s="17">
        <f t="shared" si="101"/>
        <v>175967396.18667227</v>
      </c>
      <c r="X114" s="17">
        <f t="shared" si="114"/>
        <v>309358.33129566337</v>
      </c>
      <c r="Y114" s="17">
        <f t="shared" si="102"/>
        <v>103119.44376522112</v>
      </c>
      <c r="Z114" s="17">
        <f t="shared" si="103"/>
        <v>18561.499877739803</v>
      </c>
      <c r="AA114" s="17">
        <f t="shared" si="104"/>
        <v>6187.1666259132671</v>
      </c>
      <c r="AB114" s="17">
        <f>求节点(盗宝贼掉落!$CV$5:$CV$164,盗宝贼掉落!$DF$5:$DF$164,$O114)</f>
        <v>45258.374622009709</v>
      </c>
      <c r="AC114" s="17">
        <f>$AB114*INDEX(盗宝贼掉落!$D$64:$D$67,MATCH(AC$16,盗宝贼掉落!$B$64:$B$67,0))*INDEX(盗宝贼掉落!$F$64:$F$67,MATCH(AC$16,盗宝贼掉落!$B$64:$B$67,0))</f>
        <v>33943.780966507285</v>
      </c>
      <c r="AD114" s="17">
        <f>$AB114*INDEX(盗宝贼掉落!$D$64:$D$67,MATCH(AD$16,盗宝贼掉落!$B$64:$B$67,0))*INDEX(盗宝贼掉落!$F$64:$F$67,MATCH(AD$16,盗宝贼掉落!$B$64:$B$67,0))</f>
        <v>2262.9187311004857</v>
      </c>
      <c r="AE114" s="17">
        <f>$AB114*INDEX(盗宝贼掉落!$D$64:$D$67,MATCH(AE$16,盗宝贼掉落!$B$64:$B$67,0))*INDEX(盗宝贼掉落!$F$64:$F$67,MATCH(AE$16,盗宝贼掉落!$B$64:$B$67,0))</f>
        <v>0</v>
      </c>
      <c r="AF114" s="17">
        <f>$AB114*INDEX(盗宝贼掉落!$D$64:$D$67,MATCH(AF$16,盗宝贼掉落!$B$64:$B$67,0))*INDEX(盗宝贼掉落!$F$64:$F$67,MATCH(AF$16,盗宝贼掉落!$B$64:$B$67,0))</f>
        <v>0</v>
      </c>
      <c r="AG114" s="17">
        <f>求节点(匈奴铁骑掉落!$J$7:$J$166,匈奴铁骑掉落!N$7:N$166,O114)</f>
        <v>53270.328121615952</v>
      </c>
      <c r="AH114" s="17">
        <f>$AG114*INDEX(盗宝贼掉落!$D$64:$D$67,MATCH(AH$16,盗宝贼掉落!$B$64:$B$67,0))*INDEX(盗宝贼掉落!$G$64:$G$67,MATCH(AH$16,盗宝贼掉落!$B$64:$B$67,0))</f>
        <v>15981.098436484788</v>
      </c>
      <c r="AI114" s="17">
        <f>$AG114*INDEX(盗宝贼掉落!$D$64:$D$67,MATCH(AI$16,盗宝贼掉落!$B$64:$B$67,0))*INDEX(盗宝贼掉落!$G$64:$G$67,MATCH(AI$16,盗宝贼掉落!$B$64:$B$67,0))</f>
        <v>4261.6262497292764</v>
      </c>
      <c r="AJ114" s="17">
        <f>$AG114*INDEX(盗宝贼掉落!$D$64:$D$67,MATCH(AJ$16,盗宝贼掉落!$B$64:$B$67,0))*INDEX(盗宝贼掉落!$G$64:$G$67,MATCH(AJ$16,盗宝贼掉落!$B$64:$B$67,0))</f>
        <v>1065.4065624323189</v>
      </c>
      <c r="AK114" s="17">
        <f>$AG114*INDEX(盗宝贼掉落!$D$64:$D$67,MATCH(AK$16,盗宝贼掉落!$B$64:$B$67,0))*INDEX(盗宝贼掉落!$G$64:$G$67,MATCH(AK$16,盗宝贼掉落!$B$64:$B$67,0))</f>
        <v>0</v>
      </c>
      <c r="AL114" s="17">
        <f t="shared" si="105"/>
        <v>359283.21069865546</v>
      </c>
      <c r="AM114" s="17">
        <f t="shared" si="94"/>
        <v>109643.98874605088</v>
      </c>
      <c r="AN114" s="17">
        <f t="shared" si="95"/>
        <v>19626.906440172123</v>
      </c>
      <c r="AO114" s="17">
        <f t="shared" si="96"/>
        <v>6187.1666259132671</v>
      </c>
      <c r="AP114" s="84">
        <f>IFERROR(MAX(MIN(求节点(宝物升星!D$67:D$72,宝物升星!$C$67:$C$72,AL114/基础状态预期!C$8),宝物升星!D$14),AP113),AP113)</f>
        <v>0</v>
      </c>
      <c r="AQ114" s="84">
        <f>IFERROR(MAX(MIN(求节点(宝物升星!E$67:E$72,宝物升星!$C$67:$C$72,AM114/基础状态预期!D$8),宝物升星!E$14),AQ113),AQ113)</f>
        <v>3</v>
      </c>
      <c r="AR114" s="84">
        <f>IFERROR(MAX(MIN(求节点(宝物升星!F$67:F$72,宝物升星!$C$67:$C$72,AN114/基础状态预期!E$8),宝物升星!F$14),AR113),AR113)</f>
        <v>5</v>
      </c>
      <c r="AS114" s="54">
        <f>IFERROR(MAX(MIN(求节点(宝物升星!G$67:G$72,宝物升星!$C$67:$C$72,AO114/MAX(基础状态预期!L114,基础状态预期!L113)),宝物升星!G$14),AS113),AS113)</f>
        <v>5</v>
      </c>
      <c r="AV114" s="38">
        <f t="shared" si="97"/>
        <v>0.86104310494801839</v>
      </c>
      <c r="AW114" s="38">
        <f t="shared" si="106"/>
        <v>4.4480504406003943E-2</v>
      </c>
      <c r="AX114" s="38">
        <f t="shared" si="107"/>
        <v>9.4476390645977695E-2</v>
      </c>
      <c r="AY114" s="38">
        <f t="shared" si="98"/>
        <v>0.9404933635172521</v>
      </c>
      <c r="AZ114" s="38">
        <f t="shared" si="108"/>
        <v>3.8867851292784805E-2</v>
      </c>
      <c r="BA114" s="38">
        <f t="shared" si="109"/>
        <v>2.0638785189963191E-2</v>
      </c>
      <c r="BB114" s="38">
        <f t="shared" si="99"/>
        <v>0.94571704075321528</v>
      </c>
      <c r="BC114" s="38">
        <f t="shared" si="110"/>
        <v>5.4282959246784668E-2</v>
      </c>
      <c r="BD114" s="38">
        <f t="shared" si="111"/>
        <v>0</v>
      </c>
      <c r="BE114" s="38">
        <f t="shared" si="100"/>
        <v>1</v>
      </c>
      <c r="BF114" s="38">
        <f t="shared" si="112"/>
        <v>0</v>
      </c>
      <c r="BG114" s="38">
        <f t="shared" si="113"/>
        <v>0</v>
      </c>
      <c r="BJ114" s="16">
        <v>15315.219334964584</v>
      </c>
      <c r="BK114" s="16">
        <v>6658.791015201994</v>
      </c>
      <c r="BL114" s="16">
        <v>443.9194010134662</v>
      </c>
      <c r="BM114" s="16">
        <v>155.37179035471317</v>
      </c>
      <c r="BN114" s="16">
        <v>62491.058448716591</v>
      </c>
      <c r="BO114" s="16">
        <v>13332.395795384055</v>
      </c>
      <c r="BP114" s="16">
        <v>1237.8428898481495</v>
      </c>
      <c r="BQ114" s="16">
        <v>420.01295329960772</v>
      </c>
      <c r="BR114" s="16">
        <v>0</v>
      </c>
      <c r="BS114" s="16">
        <v>3</v>
      </c>
      <c r="BT114" s="16">
        <v>5</v>
      </c>
      <c r="BU114" s="16">
        <v>5</v>
      </c>
      <c r="BX114" s="37" t="str">
        <f t="shared" si="86"/>
        <v/>
      </c>
    </row>
    <row r="115" spans="14:76">
      <c r="N115" s="16">
        <v>23</v>
      </c>
      <c r="O115" s="17">
        <v>160</v>
      </c>
      <c r="P115" s="17">
        <f>求节点(节奏总纲!$O$4:$O$163,节奏总纲!S$4:S$163,O115)</f>
        <v>66190.350000000006</v>
      </c>
      <c r="Q115" s="17">
        <f>INDEX(其他调用!$F$4:$F$163,$O115)*$P$10</f>
        <v>404994976.39271975</v>
      </c>
      <c r="R115" s="50">
        <v>1</v>
      </c>
      <c r="S115" s="17">
        <f t="shared" si="87"/>
        <v>0.375</v>
      </c>
      <c r="T115" s="17">
        <f t="shared" si="88"/>
        <v>0.125</v>
      </c>
      <c r="U115" s="17">
        <f t="shared" si="89"/>
        <v>2.2500000000000003E-2</v>
      </c>
      <c r="V115" s="17">
        <f t="shared" si="90"/>
        <v>7.4999999999999997E-3</v>
      </c>
      <c r="W115" s="17">
        <f t="shared" si="101"/>
        <v>132759644.85253602</v>
      </c>
      <c r="X115" s="17">
        <f t="shared" si="114"/>
        <v>460221.56408263615</v>
      </c>
      <c r="Y115" s="17">
        <f t="shared" si="102"/>
        <v>153407.18802754537</v>
      </c>
      <c r="Z115" s="17">
        <f t="shared" si="103"/>
        <v>27613.293844958171</v>
      </c>
      <c r="AA115" s="17">
        <f t="shared" si="104"/>
        <v>9204.4312816527217</v>
      </c>
      <c r="AB115" s="17">
        <f>求节点(盗宝贼掉落!$CV$5:$CV$164,盗宝贼掉落!$DF$5:$DF$164,$O115)</f>
        <v>67474.996495666564</v>
      </c>
      <c r="AC115" s="17">
        <f>$AB115*INDEX(盗宝贼掉落!$D$64:$D$67,MATCH(AC$16,盗宝贼掉落!$B$64:$B$67,0))*INDEX(盗宝贼掉落!$F$64:$F$67,MATCH(AC$16,盗宝贼掉落!$B$64:$B$67,0))</f>
        <v>50606.247371749923</v>
      </c>
      <c r="AD115" s="17">
        <f>$AB115*INDEX(盗宝贼掉落!$D$64:$D$67,MATCH(AD$16,盗宝贼掉落!$B$64:$B$67,0))*INDEX(盗宝贼掉落!$F$64:$F$67,MATCH(AD$16,盗宝贼掉落!$B$64:$B$67,0))</f>
        <v>3373.7498247833282</v>
      </c>
      <c r="AE115" s="17">
        <f>$AB115*INDEX(盗宝贼掉落!$D$64:$D$67,MATCH(AE$16,盗宝贼掉落!$B$64:$B$67,0))*INDEX(盗宝贼掉落!$F$64:$F$67,MATCH(AE$16,盗宝贼掉落!$B$64:$B$67,0))</f>
        <v>0</v>
      </c>
      <c r="AF115" s="17">
        <f>$AB115*INDEX(盗宝贼掉落!$D$64:$D$67,MATCH(AF$16,盗宝贼掉落!$B$64:$B$67,0))*INDEX(盗宝贼掉落!$F$64:$F$67,MATCH(AF$16,盗宝贼掉落!$B$64:$B$67,0))</f>
        <v>0</v>
      </c>
      <c r="AG115" s="17">
        <f>求节点(匈奴铁骑掉落!$J$7:$J$166,匈奴铁骑掉落!N$7:N$166,O115)</f>
        <v>79415.220000000016</v>
      </c>
      <c r="AH115" s="17">
        <f>$AG115*INDEX(盗宝贼掉落!$D$64:$D$67,MATCH(AH$16,盗宝贼掉落!$B$64:$B$67,0))*INDEX(盗宝贼掉落!$G$64:$G$67,MATCH(AH$16,盗宝贼掉落!$B$64:$B$67,0))</f>
        <v>23824.56600000001</v>
      </c>
      <c r="AI115" s="17">
        <f>$AG115*INDEX(盗宝贼掉落!$D$64:$D$67,MATCH(AI$16,盗宝贼掉落!$B$64:$B$67,0))*INDEX(盗宝贼掉落!$G$64:$G$67,MATCH(AI$16,盗宝贼掉落!$B$64:$B$67,0))</f>
        <v>6353.2176000000018</v>
      </c>
      <c r="AJ115" s="17">
        <f>$AG115*INDEX(盗宝贼掉落!$D$64:$D$67,MATCH(AJ$16,盗宝贼掉落!$B$64:$B$67,0))*INDEX(盗宝贼掉落!$G$64:$G$67,MATCH(AJ$16,盗宝贼掉落!$B$64:$B$67,0))</f>
        <v>1588.3044000000002</v>
      </c>
      <c r="AK115" s="17">
        <f>$AG115*INDEX(盗宝贼掉落!$D$64:$D$67,MATCH(AK$16,盗宝贼掉落!$B$64:$B$67,0))*INDEX(盗宝贼掉落!$G$64:$G$67,MATCH(AK$16,盗宝贼掉落!$B$64:$B$67,0))</f>
        <v>0</v>
      </c>
      <c r="AL115" s="17">
        <f t="shared" si="105"/>
        <v>534652.37745438609</v>
      </c>
      <c r="AM115" s="17">
        <f t="shared" si="94"/>
        <v>163134.1554523287</v>
      </c>
      <c r="AN115" s="17">
        <f t="shared" si="95"/>
        <v>29201.598244958172</v>
      </c>
      <c r="AO115" s="17">
        <f t="shared" si="96"/>
        <v>9204.4312816527217</v>
      </c>
      <c r="AP115" s="84">
        <f>IFERROR(MAX(MIN(求节点(宝物升星!D$67:D$72,宝物升星!$C$67:$C$72,AL115/基础状态预期!C$8),宝物升星!D$14),AP114),AP114)</f>
        <v>0</v>
      </c>
      <c r="AQ115" s="84">
        <f>IFERROR(MAX(MIN(求节点(宝物升星!E$67:E$72,宝物升星!$C$67:$C$72,AM115/基础状态预期!D$8),宝物升星!E$14),AQ114),AQ114)</f>
        <v>3</v>
      </c>
      <c r="AR115" s="84">
        <f>IFERROR(MAX(MIN(求节点(宝物升星!F$67:F$72,宝物升星!$C$67:$C$72,AN115/基础状态预期!E$8),宝物升星!F$14),AR114),AR114)</f>
        <v>5</v>
      </c>
      <c r="AS115" s="54">
        <f>IFERROR(MAX(MIN(求节点(宝物升星!G$67:G$72,宝物升星!$C$67:$C$72,AO115/MAX(基础状态预期!L115,基础状态预期!L114)),宝物升星!G$14),AS114),AS114)</f>
        <v>5</v>
      </c>
      <c r="AV115" s="38">
        <f t="shared" si="97"/>
        <v>0.86078652876073669</v>
      </c>
      <c r="AW115" s="38">
        <f t="shared" si="106"/>
        <v>4.4560853004029906E-2</v>
      </c>
      <c r="AX115" s="38">
        <f t="shared" si="107"/>
        <v>9.465261823523341E-2</v>
      </c>
      <c r="AY115" s="38">
        <f t="shared" si="98"/>
        <v>0.94037442742868305</v>
      </c>
      <c r="AZ115" s="38">
        <f t="shared" si="108"/>
        <v>3.8944742027714412E-2</v>
      </c>
      <c r="BA115" s="38">
        <f t="shared" si="109"/>
        <v>2.0680830543602563E-2</v>
      </c>
      <c r="BB115" s="38">
        <f t="shared" si="99"/>
        <v>0.94560899075877702</v>
      </c>
      <c r="BC115" s="38">
        <f t="shared" si="110"/>
        <v>5.4391009241222962E-2</v>
      </c>
      <c r="BD115" s="38">
        <f t="shared" si="111"/>
        <v>0</v>
      </c>
      <c r="BE115" s="38">
        <f t="shared" si="100"/>
        <v>1</v>
      </c>
      <c r="BF115" s="38">
        <f t="shared" si="112"/>
        <v>0</v>
      </c>
      <c r="BG115" s="38">
        <f t="shared" si="113"/>
        <v>0</v>
      </c>
      <c r="BJ115" s="16">
        <v>22831.875749999999</v>
      </c>
      <c r="BK115" s="16">
        <v>9926.902500000002</v>
      </c>
      <c r="BL115" s="16">
        <v>661.79350000000011</v>
      </c>
      <c r="BM115" s="16">
        <v>231.62772500000003</v>
      </c>
      <c r="BN115" s="16">
        <v>87543.897117270884</v>
      </c>
      <c r="BO115" s="16">
        <v>18002.576989956986</v>
      </c>
      <c r="BP115" s="16">
        <v>1508.1399397312578</v>
      </c>
      <c r="BQ115" s="16">
        <v>513.74320491041931</v>
      </c>
      <c r="BR115" s="16">
        <v>0</v>
      </c>
      <c r="BS115" s="16">
        <v>3</v>
      </c>
      <c r="BT115" s="16">
        <v>5</v>
      </c>
      <c r="BU115" s="16">
        <v>5</v>
      </c>
      <c r="BX115" s="37" t="str">
        <f t="shared" si="86"/>
        <v/>
      </c>
    </row>
    <row r="116" spans="14:76">
      <c r="N116" s="16">
        <v>24</v>
      </c>
      <c r="BX116" s="37" t="str">
        <f t="shared" si="86"/>
        <v/>
      </c>
    </row>
    <row r="117" spans="14:76">
      <c r="N117" s="16">
        <v>25</v>
      </c>
      <c r="BX117" s="37" t="str">
        <f t="shared" si="86"/>
        <v/>
      </c>
    </row>
    <row r="118" spans="14:76">
      <c r="N118" s="16">
        <v>26</v>
      </c>
      <c r="BX118" s="37" t="str">
        <f t="shared" si="86"/>
        <v/>
      </c>
    </row>
    <row r="119" spans="14:76" ht="11.25" customHeight="1">
      <c r="N119" s="16">
        <v>1</v>
      </c>
      <c r="O119" s="17" t="s">
        <v>221</v>
      </c>
      <c r="P119" s="186" t="s">
        <v>158</v>
      </c>
      <c r="Q119" s="175" t="s">
        <v>359</v>
      </c>
      <c r="R119" s="175" t="s">
        <v>360</v>
      </c>
      <c r="S119" s="196" t="s">
        <v>363</v>
      </c>
      <c r="T119" s="197"/>
      <c r="U119" s="197"/>
      <c r="V119" s="198"/>
      <c r="W119" s="175" t="s">
        <v>361</v>
      </c>
      <c r="X119" s="183" t="s">
        <v>362</v>
      </c>
      <c r="Y119" s="194"/>
      <c r="Z119" s="194"/>
      <c r="AA119" s="195"/>
      <c r="AB119" s="192" t="s">
        <v>493</v>
      </c>
      <c r="AC119" s="189" t="s">
        <v>340</v>
      </c>
      <c r="AD119" s="190"/>
      <c r="AE119" s="190"/>
      <c r="AF119" s="191"/>
      <c r="AG119" s="192" t="s">
        <v>494</v>
      </c>
      <c r="AH119" s="189" t="s">
        <v>497</v>
      </c>
      <c r="AI119" s="190"/>
      <c r="AJ119" s="190"/>
      <c r="AK119" s="191"/>
      <c r="AL119" s="171" t="s">
        <v>339</v>
      </c>
      <c r="AM119" s="173"/>
      <c r="AN119" s="173"/>
      <c r="AO119" s="172"/>
      <c r="AP119" s="189" t="s">
        <v>245</v>
      </c>
      <c r="AQ119" s="190"/>
      <c r="AR119" s="190"/>
      <c r="AS119" s="191"/>
      <c r="AV119" s="188" t="s">
        <v>1</v>
      </c>
      <c r="AW119" s="188"/>
      <c r="AX119" s="188"/>
      <c r="AY119" s="188" t="s">
        <v>2</v>
      </c>
      <c r="AZ119" s="188"/>
      <c r="BA119" s="188"/>
      <c r="BB119" s="188" t="s">
        <v>0</v>
      </c>
      <c r="BC119" s="188"/>
      <c r="BD119" s="188"/>
      <c r="BE119" s="188" t="s">
        <v>205</v>
      </c>
      <c r="BF119" s="188"/>
      <c r="BG119" s="188"/>
      <c r="BJ119" s="16" t="s">
        <v>552</v>
      </c>
      <c r="BN119" s="16" t="s">
        <v>498</v>
      </c>
      <c r="BR119" s="16" t="s">
        <v>553</v>
      </c>
      <c r="BX119" s="37" t="str">
        <f t="shared" si="86"/>
        <v/>
      </c>
    </row>
    <row r="120" spans="14:76">
      <c r="N120" s="16">
        <v>2</v>
      </c>
      <c r="O120" s="17" t="s">
        <v>161</v>
      </c>
      <c r="P120" s="187"/>
      <c r="Q120" s="177"/>
      <c r="R120" s="177"/>
      <c r="S120" s="54" t="s">
        <v>1</v>
      </c>
      <c r="T120" s="54" t="s">
        <v>2</v>
      </c>
      <c r="U120" s="54" t="s">
        <v>0</v>
      </c>
      <c r="V120" s="54" t="s">
        <v>205</v>
      </c>
      <c r="W120" s="177"/>
      <c r="X120" s="54" t="s">
        <v>1</v>
      </c>
      <c r="Y120" s="54" t="s">
        <v>2</v>
      </c>
      <c r="Z120" s="54" t="s">
        <v>0</v>
      </c>
      <c r="AA120" s="54" t="s">
        <v>205</v>
      </c>
      <c r="AB120" s="193"/>
      <c r="AC120" s="54" t="s">
        <v>1</v>
      </c>
      <c r="AD120" s="54" t="s">
        <v>2</v>
      </c>
      <c r="AE120" s="54" t="s">
        <v>0</v>
      </c>
      <c r="AF120" s="54" t="s">
        <v>205</v>
      </c>
      <c r="AG120" s="193"/>
      <c r="AH120" s="54" t="s">
        <v>1</v>
      </c>
      <c r="AI120" s="54" t="s">
        <v>2</v>
      </c>
      <c r="AJ120" s="54" t="s">
        <v>0</v>
      </c>
      <c r="AK120" s="54" t="s">
        <v>205</v>
      </c>
      <c r="AL120" s="17" t="s">
        <v>1</v>
      </c>
      <c r="AM120" s="17" t="s">
        <v>2</v>
      </c>
      <c r="AN120" s="17" t="s">
        <v>0</v>
      </c>
      <c r="AO120" s="17" t="s">
        <v>205</v>
      </c>
      <c r="AP120" s="54" t="s">
        <v>1</v>
      </c>
      <c r="AQ120" s="54" t="s">
        <v>2</v>
      </c>
      <c r="AR120" s="54" t="s">
        <v>0</v>
      </c>
      <c r="AS120" s="54" t="s">
        <v>205</v>
      </c>
      <c r="AV120" s="38" t="s">
        <v>428</v>
      </c>
      <c r="AW120" s="38" t="s">
        <v>556</v>
      </c>
      <c r="AX120" s="38" t="s">
        <v>429</v>
      </c>
      <c r="AY120" s="38" t="s">
        <v>428</v>
      </c>
      <c r="AZ120" s="38" t="s">
        <v>556</v>
      </c>
      <c r="BA120" s="38" t="s">
        <v>429</v>
      </c>
      <c r="BB120" s="38" t="s">
        <v>428</v>
      </c>
      <c r="BC120" s="38" t="s">
        <v>556</v>
      </c>
      <c r="BD120" s="38" t="s">
        <v>429</v>
      </c>
      <c r="BE120" s="38" t="s">
        <v>428</v>
      </c>
      <c r="BF120" s="38" t="s">
        <v>556</v>
      </c>
      <c r="BG120" s="38" t="s">
        <v>429</v>
      </c>
      <c r="BJ120" s="16" t="s">
        <v>79</v>
      </c>
      <c r="BK120" s="16" t="s">
        <v>80</v>
      </c>
      <c r="BL120" s="16" t="s">
        <v>81</v>
      </c>
      <c r="BM120" s="16" t="s">
        <v>205</v>
      </c>
      <c r="BN120" s="16" t="s">
        <v>79</v>
      </c>
      <c r="BO120" s="16" t="s">
        <v>80</v>
      </c>
      <c r="BP120" s="16" t="s">
        <v>81</v>
      </c>
      <c r="BQ120" s="16" t="s">
        <v>205</v>
      </c>
      <c r="BR120" s="16" t="s">
        <v>79</v>
      </c>
      <c r="BS120" s="16" t="s">
        <v>80</v>
      </c>
      <c r="BT120" s="16" t="s">
        <v>81</v>
      </c>
      <c r="BU120" s="16" t="s">
        <v>205</v>
      </c>
      <c r="BX120" s="37" t="str">
        <f t="shared" si="86"/>
        <v/>
      </c>
    </row>
    <row r="121" spans="14:76">
      <c r="N121" s="16">
        <v>3</v>
      </c>
      <c r="O121" s="17">
        <v>50</v>
      </c>
      <c r="P121" s="17">
        <f>求节点(节奏总纲!$O$4:$O$163,节奏总纲!T$4:T$163,O121)</f>
        <v>9.1883999999999997</v>
      </c>
      <c r="Q121" s="17">
        <f>INDEX(其他调用!$G$4:$G$163,$O121)*$P$10</f>
        <v>189645.58578683806</v>
      </c>
      <c r="R121" s="50">
        <v>1</v>
      </c>
      <c r="S121" s="17">
        <f t="shared" ref="S121:S141" si="115">E$15*E$16+E$21</f>
        <v>0.375</v>
      </c>
      <c r="T121" s="17">
        <f t="shared" ref="T121:T141" si="116">F$15*F$16+F$21</f>
        <v>0.125</v>
      </c>
      <c r="U121" s="17">
        <f t="shared" ref="U121:U141" si="117">G$15*G$16+G$21</f>
        <v>2.2500000000000003E-2</v>
      </c>
      <c r="V121" s="17">
        <f t="shared" ref="V121:V141" si="118">H$15*H$16+H$21</f>
        <v>7.4999999999999997E-3</v>
      </c>
      <c r="W121" s="51">
        <f>Q121</f>
        <v>189645.58578683806</v>
      </c>
      <c r="X121" s="51">
        <f>$W121/$E$25*S121*$R121</f>
        <v>215.50634748504325</v>
      </c>
      <c r="Y121" s="51">
        <f t="shared" ref="Y121" si="119">$W121/$E$25*T121*$R121</f>
        <v>71.835449161681083</v>
      </c>
      <c r="Z121" s="51">
        <f t="shared" ref="Z121" si="120">$W121/$E$25*U121*$R121</f>
        <v>12.930380849102596</v>
      </c>
      <c r="AA121" s="51">
        <f t="shared" ref="AA121" si="121">$W121/$E$25*V121*$R121</f>
        <v>4.310126949700865</v>
      </c>
      <c r="AB121" s="17">
        <f>求节点(盗宝贼掉落!$CV$5:$CV$164,盗宝贼掉落!$DG$5:$DG$164,$O121)</f>
        <v>0</v>
      </c>
      <c r="AC121" s="17">
        <f>$AB121*INDEX(盗宝贼掉落!$D$64:$D$67,MATCH(AC$16,盗宝贼掉落!$B$64:$B$67,0))*INDEX(盗宝贼掉落!$F$64:$F$67,MATCH(AC$16,盗宝贼掉落!$B$64:$B$67,0))</f>
        <v>0</v>
      </c>
      <c r="AD121" s="17">
        <f>$AB121*INDEX(盗宝贼掉落!$D$64:$D$67,MATCH(AD$16,盗宝贼掉落!$B$64:$B$67,0))*INDEX(盗宝贼掉落!$F$64:$F$67,MATCH(AD$16,盗宝贼掉落!$B$64:$B$67,0))</f>
        <v>0</v>
      </c>
      <c r="AE121" s="17">
        <f>$AB121*INDEX(盗宝贼掉落!$D$64:$D$67,MATCH(AE$16,盗宝贼掉落!$B$64:$B$67,0))*INDEX(盗宝贼掉落!$F$64:$F$67,MATCH(AE$16,盗宝贼掉落!$B$64:$B$67,0))</f>
        <v>0</v>
      </c>
      <c r="AF121" s="17">
        <f>$AB121*INDEX(盗宝贼掉落!$D$64:$D$67,MATCH(AF$16,盗宝贼掉落!$B$64:$B$67,0))*INDEX(盗宝贼掉落!$F$64:$F$67,MATCH(AF$16,盗宝贼掉落!$B$64:$B$67,0))</f>
        <v>0</v>
      </c>
      <c r="AG121" s="17">
        <f>求节点(匈奴铁骑掉落!$J$7:$J$166,匈奴铁骑掉落!O$7:O$166,O121)</f>
        <v>3.8260799999999997</v>
      </c>
      <c r="AH121" s="17">
        <f>$AG121*INDEX(盗宝贼掉落!$D$64:$D$67,MATCH(AH$16,盗宝贼掉落!$B$64:$B$67,0))*INDEX(盗宝贼掉落!$G$64:$G$67,MATCH(AH$16,盗宝贼掉落!$B$64:$B$67,0))</f>
        <v>1.1478240000000002</v>
      </c>
      <c r="AI121" s="17">
        <f>$AG121*INDEX(盗宝贼掉落!$D$64:$D$67,MATCH(AI$16,盗宝贼掉落!$B$64:$B$67,0))*INDEX(盗宝贼掉落!$G$64:$G$67,MATCH(AI$16,盗宝贼掉落!$B$64:$B$67,0))</f>
        <v>0.30608640000000004</v>
      </c>
      <c r="AJ121" s="17">
        <f>$AG121*INDEX(盗宝贼掉落!$D$64:$D$67,MATCH(AJ$16,盗宝贼掉落!$B$64:$B$67,0))*INDEX(盗宝贼掉落!$G$64:$G$67,MATCH(AJ$16,盗宝贼掉落!$B$64:$B$67,0))</f>
        <v>7.6521599999999981E-2</v>
      </c>
      <c r="AK121" s="17">
        <f>$AG121*INDEX(盗宝贼掉落!$D$64:$D$67,MATCH(AK$16,盗宝贼掉落!$B$64:$B$67,0))*INDEX(盗宝贼掉落!$G$64:$G$67,MATCH(AK$16,盗宝贼掉落!$B$64:$B$67,0))</f>
        <v>0</v>
      </c>
      <c r="AL121" s="17">
        <f>X121+AC121+AH121</f>
        <v>216.65417148504326</v>
      </c>
      <c r="AM121" s="17">
        <f t="shared" ref="AM121:AM141" si="122">Y121+AD121+AI121</f>
        <v>72.141535561681081</v>
      </c>
      <c r="AN121" s="17">
        <f t="shared" ref="AN121:AN141" si="123">Z121+AE121+AJ121</f>
        <v>13.006902449102595</v>
      </c>
      <c r="AO121" s="17">
        <f t="shared" ref="AO121:AO141" si="124">AA121+AF121+AK121</f>
        <v>4.310126949700865</v>
      </c>
      <c r="AP121" s="85">
        <f>IFERROR(IF(基础状态预期!I121=0,0,MIN(求节点(宝物升星!D$67:D$72,宝物升星!$C$67:$C$72,AL121/基础状态预期!C$8),宝物升星!D$14)),0)</f>
        <v>0</v>
      </c>
      <c r="AQ121" s="85">
        <f>IFERROR(IF(基础状态预期!J121=0,0,MIN(求节点(宝物升星!E$67:E$72,宝物升星!$C$67:$C$72,AM121/基础状态预期!D$8),宝物升星!E$14)),0)</f>
        <v>0</v>
      </c>
      <c r="AR121" s="78">
        <f>IFERROR(MIN(求节点(宝物升星!F$67:F$72,宝物升星!$C$67:$C$72,AN121/基础状态预期!K121),宝物升星!F$14),0)</f>
        <v>0</v>
      </c>
      <c r="AS121" s="78">
        <f>IFERROR(MIN(求节点(宝物升星!G$67:G$72,宝物升星!$C$67:$C$72,AO121/基础状态预期!L121),宝物升星!G$14),0)</f>
        <v>0</v>
      </c>
      <c r="AV121" s="38">
        <f t="shared" ref="AV121:AV141" si="125">X121/AL121</f>
        <v>0.99470204523581374</v>
      </c>
      <c r="AW121" s="38">
        <f>AH121/AL121</f>
        <v>5.2979547641862062E-3</v>
      </c>
      <c r="AX121" s="38">
        <f>AC121/AL121</f>
        <v>0</v>
      </c>
      <c r="AY121" s="38">
        <f t="shared" ref="AY121:AY141" si="126">Y121/AM121</f>
        <v>0.99575714049310338</v>
      </c>
      <c r="AZ121" s="38">
        <f>AI121/AM121</f>
        <v>4.2428595068966322E-3</v>
      </c>
      <c r="BA121" s="38">
        <f>AD121/AM121</f>
        <v>0</v>
      </c>
      <c r="BB121" s="38">
        <f t="shared" ref="BB121:BB141" si="127">Z121/AN121</f>
        <v>0.9941168467819731</v>
      </c>
      <c r="BC121" s="38">
        <f>AJ121/AN121</f>
        <v>5.8831532180269059E-3</v>
      </c>
      <c r="BD121" s="38">
        <f>AE121/AN121</f>
        <v>0</v>
      </c>
      <c r="BE121" s="38">
        <f t="shared" ref="BE121:BE141" si="128">AA121/AO121</f>
        <v>1</v>
      </c>
      <c r="BF121" s="38">
        <f>AK121/AO121</f>
        <v>0</v>
      </c>
      <c r="BG121" s="38">
        <f>AF121/AO121</f>
        <v>0</v>
      </c>
      <c r="BJ121" s="16">
        <v>1.0999979999999998</v>
      </c>
      <c r="BK121" s="16">
        <v>0.47825999999999996</v>
      </c>
      <c r="BL121" s="16">
        <v>3.1883999999999996E-2</v>
      </c>
      <c r="BM121" s="16">
        <v>1.11594E-2</v>
      </c>
      <c r="BN121" s="16">
        <v>216.60160437331231</v>
      </c>
      <c r="BO121" s="16">
        <v>72.312128791104115</v>
      </c>
      <c r="BP121" s="16">
        <v>12.961980382398741</v>
      </c>
      <c r="BQ121" s="16">
        <v>4.3211915274662465</v>
      </c>
      <c r="BR121" s="16">
        <v>0</v>
      </c>
      <c r="BS121" s="16">
        <v>0</v>
      </c>
      <c r="BT121" s="16">
        <v>0</v>
      </c>
      <c r="BU121" s="16">
        <v>0</v>
      </c>
      <c r="BX121" s="37" t="str">
        <f t="shared" si="86"/>
        <v/>
      </c>
    </row>
    <row r="122" spans="14:76">
      <c r="N122" s="16">
        <v>4</v>
      </c>
      <c r="O122" s="17">
        <v>60</v>
      </c>
      <c r="P122" s="17">
        <f>求节点(节奏总纲!$O$4:$O$163,节奏总纲!T$4:T$163,O122)</f>
        <v>18.276300000000003</v>
      </c>
      <c r="Q122" s="17">
        <f>INDEX(其他调用!$G$4:$G$163,$O122)*$P$10</f>
        <v>339501.32883234549</v>
      </c>
      <c r="R122" s="50">
        <v>1</v>
      </c>
      <c r="S122" s="17">
        <f t="shared" si="115"/>
        <v>0.375</v>
      </c>
      <c r="T122" s="17">
        <f t="shared" si="116"/>
        <v>0.125</v>
      </c>
      <c r="U122" s="17">
        <f t="shared" si="117"/>
        <v>2.2500000000000003E-2</v>
      </c>
      <c r="V122" s="17">
        <f t="shared" si="118"/>
        <v>7.4999999999999997E-3</v>
      </c>
      <c r="W122" s="17">
        <f t="shared" ref="W122:W141" si="129">Q122-Q121</f>
        <v>149855.74304550744</v>
      </c>
      <c r="X122" s="17">
        <f>$W122/$E$25*S122*$R122+X121</f>
        <v>385.79696458221076</v>
      </c>
      <c r="Y122" s="17">
        <f t="shared" ref="Y122:Y141" si="130">$W122/$E$25*T122*$R122+Y121</f>
        <v>128.59898819407027</v>
      </c>
      <c r="Z122" s="17">
        <f t="shared" ref="Z122:Z141" si="131">$W122/$E$25*U122*$R122+Z121</f>
        <v>23.147817874932649</v>
      </c>
      <c r="AA122" s="17">
        <f t="shared" ref="AA122:AA141" si="132">$W122/$E$25*V122*$R122+AA121</f>
        <v>7.715939291644216</v>
      </c>
      <c r="AB122" s="17">
        <f>求节点(盗宝贼掉落!$CV$5:$CV$164,盗宝贼掉落!$DG$5:$DG$164,$O122)</f>
        <v>8.5965306686220906</v>
      </c>
      <c r="AC122" s="17">
        <f>$AB122*INDEX(盗宝贼掉落!$D$64:$D$67,MATCH(AC$16,盗宝贼掉落!$B$64:$B$67,0))*INDEX(盗宝贼掉落!$F$64:$F$67,MATCH(AC$16,盗宝贼掉落!$B$64:$B$67,0))</f>
        <v>6.4473980014665679</v>
      </c>
      <c r="AD122" s="17">
        <f>$AB122*INDEX(盗宝贼掉落!$D$64:$D$67,MATCH(AD$16,盗宝贼掉落!$B$64:$B$67,0))*INDEX(盗宝贼掉落!$F$64:$F$67,MATCH(AD$16,盗宝贼掉落!$B$64:$B$67,0))</f>
        <v>0.42982653343110455</v>
      </c>
      <c r="AE122" s="17">
        <f>$AB122*INDEX(盗宝贼掉落!$D$64:$D$67,MATCH(AE$16,盗宝贼掉落!$B$64:$B$67,0))*INDEX(盗宝贼掉落!$F$64:$F$67,MATCH(AE$16,盗宝贼掉落!$B$64:$B$67,0))</f>
        <v>0</v>
      </c>
      <c r="AF122" s="17">
        <f>$AB122*INDEX(盗宝贼掉落!$D$64:$D$67,MATCH(AF$16,盗宝贼掉落!$B$64:$B$67,0))*INDEX(盗宝贼掉落!$F$64:$F$67,MATCH(AF$16,盗宝贼掉落!$B$64:$B$67,0))</f>
        <v>0</v>
      </c>
      <c r="AG122" s="17">
        <f>求节点(匈奴铁骑掉落!$J$7:$J$166,匈奴铁骑掉落!O$7:O$166,O122)</f>
        <v>14.731560000000002</v>
      </c>
      <c r="AH122" s="17">
        <f>$AG122*INDEX(盗宝贼掉落!$D$64:$D$67,MATCH(AH$16,盗宝贼掉落!$B$64:$B$67,0))*INDEX(盗宝贼掉落!$G$64:$G$67,MATCH(AH$16,盗宝贼掉落!$B$64:$B$67,0))</f>
        <v>4.4194680000000011</v>
      </c>
      <c r="AI122" s="17">
        <f>$AG122*INDEX(盗宝贼掉落!$D$64:$D$67,MATCH(AI$16,盗宝贼掉落!$B$64:$B$67,0))*INDEX(盗宝贼掉落!$G$64:$G$67,MATCH(AI$16,盗宝贼掉落!$B$64:$B$67,0))</f>
        <v>1.1785248000000004</v>
      </c>
      <c r="AJ122" s="17">
        <f>$AG122*INDEX(盗宝贼掉落!$D$64:$D$67,MATCH(AJ$16,盗宝贼掉落!$B$64:$B$67,0))*INDEX(盗宝贼掉落!$G$64:$G$67,MATCH(AJ$16,盗宝贼掉落!$B$64:$B$67,0))</f>
        <v>0.29463120000000004</v>
      </c>
      <c r="AK122" s="17">
        <f>$AG122*INDEX(盗宝贼掉落!$D$64:$D$67,MATCH(AK$16,盗宝贼掉落!$B$64:$B$67,0))*INDEX(盗宝贼掉落!$G$64:$G$67,MATCH(AK$16,盗宝贼掉落!$B$64:$B$67,0))</f>
        <v>0</v>
      </c>
      <c r="AL122" s="17">
        <f t="shared" ref="AL122:AL141" si="133">X122+AC122+AH122</f>
        <v>396.66383058367734</v>
      </c>
      <c r="AM122" s="17">
        <f t="shared" si="122"/>
        <v>130.20733952750138</v>
      </c>
      <c r="AN122" s="17">
        <f t="shared" si="123"/>
        <v>23.44244907493265</v>
      </c>
      <c r="AO122" s="17">
        <f t="shared" si="124"/>
        <v>7.715939291644216</v>
      </c>
      <c r="AP122" s="84">
        <f>IFERROR(MAX(MIN(求节点(宝物升星!D$67:D$72,宝物升星!$C$67:$C$72,AL122/基础状态预期!C$8),宝物升星!D$14),AP121),AP121)</f>
        <v>0</v>
      </c>
      <c r="AQ122" s="84">
        <f>IFERROR(MAX(MIN(求节点(宝物升星!E$67:E$72,宝物升星!$C$67:$C$72,AM122/基础状态预期!D$8),宝物升星!E$14),AQ121),AQ121)</f>
        <v>3</v>
      </c>
      <c r="AR122" s="84">
        <f>IFERROR(MAX(MIN(求节点(宝物升星!F$67:F$72,宝物升星!$C$67:$C$72,AN122/基础状态预期!E$8),宝物升星!F$14),AR121),AR121)</f>
        <v>1.9303061343665813</v>
      </c>
      <c r="AS122" s="54">
        <f>IFERROR(MAX(MIN(求节点(宝物升星!G$67:G$72,宝物升星!$C$67:$C$72,AO122/MAX(基础状态预期!L122,基础状态预期!L121)),宝物升星!G$14),AS121),AS121)</f>
        <v>2.4246234279861913</v>
      </c>
      <c r="AV122" s="38">
        <f t="shared" si="125"/>
        <v>0.97260434361893711</v>
      </c>
      <c r="AW122" s="38">
        <f t="shared" ref="AW122:AW141" si="134">AH122/AL122</f>
        <v>1.1141595626444952E-2</v>
      </c>
      <c r="AX122" s="38">
        <f t="shared" ref="AX122:AX141" si="135">AC122/AL122</f>
        <v>1.6254060754617938E-2</v>
      </c>
      <c r="AY122" s="38">
        <f t="shared" si="126"/>
        <v>0.98764776748171401</v>
      </c>
      <c r="AZ122" s="38">
        <f t="shared" ref="AZ122:AZ141" si="136">AI122/AM122</f>
        <v>9.0511395461780522E-3</v>
      </c>
      <c r="BA122" s="38">
        <f t="shared" ref="BA122:BA141" si="137">AD122/AM122</f>
        <v>3.30109297210792E-3</v>
      </c>
      <c r="BB122" s="38">
        <f t="shared" si="127"/>
        <v>0.98743172272409652</v>
      </c>
      <c r="BC122" s="38">
        <f t="shared" ref="BC122:BC141" si="138">AJ122/AN122</f>
        <v>1.2568277275903457E-2</v>
      </c>
      <c r="BD122" s="38">
        <f t="shared" ref="BD122:BD141" si="139">AE122/AN122</f>
        <v>0</v>
      </c>
      <c r="BE122" s="38">
        <f t="shared" si="128"/>
        <v>1</v>
      </c>
      <c r="BF122" s="38">
        <f t="shared" ref="BF122:BF141" si="140">AK122/AO122</f>
        <v>0</v>
      </c>
      <c r="BG122" s="38">
        <f t="shared" ref="BG122:BG141" si="141">AF122/AO122</f>
        <v>0</v>
      </c>
      <c r="BJ122" s="16">
        <v>4.2353234999999998</v>
      </c>
      <c r="BK122" s="16">
        <v>1.8414450000000002</v>
      </c>
      <c r="BL122" s="16">
        <v>0.12276300000000002</v>
      </c>
      <c r="BM122" s="16">
        <v>4.2967050000000014E-2</v>
      </c>
      <c r="BN122" s="16">
        <v>396.96900740125523</v>
      </c>
      <c r="BO122" s="16">
        <v>130.89928664108507</v>
      </c>
      <c r="BP122" s="16">
        <v>23.269772110725317</v>
      </c>
      <c r="BQ122" s="16">
        <v>7.7586367535751037</v>
      </c>
      <c r="BR122" s="16">
        <v>0</v>
      </c>
      <c r="BS122" s="16">
        <v>3</v>
      </c>
      <c r="BT122" s="16">
        <v>5</v>
      </c>
      <c r="BU122" s="16">
        <v>2.4435741639779085</v>
      </c>
      <c r="BX122" s="37" t="str">
        <f t="shared" si="86"/>
        <v/>
      </c>
    </row>
    <row r="123" spans="14:76">
      <c r="N123" s="16">
        <v>5</v>
      </c>
      <c r="O123" s="17">
        <v>70</v>
      </c>
      <c r="P123" s="17">
        <f>求节点(节奏总纲!$O$4:$O$163,节奏总纲!T$4:T$163,O123)</f>
        <v>36.4998</v>
      </c>
      <c r="Q123" s="17">
        <f>INDEX(其他调用!$G$4:$G$163,$O123)*$P$10</f>
        <v>627428.43633939838</v>
      </c>
      <c r="R123" s="50">
        <v>1</v>
      </c>
      <c r="S123" s="17">
        <f t="shared" si="115"/>
        <v>0.375</v>
      </c>
      <c r="T123" s="17">
        <f t="shared" si="116"/>
        <v>0.125</v>
      </c>
      <c r="U123" s="17">
        <f t="shared" si="117"/>
        <v>2.2500000000000003E-2</v>
      </c>
      <c r="V123" s="17">
        <f t="shared" si="118"/>
        <v>7.4999999999999997E-3</v>
      </c>
      <c r="W123" s="17">
        <f t="shared" si="129"/>
        <v>287927.10750705289</v>
      </c>
      <c r="X123" s="17">
        <f t="shared" ref="X123:X141" si="142">$W123/$E$25*S123*$R123+X122</f>
        <v>712.98685947658907</v>
      </c>
      <c r="Y123" s="17">
        <f t="shared" si="130"/>
        <v>237.66228649219636</v>
      </c>
      <c r="Z123" s="17">
        <f t="shared" si="131"/>
        <v>42.77921156859535</v>
      </c>
      <c r="AA123" s="17">
        <f t="shared" si="132"/>
        <v>14.259737189531782</v>
      </c>
      <c r="AB123" s="17">
        <f>求节点(盗宝贼掉落!$CV$5:$CV$164,盗宝贼掉落!$DG$5:$DG$164,$O123)</f>
        <v>27.179033618622093</v>
      </c>
      <c r="AC123" s="17">
        <f>$AB123*INDEX(盗宝贼掉落!$D$64:$D$67,MATCH(AC$16,盗宝贼掉落!$B$64:$B$67,0))*INDEX(盗宝贼掉落!$F$64:$F$67,MATCH(AC$16,盗宝贼掉落!$B$64:$B$67,0))</f>
        <v>20.384275213966568</v>
      </c>
      <c r="AD123" s="17">
        <f>$AB123*INDEX(盗宝贼掉落!$D$64:$D$67,MATCH(AD$16,盗宝贼掉落!$B$64:$B$67,0))*INDEX(盗宝贼掉落!$F$64:$F$67,MATCH(AD$16,盗宝贼掉落!$B$64:$B$67,0))</f>
        <v>1.3589516809311046</v>
      </c>
      <c r="AE123" s="17">
        <f>$AB123*INDEX(盗宝贼掉落!$D$64:$D$67,MATCH(AE$16,盗宝贼掉落!$B$64:$B$67,0))*INDEX(盗宝贼掉落!$F$64:$F$67,MATCH(AE$16,盗宝贼掉落!$B$64:$B$67,0))</f>
        <v>0</v>
      </c>
      <c r="AF123" s="17">
        <f>$AB123*INDEX(盗宝贼掉落!$D$64:$D$67,MATCH(AF$16,盗宝贼掉落!$B$64:$B$67,0))*INDEX(盗宝贼掉落!$F$64:$F$67,MATCH(AF$16,盗宝贼掉落!$B$64:$B$67,0))</f>
        <v>0</v>
      </c>
      <c r="AG123" s="17">
        <f>求节点(匈奴铁骑掉落!$J$7:$J$166,匈奴铁骑掉落!O$7:O$166,O123)</f>
        <v>36.599760000000003</v>
      </c>
      <c r="AH123" s="17">
        <f>$AG123*INDEX(盗宝贼掉落!$D$64:$D$67,MATCH(AH$16,盗宝贼掉落!$B$64:$B$67,0))*INDEX(盗宝贼掉落!$G$64:$G$67,MATCH(AH$16,盗宝贼掉落!$B$64:$B$67,0))</f>
        <v>10.979928000000003</v>
      </c>
      <c r="AI123" s="17">
        <f>$AG123*INDEX(盗宝贼掉落!$D$64:$D$67,MATCH(AI$16,盗宝贼掉落!$B$64:$B$67,0))*INDEX(盗宝贼掉落!$G$64:$G$67,MATCH(AI$16,盗宝贼掉落!$B$64:$B$67,0))</f>
        <v>2.9279808000000003</v>
      </c>
      <c r="AJ123" s="17">
        <f>$AG123*INDEX(盗宝贼掉落!$D$64:$D$67,MATCH(AJ$16,盗宝贼掉落!$B$64:$B$67,0))*INDEX(盗宝贼掉落!$G$64:$G$67,MATCH(AJ$16,盗宝贼掉落!$B$64:$B$67,0))</f>
        <v>0.73199520000000007</v>
      </c>
      <c r="AK123" s="17">
        <f>$AG123*INDEX(盗宝贼掉落!$D$64:$D$67,MATCH(AK$16,盗宝贼掉落!$B$64:$B$67,0))*INDEX(盗宝贼掉落!$G$64:$G$67,MATCH(AK$16,盗宝贼掉落!$B$64:$B$67,0))</f>
        <v>0</v>
      </c>
      <c r="AL123" s="17">
        <f t="shared" si="133"/>
        <v>744.35106269055564</v>
      </c>
      <c r="AM123" s="17">
        <f t="shared" si="122"/>
        <v>241.94921897312747</v>
      </c>
      <c r="AN123" s="17">
        <f t="shared" si="123"/>
        <v>43.511206768595351</v>
      </c>
      <c r="AO123" s="17">
        <f t="shared" si="124"/>
        <v>14.259737189531782</v>
      </c>
      <c r="AP123" s="84">
        <f>IFERROR(MAX(MIN(求节点(宝物升星!D$67:D$72,宝物升星!$C$67:$C$72,AL123/基础状态预期!C$8),宝物升星!D$14),AP122),AP122)</f>
        <v>0</v>
      </c>
      <c r="AQ123" s="84">
        <f>IFERROR(MAX(MIN(求节点(宝物升星!E$67:E$72,宝物升星!$C$67:$C$72,AM123/基础状态预期!D$8),宝物升星!E$14),AQ122),AQ122)</f>
        <v>3</v>
      </c>
      <c r="AR123" s="84">
        <f>IFERROR(MAX(MIN(求节点(宝物升星!F$67:F$72,宝物升星!$C$67:$C$72,AN123/基础状态预期!E$8),宝物升星!F$14),AR122),AR122)</f>
        <v>4.4389008460744188</v>
      </c>
      <c r="AS123" s="54">
        <f>IFERROR(MAX(MIN(求节点(宝物升星!G$67:G$72,宝物升星!$C$67:$C$72,AO123/MAX(基础状态预期!L123,基础状态预期!L122)),宝物升星!G$14),AS122),AS122)</f>
        <v>2.4246234279861913</v>
      </c>
      <c r="AV123" s="38">
        <f t="shared" si="125"/>
        <v>0.95786369525611148</v>
      </c>
      <c r="AW123" s="38">
        <f t="shared" si="134"/>
        <v>1.4751007354394843E-2</v>
      </c>
      <c r="AX123" s="38">
        <f t="shared" si="135"/>
        <v>2.7385297389493746E-2</v>
      </c>
      <c r="AY123" s="38">
        <f t="shared" si="126"/>
        <v>0.98228168497866797</v>
      </c>
      <c r="AZ123" s="38">
        <f t="shared" si="136"/>
        <v>1.2101633609014468E-2</v>
      </c>
      <c r="BA123" s="38">
        <f t="shared" si="137"/>
        <v>5.6166814123175118E-3</v>
      </c>
      <c r="BB123" s="38">
        <f t="shared" si="127"/>
        <v>0.98317685823119194</v>
      </c>
      <c r="BC123" s="38">
        <f t="shared" si="138"/>
        <v>1.6823141768808052E-2</v>
      </c>
      <c r="BD123" s="38">
        <f t="shared" si="139"/>
        <v>0</v>
      </c>
      <c r="BE123" s="38">
        <f t="shared" si="128"/>
        <v>1</v>
      </c>
      <c r="BF123" s="38">
        <f t="shared" si="140"/>
        <v>0</v>
      </c>
      <c r="BG123" s="38">
        <f t="shared" si="141"/>
        <v>0</v>
      </c>
      <c r="BJ123" s="16">
        <v>10.522431000000001</v>
      </c>
      <c r="BK123" s="16">
        <v>4.5749700000000004</v>
      </c>
      <c r="BL123" s="16">
        <v>0.30499800000000005</v>
      </c>
      <c r="BM123" s="16">
        <v>0.10674930000000002</v>
      </c>
      <c r="BN123" s="16">
        <v>744.35761165431597</v>
      </c>
      <c r="BO123" s="16">
        <v>243.616809968772</v>
      </c>
      <c r="BP123" s="16">
        <v>43.081884283158963</v>
      </c>
      <c r="BQ123" s="16">
        <v>14.36571139438632</v>
      </c>
      <c r="BR123" s="16">
        <v>0</v>
      </c>
      <c r="BS123" s="16">
        <v>3</v>
      </c>
      <c r="BT123" s="16">
        <v>5</v>
      </c>
      <c r="BU123" s="16">
        <v>2.4435741639779085</v>
      </c>
      <c r="BX123" s="37" t="str">
        <f t="shared" si="86"/>
        <v/>
      </c>
    </row>
    <row r="124" spans="14:76">
      <c r="N124" s="16">
        <v>6</v>
      </c>
      <c r="O124" s="17">
        <v>75</v>
      </c>
      <c r="P124" s="17">
        <f>求节点(节奏总纲!$O$4:$O$163,节奏总纲!T$4:T$163,O124)</f>
        <v>51.755559095329879</v>
      </c>
      <c r="Q124" s="17">
        <f>INDEX(其他调用!$G$4:$G$163,$O124)*$P$10</f>
        <v>878167.07331317558</v>
      </c>
      <c r="R124" s="50">
        <v>1</v>
      </c>
      <c r="S124" s="17">
        <f t="shared" si="115"/>
        <v>0.375</v>
      </c>
      <c r="T124" s="17">
        <f t="shared" si="116"/>
        <v>0.125</v>
      </c>
      <c r="U124" s="17">
        <f t="shared" si="117"/>
        <v>2.2500000000000003E-2</v>
      </c>
      <c r="V124" s="17">
        <f t="shared" si="118"/>
        <v>7.4999999999999997E-3</v>
      </c>
      <c r="W124" s="17">
        <f t="shared" si="129"/>
        <v>250738.6369737772</v>
      </c>
      <c r="X124" s="17">
        <f t="shared" si="142"/>
        <v>997.91712876497229</v>
      </c>
      <c r="Y124" s="17">
        <f t="shared" si="130"/>
        <v>332.63904292165739</v>
      </c>
      <c r="Z124" s="17">
        <f t="shared" si="131"/>
        <v>59.875027725898349</v>
      </c>
      <c r="AA124" s="17">
        <f t="shared" si="132"/>
        <v>19.958342575299447</v>
      </c>
      <c r="AB124" s="17">
        <f>求节点(盗宝贼掉落!$CV$5:$CV$164,盗宝贼掉落!$DG$5:$DG$164,$O124)</f>
        <v>42.73533116812996</v>
      </c>
      <c r="AC124" s="17">
        <f>$AB124*INDEX(盗宝贼掉落!$D$64:$D$67,MATCH(AC$16,盗宝贼掉落!$B$64:$B$67,0))*INDEX(盗宝贼掉落!$F$64:$F$67,MATCH(AC$16,盗宝贼掉落!$B$64:$B$67,0))</f>
        <v>32.05149837609747</v>
      </c>
      <c r="AD124" s="17">
        <f>$AB124*INDEX(盗宝贼掉落!$D$64:$D$67,MATCH(AD$16,盗宝贼掉落!$B$64:$B$67,0))*INDEX(盗宝贼掉落!$F$64:$F$67,MATCH(AD$16,盗宝贼掉落!$B$64:$B$67,0))</f>
        <v>2.1367665584064981</v>
      </c>
      <c r="AE124" s="17">
        <f>$AB124*INDEX(盗宝贼掉落!$D$64:$D$67,MATCH(AE$16,盗宝贼掉落!$B$64:$B$67,0))*INDEX(盗宝贼掉落!$F$64:$F$67,MATCH(AE$16,盗宝贼掉落!$B$64:$B$67,0))</f>
        <v>0</v>
      </c>
      <c r="AF124" s="17">
        <f>$AB124*INDEX(盗宝贼掉落!$D$64:$D$67,MATCH(AF$16,盗宝贼掉落!$B$64:$B$67,0))*INDEX(盗宝贼掉落!$F$64:$F$67,MATCH(AF$16,盗宝贼掉落!$B$64:$B$67,0))</f>
        <v>0</v>
      </c>
      <c r="AG124" s="17">
        <f>求节点(匈奴铁骑掉落!$J$7:$J$166,匈奴铁骑掉落!O$7:O$166,O124)</f>
        <v>54.906670914395853</v>
      </c>
      <c r="AH124" s="17">
        <f>$AG124*INDEX(盗宝贼掉落!$D$64:$D$67,MATCH(AH$16,盗宝贼掉落!$B$64:$B$67,0))*INDEX(盗宝贼掉落!$G$64:$G$67,MATCH(AH$16,盗宝贼掉落!$B$64:$B$67,0))</f>
        <v>16.472001274318757</v>
      </c>
      <c r="AI124" s="17">
        <f>$AG124*INDEX(盗宝贼掉落!$D$64:$D$67,MATCH(AI$16,盗宝贼掉落!$B$64:$B$67,0))*INDEX(盗宝贼掉落!$G$64:$G$67,MATCH(AI$16,盗宝贼掉落!$B$64:$B$67,0))</f>
        <v>4.3925336731516689</v>
      </c>
      <c r="AJ124" s="17">
        <f>$AG124*INDEX(盗宝贼掉落!$D$64:$D$67,MATCH(AJ$16,盗宝贼掉落!$B$64:$B$67,0))*INDEX(盗宝贼掉落!$G$64:$G$67,MATCH(AJ$16,盗宝贼掉落!$B$64:$B$67,0))</f>
        <v>1.098133418287917</v>
      </c>
      <c r="AK124" s="17">
        <f>$AG124*INDEX(盗宝贼掉落!$D$64:$D$67,MATCH(AK$16,盗宝贼掉落!$B$64:$B$67,0))*INDEX(盗宝贼掉落!$G$64:$G$67,MATCH(AK$16,盗宝贼掉落!$B$64:$B$67,0))</f>
        <v>0</v>
      </c>
      <c r="AL124" s="17">
        <f t="shared" si="133"/>
        <v>1046.4406284153883</v>
      </c>
      <c r="AM124" s="17">
        <f t="shared" si="122"/>
        <v>339.16834315321557</v>
      </c>
      <c r="AN124" s="17">
        <f t="shared" si="123"/>
        <v>60.973161144186264</v>
      </c>
      <c r="AO124" s="17">
        <f t="shared" si="124"/>
        <v>19.958342575299447</v>
      </c>
      <c r="AP124" s="84">
        <f>IFERROR(MAX(MIN(求节点(宝物升星!D$67:D$72,宝物升星!$C$67:$C$72,AL124/基础状态预期!C$8),宝物升星!D$14),AP123),AP123)</f>
        <v>0</v>
      </c>
      <c r="AQ124" s="84">
        <f>IFERROR(MAX(MIN(求节点(宝物升星!E$67:E$72,宝物升星!$C$67:$C$72,AM124/基础状态预期!D$8),宝物升星!E$14),AQ123),AQ123)</f>
        <v>3</v>
      </c>
      <c r="AR124" s="84">
        <f>IFERROR(MAX(MIN(求节点(宝物升星!F$67:F$72,宝物升星!$C$67:$C$72,AN124/基础状态预期!E$8),宝物升星!F$14),AR123),AR123)</f>
        <v>5</v>
      </c>
      <c r="AS124" s="54">
        <f>IFERROR(MAX(MIN(求节点(宝物升星!G$67:G$72,宝物升星!$C$67:$C$72,AO124/MAX(基础状态预期!L124,基础状态预期!L123)),宝物升星!G$14),AS123),AS123)</f>
        <v>2.5577382042117049</v>
      </c>
      <c r="AV124" s="38">
        <f t="shared" si="125"/>
        <v>0.95362995440659204</v>
      </c>
      <c r="AW124" s="38">
        <f t="shared" si="134"/>
        <v>1.5740980259206963E-2</v>
      </c>
      <c r="AX124" s="38">
        <f t="shared" si="135"/>
        <v>3.0629065334201181E-2</v>
      </c>
      <c r="AY124" s="38">
        <f t="shared" si="126"/>
        <v>0.98074908710271747</v>
      </c>
      <c r="AZ124" s="38">
        <f t="shared" si="136"/>
        <v>1.2950895217149998E-2</v>
      </c>
      <c r="BA124" s="38">
        <f t="shared" si="137"/>
        <v>6.3000176801324796E-3</v>
      </c>
      <c r="BB124" s="38">
        <f t="shared" si="127"/>
        <v>0.98198988870380033</v>
      </c>
      <c r="BC124" s="38">
        <f t="shared" si="138"/>
        <v>1.8010111296199754E-2</v>
      </c>
      <c r="BD124" s="38">
        <f t="shared" si="139"/>
        <v>0</v>
      </c>
      <c r="BE124" s="38">
        <f t="shared" si="128"/>
        <v>1</v>
      </c>
      <c r="BF124" s="38">
        <f t="shared" si="140"/>
        <v>0</v>
      </c>
      <c r="BG124" s="38">
        <f t="shared" si="141"/>
        <v>0</v>
      </c>
      <c r="BJ124" s="16">
        <v>15.785667887888806</v>
      </c>
      <c r="BK124" s="16">
        <v>6.8633338642994817</v>
      </c>
      <c r="BL124" s="16">
        <v>0.45755559095329873</v>
      </c>
      <c r="BM124" s="16">
        <v>0.16014445683365458</v>
      </c>
      <c r="BN124" s="16">
        <v>1046.1906702482013</v>
      </c>
      <c r="BO124" s="16">
        <v>341.65052155850202</v>
      </c>
      <c r="BP124" s="16">
        <v>60.32859778674419</v>
      </c>
      <c r="BQ124" s="16">
        <v>20.117158522097284</v>
      </c>
      <c r="BR124" s="16">
        <v>0</v>
      </c>
      <c r="BS124" s="16">
        <v>3</v>
      </c>
      <c r="BT124" s="16">
        <v>5</v>
      </c>
      <c r="BU124" s="16">
        <v>2.5860484488740045</v>
      </c>
      <c r="BX124" s="37" t="str">
        <f t="shared" si="86"/>
        <v/>
      </c>
    </row>
    <row r="125" spans="14:76">
      <c r="N125" s="16">
        <v>7</v>
      </c>
      <c r="O125" s="17">
        <v>80</v>
      </c>
      <c r="P125" s="17">
        <f>求节点(节奏总纲!$O$4:$O$163,节奏总纲!T$4:T$163,O125)</f>
        <v>72.777000000000001</v>
      </c>
      <c r="Q125" s="17">
        <f>INDEX(其他调用!$G$4:$G$163,$O125)*$P$10</f>
        <v>1223668.5594552399</v>
      </c>
      <c r="R125" s="50">
        <v>1</v>
      </c>
      <c r="S125" s="17">
        <f t="shared" si="115"/>
        <v>0.375</v>
      </c>
      <c r="T125" s="17">
        <f t="shared" si="116"/>
        <v>0.125</v>
      </c>
      <c r="U125" s="17">
        <f t="shared" si="117"/>
        <v>2.2500000000000003E-2</v>
      </c>
      <c r="V125" s="17">
        <f t="shared" si="118"/>
        <v>7.4999999999999997E-3</v>
      </c>
      <c r="W125" s="17">
        <f t="shared" si="129"/>
        <v>345501.48614206433</v>
      </c>
      <c r="X125" s="17">
        <f t="shared" si="142"/>
        <v>1390.5324539264091</v>
      </c>
      <c r="Y125" s="17">
        <f t="shared" si="130"/>
        <v>463.51081797546965</v>
      </c>
      <c r="Z125" s="17">
        <f t="shared" si="131"/>
        <v>83.431947235584559</v>
      </c>
      <c r="AA125" s="17">
        <f t="shared" si="132"/>
        <v>27.810649078528183</v>
      </c>
      <c r="AB125" s="17">
        <f>求节点(盗宝贼掉落!$CV$5:$CV$164,盗宝贼掉落!$DG$5:$DG$164,$O125)</f>
        <v>64.170894458622072</v>
      </c>
      <c r="AC125" s="17">
        <f>$AB125*INDEX(盗宝贼掉落!$D$64:$D$67,MATCH(AC$16,盗宝贼掉落!$B$64:$B$67,0))*INDEX(盗宝贼掉落!$F$64:$F$67,MATCH(AC$16,盗宝贼掉落!$B$64:$B$67,0))</f>
        <v>48.128170843966558</v>
      </c>
      <c r="AD125" s="17">
        <f>$AB125*INDEX(盗宝贼掉落!$D$64:$D$67,MATCH(AD$16,盗宝贼掉落!$B$64:$B$67,0))*INDEX(盗宝贼掉落!$F$64:$F$67,MATCH(AD$16,盗宝贼掉落!$B$64:$B$67,0))</f>
        <v>3.2085447229311037</v>
      </c>
      <c r="AE125" s="17">
        <f>$AB125*INDEX(盗宝贼掉落!$D$64:$D$67,MATCH(AE$16,盗宝贼掉落!$B$64:$B$67,0))*INDEX(盗宝贼掉落!$F$64:$F$67,MATCH(AE$16,盗宝贼掉落!$B$64:$B$67,0))</f>
        <v>0</v>
      </c>
      <c r="AF125" s="17">
        <f>$AB125*INDEX(盗宝贼掉落!$D$64:$D$67,MATCH(AF$16,盗宝贼掉落!$B$64:$B$67,0))*INDEX(盗宝贼掉落!$F$64:$F$67,MATCH(AF$16,盗宝贼掉落!$B$64:$B$67,0))</f>
        <v>0</v>
      </c>
      <c r="AG125" s="17">
        <f>求节点(匈奴铁骑掉落!$J$7:$J$166,匈奴铁骑掉落!O$7:O$166,O125)</f>
        <v>80.132400000000018</v>
      </c>
      <c r="AH125" s="17">
        <f>$AG125*INDEX(盗宝贼掉落!$D$64:$D$67,MATCH(AH$16,盗宝贼掉落!$B$64:$B$67,0))*INDEX(盗宝贼掉落!$G$64:$G$67,MATCH(AH$16,盗宝贼掉落!$B$64:$B$67,0))</f>
        <v>24.03972000000001</v>
      </c>
      <c r="AI125" s="17">
        <f>$AG125*INDEX(盗宝贼掉落!$D$64:$D$67,MATCH(AI$16,盗宝贼掉落!$B$64:$B$67,0))*INDEX(盗宝贼掉落!$G$64:$G$67,MATCH(AI$16,盗宝贼掉落!$B$64:$B$67,0))</f>
        <v>6.4105920000000012</v>
      </c>
      <c r="AJ125" s="17">
        <f>$AG125*INDEX(盗宝贼掉落!$D$64:$D$67,MATCH(AJ$16,盗宝贼掉落!$B$64:$B$67,0))*INDEX(盗宝贼掉落!$G$64:$G$67,MATCH(AJ$16,盗宝贼掉落!$B$64:$B$67,0))</f>
        <v>1.6026480000000005</v>
      </c>
      <c r="AK125" s="17">
        <f>$AG125*INDEX(盗宝贼掉落!$D$64:$D$67,MATCH(AK$16,盗宝贼掉落!$B$64:$B$67,0))*INDEX(盗宝贼掉落!$G$64:$G$67,MATCH(AK$16,盗宝贼掉落!$B$64:$B$67,0))</f>
        <v>0</v>
      </c>
      <c r="AL125" s="17">
        <f t="shared" si="133"/>
        <v>1462.7003447703755</v>
      </c>
      <c r="AM125" s="17">
        <f t="shared" si="122"/>
        <v>473.12995469840075</v>
      </c>
      <c r="AN125" s="17">
        <f t="shared" si="123"/>
        <v>85.034595235584561</v>
      </c>
      <c r="AO125" s="17">
        <f t="shared" si="124"/>
        <v>27.810649078528183</v>
      </c>
      <c r="AP125" s="84">
        <f>IFERROR(MAX(MIN(求节点(宝物升星!D$67:D$72,宝物升星!$C$67:$C$72,AL125/基础状态预期!C$8),宝物升星!D$14),AP124),AP124)</f>
        <v>0</v>
      </c>
      <c r="AQ125" s="84">
        <f>IFERROR(MAX(MIN(求节点(宝物升星!E$67:E$72,宝物升星!$C$67:$C$72,AM125/基础状态预期!D$8),宝物升星!E$14),AQ124),AQ124)</f>
        <v>3</v>
      </c>
      <c r="AR125" s="84">
        <f>IFERROR(MAX(MIN(求节点(宝物升星!F$67:F$72,宝物升星!$C$67:$C$72,AN125/基础状态预期!E$8),宝物升星!F$14),AR124),AR124)</f>
        <v>5</v>
      </c>
      <c r="AS125" s="54">
        <f>IFERROR(MAX(MIN(求节点(宝物升星!G$67:G$72,宝物升星!$C$67:$C$72,AO125/MAX(基础状态预期!L125,基础状态预期!L124)),宝物升星!G$14),AS124),AS124)</f>
        <v>3.6351081797546971</v>
      </c>
      <c r="AV125" s="38">
        <f t="shared" si="125"/>
        <v>0.95066119242947478</v>
      </c>
      <c r="AW125" s="38">
        <f t="shared" si="134"/>
        <v>1.6435163966392531E-2</v>
      </c>
      <c r="AX125" s="38">
        <f t="shared" si="135"/>
        <v>3.2903643604132768E-2</v>
      </c>
      <c r="AY125" s="38">
        <f t="shared" si="126"/>
        <v>0.97966914453965848</v>
      </c>
      <c r="AZ125" s="38">
        <f t="shared" si="136"/>
        <v>1.354932600724143E-2</v>
      </c>
      <c r="BA125" s="38">
        <f t="shared" si="137"/>
        <v>6.7815294531000641E-3</v>
      </c>
      <c r="BB125" s="38">
        <f t="shared" si="127"/>
        <v>0.98115298843300258</v>
      </c>
      <c r="BC125" s="38">
        <f t="shared" si="138"/>
        <v>1.8847011566997356E-2</v>
      </c>
      <c r="BD125" s="38">
        <f t="shared" si="139"/>
        <v>0</v>
      </c>
      <c r="BE125" s="38">
        <f t="shared" si="128"/>
        <v>1</v>
      </c>
      <c r="BF125" s="38">
        <f t="shared" si="140"/>
        <v>0</v>
      </c>
      <c r="BG125" s="38">
        <f t="shared" si="141"/>
        <v>0</v>
      </c>
      <c r="BJ125" s="16">
        <v>23.038065</v>
      </c>
      <c r="BK125" s="16">
        <v>10.016550000000002</v>
      </c>
      <c r="BL125" s="16">
        <v>0.66777000000000009</v>
      </c>
      <c r="BM125" s="16">
        <v>0.23371950000000005</v>
      </c>
      <c r="BN125" s="16">
        <v>1462.0969365086273</v>
      </c>
      <c r="BO125" s="16">
        <v>476.73458141887579</v>
      </c>
      <c r="BP125" s="16">
        <v>84.093443996617651</v>
      </c>
      <c r="BQ125" s="16">
        <v>28.042277498872547</v>
      </c>
      <c r="BR125" s="16">
        <v>0</v>
      </c>
      <c r="BS125" s="16">
        <v>3</v>
      </c>
      <c r="BT125" s="16">
        <v>5</v>
      </c>
      <c r="BU125" s="16">
        <v>3.6737129164787579</v>
      </c>
      <c r="BX125" s="37" t="str">
        <f t="shared" si="86"/>
        <v/>
      </c>
    </row>
    <row r="126" spans="14:76">
      <c r="N126" s="16">
        <v>8</v>
      </c>
      <c r="O126" s="17">
        <v>85</v>
      </c>
      <c r="P126" s="17">
        <f>求节点(节奏总纲!$O$4:$O$163,节奏总纲!T$4:T$163,O126)</f>
        <v>102.53498283877349</v>
      </c>
      <c r="Q126" s="17">
        <f>INDEX(其他调用!$G$4:$G$163,$O126)*$P$10</f>
        <v>1706909.9307341028</v>
      </c>
      <c r="R126" s="50">
        <v>1</v>
      </c>
      <c r="S126" s="17">
        <f t="shared" si="115"/>
        <v>0.375</v>
      </c>
      <c r="T126" s="17">
        <f t="shared" si="116"/>
        <v>0.125</v>
      </c>
      <c r="U126" s="17">
        <f t="shared" si="117"/>
        <v>2.2500000000000003E-2</v>
      </c>
      <c r="V126" s="17">
        <f t="shared" si="118"/>
        <v>7.4999999999999997E-3</v>
      </c>
      <c r="W126" s="17">
        <f t="shared" si="129"/>
        <v>483241.37127886293</v>
      </c>
      <c r="X126" s="17">
        <f t="shared" si="142"/>
        <v>1939.6703758342078</v>
      </c>
      <c r="Y126" s="17">
        <f t="shared" si="130"/>
        <v>646.55679194473589</v>
      </c>
      <c r="Z126" s="17">
        <f t="shared" si="131"/>
        <v>116.38022255005249</v>
      </c>
      <c r="AA126" s="17">
        <f t="shared" si="132"/>
        <v>38.793407516684155</v>
      </c>
      <c r="AB126" s="17">
        <f>求节点(盗宝贼掉落!$CV$5:$CV$164,盗宝贼掉落!$DG$5:$DG$164,$O126)</f>
        <v>94.515109559319399</v>
      </c>
      <c r="AC126" s="17">
        <f>$AB126*INDEX(盗宝贼掉落!$D$64:$D$67,MATCH(AC$16,盗宝贼掉落!$B$64:$B$67,0))*INDEX(盗宝贼掉落!$F$64:$F$67,MATCH(AC$16,盗宝贼掉落!$B$64:$B$67,0))</f>
        <v>70.886332169489549</v>
      </c>
      <c r="AD126" s="17">
        <f>$AB126*INDEX(盗宝贼掉落!$D$64:$D$67,MATCH(AD$16,盗宝贼掉落!$B$64:$B$67,0))*INDEX(盗宝贼掉落!$F$64:$F$67,MATCH(AD$16,盗宝贼掉落!$B$64:$B$67,0))</f>
        <v>4.7257554779659703</v>
      </c>
      <c r="AE126" s="17">
        <f>$AB126*INDEX(盗宝贼掉落!$D$64:$D$67,MATCH(AE$16,盗宝贼掉落!$B$64:$B$67,0))*INDEX(盗宝贼掉落!$F$64:$F$67,MATCH(AE$16,盗宝贼掉落!$B$64:$B$67,0))</f>
        <v>0</v>
      </c>
      <c r="AF126" s="17">
        <f>$AB126*INDEX(盗宝贼掉落!$D$64:$D$67,MATCH(AF$16,盗宝贼掉落!$B$64:$B$67,0))*INDEX(盗宝贼掉落!$F$64:$F$67,MATCH(AF$16,盗宝贼掉落!$B$64:$B$67,0))</f>
        <v>0</v>
      </c>
      <c r="AG126" s="17">
        <f>求节点(匈奴铁骑掉落!$J$7:$J$166,匈奴铁骑掉落!O$7:O$166,O126)</f>
        <v>115.8419794065282</v>
      </c>
      <c r="AH126" s="17">
        <f>$AG126*INDEX(盗宝贼掉落!$D$64:$D$67,MATCH(AH$16,盗宝贼掉落!$B$64:$B$67,0))*INDEX(盗宝贼掉落!$G$64:$G$67,MATCH(AH$16,盗宝贼掉落!$B$64:$B$67,0))</f>
        <v>34.752593821958463</v>
      </c>
      <c r="AI126" s="17">
        <f>$AG126*INDEX(盗宝贼掉落!$D$64:$D$67,MATCH(AI$16,盗宝贼掉落!$B$64:$B$67,0))*INDEX(盗宝贼掉落!$G$64:$G$67,MATCH(AI$16,盗宝贼掉落!$B$64:$B$67,0))</f>
        <v>9.2673583525222565</v>
      </c>
      <c r="AJ126" s="17">
        <f>$AG126*INDEX(盗宝贼掉落!$D$64:$D$67,MATCH(AJ$16,盗宝贼掉落!$B$64:$B$67,0))*INDEX(盗宝贼掉落!$G$64:$G$67,MATCH(AJ$16,盗宝贼掉落!$B$64:$B$67,0))</f>
        <v>2.3168395881305637</v>
      </c>
      <c r="AK126" s="17">
        <f>$AG126*INDEX(盗宝贼掉落!$D$64:$D$67,MATCH(AK$16,盗宝贼掉落!$B$64:$B$67,0))*INDEX(盗宝贼掉落!$G$64:$G$67,MATCH(AK$16,盗宝贼掉落!$B$64:$B$67,0))</f>
        <v>0</v>
      </c>
      <c r="AL126" s="17">
        <f t="shared" si="133"/>
        <v>2045.3093018256559</v>
      </c>
      <c r="AM126" s="17">
        <f t="shared" si="122"/>
        <v>660.54990577522415</v>
      </c>
      <c r="AN126" s="17">
        <f t="shared" si="123"/>
        <v>118.69706213818306</v>
      </c>
      <c r="AO126" s="17">
        <f t="shared" si="124"/>
        <v>38.793407516684155</v>
      </c>
      <c r="AP126" s="84">
        <f>IFERROR(MAX(MIN(求节点(宝物升星!D$67:D$72,宝物升星!$C$67:$C$72,AL126/基础状态预期!C$8),宝物升星!D$14),AP125),AP125)</f>
        <v>0</v>
      </c>
      <c r="AQ126" s="84">
        <f>IFERROR(MAX(MIN(求节点(宝物升星!E$67:E$72,宝物升星!$C$67:$C$72,AM126/基础状态预期!D$8),宝物升星!E$14),AQ125),AQ125)</f>
        <v>3</v>
      </c>
      <c r="AR126" s="84">
        <f>IFERROR(MAX(MIN(求节点(宝物升星!F$67:F$72,宝物升星!$C$67:$C$72,AN126/基础状态预期!E$8),宝物升星!F$14),AR125),AR125)</f>
        <v>5</v>
      </c>
      <c r="AS126" s="54">
        <f>IFERROR(MAX(MIN(求节点(宝物升星!G$67:G$72,宝物升星!$C$67:$C$72,AO126/MAX(基础状态预期!L126,基础状态预期!L125)),宝物升星!G$14),AS125),AS125)</f>
        <v>5</v>
      </c>
      <c r="AV126" s="38">
        <f t="shared" si="125"/>
        <v>0.94835063533072761</v>
      </c>
      <c r="AW126" s="38">
        <f t="shared" si="134"/>
        <v>1.6991363502301623E-2</v>
      </c>
      <c r="AX126" s="38">
        <f t="shared" si="135"/>
        <v>3.4658001166970667E-2</v>
      </c>
      <c r="AY126" s="38">
        <f t="shared" si="126"/>
        <v>0.97881596271811455</v>
      </c>
      <c r="AZ126" s="38">
        <f t="shared" si="136"/>
        <v>1.4029762583413052E-2</v>
      </c>
      <c r="BA126" s="38">
        <f t="shared" si="137"/>
        <v>7.1542746984723342E-3</v>
      </c>
      <c r="BB126" s="38">
        <f t="shared" si="127"/>
        <v>0.98048107049664479</v>
      </c>
      <c r="BC126" s="38">
        <f t="shared" si="138"/>
        <v>1.9518929503355174E-2</v>
      </c>
      <c r="BD126" s="38">
        <f t="shared" si="139"/>
        <v>0</v>
      </c>
      <c r="BE126" s="38">
        <f t="shared" si="128"/>
        <v>1</v>
      </c>
      <c r="BF126" s="38">
        <f t="shared" si="140"/>
        <v>0</v>
      </c>
      <c r="BG126" s="38">
        <f t="shared" si="141"/>
        <v>0</v>
      </c>
      <c r="BJ126" s="16">
        <v>33.304569079376847</v>
      </c>
      <c r="BK126" s="16">
        <v>14.480247425816025</v>
      </c>
      <c r="BL126" s="16">
        <v>0.96534982838773498</v>
      </c>
      <c r="BM126" s="16">
        <v>0.33787243993570726</v>
      </c>
      <c r="BN126" s="16">
        <v>2044.2100062287104</v>
      </c>
      <c r="BO126" s="16">
        <v>665.74495770478791</v>
      </c>
      <c r="BP126" s="16">
        <v>117.33632808391638</v>
      </c>
      <c r="BQ126" s="16">
        <v>39.12819852511192</v>
      </c>
      <c r="BR126" s="16">
        <v>0</v>
      </c>
      <c r="BS126" s="16">
        <v>3</v>
      </c>
      <c r="BT126" s="16">
        <v>5</v>
      </c>
      <c r="BU126" s="16">
        <v>5</v>
      </c>
      <c r="BX126" s="37" t="str">
        <f t="shared" si="86"/>
        <v/>
      </c>
    </row>
    <row r="127" spans="14:76">
      <c r="N127" s="16">
        <v>9</v>
      </c>
      <c r="O127" s="17">
        <v>90</v>
      </c>
      <c r="P127" s="17">
        <f>求节点(节奏总纲!$O$4:$O$163,节奏总纲!T$4:T$163,O127)</f>
        <v>138.48100000000002</v>
      </c>
      <c r="Q127" s="17">
        <f>INDEX(其他调用!$G$4:$G$163,$O127)*$P$10</f>
        <v>2280928.0622581658</v>
      </c>
      <c r="R127" s="50">
        <v>1</v>
      </c>
      <c r="S127" s="17">
        <f t="shared" si="115"/>
        <v>0.375</v>
      </c>
      <c r="T127" s="17">
        <f t="shared" si="116"/>
        <v>0.125</v>
      </c>
      <c r="U127" s="17">
        <f t="shared" si="117"/>
        <v>2.2500000000000003E-2</v>
      </c>
      <c r="V127" s="17">
        <f t="shared" si="118"/>
        <v>7.4999999999999997E-3</v>
      </c>
      <c r="W127" s="17">
        <f t="shared" si="129"/>
        <v>574018.13152406295</v>
      </c>
      <c r="X127" s="17">
        <f t="shared" si="142"/>
        <v>2591.9637071115521</v>
      </c>
      <c r="Y127" s="17">
        <f t="shared" si="130"/>
        <v>863.9879023705173</v>
      </c>
      <c r="Z127" s="17">
        <f t="shared" si="131"/>
        <v>155.51782242669316</v>
      </c>
      <c r="AA127" s="17">
        <f t="shared" si="132"/>
        <v>51.839274142231041</v>
      </c>
      <c r="AB127" s="17">
        <f>求节点(盗宝贼掉落!$CV$5:$CV$164,盗宝贼掉落!$DG$5:$DG$164,$O127)</f>
        <v>131.1692632586221</v>
      </c>
      <c r="AC127" s="17">
        <f>$AB127*INDEX(盗宝贼掉落!$D$64:$D$67,MATCH(AC$16,盗宝贼掉落!$B$64:$B$67,0))*INDEX(盗宝贼掉落!$F$64:$F$67,MATCH(AC$16,盗宝贼掉落!$B$64:$B$67,0))</f>
        <v>98.376947443966571</v>
      </c>
      <c r="AD127" s="17">
        <f>$AB127*INDEX(盗宝贼掉落!$D$64:$D$67,MATCH(AD$16,盗宝贼掉落!$B$64:$B$67,0))*INDEX(盗宝贼掉落!$F$64:$F$67,MATCH(AD$16,盗宝贼掉落!$B$64:$B$67,0))</f>
        <v>6.5584631629311048</v>
      </c>
      <c r="AE127" s="17">
        <f>$AB127*INDEX(盗宝贼掉落!$D$64:$D$67,MATCH(AE$16,盗宝贼掉落!$B$64:$B$67,0))*INDEX(盗宝贼掉落!$F$64:$F$67,MATCH(AE$16,盗宝贼掉落!$B$64:$B$67,0))</f>
        <v>0</v>
      </c>
      <c r="AF127" s="17">
        <f>$AB127*INDEX(盗宝贼掉落!$D$64:$D$67,MATCH(AF$16,盗宝贼掉落!$B$64:$B$67,0))*INDEX(盗宝贼掉落!$F$64:$F$67,MATCH(AF$16,盗宝贼掉落!$B$64:$B$67,0))</f>
        <v>0</v>
      </c>
      <c r="AG127" s="17">
        <f>求节点(匈奴铁骑掉落!$J$7:$J$166,匈奴铁骑掉落!O$7:O$166,O127)</f>
        <v>158.97720000000004</v>
      </c>
      <c r="AH127" s="17">
        <f>$AG127*INDEX(盗宝贼掉落!$D$64:$D$67,MATCH(AH$16,盗宝贼掉落!$B$64:$B$67,0))*INDEX(盗宝贼掉落!$G$64:$G$67,MATCH(AH$16,盗宝贼掉落!$B$64:$B$67,0))</f>
        <v>47.69316000000002</v>
      </c>
      <c r="AI127" s="17">
        <f>$AG127*INDEX(盗宝贼掉落!$D$64:$D$67,MATCH(AI$16,盗宝贼掉落!$B$64:$B$67,0))*INDEX(盗宝贼掉落!$G$64:$G$67,MATCH(AI$16,盗宝贼掉落!$B$64:$B$67,0))</f>
        <v>12.718176000000005</v>
      </c>
      <c r="AJ127" s="17">
        <f>$AG127*INDEX(盗宝贼掉落!$D$64:$D$67,MATCH(AJ$16,盗宝贼掉落!$B$64:$B$67,0))*INDEX(盗宝贼掉落!$G$64:$G$67,MATCH(AJ$16,盗宝贼掉落!$B$64:$B$67,0))</f>
        <v>3.1795440000000004</v>
      </c>
      <c r="AK127" s="17">
        <f>$AG127*INDEX(盗宝贼掉落!$D$64:$D$67,MATCH(AK$16,盗宝贼掉落!$B$64:$B$67,0))*INDEX(盗宝贼掉落!$G$64:$G$67,MATCH(AK$16,盗宝贼掉落!$B$64:$B$67,0))</f>
        <v>0</v>
      </c>
      <c r="AL127" s="17">
        <f t="shared" si="133"/>
        <v>2738.0338145555183</v>
      </c>
      <c r="AM127" s="17">
        <f t="shared" si="122"/>
        <v>883.26454153344832</v>
      </c>
      <c r="AN127" s="17">
        <f t="shared" si="123"/>
        <v>158.69736642669315</v>
      </c>
      <c r="AO127" s="17">
        <f t="shared" si="124"/>
        <v>51.839274142231041</v>
      </c>
      <c r="AP127" s="84">
        <f>IFERROR(MAX(MIN(求节点(宝物升星!D$67:D$72,宝物升星!$C$67:$C$72,AL127/基础状态预期!C$8),宝物升星!D$14),AP126),AP126)</f>
        <v>0</v>
      </c>
      <c r="AQ127" s="84">
        <f>IFERROR(MAX(MIN(求节点(宝物升星!E$67:E$72,宝物升星!$C$67:$C$72,AM127/基础状态预期!D$8),宝物升星!E$14),AQ126),AQ126)</f>
        <v>3</v>
      </c>
      <c r="AR127" s="84">
        <f>IFERROR(MAX(MIN(求节点(宝物升星!F$67:F$72,宝物升星!$C$67:$C$72,AN127/基础状态预期!E$8),宝物升星!F$14),AR126),AR126)</f>
        <v>5</v>
      </c>
      <c r="AS127" s="54">
        <f>IFERROR(MAX(MIN(求节点(宝物升星!G$67:G$72,宝物升星!$C$67:$C$72,AO127/MAX(基础状态预期!L127,基础状态预期!L126)),宝物升星!G$14),AS126),AS126)</f>
        <v>5</v>
      </c>
      <c r="AV127" s="38">
        <f t="shared" si="125"/>
        <v>0.94665145964690045</v>
      </c>
      <c r="AW127" s="38">
        <f t="shared" si="134"/>
        <v>1.7418762232394979E-2</v>
      </c>
      <c r="AX127" s="38">
        <f t="shared" si="135"/>
        <v>3.5929778120704726E-2</v>
      </c>
      <c r="AY127" s="38">
        <f t="shared" si="126"/>
        <v>0.97817569000396576</v>
      </c>
      <c r="AZ127" s="38">
        <f t="shared" si="136"/>
        <v>1.4399056456992824E-2</v>
      </c>
      <c r="BA127" s="38">
        <f t="shared" si="137"/>
        <v>7.4252535390414995E-3</v>
      </c>
      <c r="BB127" s="38">
        <f t="shared" si="127"/>
        <v>0.9799647336840418</v>
      </c>
      <c r="BC127" s="38">
        <f t="shared" si="138"/>
        <v>2.0035266315958197E-2</v>
      </c>
      <c r="BD127" s="38">
        <f t="shared" si="139"/>
        <v>0</v>
      </c>
      <c r="BE127" s="38">
        <f t="shared" si="128"/>
        <v>1</v>
      </c>
      <c r="BF127" s="38">
        <f t="shared" si="140"/>
        <v>0</v>
      </c>
      <c r="BG127" s="38">
        <f t="shared" si="141"/>
        <v>0</v>
      </c>
      <c r="BJ127" s="16">
        <v>45.705945000000007</v>
      </c>
      <c r="BK127" s="16">
        <v>19.872150000000005</v>
      </c>
      <c r="BL127" s="16">
        <v>1.3248100000000003</v>
      </c>
      <c r="BM127" s="16">
        <v>0.46368350000000014</v>
      </c>
      <c r="BN127" s="16">
        <v>2736.3429117197188</v>
      </c>
      <c r="BO127" s="16">
        <v>890.38320606257298</v>
      </c>
      <c r="BP127" s="16">
        <v>156.83024311328316</v>
      </c>
      <c r="BQ127" s="16">
        <v>52.298827871094375</v>
      </c>
      <c r="BR127" s="16">
        <v>0</v>
      </c>
      <c r="BS127" s="16">
        <v>3</v>
      </c>
      <c r="BT127" s="16">
        <v>5</v>
      </c>
      <c r="BU127" s="16">
        <v>5</v>
      </c>
      <c r="BX127" s="37" t="str">
        <f t="shared" si="86"/>
        <v/>
      </c>
    </row>
    <row r="128" spans="14:76">
      <c r="N128" s="16">
        <v>10</v>
      </c>
      <c r="O128" s="17">
        <v>95</v>
      </c>
      <c r="P128" s="17">
        <f>求节点(节奏总纲!$O$4:$O$163,节奏总纲!T$4:T$163,O128)</f>
        <v>192.84472762747106</v>
      </c>
      <c r="Q128" s="17">
        <f>INDEX(其他调用!$G$4:$G$163,$O128)*$P$10</f>
        <v>3147381.2593638944</v>
      </c>
      <c r="R128" s="50">
        <v>1</v>
      </c>
      <c r="S128" s="17">
        <f t="shared" si="115"/>
        <v>0.375</v>
      </c>
      <c r="T128" s="17">
        <f t="shared" si="116"/>
        <v>0.125</v>
      </c>
      <c r="U128" s="17">
        <f t="shared" si="117"/>
        <v>2.2500000000000003E-2</v>
      </c>
      <c r="V128" s="17">
        <f t="shared" si="118"/>
        <v>7.4999999999999997E-3</v>
      </c>
      <c r="W128" s="17">
        <f t="shared" si="129"/>
        <v>866453.19710572856</v>
      </c>
      <c r="X128" s="17">
        <f t="shared" si="142"/>
        <v>3576.5696129135167</v>
      </c>
      <c r="Y128" s="17">
        <f t="shared" si="130"/>
        <v>1192.189870971172</v>
      </c>
      <c r="Z128" s="17">
        <f t="shared" si="131"/>
        <v>214.59417677481102</v>
      </c>
      <c r="AA128" s="17">
        <f t="shared" si="132"/>
        <v>71.53139225827033</v>
      </c>
      <c r="AB128" s="17">
        <f>求节点(盗宝贼掉落!$CV$5:$CV$164,盗宝贼掉落!$DG$5:$DG$164,$O128)</f>
        <v>186.60395632035434</v>
      </c>
      <c r="AC128" s="17">
        <f>$AB128*INDEX(盗宝贼掉落!$D$64:$D$67,MATCH(AC$16,盗宝贼掉落!$B$64:$B$67,0))*INDEX(盗宝贼掉落!$F$64:$F$67,MATCH(AC$16,盗宝贼掉落!$B$64:$B$67,0))</f>
        <v>139.95296724026576</v>
      </c>
      <c r="AD128" s="17">
        <f>$AB128*INDEX(盗宝贼掉落!$D$64:$D$67,MATCH(AD$16,盗宝贼掉落!$B$64:$B$67,0))*INDEX(盗宝贼掉落!$F$64:$F$67,MATCH(AD$16,盗宝贼掉落!$B$64:$B$67,0))</f>
        <v>9.3301978160177175</v>
      </c>
      <c r="AE128" s="17">
        <f>$AB128*INDEX(盗宝贼掉落!$D$64:$D$67,MATCH(AE$16,盗宝贼掉落!$B$64:$B$67,0))*INDEX(盗宝贼掉落!$F$64:$F$67,MATCH(AE$16,盗宝贼掉落!$B$64:$B$67,0))</f>
        <v>0</v>
      </c>
      <c r="AF128" s="17">
        <f>$AB128*INDEX(盗宝贼掉落!$D$64:$D$67,MATCH(AF$16,盗宝贼掉落!$B$64:$B$67,0))*INDEX(盗宝贼掉落!$F$64:$F$67,MATCH(AF$16,盗宝贼掉落!$B$64:$B$67,0))</f>
        <v>0</v>
      </c>
      <c r="AG128" s="17">
        <f>求节点(匈奴铁骑掉落!$J$7:$J$166,匈奴铁骑掉落!O$7:O$166,O128)</f>
        <v>224.2136731529653</v>
      </c>
      <c r="AH128" s="17">
        <f>$AG128*INDEX(盗宝贼掉落!$D$64:$D$67,MATCH(AH$16,盗宝贼掉落!$B$64:$B$67,0))*INDEX(盗宝贼掉落!$G$64:$G$67,MATCH(AH$16,盗宝贼掉落!$B$64:$B$67,0))</f>
        <v>67.264101945889607</v>
      </c>
      <c r="AI128" s="17">
        <f>$AG128*INDEX(盗宝贼掉落!$D$64:$D$67,MATCH(AI$16,盗宝贼掉落!$B$64:$B$67,0))*INDEX(盗宝贼掉落!$G$64:$G$67,MATCH(AI$16,盗宝贼掉落!$B$64:$B$67,0))</f>
        <v>17.937093852237226</v>
      </c>
      <c r="AJ128" s="17">
        <f>$AG128*INDEX(盗宝贼掉落!$D$64:$D$67,MATCH(AJ$16,盗宝贼掉落!$B$64:$B$67,0))*INDEX(盗宝贼掉落!$G$64:$G$67,MATCH(AJ$16,盗宝贼掉落!$B$64:$B$67,0))</f>
        <v>4.4842734630593055</v>
      </c>
      <c r="AK128" s="17">
        <f>$AG128*INDEX(盗宝贼掉落!$D$64:$D$67,MATCH(AK$16,盗宝贼掉落!$B$64:$B$67,0))*INDEX(盗宝贼掉落!$G$64:$G$67,MATCH(AK$16,盗宝贼掉落!$B$64:$B$67,0))</f>
        <v>0</v>
      </c>
      <c r="AL128" s="17">
        <f t="shared" si="133"/>
        <v>3783.7866820996724</v>
      </c>
      <c r="AM128" s="17">
        <f t="shared" si="122"/>
        <v>1219.457162639427</v>
      </c>
      <c r="AN128" s="17">
        <f t="shared" si="123"/>
        <v>219.07845023787033</v>
      </c>
      <c r="AO128" s="17">
        <f t="shared" si="124"/>
        <v>71.53139225827033</v>
      </c>
      <c r="AP128" s="84">
        <f>IFERROR(MAX(MIN(求节点(宝物升星!D$67:D$72,宝物升星!$C$67:$C$72,AL128/基础状态预期!C$8),宝物升星!D$14),AP127),AP127)</f>
        <v>0</v>
      </c>
      <c r="AQ128" s="84">
        <f>IFERROR(MAX(MIN(求节点(宝物升星!E$67:E$72,宝物升星!$C$67:$C$72,AM128/基础状态预期!D$8),宝物升星!E$14),AQ127),AQ127)</f>
        <v>3</v>
      </c>
      <c r="AR128" s="84">
        <f>IFERROR(MAX(MIN(求节点(宝物升星!F$67:F$72,宝物升星!$C$67:$C$72,AN128/基础状态预期!E$8),宝物升星!F$14),AR127),AR127)</f>
        <v>5</v>
      </c>
      <c r="AS128" s="54">
        <f>IFERROR(MAX(MIN(求节点(宝物升星!G$67:G$72,宝物升星!$C$67:$C$72,AO128/MAX(基础状态预期!L128,基础状态预期!L127)),宝物升星!G$14),AS127),AS127)</f>
        <v>5</v>
      </c>
      <c r="AV128" s="38">
        <f t="shared" si="125"/>
        <v>0.94523553080662359</v>
      </c>
      <c r="AW128" s="38">
        <f t="shared" si="134"/>
        <v>1.7776927611723576E-2</v>
      </c>
      <c r="AX128" s="38">
        <f t="shared" si="135"/>
        <v>3.6987541581652815E-2</v>
      </c>
      <c r="AY128" s="38">
        <f t="shared" si="126"/>
        <v>0.97763981179196413</v>
      </c>
      <c r="AZ128" s="38">
        <f t="shared" si="136"/>
        <v>1.4709080730161674E-2</v>
      </c>
      <c r="BA128" s="38">
        <f t="shared" si="137"/>
        <v>7.6511074778741533E-3</v>
      </c>
      <c r="BB128" s="38">
        <f t="shared" si="127"/>
        <v>0.97953119780521369</v>
      </c>
      <c r="BC128" s="38">
        <f t="shared" si="138"/>
        <v>2.046880219478632E-2</v>
      </c>
      <c r="BD128" s="38">
        <f t="shared" si="139"/>
        <v>0</v>
      </c>
      <c r="BE128" s="38">
        <f t="shared" si="128"/>
        <v>1</v>
      </c>
      <c r="BF128" s="38">
        <f t="shared" si="140"/>
        <v>0</v>
      </c>
      <c r="BG128" s="38">
        <f t="shared" si="141"/>
        <v>0</v>
      </c>
      <c r="BJ128" s="16">
        <v>64.461431031477517</v>
      </c>
      <c r="BK128" s="16">
        <v>28.026709144120662</v>
      </c>
      <c r="BL128" s="16">
        <v>1.8684472762747106</v>
      </c>
      <c r="BM128" s="16">
        <v>0.65395654669614878</v>
      </c>
      <c r="BN128" s="16">
        <v>3786.895468736062</v>
      </c>
      <c r="BO128" s="16">
        <v>1231.3831835893025</v>
      </c>
      <c r="BP128" s="16">
        <v>216.78714346087187</v>
      </c>
      <c r="BQ128" s="16">
        <v>72.293521941561863</v>
      </c>
      <c r="BR128" s="16">
        <v>0</v>
      </c>
      <c r="BS128" s="16">
        <v>3</v>
      </c>
      <c r="BT128" s="16">
        <v>5</v>
      </c>
      <c r="BU128" s="16">
        <v>5</v>
      </c>
      <c r="BX128" s="37" t="str">
        <f t="shared" si="86"/>
        <v/>
      </c>
    </row>
    <row r="129" spans="14:76">
      <c r="N129" s="16">
        <v>11</v>
      </c>
      <c r="O129" s="17">
        <v>100</v>
      </c>
      <c r="P129" s="17">
        <f>求节点(节奏总纲!$O$4:$O$163,节奏总纲!T$4:T$163,O129)</f>
        <v>274.77780000000001</v>
      </c>
      <c r="Q129" s="17">
        <f>INDEX(其他调用!$G$4:$G$163,$O129)*$P$10</f>
        <v>4445074.882443889</v>
      </c>
      <c r="R129" s="50">
        <v>1</v>
      </c>
      <c r="S129" s="17">
        <f t="shared" si="115"/>
        <v>0.375</v>
      </c>
      <c r="T129" s="17">
        <f t="shared" si="116"/>
        <v>0.125</v>
      </c>
      <c r="U129" s="17">
        <f t="shared" si="117"/>
        <v>2.2500000000000003E-2</v>
      </c>
      <c r="V129" s="17">
        <f t="shared" si="118"/>
        <v>7.4999999999999997E-3</v>
      </c>
      <c r="W129" s="17">
        <f t="shared" si="129"/>
        <v>1297693.6230799947</v>
      </c>
      <c r="X129" s="17">
        <f t="shared" si="142"/>
        <v>5051.2214573226011</v>
      </c>
      <c r="Y129" s="17">
        <f t="shared" si="130"/>
        <v>1683.7404857742004</v>
      </c>
      <c r="Z129" s="17">
        <f t="shared" si="131"/>
        <v>303.07328743935614</v>
      </c>
      <c r="AA129" s="17">
        <f t="shared" si="132"/>
        <v>101.02442914645202</v>
      </c>
      <c r="AB129" s="17">
        <f>求节点(盗宝贼掉落!$CV$5:$CV$164,盗宝贼掉落!$DG$5:$DG$164,$O129)</f>
        <v>270.15111021862214</v>
      </c>
      <c r="AC129" s="17">
        <f>$AB129*INDEX(盗宝贼掉落!$D$64:$D$67,MATCH(AC$16,盗宝贼掉落!$B$64:$B$67,0))*INDEX(盗宝贼掉落!$F$64:$F$67,MATCH(AC$16,盗宝贼掉落!$B$64:$B$67,0))</f>
        <v>202.61333266396662</v>
      </c>
      <c r="AD129" s="17">
        <f>$AB129*INDEX(盗宝贼掉落!$D$64:$D$67,MATCH(AD$16,盗宝贼掉落!$B$64:$B$67,0))*INDEX(盗宝贼掉落!$F$64:$F$67,MATCH(AD$16,盗宝贼掉落!$B$64:$B$67,0))</f>
        <v>13.507555510931107</v>
      </c>
      <c r="AE129" s="17">
        <f>$AB129*INDEX(盗宝贼掉落!$D$64:$D$67,MATCH(AE$16,盗宝贼掉落!$B$64:$B$67,0))*INDEX(盗宝贼掉落!$F$64:$F$67,MATCH(AE$16,盗宝贼掉落!$B$64:$B$67,0))</f>
        <v>0</v>
      </c>
      <c r="AF129" s="17">
        <f>$AB129*INDEX(盗宝贼掉落!$D$64:$D$67,MATCH(AF$16,盗宝贼掉落!$B$64:$B$67,0))*INDEX(盗宝贼掉落!$F$64:$F$67,MATCH(AF$16,盗宝贼掉落!$B$64:$B$67,0))</f>
        <v>0</v>
      </c>
      <c r="AG129" s="17">
        <f>求节点(匈奴铁骑掉落!$J$7:$J$166,匈奴铁骑掉落!O$7:O$166,O129)</f>
        <v>322.53336000000002</v>
      </c>
      <c r="AH129" s="17">
        <f>$AG129*INDEX(盗宝贼掉落!$D$64:$D$67,MATCH(AH$16,盗宝贼掉落!$B$64:$B$67,0))*INDEX(盗宝贼掉落!$G$64:$G$67,MATCH(AH$16,盗宝贼掉落!$B$64:$B$67,0))</f>
        <v>96.760008000000013</v>
      </c>
      <c r="AI129" s="17">
        <f>$AG129*INDEX(盗宝贼掉落!$D$64:$D$67,MATCH(AI$16,盗宝贼掉落!$B$64:$B$67,0))*INDEX(盗宝贼掉落!$G$64:$G$67,MATCH(AI$16,盗宝贼掉落!$B$64:$B$67,0))</f>
        <v>25.802668800000006</v>
      </c>
      <c r="AJ129" s="17">
        <f>$AG129*INDEX(盗宝贼掉落!$D$64:$D$67,MATCH(AJ$16,盗宝贼掉落!$B$64:$B$67,0))*INDEX(盗宝贼掉落!$G$64:$G$67,MATCH(AJ$16,盗宝贼掉落!$B$64:$B$67,0))</f>
        <v>6.4506672000000007</v>
      </c>
      <c r="AK129" s="17">
        <f>$AG129*INDEX(盗宝贼掉落!$D$64:$D$67,MATCH(AK$16,盗宝贼掉落!$B$64:$B$67,0))*INDEX(盗宝贼掉落!$G$64:$G$67,MATCH(AK$16,盗宝贼掉落!$B$64:$B$67,0))</f>
        <v>0</v>
      </c>
      <c r="AL129" s="17">
        <f t="shared" si="133"/>
        <v>5350.5947979865678</v>
      </c>
      <c r="AM129" s="17">
        <f t="shared" si="122"/>
        <v>1723.0507100851314</v>
      </c>
      <c r="AN129" s="17">
        <f t="shared" si="123"/>
        <v>309.52395463935613</v>
      </c>
      <c r="AO129" s="17">
        <f t="shared" si="124"/>
        <v>101.02442914645202</v>
      </c>
      <c r="AP129" s="84">
        <f>IFERROR(MAX(MIN(求节点(宝物升星!D$67:D$72,宝物升星!$C$67:$C$72,AL129/基础状态预期!C$8),宝物升星!D$14),AP128),AP128)</f>
        <v>0</v>
      </c>
      <c r="AQ129" s="84">
        <f>IFERROR(MAX(MIN(求节点(宝物升星!E$67:E$72,宝物升星!$C$67:$C$72,AM129/基础状态预期!D$8),宝物升星!E$14),AQ128),AQ128)</f>
        <v>3</v>
      </c>
      <c r="AR129" s="84">
        <f>IFERROR(MAX(MIN(求节点(宝物升星!F$67:F$72,宝物升星!$C$67:$C$72,AN129/基础状态预期!E$8),宝物升星!F$14),AR128),AR128)</f>
        <v>5</v>
      </c>
      <c r="AS129" s="54">
        <f>IFERROR(MAX(MIN(求节点(宝物升星!G$67:G$72,宝物升星!$C$67:$C$72,AO129/MAX(基础状态预期!L129,基础状态预期!L128)),宝物升星!G$14),AS128),AS128)</f>
        <v>5</v>
      </c>
      <c r="AV129" s="38">
        <f t="shared" si="125"/>
        <v>0.94404858675214554</v>
      </c>
      <c r="AW129" s="38">
        <f t="shared" si="134"/>
        <v>1.8083972278448532E-2</v>
      </c>
      <c r="AX129" s="38">
        <f t="shared" si="135"/>
        <v>3.7867440969405898E-2</v>
      </c>
      <c r="AY129" s="38">
        <f t="shared" si="126"/>
        <v>0.97718568346198653</v>
      </c>
      <c r="AZ129" s="38">
        <f t="shared" si="136"/>
        <v>1.4974990955852462E-2</v>
      </c>
      <c r="BA129" s="38">
        <f t="shared" si="137"/>
        <v>7.8393255821610341E-3</v>
      </c>
      <c r="BB129" s="38">
        <f t="shared" si="127"/>
        <v>0.97915939266311058</v>
      </c>
      <c r="BC129" s="38">
        <f t="shared" si="138"/>
        <v>2.0840607336889444E-2</v>
      </c>
      <c r="BD129" s="38">
        <f t="shared" si="139"/>
        <v>0</v>
      </c>
      <c r="BE129" s="38">
        <f t="shared" si="128"/>
        <v>1</v>
      </c>
      <c r="BF129" s="38">
        <f t="shared" si="140"/>
        <v>0</v>
      </c>
      <c r="BG129" s="38">
        <f t="shared" si="141"/>
        <v>0</v>
      </c>
      <c r="BJ129" s="16">
        <v>92.728340999999986</v>
      </c>
      <c r="BK129" s="16">
        <v>40.316670000000002</v>
      </c>
      <c r="BL129" s="16">
        <v>2.6877779999999998</v>
      </c>
      <c r="BM129" s="16">
        <v>0.94072230000000001</v>
      </c>
      <c r="BN129" s="16">
        <v>5388.6782861593729</v>
      </c>
      <c r="BO129" s="16">
        <v>1751.4690161504577</v>
      </c>
      <c r="BP129" s="16">
        <v>308.25780670646236</v>
      </c>
      <c r="BQ129" s="16">
        <v>102.79739853548746</v>
      </c>
      <c r="BR129" s="16">
        <v>0</v>
      </c>
      <c r="BS129" s="16">
        <v>3</v>
      </c>
      <c r="BT129" s="16">
        <v>5</v>
      </c>
      <c r="BU129" s="16">
        <v>5</v>
      </c>
      <c r="BX129" s="37" t="str">
        <f t="shared" si="86"/>
        <v/>
      </c>
    </row>
    <row r="130" spans="14:76">
      <c r="N130" s="16">
        <v>12</v>
      </c>
      <c r="O130" s="17">
        <v>105</v>
      </c>
      <c r="P130" s="17">
        <f>求节点(节奏总纲!$O$4:$O$163,节奏总纲!T$4:T$163,O130)</f>
        <v>386.39030166130323</v>
      </c>
      <c r="Q130" s="17">
        <f>INDEX(其他调用!$G$4:$G$163,$O130)*$P$10</f>
        <v>6210117.8590345941</v>
      </c>
      <c r="R130" s="50">
        <v>1</v>
      </c>
      <c r="S130" s="17">
        <f t="shared" si="115"/>
        <v>0.375</v>
      </c>
      <c r="T130" s="17">
        <f t="shared" si="116"/>
        <v>0.125</v>
      </c>
      <c r="U130" s="17">
        <f t="shared" si="117"/>
        <v>2.2500000000000003E-2</v>
      </c>
      <c r="V130" s="17">
        <f t="shared" si="118"/>
        <v>7.4999999999999997E-3</v>
      </c>
      <c r="W130" s="17">
        <f t="shared" si="129"/>
        <v>1765042.9765907051</v>
      </c>
      <c r="X130" s="17">
        <f t="shared" si="142"/>
        <v>7056.9521125393112</v>
      </c>
      <c r="Y130" s="17">
        <f t="shared" si="130"/>
        <v>2352.3173708464374</v>
      </c>
      <c r="Z130" s="17">
        <f t="shared" si="131"/>
        <v>423.41712675235874</v>
      </c>
      <c r="AA130" s="17">
        <f t="shared" si="132"/>
        <v>141.13904225078622</v>
      </c>
      <c r="AB130" s="17">
        <f>求节点(盗宝贼掉落!$CV$5:$CV$164,盗宝贼掉落!$DG$5:$DG$164,$O130)</f>
        <v>383.96237816265295</v>
      </c>
      <c r="AC130" s="17">
        <f>$AB130*INDEX(盗宝贼掉落!$D$64:$D$67,MATCH(AC$16,盗宝贼掉落!$B$64:$B$67,0))*INDEX(盗宝贼掉落!$F$64:$F$67,MATCH(AC$16,盗宝贼掉落!$B$64:$B$67,0))</f>
        <v>287.97178362198974</v>
      </c>
      <c r="AD130" s="17">
        <f>$AB130*INDEX(盗宝贼掉落!$D$64:$D$67,MATCH(AD$16,盗宝贼掉落!$B$64:$B$67,0))*INDEX(盗宝贼掉落!$F$64:$F$67,MATCH(AD$16,盗宝贼掉落!$B$64:$B$67,0))</f>
        <v>19.198118908132649</v>
      </c>
      <c r="AE130" s="17">
        <f>$AB130*INDEX(盗宝贼掉落!$D$64:$D$67,MATCH(AE$16,盗宝贼掉落!$B$64:$B$67,0))*INDEX(盗宝贼掉落!$F$64:$F$67,MATCH(AE$16,盗宝贼掉落!$B$64:$B$67,0))</f>
        <v>0</v>
      </c>
      <c r="AF130" s="17">
        <f>$AB130*INDEX(盗宝贼掉落!$D$64:$D$67,MATCH(AF$16,盗宝贼掉落!$B$64:$B$67,0))*INDEX(盗宝贼掉落!$F$64:$F$67,MATCH(AF$16,盗宝贼掉落!$B$64:$B$67,0))</f>
        <v>0</v>
      </c>
      <c r="AG130" s="17">
        <f>求节点(匈奴铁骑掉落!$J$7:$J$166,匈奴铁骑掉落!O$7:O$166,O130)</f>
        <v>456.46836199356386</v>
      </c>
      <c r="AH130" s="17">
        <f>$AG130*INDEX(盗宝贼掉落!$D$64:$D$67,MATCH(AH$16,盗宝贼掉落!$B$64:$B$67,0))*INDEX(盗宝贼掉落!$G$64:$G$67,MATCH(AH$16,盗宝贼掉落!$B$64:$B$67,0))</f>
        <v>136.94050859806919</v>
      </c>
      <c r="AI130" s="17">
        <f>$AG130*INDEX(盗宝贼掉落!$D$64:$D$67,MATCH(AI$16,盗宝贼掉落!$B$64:$B$67,0))*INDEX(盗宝贼掉落!$G$64:$G$67,MATCH(AI$16,盗宝贼掉落!$B$64:$B$67,0))</f>
        <v>36.517468959485107</v>
      </c>
      <c r="AJ130" s="17">
        <f>$AG130*INDEX(盗宝贼掉落!$D$64:$D$67,MATCH(AJ$16,盗宝贼掉落!$B$64:$B$67,0))*INDEX(盗宝贼掉落!$G$64:$G$67,MATCH(AJ$16,盗宝贼掉落!$B$64:$B$67,0))</f>
        <v>9.1293672398712769</v>
      </c>
      <c r="AK130" s="17">
        <f>$AG130*INDEX(盗宝贼掉落!$D$64:$D$67,MATCH(AK$16,盗宝贼掉落!$B$64:$B$67,0))*INDEX(盗宝贼掉落!$G$64:$G$67,MATCH(AK$16,盗宝贼掉落!$B$64:$B$67,0))</f>
        <v>0</v>
      </c>
      <c r="AL130" s="17">
        <f t="shared" si="133"/>
        <v>7481.8644047593698</v>
      </c>
      <c r="AM130" s="17">
        <f t="shared" si="122"/>
        <v>2408.032958714055</v>
      </c>
      <c r="AN130" s="17">
        <f t="shared" si="123"/>
        <v>432.54649399223001</v>
      </c>
      <c r="AO130" s="17">
        <f t="shared" si="124"/>
        <v>141.13904225078622</v>
      </c>
      <c r="AP130" s="84">
        <f>IFERROR(MAX(MIN(求节点(宝物升星!D$67:D$72,宝物升星!$C$67:$C$72,AL130/基础状态预期!C$8),宝物升星!D$14),AP129),AP129)</f>
        <v>0</v>
      </c>
      <c r="AQ130" s="84">
        <f>IFERROR(MAX(MIN(求节点(宝物升星!E$67:E$72,宝物升星!$C$67:$C$72,AM130/基础状态预期!D$8),宝物升星!E$14),AQ129),AQ129)</f>
        <v>3</v>
      </c>
      <c r="AR130" s="84">
        <f>IFERROR(MAX(MIN(求节点(宝物升星!F$67:F$72,宝物升星!$C$67:$C$72,AN130/基础状态预期!E$8),宝物升星!F$14),AR129),AR129)</f>
        <v>5</v>
      </c>
      <c r="AS130" s="54">
        <f>IFERROR(MAX(MIN(求节点(宝物升星!G$67:G$72,宝物升星!$C$67:$C$72,AO130/MAX(基础状态预期!L130,基础状态预期!L129)),宝物升星!G$14),AS129),AS129)</f>
        <v>5</v>
      </c>
      <c r="AV130" s="38">
        <f t="shared" si="125"/>
        <v>0.9432076994138302</v>
      </c>
      <c r="AW130" s="38">
        <f t="shared" si="134"/>
        <v>1.8302992568397587E-2</v>
      </c>
      <c r="AX130" s="38">
        <f t="shared" si="135"/>
        <v>3.848930801777227E-2</v>
      </c>
      <c r="AY130" s="38">
        <f t="shared" si="126"/>
        <v>0.97686261408258668</v>
      </c>
      <c r="AZ130" s="38">
        <f t="shared" si="136"/>
        <v>1.5164854296257755E-2</v>
      </c>
      <c r="BA130" s="38">
        <f t="shared" si="137"/>
        <v>7.9725316211555868E-3</v>
      </c>
      <c r="BB130" s="38">
        <f t="shared" si="127"/>
        <v>0.97889390535659904</v>
      </c>
      <c r="BC130" s="38">
        <f t="shared" si="138"/>
        <v>2.1106094643400974E-2</v>
      </c>
      <c r="BD130" s="38">
        <f t="shared" si="139"/>
        <v>0</v>
      </c>
      <c r="BE130" s="38">
        <f t="shared" si="128"/>
        <v>1</v>
      </c>
      <c r="BF130" s="38">
        <f t="shared" si="140"/>
        <v>0</v>
      </c>
      <c r="BG130" s="38">
        <f t="shared" si="141"/>
        <v>0</v>
      </c>
      <c r="BJ130" s="16">
        <v>131.23465407314958</v>
      </c>
      <c r="BK130" s="16">
        <v>57.058545249195483</v>
      </c>
      <c r="BL130" s="16">
        <v>3.8039030166130319</v>
      </c>
      <c r="BM130" s="16">
        <v>1.3313660558145612</v>
      </c>
      <c r="BN130" s="16">
        <v>7459.8422578156978</v>
      </c>
      <c r="BO130" s="16">
        <v>2423.0011906719055</v>
      </c>
      <c r="BP130" s="16">
        <v>426.21188418058455</v>
      </c>
      <c r="BQ130" s="16">
        <v>142.13402644380506</v>
      </c>
      <c r="BR130" s="16">
        <v>0</v>
      </c>
      <c r="BS130" s="16">
        <v>3</v>
      </c>
      <c r="BT130" s="16">
        <v>5</v>
      </c>
      <c r="BU130" s="16">
        <v>5</v>
      </c>
      <c r="BX130" s="37" t="str">
        <f t="shared" si="86"/>
        <v/>
      </c>
    </row>
    <row r="131" spans="14:76">
      <c r="N131" s="16">
        <v>13</v>
      </c>
      <c r="O131" s="17">
        <v>110</v>
      </c>
      <c r="P131" s="17">
        <f>求节点(节奏总纲!$O$4:$O$163,节奏总纲!T$4:T$163,O131)</f>
        <v>542.04559999999992</v>
      </c>
      <c r="Q131" s="17">
        <f>INDEX(其他调用!$G$4:$G$163,$O131)*$P$10</f>
        <v>8659373.1072727777</v>
      </c>
      <c r="R131" s="50">
        <v>1</v>
      </c>
      <c r="S131" s="17">
        <f t="shared" si="115"/>
        <v>0.375</v>
      </c>
      <c r="T131" s="17">
        <f t="shared" si="116"/>
        <v>0.125</v>
      </c>
      <c r="U131" s="17">
        <f t="shared" si="117"/>
        <v>2.2500000000000003E-2</v>
      </c>
      <c r="V131" s="17">
        <f t="shared" si="118"/>
        <v>7.4999999999999997E-3</v>
      </c>
      <c r="W131" s="17">
        <f t="shared" si="129"/>
        <v>2449255.2482381836</v>
      </c>
      <c r="X131" s="17">
        <f t="shared" si="142"/>
        <v>9840.196712809975</v>
      </c>
      <c r="Y131" s="17">
        <f t="shared" si="130"/>
        <v>3280.0655709366583</v>
      </c>
      <c r="Z131" s="17">
        <f t="shared" si="131"/>
        <v>590.41180276859859</v>
      </c>
      <c r="AA131" s="17">
        <f t="shared" si="132"/>
        <v>196.80393425619948</v>
      </c>
      <c r="AB131" s="17">
        <f>求节点(盗宝贼掉落!$CV$5:$CV$164,盗宝贼掉落!$DG$5:$DG$164,$O131)</f>
        <v>542.68408587862189</v>
      </c>
      <c r="AC131" s="17">
        <f>$AB131*INDEX(盗宝贼掉落!$D$64:$D$67,MATCH(AC$16,盗宝贼掉落!$B$64:$B$67,0))*INDEX(盗宝贼掉落!$F$64:$F$67,MATCH(AC$16,盗宝贼掉落!$B$64:$B$67,0))</f>
        <v>407.01306440896644</v>
      </c>
      <c r="AD131" s="17">
        <f>$AB131*INDEX(盗宝贼掉落!$D$64:$D$67,MATCH(AD$16,盗宝贼掉落!$B$64:$B$67,0))*INDEX(盗宝贼掉落!$F$64:$F$67,MATCH(AD$16,盗宝贼掉落!$B$64:$B$67,0))</f>
        <v>27.134204293931095</v>
      </c>
      <c r="AE131" s="17">
        <f>$AB131*INDEX(盗宝贼掉落!$D$64:$D$67,MATCH(AE$16,盗宝贼掉落!$B$64:$B$67,0))*INDEX(盗宝贼掉落!$F$64:$F$67,MATCH(AE$16,盗宝贼掉落!$B$64:$B$67,0))</f>
        <v>0</v>
      </c>
      <c r="AF131" s="17">
        <f>$AB131*INDEX(盗宝贼掉落!$D$64:$D$67,MATCH(AF$16,盗宝贼掉落!$B$64:$B$67,0))*INDEX(盗宝贼掉落!$F$64:$F$67,MATCH(AF$16,盗宝贼掉落!$B$64:$B$67,0))</f>
        <v>0</v>
      </c>
      <c r="AG131" s="17">
        <f>求节点(匈奴铁骑掉落!$J$7:$J$166,匈奴铁骑掉落!O$7:O$166,O131)</f>
        <v>643.25471999999991</v>
      </c>
      <c r="AH131" s="17">
        <f>$AG131*INDEX(盗宝贼掉落!$D$64:$D$67,MATCH(AH$16,盗宝贼掉落!$B$64:$B$67,0))*INDEX(盗宝贼掉落!$G$64:$G$67,MATCH(AH$16,盗宝贼掉落!$B$64:$B$67,0))</f>
        <v>192.976416</v>
      </c>
      <c r="AI131" s="17">
        <f>$AG131*INDEX(盗宝贼掉落!$D$64:$D$67,MATCH(AI$16,盗宝贼掉落!$B$64:$B$67,0))*INDEX(盗宝贼掉落!$G$64:$G$67,MATCH(AI$16,盗宝贼掉落!$B$64:$B$67,0))</f>
        <v>51.460377599999994</v>
      </c>
      <c r="AJ131" s="17">
        <f>$AG131*INDEX(盗宝贼掉落!$D$64:$D$67,MATCH(AJ$16,盗宝贼掉落!$B$64:$B$67,0))*INDEX(盗宝贼掉落!$G$64:$G$67,MATCH(AJ$16,盗宝贼掉落!$B$64:$B$67,0))</f>
        <v>12.865094399999998</v>
      </c>
      <c r="AK131" s="17">
        <f>$AG131*INDEX(盗宝贼掉落!$D$64:$D$67,MATCH(AK$16,盗宝贼掉落!$B$64:$B$67,0))*INDEX(盗宝贼掉落!$G$64:$G$67,MATCH(AK$16,盗宝贼掉落!$B$64:$B$67,0))</f>
        <v>0</v>
      </c>
      <c r="AL131" s="17">
        <f t="shared" si="133"/>
        <v>10440.18619321894</v>
      </c>
      <c r="AM131" s="17">
        <f t="shared" si="122"/>
        <v>3358.6601528305891</v>
      </c>
      <c r="AN131" s="17">
        <f t="shared" si="123"/>
        <v>603.27689716859857</v>
      </c>
      <c r="AO131" s="17">
        <f t="shared" si="124"/>
        <v>196.80393425619948</v>
      </c>
      <c r="AP131" s="84">
        <f>IFERROR(MAX(MIN(求节点(宝物升星!D$67:D$72,宝物升星!$C$67:$C$72,AL131/基础状态预期!C$8),宝物升星!D$14),AP130),AP130)</f>
        <v>0</v>
      </c>
      <c r="AQ131" s="84">
        <f>IFERROR(MAX(MIN(求节点(宝物升星!E$67:E$72,宝物升星!$C$67:$C$72,AM131/基础状态预期!D$8),宝物升星!E$14),AQ130),AQ130)</f>
        <v>3</v>
      </c>
      <c r="AR131" s="84">
        <f>IFERROR(MAX(MIN(求节点(宝物升星!F$67:F$72,宝物升星!$C$67:$C$72,AN131/基础状态预期!E$8),宝物升星!F$14),AR130),AR130)</f>
        <v>5</v>
      </c>
      <c r="AS131" s="54">
        <f>IFERROR(MAX(MIN(求节点(宝物升星!G$67:G$72,宝物升星!$C$67:$C$72,AO131/MAX(基础状态预期!L131,基础状态预期!L130)),宝物升星!G$14),AS130),AS130)</f>
        <v>5</v>
      </c>
      <c r="AV131" s="38">
        <f t="shared" si="125"/>
        <v>0.94253076819657988</v>
      </c>
      <c r="AW131" s="38">
        <f t="shared" si="134"/>
        <v>1.848400137972071E-2</v>
      </c>
      <c r="AX131" s="38">
        <f t="shared" si="135"/>
        <v>3.8985230423699495E-2</v>
      </c>
      <c r="AY131" s="38">
        <f t="shared" si="126"/>
        <v>0.97659942408055389</v>
      </c>
      <c r="AZ131" s="38">
        <f t="shared" si="136"/>
        <v>1.5321698313725061E-2</v>
      </c>
      <c r="BA131" s="38">
        <f t="shared" si="137"/>
        <v>8.0788776057211711E-3</v>
      </c>
      <c r="BB131" s="38">
        <f t="shared" si="127"/>
        <v>0.9786746443293608</v>
      </c>
      <c r="BC131" s="38">
        <f t="shared" si="138"/>
        <v>2.1325355670639205E-2</v>
      </c>
      <c r="BD131" s="38">
        <f t="shared" si="139"/>
        <v>0</v>
      </c>
      <c r="BE131" s="38">
        <f t="shared" si="128"/>
        <v>1</v>
      </c>
      <c r="BF131" s="38">
        <f t="shared" si="140"/>
        <v>0</v>
      </c>
      <c r="BG131" s="38">
        <f t="shared" si="141"/>
        <v>0</v>
      </c>
      <c r="BJ131" s="16">
        <v>184.93573199999994</v>
      </c>
      <c r="BK131" s="16">
        <v>80.406839999999988</v>
      </c>
      <c r="BL131" s="16">
        <v>5.3604559999999992</v>
      </c>
      <c r="BM131" s="16">
        <v>1.8761595999999998</v>
      </c>
      <c r="BN131" s="16">
        <v>9686.1304518953202</v>
      </c>
      <c r="BO131" s="16">
        <v>3138.8008492637737</v>
      </c>
      <c r="BP131" s="16">
        <v>550.98118728591919</v>
      </c>
      <c r="BQ131" s="16">
        <v>183.74973669530641</v>
      </c>
      <c r="BR131" s="16">
        <v>0</v>
      </c>
      <c r="BS131" s="16">
        <v>3</v>
      </c>
      <c r="BT131" s="16">
        <v>5</v>
      </c>
      <c r="BU131" s="16">
        <v>5</v>
      </c>
      <c r="BX131" s="37" t="str">
        <f t="shared" si="86"/>
        <v/>
      </c>
    </row>
    <row r="132" spans="14:76">
      <c r="N132" s="16">
        <v>14</v>
      </c>
      <c r="O132" s="17">
        <v>115</v>
      </c>
      <c r="P132" s="17">
        <f>求节点(节奏总纲!$O$4:$O$163,节奏总纲!T$4:T$163,O132)</f>
        <v>758.86058738147995</v>
      </c>
      <c r="Q132" s="17">
        <f>INDEX(其他调用!$G$4:$G$163,$O132)*$P$10</f>
        <v>12067909.450244062</v>
      </c>
      <c r="R132" s="50">
        <v>1</v>
      </c>
      <c r="S132" s="17">
        <f t="shared" si="115"/>
        <v>0.375</v>
      </c>
      <c r="T132" s="17">
        <f t="shared" si="116"/>
        <v>0.125</v>
      </c>
      <c r="U132" s="17">
        <f t="shared" si="117"/>
        <v>2.2500000000000003E-2</v>
      </c>
      <c r="V132" s="17">
        <f t="shared" si="118"/>
        <v>7.4999999999999997E-3</v>
      </c>
      <c r="W132" s="17">
        <f t="shared" si="129"/>
        <v>3408536.3429712839</v>
      </c>
      <c r="X132" s="17">
        <f t="shared" si="142"/>
        <v>13713.533466186434</v>
      </c>
      <c r="Y132" s="17">
        <f t="shared" si="130"/>
        <v>4571.1778220621445</v>
      </c>
      <c r="Z132" s="17">
        <f t="shared" si="131"/>
        <v>822.81200797118618</v>
      </c>
      <c r="AA132" s="17">
        <f t="shared" si="132"/>
        <v>274.27066932372867</v>
      </c>
      <c r="AB132" s="17">
        <f>求节点(盗宝贼掉落!$CV$5:$CV$164,盗宝贼掉落!$DG$5:$DG$164,$O132)</f>
        <v>763.77032851151716</v>
      </c>
      <c r="AC132" s="17">
        <f>$AB132*INDEX(盗宝贼掉落!$D$64:$D$67,MATCH(AC$16,盗宝贼掉落!$B$64:$B$67,0))*INDEX(盗宝贼掉落!$F$64:$F$67,MATCH(AC$16,盗宝贼掉落!$B$64:$B$67,0))</f>
        <v>572.82774638363787</v>
      </c>
      <c r="AD132" s="17">
        <f>$AB132*INDEX(盗宝贼掉落!$D$64:$D$67,MATCH(AD$16,盗宝贼掉落!$B$64:$B$67,0))*INDEX(盗宝贼掉落!$F$64:$F$67,MATCH(AD$16,盗宝贼掉落!$B$64:$B$67,0))</f>
        <v>38.188516425575862</v>
      </c>
      <c r="AE132" s="17">
        <f>$AB132*INDEX(盗宝贼掉落!$D$64:$D$67,MATCH(AE$16,盗宝贼掉落!$B$64:$B$67,0))*INDEX(盗宝贼掉落!$F$64:$F$67,MATCH(AE$16,盗宝贼掉落!$B$64:$B$67,0))</f>
        <v>0</v>
      </c>
      <c r="AF132" s="17">
        <f>$AB132*INDEX(盗宝贼掉落!$D$64:$D$67,MATCH(AF$16,盗宝贼掉落!$B$64:$B$67,0))*INDEX(盗宝贼掉落!$F$64:$F$67,MATCH(AF$16,盗宝贼掉落!$B$64:$B$67,0))</f>
        <v>0</v>
      </c>
      <c r="AG132" s="17">
        <f>求节点(匈奴铁骑掉落!$J$7:$J$166,匈奴铁骑掉落!O$7:O$166,O132)</f>
        <v>903.432704857776</v>
      </c>
      <c r="AH132" s="17">
        <f>$AG132*INDEX(盗宝贼掉落!$D$64:$D$67,MATCH(AH$16,盗宝贼掉落!$B$64:$B$67,0))*INDEX(盗宝贼掉落!$G$64:$G$67,MATCH(AH$16,盗宝贼掉落!$B$64:$B$67,0))</f>
        <v>271.02981145733287</v>
      </c>
      <c r="AI132" s="17">
        <f>$AG132*INDEX(盗宝贼掉落!$D$64:$D$67,MATCH(AI$16,盗宝贼掉落!$B$64:$B$67,0))*INDEX(盗宝贼掉落!$G$64:$G$67,MATCH(AI$16,盗宝贼掉落!$B$64:$B$67,0))</f>
        <v>72.274616388622093</v>
      </c>
      <c r="AJ132" s="17">
        <f>$AG132*INDEX(盗宝贼掉落!$D$64:$D$67,MATCH(AJ$16,盗宝贼掉落!$B$64:$B$67,0))*INDEX(盗宝贼掉落!$G$64:$G$67,MATCH(AJ$16,盗宝贼掉落!$B$64:$B$67,0))</f>
        <v>18.06865409715552</v>
      </c>
      <c r="AK132" s="17">
        <f>$AG132*INDEX(盗宝贼掉落!$D$64:$D$67,MATCH(AK$16,盗宝贼掉落!$B$64:$B$67,0))*INDEX(盗宝贼掉落!$G$64:$G$67,MATCH(AK$16,盗宝贼掉落!$B$64:$B$67,0))</f>
        <v>0</v>
      </c>
      <c r="AL132" s="17">
        <f t="shared" si="133"/>
        <v>14557.391024027405</v>
      </c>
      <c r="AM132" s="17">
        <f t="shared" si="122"/>
        <v>4681.6409548763422</v>
      </c>
      <c r="AN132" s="17">
        <f t="shared" si="123"/>
        <v>840.88066206834173</v>
      </c>
      <c r="AO132" s="17">
        <f t="shared" si="124"/>
        <v>274.27066932372867</v>
      </c>
      <c r="AP132" s="84">
        <f>IFERROR(MAX(MIN(求节点(宝物升星!D$67:D$72,宝物升星!$C$67:$C$72,AL132/基础状态预期!C$8),宝物升星!D$14),AP131),AP131)</f>
        <v>0</v>
      </c>
      <c r="AQ132" s="84">
        <f>IFERROR(MAX(MIN(求节点(宝物升星!E$67:E$72,宝物升星!$C$67:$C$72,AM132/基础状态预期!D$8),宝物升星!E$14),AQ131),AQ131)</f>
        <v>3</v>
      </c>
      <c r="AR132" s="84">
        <f>IFERROR(MAX(MIN(求节点(宝物升星!F$67:F$72,宝物升星!$C$67:$C$72,AN132/基础状态预期!E$8),宝物升星!F$14),AR131),AR131)</f>
        <v>5</v>
      </c>
      <c r="AS132" s="54">
        <f>IFERROR(MAX(MIN(求节点(宝物升星!G$67:G$72,宝物升星!$C$67:$C$72,AO132/MAX(基础状态预期!L132,基础状态预期!L131)),宝物升星!G$14),AS131),AS131)</f>
        <v>5</v>
      </c>
      <c r="AV132" s="38">
        <f t="shared" si="125"/>
        <v>0.94203236304856008</v>
      </c>
      <c r="AW132" s="38">
        <f t="shared" si="134"/>
        <v>1.861802097710985E-2</v>
      </c>
      <c r="AX132" s="38">
        <f t="shared" si="135"/>
        <v>3.9349615974330066E-2</v>
      </c>
      <c r="AY132" s="38">
        <f t="shared" si="126"/>
        <v>0.9764050396263001</v>
      </c>
      <c r="AZ132" s="38">
        <f t="shared" si="136"/>
        <v>1.5437881094521292E-2</v>
      </c>
      <c r="BA132" s="38">
        <f t="shared" si="137"/>
        <v>8.1570792791786292E-3</v>
      </c>
      <c r="BB132" s="38">
        <f t="shared" si="127"/>
        <v>0.97851222544146577</v>
      </c>
      <c r="BC132" s="38">
        <f t="shared" si="138"/>
        <v>2.1487774558534213E-2</v>
      </c>
      <c r="BD132" s="38">
        <f t="shared" si="139"/>
        <v>0</v>
      </c>
      <c r="BE132" s="38">
        <f t="shared" si="128"/>
        <v>1</v>
      </c>
      <c r="BF132" s="38">
        <f t="shared" si="140"/>
        <v>0</v>
      </c>
      <c r="BG132" s="38">
        <f t="shared" si="141"/>
        <v>0</v>
      </c>
      <c r="BJ132" s="16">
        <v>259.73690264661059</v>
      </c>
      <c r="BK132" s="16">
        <v>112.929088107222</v>
      </c>
      <c r="BL132" s="16">
        <v>7.5286058738148007</v>
      </c>
      <c r="BM132" s="16">
        <v>2.6350120558351802</v>
      </c>
      <c r="BN132" s="16">
        <v>11980.292139882398</v>
      </c>
      <c r="BO132" s="16">
        <v>3866.8926879579058</v>
      </c>
      <c r="BP132" s="16">
        <v>676.36208728168174</v>
      </c>
      <c r="BQ132" s="16">
        <v>225.57950585845751</v>
      </c>
      <c r="BR132" s="16">
        <v>0</v>
      </c>
      <c r="BS132" s="16">
        <v>3</v>
      </c>
      <c r="BT132" s="16">
        <v>5</v>
      </c>
      <c r="BU132" s="16">
        <v>5</v>
      </c>
      <c r="BX132" s="37" t="str">
        <f t="shared" si="86"/>
        <v/>
      </c>
    </row>
    <row r="133" spans="14:76">
      <c r="N133" s="16">
        <v>15</v>
      </c>
      <c r="O133" s="17">
        <v>120</v>
      </c>
      <c r="P133" s="17">
        <f>求节点(节奏总纲!$O$4:$O$163,节奏总纲!T$4:T$163,O133)</f>
        <v>1067.9759999999999</v>
      </c>
      <c r="Q133" s="17">
        <f>INDEX(其他调用!$G$4:$G$163,$O133)*$P$10</f>
        <v>16907425.390583932</v>
      </c>
      <c r="R133" s="50">
        <v>1</v>
      </c>
      <c r="S133" s="17">
        <f t="shared" si="115"/>
        <v>0.375</v>
      </c>
      <c r="T133" s="17">
        <f t="shared" si="116"/>
        <v>0.125</v>
      </c>
      <c r="U133" s="17">
        <f t="shared" si="117"/>
        <v>2.2500000000000003E-2</v>
      </c>
      <c r="V133" s="17">
        <f t="shared" si="118"/>
        <v>7.4999999999999997E-3</v>
      </c>
      <c r="W133" s="17">
        <f t="shared" si="129"/>
        <v>4839515.9403398708</v>
      </c>
      <c r="X133" s="17">
        <f t="shared" si="142"/>
        <v>19212.983398390832</v>
      </c>
      <c r="Y133" s="17">
        <f t="shared" si="130"/>
        <v>6404.327799463611</v>
      </c>
      <c r="Z133" s="17">
        <f t="shared" si="131"/>
        <v>1152.7790039034501</v>
      </c>
      <c r="AA133" s="17">
        <f t="shared" si="132"/>
        <v>384.25966796781665</v>
      </c>
      <c r="AB133" s="17">
        <f>求节点(盗宝贼掉落!$CV$5:$CV$164,盗宝贼掉落!$DG$5:$DG$164,$O133)</f>
        <v>1078.9753147586221</v>
      </c>
      <c r="AC133" s="17">
        <f>$AB133*INDEX(盗宝贼掉落!$D$64:$D$67,MATCH(AC$16,盗宝贼掉落!$B$64:$B$67,0))*INDEX(盗宝贼掉落!$F$64:$F$67,MATCH(AC$16,盗宝贼掉落!$B$64:$B$67,0))</f>
        <v>809.23148606896655</v>
      </c>
      <c r="AD133" s="17">
        <f>$AB133*INDEX(盗宝贼掉落!$D$64:$D$67,MATCH(AD$16,盗宝贼掉落!$B$64:$B$67,0))*INDEX(盗宝贼掉落!$F$64:$F$67,MATCH(AD$16,盗宝贼掉落!$B$64:$B$67,0))</f>
        <v>53.948765737931105</v>
      </c>
      <c r="AE133" s="17">
        <f>$AB133*INDEX(盗宝贼掉落!$D$64:$D$67,MATCH(AE$16,盗宝贼掉落!$B$64:$B$67,0))*INDEX(盗宝贼掉落!$F$64:$F$67,MATCH(AE$16,盗宝贼掉落!$B$64:$B$67,0))</f>
        <v>0</v>
      </c>
      <c r="AF133" s="17">
        <f>$AB133*INDEX(盗宝贼掉落!$D$64:$D$67,MATCH(AF$16,盗宝贼掉落!$B$64:$B$67,0))*INDEX(盗宝贼掉落!$F$64:$F$67,MATCH(AF$16,盗宝贼掉落!$B$64:$B$67,0))</f>
        <v>0</v>
      </c>
      <c r="AG133" s="17">
        <f>求节点(匈奴铁骑掉落!$J$7:$J$166,匈奴铁骑掉落!O$7:O$166,O133)</f>
        <v>1274.3712</v>
      </c>
      <c r="AH133" s="17">
        <f>$AG133*INDEX(盗宝贼掉落!$D$64:$D$67,MATCH(AH$16,盗宝贼掉落!$B$64:$B$67,0))*INDEX(盗宝贼掉落!$G$64:$G$67,MATCH(AH$16,盗宝贼掉落!$B$64:$B$67,0))</f>
        <v>382.31136000000009</v>
      </c>
      <c r="AI133" s="17">
        <f>$AG133*INDEX(盗宝贼掉落!$D$64:$D$67,MATCH(AI$16,盗宝贼掉落!$B$64:$B$67,0))*INDEX(盗宝贼掉落!$G$64:$G$67,MATCH(AI$16,盗宝贼掉落!$B$64:$B$67,0))</f>
        <v>101.94969600000002</v>
      </c>
      <c r="AJ133" s="17">
        <f>$AG133*INDEX(盗宝贼掉落!$D$64:$D$67,MATCH(AJ$16,盗宝贼掉落!$B$64:$B$67,0))*INDEX(盗宝贼掉落!$G$64:$G$67,MATCH(AJ$16,盗宝贼掉落!$B$64:$B$67,0))</f>
        <v>25.487423999999997</v>
      </c>
      <c r="AK133" s="17">
        <f>$AG133*INDEX(盗宝贼掉落!$D$64:$D$67,MATCH(AK$16,盗宝贼掉落!$B$64:$B$67,0))*INDEX(盗宝贼掉落!$G$64:$G$67,MATCH(AK$16,盗宝贼掉落!$B$64:$B$67,0))</f>
        <v>0</v>
      </c>
      <c r="AL133" s="17">
        <f t="shared" si="133"/>
        <v>20404.526244459797</v>
      </c>
      <c r="AM133" s="17">
        <f t="shared" si="122"/>
        <v>6560.226261201542</v>
      </c>
      <c r="AN133" s="17">
        <f t="shared" si="123"/>
        <v>1178.26642790345</v>
      </c>
      <c r="AO133" s="17">
        <f t="shared" si="124"/>
        <v>384.25966796781665</v>
      </c>
      <c r="AP133" s="84">
        <f>IFERROR(MAX(MIN(求节点(宝物升星!D$67:D$72,宝物升星!$C$67:$C$72,AL133/基础状态预期!C$8),宝物升星!D$14),AP132),AP132)</f>
        <v>0</v>
      </c>
      <c r="AQ133" s="84">
        <f>IFERROR(MAX(MIN(求节点(宝物升星!E$67:E$72,宝物升星!$C$67:$C$72,AM133/基础状态预期!D$8),宝物升星!E$14),AQ132),AQ132)</f>
        <v>3</v>
      </c>
      <c r="AR133" s="84">
        <f>IFERROR(MAX(MIN(求节点(宝物升星!F$67:F$72,宝物升星!$C$67:$C$72,AN133/基础状态预期!E$8),宝物升星!F$14),AR132),AR132)</f>
        <v>5</v>
      </c>
      <c r="AS133" s="54">
        <f>IFERROR(MAX(MIN(求节点(宝物升星!G$67:G$72,宝物升星!$C$67:$C$72,AO133/MAX(基础状态预期!L133,基础状态预期!L132)),宝物升星!G$14),AS132),AS132)</f>
        <v>5</v>
      </c>
      <c r="AV133" s="38">
        <f t="shared" si="125"/>
        <v>0.94160399355547442</v>
      </c>
      <c r="AW133" s="38">
        <f t="shared" si="134"/>
        <v>1.8736595764079777E-2</v>
      </c>
      <c r="AX133" s="38">
        <f t="shared" si="135"/>
        <v>3.9659410680445852E-2</v>
      </c>
      <c r="AY133" s="38">
        <f t="shared" si="126"/>
        <v>0.97623581024027406</v>
      </c>
      <c r="AZ133" s="38">
        <f t="shared" si="136"/>
        <v>1.5540576184536562E-2</v>
      </c>
      <c r="BA133" s="38">
        <f t="shared" si="137"/>
        <v>8.2236135751894146E-3</v>
      </c>
      <c r="BB133" s="38">
        <f t="shared" si="127"/>
        <v>0.97836870898091277</v>
      </c>
      <c r="BC133" s="38">
        <f t="shared" si="138"/>
        <v>2.1631291019087322E-2</v>
      </c>
      <c r="BD133" s="38">
        <f t="shared" si="139"/>
        <v>0</v>
      </c>
      <c r="BE133" s="38">
        <f t="shared" si="128"/>
        <v>1</v>
      </c>
      <c r="BF133" s="38">
        <f t="shared" si="140"/>
        <v>0</v>
      </c>
      <c r="BG133" s="38">
        <f t="shared" si="141"/>
        <v>0</v>
      </c>
      <c r="BJ133" s="16">
        <v>366.38171999999997</v>
      </c>
      <c r="BK133" s="16">
        <v>159.29640000000001</v>
      </c>
      <c r="BL133" s="16">
        <v>10.619759999999999</v>
      </c>
      <c r="BM133" s="16">
        <v>3.7169160000000003</v>
      </c>
      <c r="BN133" s="16">
        <v>14376.886532286911</v>
      </c>
      <c r="BO133" s="16">
        <v>4613.5355276183036</v>
      </c>
      <c r="BP133" s="16">
        <v>802.66599152981462</v>
      </c>
      <c r="BQ133" s="16">
        <v>267.73232650993828</v>
      </c>
      <c r="BR133" s="16">
        <v>0</v>
      </c>
      <c r="BS133" s="16">
        <v>3</v>
      </c>
      <c r="BT133" s="16">
        <v>5</v>
      </c>
      <c r="BU133" s="16">
        <v>5</v>
      </c>
      <c r="BX133" s="37" t="str">
        <f t="shared" si="86"/>
        <v/>
      </c>
    </row>
    <row r="134" spans="14:76">
      <c r="N134" s="16">
        <v>16</v>
      </c>
      <c r="O134" s="17">
        <v>125</v>
      </c>
      <c r="P134" s="17">
        <f>求节点(节奏总纲!$O$4:$O$163,节奏总纲!T$4:T$163,O134)</f>
        <v>1509.8750085108877</v>
      </c>
      <c r="Q134" s="17">
        <f>INDEX(其他调用!$G$4:$G$163,$O134)*$P$10</f>
        <v>23821923.044583607</v>
      </c>
      <c r="R134" s="50">
        <v>1</v>
      </c>
      <c r="S134" s="17">
        <f t="shared" si="115"/>
        <v>0.375</v>
      </c>
      <c r="T134" s="17">
        <f t="shared" si="116"/>
        <v>0.125</v>
      </c>
      <c r="U134" s="17">
        <f t="shared" si="117"/>
        <v>2.2500000000000003E-2</v>
      </c>
      <c r="V134" s="17">
        <f t="shared" si="118"/>
        <v>7.4999999999999997E-3</v>
      </c>
      <c r="W134" s="17">
        <f t="shared" si="129"/>
        <v>6914497.6539996751</v>
      </c>
      <c r="X134" s="17">
        <f t="shared" si="142"/>
        <v>27070.367096117734</v>
      </c>
      <c r="Y134" s="17">
        <f t="shared" si="130"/>
        <v>9023.4556987059113</v>
      </c>
      <c r="Z134" s="17">
        <f t="shared" si="131"/>
        <v>1624.2220257670642</v>
      </c>
      <c r="AA134" s="17">
        <f t="shared" si="132"/>
        <v>541.4073419223547</v>
      </c>
      <c r="AB134" s="17">
        <f>求节点(盗宝贼掉落!$CV$5:$CV$164,盗宝贼掉落!$DG$5:$DG$164,$O134)</f>
        <v>1529.5797337371744</v>
      </c>
      <c r="AC134" s="17">
        <f>$AB134*INDEX(盗宝贼掉落!$D$64:$D$67,MATCH(AC$16,盗宝贼掉落!$B$64:$B$67,0))*INDEX(盗宝贼掉落!$F$64:$F$67,MATCH(AC$16,盗宝贼掉落!$B$64:$B$67,0))</f>
        <v>1147.1848003028808</v>
      </c>
      <c r="AD134" s="17">
        <f>$AB134*INDEX(盗宝贼掉落!$D$64:$D$67,MATCH(AD$16,盗宝贼掉落!$B$64:$B$67,0))*INDEX(盗宝贼掉落!$F$64:$F$67,MATCH(AD$16,盗宝贼掉落!$B$64:$B$67,0))</f>
        <v>76.478986686858718</v>
      </c>
      <c r="AE134" s="17">
        <f>$AB134*INDEX(盗宝贼掉落!$D$64:$D$67,MATCH(AE$16,盗宝贼掉落!$B$64:$B$67,0))*INDEX(盗宝贼掉落!$F$64:$F$67,MATCH(AE$16,盗宝贼掉落!$B$64:$B$67,0))</f>
        <v>0</v>
      </c>
      <c r="AF134" s="17">
        <f>$AB134*INDEX(盗宝贼掉落!$D$64:$D$67,MATCH(AF$16,盗宝贼掉落!$B$64:$B$67,0))*INDEX(盗宝贼掉落!$F$64:$F$67,MATCH(AF$16,盗宝贼掉落!$B$64:$B$67,0))</f>
        <v>0</v>
      </c>
      <c r="AG134" s="17">
        <f>求节点(匈奴铁骑掉落!$J$7:$J$166,匈奴铁骑掉落!O$7:O$166,O134)</f>
        <v>1804.6500102130653</v>
      </c>
      <c r="AH134" s="17">
        <f>$AG134*INDEX(盗宝贼掉落!$D$64:$D$67,MATCH(AH$16,盗宝贼掉落!$B$64:$B$67,0))*INDEX(盗宝贼掉落!$G$64:$G$67,MATCH(AH$16,盗宝贼掉落!$B$64:$B$67,0))</f>
        <v>541.39500306391972</v>
      </c>
      <c r="AI134" s="17">
        <f>$AG134*INDEX(盗宝贼掉落!$D$64:$D$67,MATCH(AI$16,盗宝贼掉落!$B$64:$B$67,0))*INDEX(盗宝贼掉落!$G$64:$G$67,MATCH(AI$16,盗宝贼掉落!$B$64:$B$67,0))</f>
        <v>144.37200081704523</v>
      </c>
      <c r="AJ134" s="17">
        <f>$AG134*INDEX(盗宝贼掉落!$D$64:$D$67,MATCH(AJ$16,盗宝贼掉落!$B$64:$B$67,0))*INDEX(盗宝贼掉落!$G$64:$G$67,MATCH(AJ$16,盗宝贼掉落!$B$64:$B$67,0))</f>
        <v>36.093000204261308</v>
      </c>
      <c r="AK134" s="17">
        <f>$AG134*INDEX(盗宝贼掉落!$D$64:$D$67,MATCH(AK$16,盗宝贼掉落!$B$64:$B$67,0))*INDEX(盗宝贼掉落!$G$64:$G$67,MATCH(AK$16,盗宝贼掉落!$B$64:$B$67,0))</f>
        <v>0</v>
      </c>
      <c r="AL134" s="17">
        <f t="shared" si="133"/>
        <v>28758.946899484534</v>
      </c>
      <c r="AM134" s="17">
        <f t="shared" si="122"/>
        <v>9244.3066862098167</v>
      </c>
      <c r="AN134" s="17">
        <f t="shared" si="123"/>
        <v>1660.3150259713254</v>
      </c>
      <c r="AO134" s="17">
        <f t="shared" si="124"/>
        <v>541.4073419223547</v>
      </c>
      <c r="AP134" s="84">
        <f>IFERROR(MAX(MIN(求节点(宝物升星!D$67:D$72,宝物升星!$C$67:$C$72,AL134/基础状态预期!C$8),宝物升星!D$14),AP133),AP133)</f>
        <v>0</v>
      </c>
      <c r="AQ134" s="84">
        <f>IFERROR(MAX(MIN(求节点(宝物升星!E$67:E$72,宝物升星!$C$67:$C$72,AM134/基础状态预期!D$8),宝物升星!E$14),AQ133),AQ133)</f>
        <v>3</v>
      </c>
      <c r="AR134" s="84">
        <f>IFERROR(MAX(MIN(求节点(宝物升星!F$67:F$72,宝物升星!$C$67:$C$72,AN134/基础状态预期!E$8),宝物升星!F$14),AR133),AR133)</f>
        <v>5</v>
      </c>
      <c r="AS134" s="54">
        <f>IFERROR(MAX(MIN(求节点(宝物升星!G$67:G$72,宝物升星!$C$67:$C$72,AO134/MAX(基础状态预期!L134,基础状态预期!L133)),宝物升星!G$14),AS133),AS133)</f>
        <v>5</v>
      </c>
      <c r="AV134" s="38">
        <f t="shared" si="125"/>
        <v>0.94128506133174628</v>
      </c>
      <c r="AW134" s="38">
        <f t="shared" si="134"/>
        <v>1.8825272182467278E-2</v>
      </c>
      <c r="AX134" s="38">
        <f t="shared" si="135"/>
        <v>3.9889666485786464E-2</v>
      </c>
      <c r="AY134" s="38">
        <f t="shared" si="126"/>
        <v>0.97610951313056726</v>
      </c>
      <c r="AZ134" s="38">
        <f t="shared" si="136"/>
        <v>1.5617396276176341E-2</v>
      </c>
      <c r="BA134" s="38">
        <f t="shared" si="137"/>
        <v>8.2730905932562968E-3</v>
      </c>
      <c r="BB134" s="38">
        <f t="shared" si="127"/>
        <v>0.97826135423719007</v>
      </c>
      <c r="BC134" s="38">
        <f t="shared" si="138"/>
        <v>2.1738645762809986E-2</v>
      </c>
      <c r="BD134" s="38">
        <f t="shared" si="139"/>
        <v>0</v>
      </c>
      <c r="BE134" s="38">
        <f t="shared" si="128"/>
        <v>1</v>
      </c>
      <c r="BF134" s="38">
        <f t="shared" si="140"/>
        <v>0</v>
      </c>
      <c r="BG134" s="38">
        <f t="shared" si="141"/>
        <v>0</v>
      </c>
      <c r="BJ134" s="16">
        <v>518.8368779362562</v>
      </c>
      <c r="BK134" s="16">
        <v>225.58125127663317</v>
      </c>
      <c r="BL134" s="16">
        <v>15.038750085108877</v>
      </c>
      <c r="BM134" s="16">
        <v>5.263562529788107</v>
      </c>
      <c r="BN134" s="16">
        <v>16920.840839822878</v>
      </c>
      <c r="BO134" s="16">
        <v>5386.8658782991288</v>
      </c>
      <c r="BP134" s="16">
        <v>930.29773173687113</v>
      </c>
      <c r="BQ134" s="16">
        <v>310.34988974704225</v>
      </c>
      <c r="BR134" s="16">
        <v>0</v>
      </c>
      <c r="BS134" s="16">
        <v>3</v>
      </c>
      <c r="BT134" s="16">
        <v>5</v>
      </c>
      <c r="BU134" s="16">
        <v>5</v>
      </c>
      <c r="BX134" s="37" t="str">
        <f t="shared" si="86"/>
        <v/>
      </c>
    </row>
    <row r="135" spans="14:76">
      <c r="N135" s="16">
        <v>17</v>
      </c>
      <c r="O135" s="17">
        <v>130</v>
      </c>
      <c r="P135" s="17">
        <f>求节点(节奏总纲!$O$4:$O$163,节奏总纲!T$4:T$163,O135)</f>
        <v>2124.7454000000002</v>
      </c>
      <c r="Q135" s="17">
        <f>INDEX(其他调用!$G$4:$G$163,$O135)*$P$10</f>
        <v>33414197.794896483</v>
      </c>
      <c r="R135" s="50">
        <v>1</v>
      </c>
      <c r="S135" s="17">
        <f t="shared" si="115"/>
        <v>0.375</v>
      </c>
      <c r="T135" s="17">
        <f t="shared" si="116"/>
        <v>0.125</v>
      </c>
      <c r="U135" s="17">
        <f t="shared" si="117"/>
        <v>2.2500000000000003E-2</v>
      </c>
      <c r="V135" s="17">
        <f t="shared" si="118"/>
        <v>7.4999999999999997E-3</v>
      </c>
      <c r="W135" s="17">
        <f t="shared" si="129"/>
        <v>9592274.750312876</v>
      </c>
      <c r="X135" s="17">
        <f t="shared" si="142"/>
        <v>37970.679312382366</v>
      </c>
      <c r="Y135" s="17">
        <f t="shared" si="130"/>
        <v>12656.893104127455</v>
      </c>
      <c r="Z135" s="17">
        <f t="shared" si="131"/>
        <v>2278.2407587429425</v>
      </c>
      <c r="AA135" s="17">
        <f t="shared" si="132"/>
        <v>759.41358624764734</v>
      </c>
      <c r="AB135" s="17">
        <f>求节点(盗宝贼掉落!$CV$5:$CV$164,盗宝贼掉落!$DG$5:$DG$164,$O135)</f>
        <v>2156.5630719386227</v>
      </c>
      <c r="AC135" s="17">
        <f>$AB135*INDEX(盗宝贼掉落!$D$64:$D$67,MATCH(AC$16,盗宝贼掉落!$B$64:$B$67,0))*INDEX(盗宝贼掉落!$F$64:$F$67,MATCH(AC$16,盗宝贼掉落!$B$64:$B$67,0))</f>
        <v>1617.422303953967</v>
      </c>
      <c r="AD135" s="17">
        <f>$AB135*INDEX(盗宝贼掉落!$D$64:$D$67,MATCH(AD$16,盗宝贼掉落!$B$64:$B$67,0))*INDEX(盗宝贼掉落!$F$64:$F$67,MATCH(AD$16,盗宝贼掉落!$B$64:$B$67,0))</f>
        <v>107.82815359693114</v>
      </c>
      <c r="AE135" s="17">
        <f>$AB135*INDEX(盗宝贼掉落!$D$64:$D$67,MATCH(AE$16,盗宝贼掉落!$B$64:$B$67,0))*INDEX(盗宝贼掉落!$F$64:$F$67,MATCH(AE$16,盗宝贼掉落!$B$64:$B$67,0))</f>
        <v>0</v>
      </c>
      <c r="AF135" s="17">
        <f>$AB135*INDEX(盗宝贼掉落!$D$64:$D$67,MATCH(AF$16,盗宝贼掉落!$B$64:$B$67,0))*INDEX(盗宝贼掉落!$F$64:$F$67,MATCH(AF$16,盗宝贼掉落!$B$64:$B$67,0))</f>
        <v>0</v>
      </c>
      <c r="AG135" s="17">
        <f>求节点(匈奴铁骑掉落!$J$7:$J$166,匈奴铁骑掉落!O$7:O$166,O135)</f>
        <v>2542.4944800000007</v>
      </c>
      <c r="AH135" s="17">
        <f>$AG135*INDEX(盗宝贼掉落!$D$64:$D$67,MATCH(AH$16,盗宝贼掉落!$B$64:$B$67,0))*INDEX(盗宝贼掉落!$G$64:$G$67,MATCH(AH$16,盗宝贼掉落!$B$64:$B$67,0))</f>
        <v>762.74834400000032</v>
      </c>
      <c r="AI135" s="17">
        <f>$AG135*INDEX(盗宝贼掉落!$D$64:$D$67,MATCH(AI$16,盗宝贼掉落!$B$64:$B$67,0))*INDEX(盗宝贼掉落!$G$64:$G$67,MATCH(AI$16,盗宝贼掉落!$B$64:$B$67,0))</f>
        <v>203.39955840000007</v>
      </c>
      <c r="AJ135" s="17">
        <f>$AG135*INDEX(盗宝贼掉落!$D$64:$D$67,MATCH(AJ$16,盗宝贼掉落!$B$64:$B$67,0))*INDEX(盗宝贼掉落!$G$64:$G$67,MATCH(AJ$16,盗宝贼掉落!$B$64:$B$67,0))</f>
        <v>50.849889600000012</v>
      </c>
      <c r="AK135" s="17">
        <f>$AG135*INDEX(盗宝贼掉落!$D$64:$D$67,MATCH(AK$16,盗宝贼掉落!$B$64:$B$67,0))*INDEX(盗宝贼掉落!$G$64:$G$67,MATCH(AK$16,盗宝贼掉落!$B$64:$B$67,0))</f>
        <v>0</v>
      </c>
      <c r="AL135" s="17">
        <f t="shared" si="133"/>
        <v>40350.849960336331</v>
      </c>
      <c r="AM135" s="17">
        <f t="shared" si="122"/>
        <v>12968.120816124387</v>
      </c>
      <c r="AN135" s="17">
        <f t="shared" si="123"/>
        <v>2329.0906483429426</v>
      </c>
      <c r="AO135" s="17">
        <f t="shared" si="124"/>
        <v>759.41358624764734</v>
      </c>
      <c r="AP135" s="84">
        <f>IFERROR(MAX(MIN(求节点(宝物升星!D$67:D$72,宝物升星!$C$67:$C$72,AL135/基础状态预期!C$8),宝物升星!D$14),AP134),AP134)</f>
        <v>0</v>
      </c>
      <c r="AQ135" s="84">
        <f>IFERROR(MAX(MIN(求节点(宝物升星!E$67:E$72,宝物升星!$C$67:$C$72,AM135/基础状态预期!D$8),宝物升星!E$14),AQ134),AQ134)</f>
        <v>3</v>
      </c>
      <c r="AR135" s="84">
        <f>IFERROR(MAX(MIN(求节点(宝物升星!F$67:F$72,宝物升星!$C$67:$C$72,AN135/基础状态预期!E$8),宝物升星!F$14),AR134),AR134)</f>
        <v>5</v>
      </c>
      <c r="AS135" s="54">
        <f>IFERROR(MAX(MIN(求节点(宝物升星!G$67:G$72,宝物升星!$C$67:$C$72,AO135/MAX(基础状态预期!L135,基础状态预期!L134)),宝物升星!G$14),AS134),AS134)</f>
        <v>5</v>
      </c>
      <c r="AV135" s="38">
        <f t="shared" si="125"/>
        <v>0.94101312239287149</v>
      </c>
      <c r="AW135" s="38">
        <f t="shared" si="134"/>
        <v>1.8902906500104927E-2</v>
      </c>
      <c r="AX135" s="38">
        <f t="shared" si="135"/>
        <v>4.0083971107023629E-2</v>
      </c>
      <c r="AY135" s="38">
        <f t="shared" si="126"/>
        <v>0.97600055425070109</v>
      </c>
      <c r="AZ135" s="38">
        <f t="shared" si="136"/>
        <v>1.56845823141234E-2</v>
      </c>
      <c r="BA135" s="38">
        <f t="shared" si="137"/>
        <v>8.3148634351755176E-3</v>
      </c>
      <c r="BB135" s="38">
        <f t="shared" si="127"/>
        <v>0.97816749226305222</v>
      </c>
      <c r="BC135" s="38">
        <f t="shared" si="138"/>
        <v>2.1832507736947778E-2</v>
      </c>
      <c r="BD135" s="38">
        <f t="shared" si="139"/>
        <v>0</v>
      </c>
      <c r="BE135" s="38">
        <f t="shared" si="128"/>
        <v>1</v>
      </c>
      <c r="BF135" s="38">
        <f t="shared" si="140"/>
        <v>0</v>
      </c>
      <c r="BG135" s="38">
        <f t="shared" si="141"/>
        <v>0</v>
      </c>
      <c r="BJ135" s="16">
        <v>730.96716300000003</v>
      </c>
      <c r="BK135" s="16">
        <v>317.81181000000009</v>
      </c>
      <c r="BL135" s="16">
        <v>21.187454000000002</v>
      </c>
      <c r="BM135" s="16">
        <v>7.4156089000000014</v>
      </c>
      <c r="BN135" s="16">
        <v>19656.754463903504</v>
      </c>
      <c r="BO135" s="16">
        <v>6194.9608823878334</v>
      </c>
      <c r="BP135" s="16">
        <v>1059.6591857737099</v>
      </c>
      <c r="BQ135" s="16">
        <v>353.57285282457008</v>
      </c>
      <c r="BR135" s="16">
        <v>0</v>
      </c>
      <c r="BS135" s="16">
        <v>3</v>
      </c>
      <c r="BT135" s="16">
        <v>5</v>
      </c>
      <c r="BU135" s="16">
        <v>5</v>
      </c>
      <c r="BX135" s="37" t="str">
        <f t="shared" si="86"/>
        <v/>
      </c>
    </row>
    <row r="136" spans="14:76">
      <c r="N136" s="16">
        <v>18</v>
      </c>
      <c r="O136" s="17">
        <v>135</v>
      </c>
      <c r="P136" s="17">
        <f>求节点(节奏总纲!$O$4:$O$163,节奏总纲!T$4:T$163,O136)</f>
        <v>2979.465885761414</v>
      </c>
      <c r="Q136" s="17">
        <f>INDEX(其他调用!$G$4:$G$163,$O136)*$P$10</f>
        <v>46744151.44341331</v>
      </c>
      <c r="R136" s="50">
        <v>1</v>
      </c>
      <c r="S136" s="17">
        <f t="shared" si="115"/>
        <v>0.375</v>
      </c>
      <c r="T136" s="17">
        <f t="shared" si="116"/>
        <v>0.125</v>
      </c>
      <c r="U136" s="17">
        <f t="shared" si="117"/>
        <v>2.2500000000000003E-2</v>
      </c>
      <c r="V136" s="17">
        <f t="shared" si="118"/>
        <v>7.4999999999999997E-3</v>
      </c>
      <c r="W136" s="17">
        <f t="shared" si="129"/>
        <v>13329953.648516826</v>
      </c>
      <c r="X136" s="17">
        <f t="shared" si="142"/>
        <v>53118.353912969673</v>
      </c>
      <c r="Y136" s="17">
        <f t="shared" si="130"/>
        <v>17706.11797098989</v>
      </c>
      <c r="Z136" s="17">
        <f t="shared" si="131"/>
        <v>3187.1012347781807</v>
      </c>
      <c r="AA136" s="17">
        <f t="shared" si="132"/>
        <v>1062.3670782593933</v>
      </c>
      <c r="AB136" s="17">
        <f>求节点(盗宝贼掉落!$CV$5:$CV$164,盗宝贼掉落!$DG$5:$DG$164,$O136)</f>
        <v>3028.1215512695358</v>
      </c>
      <c r="AC136" s="17">
        <f>$AB136*INDEX(盗宝贼掉落!$D$64:$D$67,MATCH(AC$16,盗宝贼掉落!$B$64:$B$67,0))*INDEX(盗宝贼掉落!$F$64:$F$67,MATCH(AC$16,盗宝贼掉落!$B$64:$B$67,0))</f>
        <v>2271.0911634521517</v>
      </c>
      <c r="AD136" s="17">
        <f>$AB136*INDEX(盗宝贼掉落!$D$64:$D$67,MATCH(AD$16,盗宝贼掉落!$B$64:$B$67,0))*INDEX(盗宝贼掉落!$F$64:$F$67,MATCH(AD$16,盗宝贼掉落!$B$64:$B$67,0))</f>
        <v>151.4060775634768</v>
      </c>
      <c r="AE136" s="17">
        <f>$AB136*INDEX(盗宝贼掉落!$D$64:$D$67,MATCH(AE$16,盗宝贼掉落!$B$64:$B$67,0))*INDEX(盗宝贼掉落!$F$64:$F$67,MATCH(AE$16,盗宝贼掉落!$B$64:$B$67,0))</f>
        <v>0</v>
      </c>
      <c r="AF136" s="17">
        <f>$AB136*INDEX(盗宝贼掉落!$D$64:$D$67,MATCH(AF$16,盗宝贼掉落!$B$64:$B$67,0))*INDEX(盗宝贼掉落!$F$64:$F$67,MATCH(AF$16,盗宝贼掉落!$B$64:$B$67,0))</f>
        <v>0</v>
      </c>
      <c r="AG136" s="17">
        <f>求节点(匈奴铁骑掉落!$J$7:$J$166,匈奴铁骑掉落!O$7:O$166,O136)</f>
        <v>3568.1590629136972</v>
      </c>
      <c r="AH136" s="17">
        <f>$AG136*INDEX(盗宝贼掉落!$D$64:$D$67,MATCH(AH$16,盗宝贼掉落!$B$64:$B$67,0))*INDEX(盗宝贼掉落!$G$64:$G$67,MATCH(AH$16,盗宝贼掉落!$B$64:$B$67,0))</f>
        <v>1070.4477188741093</v>
      </c>
      <c r="AI136" s="17">
        <f>$AG136*INDEX(盗宝贼掉落!$D$64:$D$67,MATCH(AI$16,盗宝贼掉落!$B$64:$B$67,0))*INDEX(盗宝贼掉落!$G$64:$G$67,MATCH(AI$16,盗宝贼掉落!$B$64:$B$67,0))</f>
        <v>285.45272503309582</v>
      </c>
      <c r="AJ136" s="17">
        <f>$AG136*INDEX(盗宝贼掉落!$D$64:$D$67,MATCH(AJ$16,盗宝贼掉落!$B$64:$B$67,0))*INDEX(盗宝贼掉落!$G$64:$G$67,MATCH(AJ$16,盗宝贼掉落!$B$64:$B$67,0))</f>
        <v>71.36318125827394</v>
      </c>
      <c r="AK136" s="17">
        <f>$AG136*INDEX(盗宝贼掉落!$D$64:$D$67,MATCH(AK$16,盗宝贼掉落!$B$64:$B$67,0))*INDEX(盗宝贼掉落!$G$64:$G$67,MATCH(AK$16,盗宝贼掉落!$B$64:$B$67,0))</f>
        <v>0</v>
      </c>
      <c r="AL136" s="17">
        <f t="shared" si="133"/>
        <v>56459.892795295935</v>
      </c>
      <c r="AM136" s="17">
        <f t="shared" si="122"/>
        <v>18142.976773586463</v>
      </c>
      <c r="AN136" s="17">
        <f t="shared" si="123"/>
        <v>3258.4644160364546</v>
      </c>
      <c r="AO136" s="17">
        <f t="shared" si="124"/>
        <v>1062.3670782593933</v>
      </c>
      <c r="AP136" s="84">
        <f>IFERROR(MAX(MIN(求节点(宝物升星!D$67:D$72,宝物升星!$C$67:$C$72,AL136/基础状态预期!C$8),宝物升星!D$14),AP135),AP135)</f>
        <v>0</v>
      </c>
      <c r="AQ136" s="84">
        <f>IFERROR(MAX(MIN(求节点(宝物升星!E$67:E$72,宝物升星!$C$67:$C$72,AM136/基础状态预期!D$8),宝物升星!E$14),AQ135),AQ135)</f>
        <v>3</v>
      </c>
      <c r="AR136" s="84">
        <f>IFERROR(MAX(MIN(求节点(宝物升星!F$67:F$72,宝物升星!$C$67:$C$72,AN136/基础状态预期!E$8),宝物升星!F$14),AR135),AR135)</f>
        <v>5</v>
      </c>
      <c r="AS136" s="54">
        <f>IFERROR(MAX(MIN(求节点(宝物升星!G$67:G$72,宝物升星!$C$67:$C$72,AO136/MAX(基础状态预期!L136,基础状态预期!L135)),宝物升星!G$14),AS135),AS135)</f>
        <v>5</v>
      </c>
      <c r="AV136" s="38">
        <f t="shared" si="125"/>
        <v>0.94081570621393973</v>
      </c>
      <c r="AW136" s="38">
        <f t="shared" si="134"/>
        <v>1.8959435908870444E-2</v>
      </c>
      <c r="AX136" s="38">
        <f t="shared" si="135"/>
        <v>4.022485787718981E-2</v>
      </c>
      <c r="AY136" s="38">
        <f t="shared" si="126"/>
        <v>0.97592132713124702</v>
      </c>
      <c r="AZ136" s="38">
        <f t="shared" si="136"/>
        <v>1.5733511021668367E-2</v>
      </c>
      <c r="BA136" s="38">
        <f t="shared" si="137"/>
        <v>8.3451618470846544E-3</v>
      </c>
      <c r="BB136" s="38">
        <f t="shared" si="127"/>
        <v>0.97809913746270738</v>
      </c>
      <c r="BC136" s="38">
        <f t="shared" si="138"/>
        <v>2.1900862537292645E-2</v>
      </c>
      <c r="BD136" s="38">
        <f t="shared" si="139"/>
        <v>0</v>
      </c>
      <c r="BE136" s="38">
        <f t="shared" si="128"/>
        <v>1</v>
      </c>
      <c r="BF136" s="38">
        <f t="shared" si="140"/>
        <v>0</v>
      </c>
      <c r="BG136" s="38">
        <f t="shared" si="141"/>
        <v>0</v>
      </c>
      <c r="BJ136" s="16">
        <v>1025.8457305876877</v>
      </c>
      <c r="BK136" s="16">
        <v>446.01988286421215</v>
      </c>
      <c r="BL136" s="16">
        <v>29.734658857614143</v>
      </c>
      <c r="BM136" s="16">
        <v>10.407130600164951</v>
      </c>
      <c r="BN136" s="16">
        <v>22658.847726355172</v>
      </c>
      <c r="BO136" s="16">
        <v>7051.2621576738557</v>
      </c>
      <c r="BP136" s="16">
        <v>1191.4191407532719</v>
      </c>
      <c r="BQ136" s="16">
        <v>397.63529123205097</v>
      </c>
      <c r="BR136" s="16">
        <v>0</v>
      </c>
      <c r="BS136" s="16">
        <v>3</v>
      </c>
      <c r="BT136" s="16">
        <v>5</v>
      </c>
      <c r="BU136" s="16">
        <v>5</v>
      </c>
      <c r="BX136" s="37" t="str">
        <f t="shared" si="86"/>
        <v/>
      </c>
    </row>
    <row r="137" spans="14:76">
      <c r="N137" s="16">
        <v>19</v>
      </c>
      <c r="O137" s="17">
        <v>140</v>
      </c>
      <c r="P137" s="17">
        <f>求节点(节奏总纲!$O$4:$O$163,节奏总纲!T$4:T$163,O137)</f>
        <v>4192.4097000000002</v>
      </c>
      <c r="Q137" s="17">
        <f>INDEX(其他调用!$G$4:$G$163,$O137)*$P$10</f>
        <v>65616683.267624833</v>
      </c>
      <c r="R137" s="50">
        <v>1</v>
      </c>
      <c r="S137" s="17">
        <f t="shared" si="115"/>
        <v>0.375</v>
      </c>
      <c r="T137" s="17">
        <f t="shared" si="116"/>
        <v>0.125</v>
      </c>
      <c r="U137" s="17">
        <f t="shared" si="117"/>
        <v>2.2500000000000003E-2</v>
      </c>
      <c r="V137" s="17">
        <f t="shared" si="118"/>
        <v>7.4999999999999997E-3</v>
      </c>
      <c r="W137" s="17">
        <f t="shared" si="129"/>
        <v>18872531.824211523</v>
      </c>
      <c r="X137" s="17">
        <f t="shared" si="142"/>
        <v>74564.412804119129</v>
      </c>
      <c r="Y137" s="17">
        <f t="shared" si="130"/>
        <v>24854.804268039708</v>
      </c>
      <c r="Z137" s="17">
        <f t="shared" si="131"/>
        <v>4473.8647682471483</v>
      </c>
      <c r="AA137" s="17">
        <f t="shared" si="132"/>
        <v>1491.2882560823825</v>
      </c>
      <c r="AB137" s="17">
        <f>求节点(盗宝贼掉落!$CV$5:$CV$164,盗宝贼掉落!$DG$5:$DG$164,$O137)</f>
        <v>4264.9603586486228</v>
      </c>
      <c r="AC137" s="17">
        <f>$AB137*INDEX(盗宝贼掉落!$D$64:$D$67,MATCH(AC$16,盗宝贼掉落!$B$64:$B$67,0))*INDEX(盗宝贼掉落!$F$64:$F$67,MATCH(AC$16,盗宝贼掉落!$B$64:$B$67,0))</f>
        <v>3198.7202689864671</v>
      </c>
      <c r="AD137" s="17">
        <f>$AB137*INDEX(盗宝贼掉落!$D$64:$D$67,MATCH(AD$16,盗宝贼掉落!$B$64:$B$67,0))*INDEX(盗宝贼掉落!$F$64:$F$67,MATCH(AD$16,盗宝贼掉落!$B$64:$B$67,0))</f>
        <v>213.24801793243114</v>
      </c>
      <c r="AE137" s="17">
        <f>$AB137*INDEX(盗宝贼掉落!$D$64:$D$67,MATCH(AE$16,盗宝贼掉落!$B$64:$B$67,0))*INDEX(盗宝贼掉落!$F$64:$F$67,MATCH(AE$16,盗宝贼掉落!$B$64:$B$67,0))</f>
        <v>0</v>
      </c>
      <c r="AF137" s="17">
        <f>$AB137*INDEX(盗宝贼掉落!$D$64:$D$67,MATCH(AF$16,盗宝贼掉落!$B$64:$B$67,0))*INDEX(盗宝贼掉落!$F$64:$F$67,MATCH(AF$16,盗宝贼掉落!$B$64:$B$67,0))</f>
        <v>0</v>
      </c>
      <c r="AG137" s="17">
        <f>求节点(匈奴铁骑掉落!$J$7:$J$166,匈奴铁骑掉落!O$7:O$166,O137)</f>
        <v>5023.6916400000009</v>
      </c>
      <c r="AH137" s="17">
        <f>$AG137*INDEX(盗宝贼掉落!$D$64:$D$67,MATCH(AH$16,盗宝贼掉落!$B$64:$B$67,0))*INDEX(盗宝贼掉落!$G$64:$G$67,MATCH(AH$16,盗宝贼掉落!$B$64:$B$67,0))</f>
        <v>1507.1074920000005</v>
      </c>
      <c r="AI137" s="17">
        <f>$AG137*INDEX(盗宝贼掉落!$D$64:$D$67,MATCH(AI$16,盗宝贼掉落!$B$64:$B$67,0))*INDEX(盗宝贼掉落!$G$64:$G$67,MATCH(AI$16,盗宝贼掉落!$B$64:$B$67,0))</f>
        <v>401.8953312000001</v>
      </c>
      <c r="AJ137" s="17">
        <f>$AG137*INDEX(盗宝贼掉落!$D$64:$D$67,MATCH(AJ$16,盗宝贼掉落!$B$64:$B$67,0))*INDEX(盗宝贼掉落!$G$64:$G$67,MATCH(AJ$16,盗宝贼掉落!$B$64:$B$67,0))</f>
        <v>100.47383280000001</v>
      </c>
      <c r="AK137" s="17">
        <f>$AG137*INDEX(盗宝贼掉落!$D$64:$D$67,MATCH(AK$16,盗宝贼掉落!$B$64:$B$67,0))*INDEX(盗宝贼掉落!$G$64:$G$67,MATCH(AK$16,盗宝贼掉落!$B$64:$B$67,0))</f>
        <v>0</v>
      </c>
      <c r="AL137" s="17">
        <f t="shared" si="133"/>
        <v>79270.240565105589</v>
      </c>
      <c r="AM137" s="17">
        <f t="shared" si="122"/>
        <v>25469.94761717214</v>
      </c>
      <c r="AN137" s="17">
        <f t="shared" si="123"/>
        <v>4574.3386010471486</v>
      </c>
      <c r="AO137" s="17">
        <f t="shared" si="124"/>
        <v>1491.2882560823825</v>
      </c>
      <c r="AP137" s="84">
        <f>IFERROR(MAX(MIN(求节点(宝物升星!D$67:D$72,宝物升星!$C$67:$C$72,AL137/基础状态预期!C$8),宝物升星!D$14),AP136),AP136)</f>
        <v>0</v>
      </c>
      <c r="AQ137" s="84">
        <f>IFERROR(MAX(MIN(求节点(宝物升星!E$67:E$72,宝物升星!$C$67:$C$72,AM137/基础状态预期!D$8),宝物升星!E$14),AQ136),AQ136)</f>
        <v>3</v>
      </c>
      <c r="AR137" s="84">
        <f>IFERROR(MAX(MIN(求节点(宝物升星!F$67:F$72,宝物升星!$C$67:$C$72,AN137/基础状态预期!E$8),宝物升星!F$14),AR136),AR136)</f>
        <v>5</v>
      </c>
      <c r="AS137" s="54">
        <f>IFERROR(MAX(MIN(求节点(宝物升星!G$67:G$72,宝物升星!$C$67:$C$72,AO137/MAX(基础状态预期!L137,基础状态预期!L136)),宝物升星!G$14),AS136),AS136)</f>
        <v>5</v>
      </c>
      <c r="AV137" s="38">
        <f t="shared" si="125"/>
        <v>0.9406356316388178</v>
      </c>
      <c r="AW137" s="38">
        <f t="shared" si="134"/>
        <v>1.9012273474333603E-2</v>
      </c>
      <c r="AX137" s="38">
        <f t="shared" si="135"/>
        <v>4.0352094886848745E-2</v>
      </c>
      <c r="AY137" s="38">
        <f t="shared" si="126"/>
        <v>0.97584826799103053</v>
      </c>
      <c r="AZ137" s="38">
        <f t="shared" si="136"/>
        <v>1.5779197399253288E-2</v>
      </c>
      <c r="BA137" s="38">
        <f t="shared" si="137"/>
        <v>8.37253460971615E-3</v>
      </c>
      <c r="BB137" s="38">
        <f t="shared" si="127"/>
        <v>0.97803533110185592</v>
      </c>
      <c r="BC137" s="38">
        <f t="shared" si="138"/>
        <v>2.1964668898144038E-2</v>
      </c>
      <c r="BD137" s="38">
        <f t="shared" si="139"/>
        <v>0</v>
      </c>
      <c r="BE137" s="38">
        <f t="shared" si="128"/>
        <v>1</v>
      </c>
      <c r="BF137" s="38">
        <f t="shared" si="140"/>
        <v>0</v>
      </c>
      <c r="BG137" s="38">
        <f t="shared" si="141"/>
        <v>0</v>
      </c>
      <c r="BJ137" s="16">
        <v>1444.3113464999999</v>
      </c>
      <c r="BK137" s="16">
        <v>627.96145500000011</v>
      </c>
      <c r="BL137" s="16">
        <v>41.864097000000001</v>
      </c>
      <c r="BM137" s="16">
        <v>14.652433950000001</v>
      </c>
      <c r="BN137" s="16">
        <v>26058.488283167593</v>
      </c>
      <c r="BO137" s="16">
        <v>7979.5609486338617</v>
      </c>
      <c r="BP137" s="16">
        <v>1326.7613290176052</v>
      </c>
      <c r="BQ137" s="16">
        <v>442.9515112892019</v>
      </c>
      <c r="BR137" s="16">
        <v>0</v>
      </c>
      <c r="BS137" s="16">
        <v>3</v>
      </c>
      <c r="BT137" s="16">
        <v>5</v>
      </c>
      <c r="BU137" s="16">
        <v>5</v>
      </c>
      <c r="BX137" s="37" t="str">
        <f t="shared" si="86"/>
        <v/>
      </c>
    </row>
    <row r="138" spans="14:76">
      <c r="N138" s="16">
        <v>20</v>
      </c>
      <c r="O138" s="17">
        <v>145</v>
      </c>
      <c r="P138" s="17">
        <f>求节点(节奏总纲!$O$4:$O$163,节奏总纲!T$4:T$163,O138)</f>
        <v>5926.7517065145412</v>
      </c>
      <c r="Q138" s="17">
        <f>INDEX(其他调用!$G$4:$G$163,$O138)*$P$10</f>
        <v>92596629.355490267</v>
      </c>
      <c r="R138" s="50">
        <v>1</v>
      </c>
      <c r="S138" s="17">
        <f t="shared" si="115"/>
        <v>0.375</v>
      </c>
      <c r="T138" s="17">
        <f t="shared" si="116"/>
        <v>0.125</v>
      </c>
      <c r="U138" s="17">
        <f t="shared" si="117"/>
        <v>2.2500000000000003E-2</v>
      </c>
      <c r="V138" s="17">
        <f t="shared" si="118"/>
        <v>7.4999999999999997E-3</v>
      </c>
      <c r="W138" s="17">
        <f t="shared" si="129"/>
        <v>26979946.087865435</v>
      </c>
      <c r="X138" s="17">
        <f t="shared" si="142"/>
        <v>105223.44244942076</v>
      </c>
      <c r="Y138" s="17">
        <f t="shared" si="130"/>
        <v>35074.480816473588</v>
      </c>
      <c r="Z138" s="17">
        <f t="shared" si="131"/>
        <v>6313.4065469652469</v>
      </c>
      <c r="AA138" s="17">
        <f t="shared" si="132"/>
        <v>2104.4688489884152</v>
      </c>
      <c r="AB138" s="17">
        <f>求节点(盗宝贼掉落!$CV$5:$CV$164,盗宝贼掉落!$DG$5:$DG$164,$O138)</f>
        <v>6033.4689026915003</v>
      </c>
      <c r="AC138" s="17">
        <f>$AB138*INDEX(盗宝贼掉落!$D$64:$D$67,MATCH(AC$16,盗宝贼掉落!$B$64:$B$67,0))*INDEX(盗宝贼掉落!$F$64:$F$67,MATCH(AC$16,盗宝贼掉落!$B$64:$B$67,0))</f>
        <v>4525.1016770186252</v>
      </c>
      <c r="AD138" s="17">
        <f>$AB138*INDEX(盗宝贼掉落!$D$64:$D$67,MATCH(AD$16,盗宝贼掉落!$B$64:$B$67,0))*INDEX(盗宝贼掉落!$F$64:$F$67,MATCH(AD$16,盗宝贼掉落!$B$64:$B$67,0))</f>
        <v>301.67344513457505</v>
      </c>
      <c r="AE138" s="17">
        <f>$AB138*INDEX(盗宝贼掉落!$D$64:$D$67,MATCH(AE$16,盗宝贼掉落!$B$64:$B$67,0))*INDEX(盗宝贼掉落!$F$64:$F$67,MATCH(AE$16,盗宝贼掉落!$B$64:$B$67,0))</f>
        <v>0</v>
      </c>
      <c r="AF138" s="17">
        <f>$AB138*INDEX(盗宝贼掉落!$D$64:$D$67,MATCH(AF$16,盗宝贼掉落!$B$64:$B$67,0))*INDEX(盗宝贼掉落!$F$64:$F$67,MATCH(AF$16,盗宝贼掉落!$B$64:$B$67,0))</f>
        <v>0</v>
      </c>
      <c r="AG138" s="17">
        <f>求节点(匈奴铁骑掉落!$J$7:$J$166,匈奴铁骑掉落!O$7:O$166,O138)</f>
        <v>7104.9020478174498</v>
      </c>
      <c r="AH138" s="17">
        <f>$AG138*INDEX(盗宝贼掉落!$D$64:$D$67,MATCH(AH$16,盗宝贼掉落!$B$64:$B$67,0))*INDEX(盗宝贼掉落!$G$64:$G$67,MATCH(AH$16,盗宝贼掉落!$B$64:$B$67,0))</f>
        <v>2131.4706143452354</v>
      </c>
      <c r="AI138" s="17">
        <f>$AG138*INDEX(盗宝贼掉落!$D$64:$D$67,MATCH(AI$16,盗宝贼掉落!$B$64:$B$67,0))*INDEX(盗宝贼掉落!$G$64:$G$67,MATCH(AI$16,盗宝贼掉落!$B$64:$B$67,0))</f>
        <v>568.39216382539598</v>
      </c>
      <c r="AJ138" s="17">
        <f>$AG138*INDEX(盗宝贼掉落!$D$64:$D$67,MATCH(AJ$16,盗宝贼掉落!$B$64:$B$67,0))*INDEX(盗宝贼掉落!$G$64:$G$67,MATCH(AJ$16,盗宝贼掉落!$B$64:$B$67,0))</f>
        <v>142.098040956349</v>
      </c>
      <c r="AK138" s="17">
        <f>$AG138*INDEX(盗宝贼掉落!$D$64:$D$67,MATCH(AK$16,盗宝贼掉落!$B$64:$B$67,0))*INDEX(盗宝贼掉落!$G$64:$G$67,MATCH(AK$16,盗宝贼掉落!$B$64:$B$67,0))</f>
        <v>0</v>
      </c>
      <c r="AL138" s="17">
        <f t="shared" si="133"/>
        <v>111880.01474078462</v>
      </c>
      <c r="AM138" s="17">
        <f t="shared" si="122"/>
        <v>35944.54642543356</v>
      </c>
      <c r="AN138" s="17">
        <f t="shared" si="123"/>
        <v>6455.5045879215959</v>
      </c>
      <c r="AO138" s="17">
        <f t="shared" si="124"/>
        <v>2104.4688489884152</v>
      </c>
      <c r="AP138" s="84">
        <f>IFERROR(MAX(MIN(求节点(宝物升星!D$67:D$72,宝物升星!$C$67:$C$72,AL138/基础状态预期!C$8),宝物升星!D$14),AP137),AP137)</f>
        <v>0</v>
      </c>
      <c r="AQ138" s="84">
        <f>IFERROR(MAX(MIN(求节点(宝物升星!E$67:E$72,宝物升星!$C$67:$C$72,AM138/基础状态预期!D$8),宝物升星!E$14),AQ137),AQ137)</f>
        <v>3</v>
      </c>
      <c r="AR138" s="84">
        <f>IFERROR(MAX(MIN(求节点(宝物升星!F$67:F$72,宝物升星!$C$67:$C$72,AN138/基础状态预期!E$8),宝物升星!F$14),AR137),AR137)</f>
        <v>5</v>
      </c>
      <c r="AS138" s="54">
        <f>IFERROR(MAX(MIN(求节点(宝物升星!G$67:G$72,宝物升星!$C$67:$C$72,AO138/MAX(基础状态预期!L138,基础状态预期!L137)),宝物升星!G$14),AS137),AS137)</f>
        <v>5</v>
      </c>
      <c r="AV138" s="38">
        <f t="shared" si="125"/>
        <v>0.94050257942147664</v>
      </c>
      <c r="AW138" s="38">
        <f t="shared" si="134"/>
        <v>1.9051397332076246E-2</v>
      </c>
      <c r="AX138" s="38">
        <f t="shared" si="135"/>
        <v>4.0446023246447152E-2</v>
      </c>
      <c r="AY138" s="38">
        <f t="shared" si="126"/>
        <v>0.97579422484117551</v>
      </c>
      <c r="AZ138" s="38">
        <f t="shared" si="136"/>
        <v>1.5813029245048821E-2</v>
      </c>
      <c r="BA138" s="38">
        <f t="shared" si="137"/>
        <v>8.3927459137756056E-3</v>
      </c>
      <c r="BB138" s="38">
        <f t="shared" si="127"/>
        <v>0.97798808148595884</v>
      </c>
      <c r="BC138" s="38">
        <f t="shared" si="138"/>
        <v>2.2011918514041155E-2</v>
      </c>
      <c r="BD138" s="38">
        <f t="shared" si="139"/>
        <v>0</v>
      </c>
      <c r="BE138" s="38">
        <f t="shared" si="128"/>
        <v>1</v>
      </c>
      <c r="BF138" s="38">
        <f t="shared" si="140"/>
        <v>0</v>
      </c>
      <c r="BG138" s="38">
        <f t="shared" si="141"/>
        <v>0</v>
      </c>
      <c r="BJ138" s="16">
        <v>2042.6593387475166</v>
      </c>
      <c r="BK138" s="16">
        <v>888.11275597718122</v>
      </c>
      <c r="BL138" s="16">
        <v>59.207517065145424</v>
      </c>
      <c r="BM138" s="16">
        <v>20.7226309728009</v>
      </c>
      <c r="BN138" s="16">
        <v>30036.763518813066</v>
      </c>
      <c r="BO138" s="16">
        <v>9012.6529552684515</v>
      </c>
      <c r="BP138" s="16">
        <v>1467.3174992046984</v>
      </c>
      <c r="BQ138" s="16">
        <v>490.09262501931875</v>
      </c>
      <c r="BR138" s="16">
        <v>0</v>
      </c>
      <c r="BS138" s="16">
        <v>3</v>
      </c>
      <c r="BT138" s="16">
        <v>5</v>
      </c>
      <c r="BU138" s="16">
        <v>5</v>
      </c>
      <c r="BX138" s="37" t="str">
        <f t="shared" si="86"/>
        <v/>
      </c>
    </row>
    <row r="139" spans="14:76">
      <c r="N139" s="16">
        <v>21</v>
      </c>
      <c r="O139" s="17">
        <v>150</v>
      </c>
      <c r="P139" s="17">
        <f>求节点(节奏总纲!$O$4:$O$163,节奏总纲!T$4:T$163,O139)</f>
        <v>8355.5850000000009</v>
      </c>
      <c r="Q139" s="17">
        <f>INDEX(其他调用!$G$4:$G$163,$O139)*$P$10</f>
        <v>130312280.56422526</v>
      </c>
      <c r="R139" s="50">
        <v>1</v>
      </c>
      <c r="S139" s="17">
        <f t="shared" si="115"/>
        <v>0.375</v>
      </c>
      <c r="T139" s="17">
        <f t="shared" si="116"/>
        <v>0.125</v>
      </c>
      <c r="U139" s="17">
        <f t="shared" si="117"/>
        <v>2.2500000000000003E-2</v>
      </c>
      <c r="V139" s="17">
        <f t="shared" si="118"/>
        <v>7.4999999999999997E-3</v>
      </c>
      <c r="W139" s="17">
        <f t="shared" si="129"/>
        <v>37715651.208734989</v>
      </c>
      <c r="X139" s="17">
        <f t="shared" si="142"/>
        <v>148082.13700480142</v>
      </c>
      <c r="Y139" s="17">
        <f t="shared" si="130"/>
        <v>49360.712334933807</v>
      </c>
      <c r="Z139" s="17">
        <f t="shared" si="131"/>
        <v>8884.9282202880877</v>
      </c>
      <c r="AA139" s="17">
        <f t="shared" si="132"/>
        <v>2961.6427400960283</v>
      </c>
      <c r="AB139" s="17">
        <f>求节点(盗宝贼掉落!$CV$5:$CV$164,盗宝贼掉落!$DG$5:$DG$164,$O139)</f>
        <v>8510.1502120586229</v>
      </c>
      <c r="AC139" s="17">
        <f>$AB139*INDEX(盗宝贼掉落!$D$64:$D$67,MATCH(AC$16,盗宝贼掉落!$B$64:$B$67,0))*INDEX(盗宝贼掉落!$F$64:$F$67,MATCH(AC$16,盗宝贼掉落!$B$64:$B$67,0))</f>
        <v>6382.6126590439671</v>
      </c>
      <c r="AD139" s="17">
        <f>$AB139*INDEX(盗宝贼掉落!$D$64:$D$67,MATCH(AD$16,盗宝贼掉落!$B$64:$B$67,0))*INDEX(盗宝贼掉落!$F$64:$F$67,MATCH(AD$16,盗宝贼掉落!$B$64:$B$67,0))</f>
        <v>425.50751060293118</v>
      </c>
      <c r="AE139" s="17">
        <f>$AB139*INDEX(盗宝贼掉落!$D$64:$D$67,MATCH(AE$16,盗宝贼掉落!$B$64:$B$67,0))*INDEX(盗宝贼掉落!$F$64:$F$67,MATCH(AE$16,盗宝贼掉落!$B$64:$B$67,0))</f>
        <v>0</v>
      </c>
      <c r="AF139" s="17">
        <f>$AB139*INDEX(盗宝贼掉落!$D$64:$D$67,MATCH(AF$16,盗宝贼掉落!$B$64:$B$67,0))*INDEX(盗宝贼掉落!$F$64:$F$67,MATCH(AF$16,盗宝贼掉落!$B$64:$B$67,0))</f>
        <v>0</v>
      </c>
      <c r="AG139" s="17">
        <f>求节点(匈奴铁骑掉落!$J$7:$J$166,匈奴铁骑掉落!O$7:O$166,O139)</f>
        <v>10019.502000000002</v>
      </c>
      <c r="AH139" s="17">
        <f>$AG139*INDEX(盗宝贼掉落!$D$64:$D$67,MATCH(AH$16,盗宝贼掉落!$B$64:$B$67,0))*INDEX(盗宝贼掉落!$G$64:$G$67,MATCH(AH$16,盗宝贼掉落!$B$64:$B$67,0))</f>
        <v>3005.8506000000011</v>
      </c>
      <c r="AI139" s="17">
        <f>$AG139*INDEX(盗宝贼掉落!$D$64:$D$67,MATCH(AI$16,盗宝贼掉落!$B$64:$B$67,0))*INDEX(盗宝贼掉落!$G$64:$G$67,MATCH(AI$16,盗宝贼掉落!$B$64:$B$67,0))</f>
        <v>801.56016000000022</v>
      </c>
      <c r="AJ139" s="17">
        <f>$AG139*INDEX(盗宝贼掉落!$D$64:$D$67,MATCH(AJ$16,盗宝贼掉落!$B$64:$B$67,0))*INDEX(盗宝贼掉落!$G$64:$G$67,MATCH(AJ$16,盗宝贼掉落!$B$64:$B$67,0))</f>
        <v>200.39004000000003</v>
      </c>
      <c r="AK139" s="17">
        <f>$AG139*INDEX(盗宝贼掉落!$D$64:$D$67,MATCH(AK$16,盗宝贼掉落!$B$64:$B$67,0))*INDEX(盗宝贼掉落!$G$64:$G$67,MATCH(AK$16,盗宝贼掉落!$B$64:$B$67,0))</f>
        <v>0</v>
      </c>
      <c r="AL139" s="17">
        <f t="shared" si="133"/>
        <v>157470.60026384541</v>
      </c>
      <c r="AM139" s="17">
        <f t="shared" si="122"/>
        <v>50587.780005536741</v>
      </c>
      <c r="AN139" s="17">
        <f t="shared" si="123"/>
        <v>9085.3182602880879</v>
      </c>
      <c r="AO139" s="17">
        <f t="shared" si="124"/>
        <v>2961.6427400960283</v>
      </c>
      <c r="AP139" s="84">
        <f>IFERROR(MAX(MIN(求节点(宝物升星!D$67:D$72,宝物升星!$C$67:$C$72,AL139/基础状态预期!C$8),宝物升星!D$14),AP138),AP138)</f>
        <v>0</v>
      </c>
      <c r="AQ139" s="84">
        <f>IFERROR(MAX(MIN(求节点(宝物升星!E$67:E$72,宝物升星!$C$67:$C$72,AM139/基础状态预期!D$8),宝物升星!E$14),AQ138),AQ138)</f>
        <v>3</v>
      </c>
      <c r="AR139" s="84">
        <f>IFERROR(MAX(MIN(求节点(宝物升星!F$67:F$72,宝物升星!$C$67:$C$72,AN139/基础状态预期!E$8),宝物升星!F$14),AR138),AR138)</f>
        <v>5</v>
      </c>
      <c r="AS139" s="54">
        <f>IFERROR(MAX(MIN(求节点(宝物升星!G$67:G$72,宝物升星!$C$67:$C$72,AO139/MAX(基础状态预期!L139,基础状态预期!L138)),宝物升星!G$14),AS138),AS138)</f>
        <v>5</v>
      </c>
      <c r="AV139" s="38">
        <f t="shared" si="125"/>
        <v>0.94037958042127601</v>
      </c>
      <c r="AW139" s="38">
        <f t="shared" si="134"/>
        <v>1.9088328837025027E-2</v>
      </c>
      <c r="AX139" s="38">
        <f t="shared" si="135"/>
        <v>4.0532090741698841E-2</v>
      </c>
      <c r="AY139" s="38">
        <f t="shared" si="126"/>
        <v>0.97574379285929069</v>
      </c>
      <c r="AZ139" s="38">
        <f t="shared" si="136"/>
        <v>1.5844936463159105E-2</v>
      </c>
      <c r="BA139" s="38">
        <f t="shared" si="137"/>
        <v>8.4112706775501932E-3</v>
      </c>
      <c r="BB139" s="38">
        <f t="shared" si="127"/>
        <v>0.97794353106198773</v>
      </c>
      <c r="BC139" s="38">
        <f t="shared" si="138"/>
        <v>2.2056468938012285E-2</v>
      </c>
      <c r="BD139" s="38">
        <f t="shared" si="139"/>
        <v>0</v>
      </c>
      <c r="BE139" s="38">
        <f t="shared" si="128"/>
        <v>1</v>
      </c>
      <c r="BF139" s="38">
        <f t="shared" si="140"/>
        <v>0</v>
      </c>
      <c r="BG139" s="38">
        <f t="shared" si="141"/>
        <v>0</v>
      </c>
      <c r="BJ139" s="16">
        <v>2880.6068250000003</v>
      </c>
      <c r="BK139" s="16">
        <v>1252.4377500000003</v>
      </c>
      <c r="BL139" s="16">
        <v>83.495850000000019</v>
      </c>
      <c r="BM139" s="16">
        <v>29.223547500000009</v>
      </c>
      <c r="BN139" s="16">
        <v>34785.767822456692</v>
      </c>
      <c r="BO139" s="16">
        <v>10185.327293214894</v>
      </c>
      <c r="BP139" s="16">
        <v>1614.8185822615008</v>
      </c>
      <c r="BQ139" s="16">
        <v>539.6644582538338</v>
      </c>
      <c r="BR139" s="16">
        <v>0</v>
      </c>
      <c r="BS139" s="16">
        <v>3</v>
      </c>
      <c r="BT139" s="16">
        <v>5</v>
      </c>
      <c r="BU139" s="16">
        <v>5</v>
      </c>
      <c r="BX139" s="37" t="str">
        <f t="shared" si="86"/>
        <v/>
      </c>
    </row>
    <row r="140" spans="14:76">
      <c r="N140" s="16">
        <v>22</v>
      </c>
      <c r="O140" s="17">
        <v>155</v>
      </c>
      <c r="P140" s="17">
        <f>求节点(节奏总纲!$O$4:$O$163,节奏总纲!T$4:T$163,O140)</f>
        <v>44541.959951382152</v>
      </c>
      <c r="Q140" s="17">
        <f>INDEX(其他调用!$G$4:$G$163,$O140)*$P$10</f>
        <v>691083298.53878927</v>
      </c>
      <c r="R140" s="50">
        <v>1</v>
      </c>
      <c r="S140" s="17">
        <f t="shared" si="115"/>
        <v>0.375</v>
      </c>
      <c r="T140" s="17">
        <f t="shared" si="116"/>
        <v>0.125</v>
      </c>
      <c r="U140" s="17">
        <f t="shared" si="117"/>
        <v>2.2500000000000003E-2</v>
      </c>
      <c r="V140" s="17">
        <f t="shared" si="118"/>
        <v>7.4999999999999997E-3</v>
      </c>
      <c r="W140" s="17">
        <f t="shared" si="129"/>
        <v>560771017.97456408</v>
      </c>
      <c r="X140" s="17">
        <f t="shared" si="142"/>
        <v>785321.93015771511</v>
      </c>
      <c r="Y140" s="17">
        <f t="shared" si="130"/>
        <v>261773.97671923839</v>
      </c>
      <c r="Z140" s="17">
        <f t="shared" si="131"/>
        <v>47119.315809462918</v>
      </c>
      <c r="AA140" s="17">
        <f t="shared" si="132"/>
        <v>15706.438603154304</v>
      </c>
      <c r="AB140" s="17">
        <f>求节点(盗宝贼掉落!$CV$5:$CV$164,盗宝贼掉落!$DG$5:$DG$164,$O140)</f>
        <v>45409.396749983003</v>
      </c>
      <c r="AC140" s="17">
        <f>$AB140*INDEX(盗宝贼掉落!$D$64:$D$67,MATCH(AC$16,盗宝贼掉落!$B$64:$B$67,0))*INDEX(盗宝贼掉落!$F$64:$F$67,MATCH(AC$16,盗宝贼掉落!$B$64:$B$67,0))</f>
        <v>34057.047562487249</v>
      </c>
      <c r="AD140" s="17">
        <f>$AB140*INDEX(盗宝贼掉落!$D$64:$D$67,MATCH(AD$16,盗宝贼掉落!$B$64:$B$67,0))*INDEX(盗宝贼掉落!$F$64:$F$67,MATCH(AD$16,盗宝贼掉落!$B$64:$B$67,0))</f>
        <v>2270.4698374991503</v>
      </c>
      <c r="AE140" s="17">
        <f>$AB140*INDEX(盗宝贼掉落!$D$64:$D$67,MATCH(AE$16,盗宝贼掉落!$B$64:$B$67,0))*INDEX(盗宝贼掉落!$F$64:$F$67,MATCH(AE$16,盗宝贼掉落!$B$64:$B$67,0))</f>
        <v>0</v>
      </c>
      <c r="AF140" s="17">
        <f>$AB140*INDEX(盗宝贼掉落!$D$64:$D$67,MATCH(AF$16,盗宝贼掉落!$B$64:$B$67,0))*INDEX(盗宝贼掉落!$F$64:$F$67,MATCH(AF$16,盗宝贼掉落!$B$64:$B$67,0))</f>
        <v>0</v>
      </c>
      <c r="AG140" s="17">
        <f>求节点(匈奴铁骑掉落!$J$7:$J$166,匈奴铁骑掉落!O$7:O$166,O140)</f>
        <v>53443.15194165858</v>
      </c>
      <c r="AH140" s="17">
        <f>$AG140*INDEX(盗宝贼掉落!$D$64:$D$67,MATCH(AH$16,盗宝贼掉落!$B$64:$B$67,0))*INDEX(盗宝贼掉落!$G$64:$G$67,MATCH(AH$16,盗宝贼掉落!$B$64:$B$67,0))</f>
        <v>16032.945582497576</v>
      </c>
      <c r="AI140" s="17">
        <f>$AG140*INDEX(盗宝贼掉落!$D$64:$D$67,MATCH(AI$16,盗宝贼掉落!$B$64:$B$67,0))*INDEX(盗宝贼掉落!$G$64:$G$67,MATCH(AI$16,盗宝贼掉落!$B$64:$B$67,0))</f>
        <v>4275.4521553326867</v>
      </c>
      <c r="AJ140" s="17">
        <f>$AG140*INDEX(盗宝贼掉落!$D$64:$D$67,MATCH(AJ$16,盗宝贼掉落!$B$64:$B$67,0))*INDEX(盗宝贼掉落!$G$64:$G$67,MATCH(AJ$16,盗宝贼掉落!$B$64:$B$67,0))</f>
        <v>1068.8630388331715</v>
      </c>
      <c r="AK140" s="17">
        <f>$AG140*INDEX(盗宝贼掉落!$D$64:$D$67,MATCH(AK$16,盗宝贼掉落!$B$64:$B$67,0))*INDEX(盗宝贼掉落!$G$64:$G$67,MATCH(AK$16,盗宝贼掉落!$B$64:$B$67,0))</f>
        <v>0</v>
      </c>
      <c r="AL140" s="17">
        <f t="shared" si="133"/>
        <v>835411.92330270004</v>
      </c>
      <c r="AM140" s="17">
        <f t="shared" si="122"/>
        <v>268319.89871207019</v>
      </c>
      <c r="AN140" s="17">
        <f t="shared" si="123"/>
        <v>48188.178848296091</v>
      </c>
      <c r="AO140" s="17">
        <f t="shared" si="124"/>
        <v>15706.438603154304</v>
      </c>
      <c r="AP140" s="84">
        <f>IFERROR(MAX(MIN(求节点(宝物升星!D$67:D$72,宝物升星!$C$67:$C$72,AL140/基础状态预期!C$8),宝物升星!D$14),AP139),AP139)</f>
        <v>0</v>
      </c>
      <c r="AQ140" s="84">
        <f>IFERROR(MAX(MIN(求节点(宝物升星!E$67:E$72,宝物升星!$C$67:$C$72,AM140/基础状态预期!D$8),宝物升星!E$14),AQ139),AQ139)</f>
        <v>3</v>
      </c>
      <c r="AR140" s="84">
        <f>IFERROR(MAX(MIN(求节点(宝物升星!F$67:F$72,宝物升星!$C$67:$C$72,AN140/基础状态预期!E$8),宝物升星!F$14),AR139),AR139)</f>
        <v>5</v>
      </c>
      <c r="AS140" s="54">
        <f>IFERROR(MAX(MIN(求节点(宝物升星!G$67:G$72,宝物升星!$C$67:$C$72,AO140/MAX(基础状态预期!L140,基础状态预期!L139)),宝物升星!G$14),AS139),AS139)</f>
        <v>5</v>
      </c>
      <c r="AV140" s="38">
        <f t="shared" si="125"/>
        <v>0.94004156303280872</v>
      </c>
      <c r="AW140" s="38">
        <f t="shared" si="134"/>
        <v>1.9191664776716692E-2</v>
      </c>
      <c r="AX140" s="38">
        <f t="shared" si="135"/>
        <v>4.0766772190474407E-2</v>
      </c>
      <c r="AY140" s="38">
        <f t="shared" si="126"/>
        <v>0.97560403822358277</v>
      </c>
      <c r="AZ140" s="38">
        <f t="shared" si="136"/>
        <v>1.5934159843734162E-2</v>
      </c>
      <c r="BA140" s="38">
        <f t="shared" si="137"/>
        <v>8.4618019326831787E-3</v>
      </c>
      <c r="BB140" s="38">
        <f t="shared" si="127"/>
        <v>0.97781897833910425</v>
      </c>
      <c r="BC140" s="38">
        <f t="shared" si="138"/>
        <v>2.2181021660895698E-2</v>
      </c>
      <c r="BD140" s="38">
        <f t="shared" si="139"/>
        <v>0</v>
      </c>
      <c r="BE140" s="38">
        <f t="shared" si="128"/>
        <v>1</v>
      </c>
      <c r="BF140" s="38">
        <f t="shared" si="140"/>
        <v>0</v>
      </c>
      <c r="BG140" s="38">
        <f t="shared" si="141"/>
        <v>0</v>
      </c>
      <c r="BJ140" s="16">
        <v>15364.90618322684</v>
      </c>
      <c r="BK140" s="16">
        <v>6680.3939927073225</v>
      </c>
      <c r="BL140" s="16">
        <v>445.35959951382148</v>
      </c>
      <c r="BM140" s="16">
        <v>155.87585982983754</v>
      </c>
      <c r="BN140" s="16">
        <v>76998.047919492601</v>
      </c>
      <c r="BO140" s="16">
        <v>18142.761141273699</v>
      </c>
      <c r="BP140" s="16">
        <v>2099.8950818972698</v>
      </c>
      <c r="BQ140" s="16">
        <v>707.38768729098717</v>
      </c>
      <c r="BR140" s="16">
        <v>0</v>
      </c>
      <c r="BS140" s="16">
        <v>3</v>
      </c>
      <c r="BT140" s="16">
        <v>5</v>
      </c>
      <c r="BU140" s="16">
        <v>5</v>
      </c>
      <c r="BX140" s="37" t="str">
        <f t="shared" si="86"/>
        <v/>
      </c>
    </row>
    <row r="141" spans="14:76">
      <c r="N141" s="16">
        <v>23</v>
      </c>
      <c r="O141" s="17">
        <v>160</v>
      </c>
      <c r="P141" s="17">
        <f>求节点(节奏总纲!$O$4:$O$163,节奏总纲!T$4:T$163,O141)</f>
        <v>66190.350000000006</v>
      </c>
      <c r="Q141" s="17">
        <f>INDEX(其他调用!$G$4:$G$163,$O141)*$P$10</f>
        <v>1026063190.3819916</v>
      </c>
      <c r="R141" s="50">
        <v>1</v>
      </c>
      <c r="S141" s="17">
        <f t="shared" si="115"/>
        <v>0.375</v>
      </c>
      <c r="T141" s="17">
        <f t="shared" si="116"/>
        <v>0.125</v>
      </c>
      <c r="U141" s="17">
        <f t="shared" si="117"/>
        <v>2.2500000000000003E-2</v>
      </c>
      <c r="V141" s="17">
        <f t="shared" si="118"/>
        <v>7.4999999999999997E-3</v>
      </c>
      <c r="W141" s="17">
        <f t="shared" si="129"/>
        <v>334979891.84320235</v>
      </c>
      <c r="X141" s="17">
        <f t="shared" si="142"/>
        <v>1165980.898161354</v>
      </c>
      <c r="Y141" s="17">
        <f t="shared" si="130"/>
        <v>388660.29938711808</v>
      </c>
      <c r="Z141" s="17">
        <f t="shared" si="131"/>
        <v>69958.853889681268</v>
      </c>
      <c r="AA141" s="17">
        <f t="shared" si="132"/>
        <v>23319.617963227083</v>
      </c>
      <c r="AB141" s="17">
        <f>求节点(盗宝贼掉落!$CV$5:$CV$164,盗宝贼掉落!$DG$5:$DG$164,$O141)</f>
        <v>67484.260082558641</v>
      </c>
      <c r="AC141" s="17">
        <f>$AB141*INDEX(盗宝贼掉落!$D$64:$D$67,MATCH(AC$16,盗宝贼掉落!$B$64:$B$67,0))*INDEX(盗宝贼掉落!$F$64:$F$67,MATCH(AC$16,盗宝贼掉落!$B$64:$B$67,0))</f>
        <v>50613.195061918981</v>
      </c>
      <c r="AD141" s="17">
        <f>$AB141*INDEX(盗宝贼掉落!$D$64:$D$67,MATCH(AD$16,盗宝贼掉落!$B$64:$B$67,0))*INDEX(盗宝贼掉落!$F$64:$F$67,MATCH(AD$16,盗宝贼掉落!$B$64:$B$67,0))</f>
        <v>3374.2130041279324</v>
      </c>
      <c r="AE141" s="17">
        <f>$AB141*INDEX(盗宝贼掉落!$D$64:$D$67,MATCH(AE$16,盗宝贼掉落!$B$64:$B$67,0))*INDEX(盗宝贼掉落!$F$64:$F$67,MATCH(AE$16,盗宝贼掉落!$B$64:$B$67,0))</f>
        <v>0</v>
      </c>
      <c r="AF141" s="17">
        <f>$AB141*INDEX(盗宝贼掉落!$D$64:$D$67,MATCH(AF$16,盗宝贼掉落!$B$64:$B$67,0))*INDEX(盗宝贼掉落!$F$64:$F$67,MATCH(AF$16,盗宝贼掉落!$B$64:$B$67,0))</f>
        <v>0</v>
      </c>
      <c r="AG141" s="17">
        <f>求节点(匈奴铁骑掉落!$J$7:$J$166,匈奴铁骑掉落!O$7:O$166,O141)</f>
        <v>79421.220000000016</v>
      </c>
      <c r="AH141" s="17">
        <f>$AG141*INDEX(盗宝贼掉落!$D$64:$D$67,MATCH(AH$16,盗宝贼掉落!$B$64:$B$67,0))*INDEX(盗宝贼掉落!$G$64:$G$67,MATCH(AH$16,盗宝贼掉落!$B$64:$B$67,0))</f>
        <v>23826.366000000009</v>
      </c>
      <c r="AI141" s="17">
        <f>$AG141*INDEX(盗宝贼掉落!$D$64:$D$67,MATCH(AI$16,盗宝贼掉落!$B$64:$B$67,0))*INDEX(盗宝贼掉落!$G$64:$G$67,MATCH(AI$16,盗宝贼掉落!$B$64:$B$67,0))</f>
        <v>6353.6976000000022</v>
      </c>
      <c r="AJ141" s="17">
        <f>$AG141*INDEX(盗宝贼掉落!$D$64:$D$67,MATCH(AJ$16,盗宝贼掉落!$B$64:$B$67,0))*INDEX(盗宝贼掉落!$G$64:$G$67,MATCH(AJ$16,盗宝贼掉落!$B$64:$B$67,0))</f>
        <v>1588.4244000000003</v>
      </c>
      <c r="AK141" s="17">
        <f>$AG141*INDEX(盗宝贼掉落!$D$64:$D$67,MATCH(AK$16,盗宝贼掉落!$B$64:$B$67,0))*INDEX(盗宝贼掉落!$G$64:$G$67,MATCH(AK$16,盗宝贼掉落!$B$64:$B$67,0))</f>
        <v>0</v>
      </c>
      <c r="AL141" s="17">
        <f t="shared" si="133"/>
        <v>1240420.459223273</v>
      </c>
      <c r="AM141" s="17">
        <f t="shared" si="122"/>
        <v>398388.20999124605</v>
      </c>
      <c r="AN141" s="17">
        <f t="shared" si="123"/>
        <v>71547.278289681271</v>
      </c>
      <c r="AO141" s="17">
        <f t="shared" si="124"/>
        <v>23319.617963227083</v>
      </c>
      <c r="AP141" s="84">
        <f>IFERROR(MAX(MIN(求节点(宝物升星!D$67:D$72,宝物升星!$C$67:$C$72,AL141/基础状态预期!C$8),宝物升星!D$14),AP140),AP140)</f>
        <v>0</v>
      </c>
      <c r="AQ141" s="84">
        <f>IFERROR(MAX(MIN(求节点(宝物升星!E$67:E$72,宝物升星!$C$67:$C$72,AM141/基础状态预期!D$8),宝物升星!E$14),AQ140),AQ140)</f>
        <v>3</v>
      </c>
      <c r="AR141" s="84">
        <f>IFERROR(MAX(MIN(求节点(宝物升星!F$67:F$72,宝物升星!$C$67:$C$72,AN141/基础状态预期!E$8),宝物升星!F$14),AR140),AR140)</f>
        <v>5</v>
      </c>
      <c r="AS141" s="54">
        <f>IFERROR(MAX(MIN(求节点(宝物升星!G$67:G$72,宝物升星!$C$67:$C$72,AO141/MAX(基础状态预期!L141,基础状态预期!L140)),宝物升星!G$14),AS140),AS140)</f>
        <v>5</v>
      </c>
      <c r="AV141" s="38">
        <f t="shared" si="125"/>
        <v>0.93998844463712605</v>
      </c>
      <c r="AW141" s="38">
        <f t="shared" si="134"/>
        <v>1.9208298140228688E-2</v>
      </c>
      <c r="AX141" s="38">
        <f t="shared" si="135"/>
        <v>4.0803257222645273E-2</v>
      </c>
      <c r="AY141" s="38">
        <f t="shared" si="126"/>
        <v>0.97558183108796892</v>
      </c>
      <c r="AZ141" s="38">
        <f t="shared" si="136"/>
        <v>1.5948508115086073E-2</v>
      </c>
      <c r="BA141" s="38">
        <f t="shared" si="137"/>
        <v>8.4696607969449583E-3</v>
      </c>
      <c r="BB141" s="38">
        <f t="shared" si="127"/>
        <v>0.97779895423039331</v>
      </c>
      <c r="BC141" s="38">
        <f t="shared" si="138"/>
        <v>2.220104576960668E-2</v>
      </c>
      <c r="BD141" s="38">
        <f t="shared" si="139"/>
        <v>0</v>
      </c>
      <c r="BE141" s="38">
        <f t="shared" si="128"/>
        <v>1</v>
      </c>
      <c r="BF141" s="38">
        <f t="shared" si="140"/>
        <v>0</v>
      </c>
      <c r="BG141" s="38">
        <f t="shared" si="141"/>
        <v>0</v>
      </c>
      <c r="BJ141" s="16">
        <v>22833.600750000001</v>
      </c>
      <c r="BK141" s="16">
        <v>9927.652500000002</v>
      </c>
      <c r="BL141" s="16">
        <v>661.84350000000006</v>
      </c>
      <c r="BM141" s="16">
        <v>231.64522500000004</v>
      </c>
      <c r="BN141" s="16">
        <v>103076.43582106328</v>
      </c>
      <c r="BO141" s="16">
        <v>23178.278093650428</v>
      </c>
      <c r="BP141" s="16">
        <v>2439.5917325053961</v>
      </c>
      <c r="BQ141" s="16">
        <v>824.22796916846551</v>
      </c>
      <c r="BR141" s="16">
        <v>0</v>
      </c>
      <c r="BS141" s="16">
        <v>3</v>
      </c>
      <c r="BT141" s="16">
        <v>5</v>
      </c>
      <c r="BU141" s="16">
        <v>5</v>
      </c>
      <c r="BX141" s="37" t="str">
        <f t="shared" si="86"/>
        <v/>
      </c>
    </row>
    <row r="142" spans="14:76">
      <c r="N142" s="16">
        <v>24</v>
      </c>
    </row>
    <row r="143" spans="14:76">
      <c r="N143" s="16">
        <v>25</v>
      </c>
    </row>
    <row r="144" spans="14:76">
      <c r="N144" s="16">
        <v>26</v>
      </c>
    </row>
  </sheetData>
  <mergeCells count="80">
    <mergeCell ref="P119:P120"/>
    <mergeCell ref="P93:P94"/>
    <mergeCell ref="P67:P68"/>
    <mergeCell ref="AC119:AF119"/>
    <mergeCell ref="W67:W68"/>
    <mergeCell ref="W93:W94"/>
    <mergeCell ref="W119:W120"/>
    <mergeCell ref="R119:R120"/>
    <mergeCell ref="S119:V119"/>
    <mergeCell ref="AB93:AB94"/>
    <mergeCell ref="AB119:AB120"/>
    <mergeCell ref="X119:AA119"/>
    <mergeCell ref="R93:R94"/>
    <mergeCell ref="S93:V93"/>
    <mergeCell ref="W15:W16"/>
    <mergeCell ref="W41:W42"/>
    <mergeCell ref="Q119:Q120"/>
    <mergeCell ref="Q67:Q68"/>
    <mergeCell ref="Q93:Q94"/>
    <mergeCell ref="P41:P42"/>
    <mergeCell ref="S15:V15"/>
    <mergeCell ref="R41:R42"/>
    <mergeCell ref="R67:R68"/>
    <mergeCell ref="S41:V41"/>
    <mergeCell ref="S67:V67"/>
    <mergeCell ref="P15:P16"/>
    <mergeCell ref="Q15:Q16"/>
    <mergeCell ref="R15:R16"/>
    <mergeCell ref="Q41:Q42"/>
    <mergeCell ref="AG15:AG16"/>
    <mergeCell ref="AG41:AG42"/>
    <mergeCell ref="X41:AA41"/>
    <mergeCell ref="X67:AA67"/>
    <mergeCell ref="X93:AA93"/>
    <mergeCell ref="AC67:AF67"/>
    <mergeCell ref="AC93:AF93"/>
    <mergeCell ref="X15:AA15"/>
    <mergeCell ref="AC41:AF41"/>
    <mergeCell ref="AC15:AF15"/>
    <mergeCell ref="AG67:AG68"/>
    <mergeCell ref="AG93:AG94"/>
    <mergeCell ref="AB15:AB16"/>
    <mergeCell ref="AB41:AB42"/>
    <mergeCell ref="AB67:AB68"/>
    <mergeCell ref="AL41:AO41"/>
    <mergeCell ref="AL67:AO67"/>
    <mergeCell ref="AH15:AK15"/>
    <mergeCell ref="AH41:AK41"/>
    <mergeCell ref="AH67:AK67"/>
    <mergeCell ref="AL15:AO15"/>
    <mergeCell ref="AG119:AG120"/>
    <mergeCell ref="AP93:AS93"/>
    <mergeCell ref="AP119:AS119"/>
    <mergeCell ref="AL93:AO93"/>
    <mergeCell ref="AL119:AO119"/>
    <mergeCell ref="AH93:AK93"/>
    <mergeCell ref="AH119:AK119"/>
    <mergeCell ref="AP41:AS41"/>
    <mergeCell ref="AP67:AS67"/>
    <mergeCell ref="AP15:AS15"/>
    <mergeCell ref="AV67:AX67"/>
    <mergeCell ref="AV119:AX119"/>
    <mergeCell ref="AV93:AX93"/>
    <mergeCell ref="AV15:AX15"/>
    <mergeCell ref="AV41:AX41"/>
    <mergeCell ref="BE15:BG15"/>
    <mergeCell ref="BB15:BD15"/>
    <mergeCell ref="AY15:BA15"/>
    <mergeCell ref="AY41:BA41"/>
    <mergeCell ref="BB41:BD41"/>
    <mergeCell ref="BE41:BG41"/>
    <mergeCell ref="AY119:BA119"/>
    <mergeCell ref="BB119:BD119"/>
    <mergeCell ref="BE119:BG119"/>
    <mergeCell ref="AY67:BA67"/>
    <mergeCell ref="BB67:BD67"/>
    <mergeCell ref="BE67:BG67"/>
    <mergeCell ref="AY93:BA93"/>
    <mergeCell ref="BB93:BD93"/>
    <mergeCell ref="BE93:BG93"/>
  </mergeCells>
  <phoneticPr fontId="1" type="noConversion"/>
  <pageMargins left="0.7" right="0.7" top="0.75" bottom="0.75" header="0.3" footer="0.3"/>
  <pageSetup paperSize="9" orientation="portrait" horizontalDpi="360" verticalDpi="36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E5:S166"/>
  <sheetViews>
    <sheetView tabSelected="1" workbookViewId="0">
      <selection activeCell="H22" sqref="H22"/>
    </sheetView>
  </sheetViews>
  <sheetFormatPr defaultColWidth="9" defaultRowHeight="11.25"/>
  <cols>
    <col min="1" max="16384" width="9" style="5"/>
  </cols>
  <sheetData>
    <row r="5" spans="5:19">
      <c r="F5" s="166" t="s">
        <v>294</v>
      </c>
      <c r="G5" s="166"/>
      <c r="H5" s="166"/>
      <c r="I5" s="166"/>
      <c r="J5" s="166"/>
      <c r="K5" s="166"/>
      <c r="N5" s="39"/>
      <c r="O5" s="199" t="s">
        <v>297</v>
      </c>
      <c r="P5" s="199"/>
      <c r="Q5" s="199"/>
      <c r="R5" s="199"/>
      <c r="S5" s="199"/>
    </row>
    <row r="6" spans="5:19">
      <c r="E6" s="5" t="s">
        <v>210</v>
      </c>
      <c r="F6" s="16">
        <v>0</v>
      </c>
      <c r="G6" s="16">
        <v>1</v>
      </c>
      <c r="H6" s="16">
        <v>2</v>
      </c>
      <c r="I6" s="16">
        <v>3</v>
      </c>
      <c r="J6" s="16">
        <v>4</v>
      </c>
      <c r="K6" s="16">
        <v>5</v>
      </c>
      <c r="N6" s="39" t="s">
        <v>161</v>
      </c>
      <c r="O6" s="39" t="s">
        <v>74</v>
      </c>
      <c r="P6" s="39" t="s">
        <v>75</v>
      </c>
      <c r="Q6" s="39" t="s">
        <v>76</v>
      </c>
      <c r="R6" s="39" t="s">
        <v>77</v>
      </c>
      <c r="S6" s="39" t="s">
        <v>78</v>
      </c>
    </row>
    <row r="7" spans="5:19">
      <c r="E7" s="5" t="s">
        <v>25</v>
      </c>
      <c r="F7" s="16">
        <v>100</v>
      </c>
      <c r="G7" s="16">
        <v>200</v>
      </c>
      <c r="H7" s="16">
        <v>300</v>
      </c>
      <c r="I7" s="16">
        <v>400</v>
      </c>
      <c r="J7" s="16">
        <v>500</v>
      </c>
      <c r="K7" s="16">
        <v>600</v>
      </c>
      <c r="N7" s="5">
        <v>1</v>
      </c>
    </row>
    <row r="8" spans="5:19">
      <c r="E8" s="5" t="s">
        <v>1</v>
      </c>
      <c r="F8" s="16">
        <v>500</v>
      </c>
      <c r="G8" s="16">
        <v>1400</v>
      </c>
      <c r="H8" s="16">
        <v>2300</v>
      </c>
      <c r="I8" s="16">
        <v>3200</v>
      </c>
      <c r="J8" s="16">
        <v>4100</v>
      </c>
      <c r="K8" s="16">
        <v>5000</v>
      </c>
      <c r="N8" s="5">
        <v>2</v>
      </c>
    </row>
    <row r="9" spans="5:19">
      <c r="E9" s="5" t="s">
        <v>2</v>
      </c>
      <c r="F9" s="16">
        <v>2500</v>
      </c>
      <c r="G9" s="16">
        <v>5000</v>
      </c>
      <c r="H9" s="16">
        <v>7500</v>
      </c>
      <c r="I9" s="16">
        <v>10000</v>
      </c>
      <c r="J9" s="16">
        <v>12500</v>
      </c>
      <c r="K9" s="16">
        <v>15000</v>
      </c>
      <c r="N9" s="5">
        <v>3</v>
      </c>
    </row>
    <row r="10" spans="5:19">
      <c r="E10" s="5" t="s">
        <v>0</v>
      </c>
      <c r="F10" s="16">
        <v>5000</v>
      </c>
      <c r="G10" s="16">
        <v>14000</v>
      </c>
      <c r="H10" s="16">
        <v>23000</v>
      </c>
      <c r="I10" s="16">
        <v>32000</v>
      </c>
      <c r="J10" s="16">
        <v>41000</v>
      </c>
      <c r="K10" s="16">
        <v>50000</v>
      </c>
      <c r="N10" s="5">
        <v>4</v>
      </c>
    </row>
    <row r="11" spans="5:19">
      <c r="E11" s="5" t="s">
        <v>295</v>
      </c>
      <c r="F11" s="16">
        <v>10000</v>
      </c>
      <c r="G11" s="16">
        <v>24000</v>
      </c>
      <c r="H11" s="16">
        <v>38000</v>
      </c>
      <c r="I11" s="16">
        <v>52000</v>
      </c>
      <c r="J11" s="16">
        <v>66000</v>
      </c>
      <c r="K11" s="16">
        <v>80000</v>
      </c>
      <c r="N11" s="5">
        <v>5</v>
      </c>
    </row>
    <row r="12" spans="5:19">
      <c r="E12" s="5" t="s">
        <v>167</v>
      </c>
      <c r="F12" s="16">
        <v>10000</v>
      </c>
      <c r="G12" s="16">
        <v>20000</v>
      </c>
      <c r="H12" s="16">
        <v>30000</v>
      </c>
      <c r="I12" s="16">
        <v>40000</v>
      </c>
      <c r="J12" s="16">
        <v>50000</v>
      </c>
      <c r="K12" s="16">
        <v>60000</v>
      </c>
      <c r="N12" s="5">
        <v>6</v>
      </c>
    </row>
    <row r="13" spans="5:19">
      <c r="E13" s="5" t="s">
        <v>296</v>
      </c>
      <c r="F13" s="16">
        <v>25000</v>
      </c>
      <c r="G13" s="16">
        <v>40000</v>
      </c>
      <c r="H13" s="16">
        <v>55000</v>
      </c>
      <c r="I13" s="16">
        <v>70000</v>
      </c>
      <c r="J13" s="16">
        <v>85000</v>
      </c>
      <c r="K13" s="16">
        <v>100000</v>
      </c>
      <c r="N13" s="5">
        <v>7</v>
      </c>
    </row>
    <row r="14" spans="5:19">
      <c r="E14" s="5" t="s">
        <v>560</v>
      </c>
      <c r="F14" s="21">
        <f>F12*3</f>
        <v>30000</v>
      </c>
      <c r="G14" s="21">
        <f t="shared" ref="G14:K14" si="0">G12*3</f>
        <v>60000</v>
      </c>
      <c r="H14" s="21">
        <f t="shared" si="0"/>
        <v>90000</v>
      </c>
      <c r="I14" s="21">
        <f t="shared" si="0"/>
        <v>120000</v>
      </c>
      <c r="J14" s="21">
        <f t="shared" si="0"/>
        <v>150000</v>
      </c>
      <c r="K14" s="21">
        <f t="shared" si="0"/>
        <v>180000</v>
      </c>
      <c r="N14" s="5">
        <v>8</v>
      </c>
    </row>
    <row r="15" spans="5:19">
      <c r="N15" s="5">
        <v>9</v>
      </c>
    </row>
    <row r="16" spans="5:19">
      <c r="N16" s="5">
        <v>10</v>
      </c>
    </row>
    <row r="17" spans="5:14">
      <c r="N17" s="5">
        <v>11</v>
      </c>
    </row>
    <row r="18" spans="5:14">
      <c r="F18" s="166" t="s">
        <v>770</v>
      </c>
      <c r="G18" s="166"/>
      <c r="H18" s="166"/>
      <c r="I18" s="166"/>
      <c r="J18" s="166"/>
      <c r="K18" s="166"/>
      <c r="N18" s="5">
        <v>12</v>
      </c>
    </row>
    <row r="19" spans="5:14">
      <c r="E19" s="5" t="s">
        <v>210</v>
      </c>
      <c r="F19" s="16">
        <v>0</v>
      </c>
      <c r="G19" s="16">
        <v>1</v>
      </c>
      <c r="H19" s="16">
        <v>2</v>
      </c>
      <c r="I19" s="16">
        <v>3</v>
      </c>
      <c r="J19" s="16">
        <v>4</v>
      </c>
      <c r="K19" s="16">
        <v>5</v>
      </c>
      <c r="N19" s="5">
        <v>13</v>
      </c>
    </row>
    <row r="20" spans="5:14">
      <c r="F20" s="166" t="s">
        <v>770</v>
      </c>
      <c r="G20" s="166"/>
      <c r="H20" s="166"/>
      <c r="I20" s="166"/>
      <c r="J20" s="166"/>
      <c r="K20" s="166"/>
      <c r="N20" s="5">
        <v>14</v>
      </c>
    </row>
    <row r="21" spans="5:14">
      <c r="E21" s="5" t="s">
        <v>210</v>
      </c>
      <c r="F21" s="16">
        <v>0</v>
      </c>
      <c r="G21" s="16">
        <v>1</v>
      </c>
      <c r="H21" s="16">
        <v>2</v>
      </c>
      <c r="I21" s="16">
        <v>3</v>
      </c>
      <c r="J21" s="16">
        <v>4</v>
      </c>
      <c r="K21" s="16">
        <v>5</v>
      </c>
      <c r="N21" s="5">
        <v>15</v>
      </c>
    </row>
    <row r="22" spans="5:14">
      <c r="E22" s="5" t="s">
        <v>25</v>
      </c>
      <c r="F22" s="16">
        <f>F7/2</f>
        <v>50</v>
      </c>
      <c r="G22" s="16">
        <f t="shared" ref="G22:K22" si="1">G7/2</f>
        <v>100</v>
      </c>
      <c r="H22" s="16">
        <f t="shared" si="1"/>
        <v>150</v>
      </c>
      <c r="I22" s="16">
        <f t="shared" si="1"/>
        <v>200</v>
      </c>
      <c r="J22" s="16">
        <f t="shared" si="1"/>
        <v>250</v>
      </c>
      <c r="K22" s="16">
        <f t="shared" si="1"/>
        <v>300</v>
      </c>
      <c r="N22" s="5">
        <v>16</v>
      </c>
    </row>
    <row r="23" spans="5:14">
      <c r="E23" s="5" t="s">
        <v>1</v>
      </c>
      <c r="F23" s="16">
        <f t="shared" ref="F23:K29" si="2">F8/2</f>
        <v>250</v>
      </c>
      <c r="G23" s="16">
        <f t="shared" si="2"/>
        <v>700</v>
      </c>
      <c r="H23" s="16">
        <f t="shared" si="2"/>
        <v>1150</v>
      </c>
      <c r="I23" s="16">
        <f t="shared" si="2"/>
        <v>1600</v>
      </c>
      <c r="J23" s="16">
        <f t="shared" si="2"/>
        <v>2050</v>
      </c>
      <c r="K23" s="16">
        <f t="shared" si="2"/>
        <v>2500</v>
      </c>
      <c r="N23" s="5">
        <v>17</v>
      </c>
    </row>
    <row r="24" spans="5:14">
      <c r="E24" s="5" t="s">
        <v>2</v>
      </c>
      <c r="F24" s="16">
        <f t="shared" si="2"/>
        <v>1250</v>
      </c>
      <c r="G24" s="16">
        <f t="shared" si="2"/>
        <v>2500</v>
      </c>
      <c r="H24" s="16">
        <f t="shared" si="2"/>
        <v>3750</v>
      </c>
      <c r="I24" s="16">
        <f t="shared" si="2"/>
        <v>5000</v>
      </c>
      <c r="J24" s="16">
        <f t="shared" si="2"/>
        <v>6250</v>
      </c>
      <c r="K24" s="16">
        <f t="shared" si="2"/>
        <v>7500</v>
      </c>
      <c r="N24" s="5">
        <v>18</v>
      </c>
    </row>
    <row r="25" spans="5:14">
      <c r="E25" s="5" t="s">
        <v>0</v>
      </c>
      <c r="F25" s="16">
        <f t="shared" si="2"/>
        <v>2500</v>
      </c>
      <c r="G25" s="16">
        <f t="shared" si="2"/>
        <v>7000</v>
      </c>
      <c r="H25" s="16">
        <f t="shared" si="2"/>
        <v>11500</v>
      </c>
      <c r="I25" s="16">
        <f t="shared" si="2"/>
        <v>16000</v>
      </c>
      <c r="J25" s="16">
        <f t="shared" si="2"/>
        <v>20500</v>
      </c>
      <c r="K25" s="16">
        <f t="shared" si="2"/>
        <v>25000</v>
      </c>
      <c r="N25" s="5">
        <v>19</v>
      </c>
    </row>
    <row r="26" spans="5:14">
      <c r="E26" s="5" t="s">
        <v>295</v>
      </c>
      <c r="F26" s="16">
        <f t="shared" si="2"/>
        <v>5000</v>
      </c>
      <c r="G26" s="16">
        <f t="shared" si="2"/>
        <v>12000</v>
      </c>
      <c r="H26" s="16">
        <f t="shared" si="2"/>
        <v>19000</v>
      </c>
      <c r="I26" s="16">
        <f t="shared" si="2"/>
        <v>26000</v>
      </c>
      <c r="J26" s="16">
        <f t="shared" si="2"/>
        <v>33000</v>
      </c>
      <c r="K26" s="16">
        <f t="shared" si="2"/>
        <v>40000</v>
      </c>
      <c r="N26" s="5">
        <v>20</v>
      </c>
    </row>
    <row r="27" spans="5:14">
      <c r="E27" s="5" t="s">
        <v>167</v>
      </c>
      <c r="F27" s="16">
        <f t="shared" si="2"/>
        <v>5000</v>
      </c>
      <c r="G27" s="16">
        <f t="shared" si="2"/>
        <v>10000</v>
      </c>
      <c r="H27" s="16">
        <f t="shared" si="2"/>
        <v>15000</v>
      </c>
      <c r="I27" s="16">
        <f t="shared" si="2"/>
        <v>20000</v>
      </c>
      <c r="J27" s="16">
        <f t="shared" si="2"/>
        <v>25000</v>
      </c>
      <c r="K27" s="16">
        <f t="shared" si="2"/>
        <v>30000</v>
      </c>
      <c r="N27" s="5">
        <v>21</v>
      </c>
    </row>
    <row r="28" spans="5:14">
      <c r="E28" s="5" t="s">
        <v>296</v>
      </c>
      <c r="F28" s="16">
        <f t="shared" si="2"/>
        <v>12500</v>
      </c>
      <c r="G28" s="16">
        <f t="shared" si="2"/>
        <v>20000</v>
      </c>
      <c r="H28" s="16">
        <f t="shared" si="2"/>
        <v>27500</v>
      </c>
      <c r="I28" s="16">
        <f t="shared" si="2"/>
        <v>35000</v>
      </c>
      <c r="J28" s="16">
        <f t="shared" si="2"/>
        <v>42500</v>
      </c>
      <c r="K28" s="16">
        <f t="shared" si="2"/>
        <v>50000</v>
      </c>
      <c r="N28" s="5">
        <v>22</v>
      </c>
    </row>
    <row r="29" spans="5:14">
      <c r="E29" s="5" t="s">
        <v>560</v>
      </c>
      <c r="F29" s="16">
        <f t="shared" si="2"/>
        <v>15000</v>
      </c>
      <c r="G29" s="16">
        <f t="shared" si="2"/>
        <v>30000</v>
      </c>
      <c r="H29" s="16">
        <f t="shared" si="2"/>
        <v>45000</v>
      </c>
      <c r="I29" s="16">
        <f t="shared" si="2"/>
        <v>60000</v>
      </c>
      <c r="J29" s="16">
        <f t="shared" si="2"/>
        <v>75000</v>
      </c>
      <c r="K29" s="16">
        <f t="shared" si="2"/>
        <v>90000</v>
      </c>
      <c r="N29" s="5">
        <v>23</v>
      </c>
    </row>
    <row r="30" spans="5:14">
      <c r="N30" s="5">
        <v>24</v>
      </c>
    </row>
    <row r="31" spans="5:14">
      <c r="N31" s="5">
        <v>25</v>
      </c>
    </row>
    <row r="32" spans="5:14">
      <c r="N32" s="5">
        <v>26</v>
      </c>
    </row>
    <row r="33" spans="14:14">
      <c r="N33" s="5">
        <v>27</v>
      </c>
    </row>
    <row r="34" spans="14:14">
      <c r="N34" s="5">
        <v>28</v>
      </c>
    </row>
    <row r="35" spans="14:14">
      <c r="N35" s="5">
        <v>29</v>
      </c>
    </row>
    <row r="36" spans="14:14">
      <c r="N36" s="5">
        <v>30</v>
      </c>
    </row>
    <row r="37" spans="14:14">
      <c r="N37" s="5">
        <v>31</v>
      </c>
    </row>
    <row r="38" spans="14:14">
      <c r="N38" s="5">
        <v>32</v>
      </c>
    </row>
    <row r="39" spans="14:14">
      <c r="N39" s="5">
        <v>33</v>
      </c>
    </row>
    <row r="40" spans="14:14">
      <c r="N40" s="5">
        <v>34</v>
      </c>
    </row>
    <row r="41" spans="14:14">
      <c r="N41" s="5">
        <v>35</v>
      </c>
    </row>
    <row r="42" spans="14:14">
      <c r="N42" s="5">
        <v>36</v>
      </c>
    </row>
    <row r="43" spans="14:14">
      <c r="N43" s="5">
        <v>37</v>
      </c>
    </row>
    <row r="44" spans="14:14">
      <c r="N44" s="5">
        <v>38</v>
      </c>
    </row>
    <row r="45" spans="14:14">
      <c r="N45" s="5">
        <v>39</v>
      </c>
    </row>
    <row r="46" spans="14:14">
      <c r="N46" s="5">
        <v>40</v>
      </c>
    </row>
    <row r="47" spans="14:14">
      <c r="N47" s="5">
        <v>41</v>
      </c>
    </row>
    <row r="48" spans="14:14">
      <c r="N48" s="5">
        <v>42</v>
      </c>
    </row>
    <row r="49" spans="14:14">
      <c r="N49" s="5">
        <v>43</v>
      </c>
    </row>
    <row r="50" spans="14:14">
      <c r="N50" s="5">
        <v>44</v>
      </c>
    </row>
    <row r="51" spans="14:14">
      <c r="N51" s="5">
        <v>45</v>
      </c>
    </row>
    <row r="52" spans="14:14">
      <c r="N52" s="5">
        <v>46</v>
      </c>
    </row>
    <row r="53" spans="14:14">
      <c r="N53" s="5">
        <v>47</v>
      </c>
    </row>
    <row r="54" spans="14:14">
      <c r="N54" s="5">
        <v>48</v>
      </c>
    </row>
    <row r="55" spans="14:14">
      <c r="N55" s="5">
        <v>49</v>
      </c>
    </row>
    <row r="56" spans="14:14">
      <c r="N56" s="5">
        <v>50</v>
      </c>
    </row>
    <row r="57" spans="14:14">
      <c r="N57" s="5">
        <v>51</v>
      </c>
    </row>
    <row r="58" spans="14:14">
      <c r="N58" s="5">
        <v>52</v>
      </c>
    </row>
    <row r="59" spans="14:14">
      <c r="N59" s="5">
        <v>53</v>
      </c>
    </row>
    <row r="60" spans="14:14">
      <c r="N60" s="5">
        <v>54</v>
      </c>
    </row>
    <row r="61" spans="14:14">
      <c r="N61" s="5">
        <v>55</v>
      </c>
    </row>
    <row r="62" spans="14:14">
      <c r="N62" s="5">
        <v>56</v>
      </c>
    </row>
    <row r="63" spans="14:14">
      <c r="N63" s="5">
        <v>57</v>
      </c>
    </row>
    <row r="64" spans="14:14">
      <c r="N64" s="5">
        <v>58</v>
      </c>
    </row>
    <row r="65" spans="14:14">
      <c r="N65" s="5">
        <v>59</v>
      </c>
    </row>
    <row r="66" spans="14:14">
      <c r="N66" s="5">
        <v>60</v>
      </c>
    </row>
    <row r="67" spans="14:14">
      <c r="N67" s="5">
        <v>61</v>
      </c>
    </row>
    <row r="68" spans="14:14">
      <c r="N68" s="5">
        <v>62</v>
      </c>
    </row>
    <row r="69" spans="14:14">
      <c r="N69" s="5">
        <v>63</v>
      </c>
    </row>
    <row r="70" spans="14:14">
      <c r="N70" s="5">
        <v>64</v>
      </c>
    </row>
    <row r="71" spans="14:14">
      <c r="N71" s="5">
        <v>65</v>
      </c>
    </row>
    <row r="72" spans="14:14">
      <c r="N72" s="5">
        <v>66</v>
      </c>
    </row>
    <row r="73" spans="14:14">
      <c r="N73" s="5">
        <v>67</v>
      </c>
    </row>
    <row r="74" spans="14:14">
      <c r="N74" s="5">
        <v>68</v>
      </c>
    </row>
    <row r="75" spans="14:14">
      <c r="N75" s="5">
        <v>69</v>
      </c>
    </row>
    <row r="76" spans="14:14">
      <c r="N76" s="5">
        <v>70</v>
      </c>
    </row>
    <row r="77" spans="14:14">
      <c r="N77" s="5">
        <v>71</v>
      </c>
    </row>
    <row r="78" spans="14:14">
      <c r="N78" s="5">
        <v>72</v>
      </c>
    </row>
    <row r="79" spans="14:14">
      <c r="N79" s="5">
        <v>73</v>
      </c>
    </row>
    <row r="80" spans="14:14">
      <c r="N80" s="5">
        <v>74</v>
      </c>
    </row>
    <row r="81" spans="14:14">
      <c r="N81" s="5">
        <v>75</v>
      </c>
    </row>
    <row r="82" spans="14:14">
      <c r="N82" s="5">
        <v>76</v>
      </c>
    </row>
    <row r="83" spans="14:14">
      <c r="N83" s="5">
        <v>77</v>
      </c>
    </row>
    <row r="84" spans="14:14">
      <c r="N84" s="5">
        <v>78</v>
      </c>
    </row>
    <row r="85" spans="14:14">
      <c r="N85" s="5">
        <v>79</v>
      </c>
    </row>
    <row r="86" spans="14:14">
      <c r="N86" s="5">
        <v>80</v>
      </c>
    </row>
    <row r="87" spans="14:14">
      <c r="N87" s="5">
        <v>81</v>
      </c>
    </row>
    <row r="88" spans="14:14">
      <c r="N88" s="5">
        <v>82</v>
      </c>
    </row>
    <row r="89" spans="14:14">
      <c r="N89" s="5">
        <v>83</v>
      </c>
    </row>
    <row r="90" spans="14:14">
      <c r="N90" s="5">
        <v>84</v>
      </c>
    </row>
    <row r="91" spans="14:14">
      <c r="N91" s="5">
        <v>85</v>
      </c>
    </row>
    <row r="92" spans="14:14">
      <c r="N92" s="5">
        <v>86</v>
      </c>
    </row>
    <row r="93" spans="14:14">
      <c r="N93" s="5">
        <v>87</v>
      </c>
    </row>
    <row r="94" spans="14:14">
      <c r="N94" s="5">
        <v>88</v>
      </c>
    </row>
    <row r="95" spans="14:14">
      <c r="N95" s="5">
        <v>89</v>
      </c>
    </row>
    <row r="96" spans="14:14">
      <c r="N96" s="5">
        <v>90</v>
      </c>
    </row>
    <row r="97" spans="14:14">
      <c r="N97" s="5">
        <v>91</v>
      </c>
    </row>
    <row r="98" spans="14:14">
      <c r="N98" s="5">
        <v>92</v>
      </c>
    </row>
    <row r="99" spans="14:14">
      <c r="N99" s="5">
        <v>93</v>
      </c>
    </row>
    <row r="100" spans="14:14">
      <c r="N100" s="5">
        <v>94</v>
      </c>
    </row>
    <row r="101" spans="14:14">
      <c r="N101" s="5">
        <v>95</v>
      </c>
    </row>
    <row r="102" spans="14:14">
      <c r="N102" s="5">
        <v>96</v>
      </c>
    </row>
    <row r="103" spans="14:14">
      <c r="N103" s="5">
        <v>97</v>
      </c>
    </row>
    <row r="104" spans="14:14">
      <c r="N104" s="5">
        <v>98</v>
      </c>
    </row>
    <row r="105" spans="14:14">
      <c r="N105" s="5">
        <v>99</v>
      </c>
    </row>
    <row r="106" spans="14:14">
      <c r="N106" s="5">
        <v>100</v>
      </c>
    </row>
    <row r="107" spans="14:14">
      <c r="N107" s="5">
        <v>101</v>
      </c>
    </row>
    <row r="108" spans="14:14">
      <c r="N108" s="5">
        <v>102</v>
      </c>
    </row>
    <row r="109" spans="14:14">
      <c r="N109" s="5">
        <v>103</v>
      </c>
    </row>
    <row r="110" spans="14:14">
      <c r="N110" s="5">
        <v>104</v>
      </c>
    </row>
    <row r="111" spans="14:14">
      <c r="N111" s="5">
        <v>105</v>
      </c>
    </row>
    <row r="112" spans="14:14">
      <c r="N112" s="5">
        <v>106</v>
      </c>
    </row>
    <row r="113" spans="14:14">
      <c r="N113" s="5">
        <v>107</v>
      </c>
    </row>
    <row r="114" spans="14:14">
      <c r="N114" s="5">
        <v>108</v>
      </c>
    </row>
    <row r="115" spans="14:14">
      <c r="N115" s="5">
        <v>109</v>
      </c>
    </row>
    <row r="116" spans="14:14">
      <c r="N116" s="5">
        <v>110</v>
      </c>
    </row>
    <row r="117" spans="14:14">
      <c r="N117" s="5">
        <v>111</v>
      </c>
    </row>
    <row r="118" spans="14:14">
      <c r="N118" s="5">
        <v>112</v>
      </c>
    </row>
    <row r="119" spans="14:14">
      <c r="N119" s="5">
        <v>113</v>
      </c>
    </row>
    <row r="120" spans="14:14">
      <c r="N120" s="5">
        <v>114</v>
      </c>
    </row>
    <row r="121" spans="14:14">
      <c r="N121" s="5">
        <v>115</v>
      </c>
    </row>
    <row r="122" spans="14:14">
      <c r="N122" s="5">
        <v>116</v>
      </c>
    </row>
    <row r="123" spans="14:14">
      <c r="N123" s="5">
        <v>117</v>
      </c>
    </row>
    <row r="124" spans="14:14">
      <c r="N124" s="5">
        <v>118</v>
      </c>
    </row>
    <row r="125" spans="14:14">
      <c r="N125" s="5">
        <v>119</v>
      </c>
    </row>
    <row r="126" spans="14:14">
      <c r="N126" s="5">
        <v>120</v>
      </c>
    </row>
    <row r="127" spans="14:14">
      <c r="N127" s="5">
        <v>121</v>
      </c>
    </row>
    <row r="128" spans="14:14">
      <c r="N128" s="5">
        <v>122</v>
      </c>
    </row>
    <row r="129" spans="14:14">
      <c r="N129" s="5">
        <v>123</v>
      </c>
    </row>
    <row r="130" spans="14:14">
      <c r="N130" s="5">
        <v>124</v>
      </c>
    </row>
    <row r="131" spans="14:14">
      <c r="N131" s="5">
        <v>125</v>
      </c>
    </row>
    <row r="132" spans="14:14">
      <c r="N132" s="5">
        <v>126</v>
      </c>
    </row>
    <row r="133" spans="14:14">
      <c r="N133" s="5">
        <v>127</v>
      </c>
    </row>
    <row r="134" spans="14:14">
      <c r="N134" s="5">
        <v>128</v>
      </c>
    </row>
    <row r="135" spans="14:14">
      <c r="N135" s="5">
        <v>129</v>
      </c>
    </row>
    <row r="136" spans="14:14">
      <c r="N136" s="5">
        <v>130</v>
      </c>
    </row>
    <row r="137" spans="14:14">
      <c r="N137" s="5">
        <v>131</v>
      </c>
    </row>
    <row r="138" spans="14:14">
      <c r="N138" s="5">
        <v>132</v>
      </c>
    </row>
    <row r="139" spans="14:14">
      <c r="N139" s="5">
        <v>133</v>
      </c>
    </row>
    <row r="140" spans="14:14">
      <c r="N140" s="5">
        <v>134</v>
      </c>
    </row>
    <row r="141" spans="14:14">
      <c r="N141" s="5">
        <v>135</v>
      </c>
    </row>
    <row r="142" spans="14:14">
      <c r="N142" s="5">
        <v>136</v>
      </c>
    </row>
    <row r="143" spans="14:14">
      <c r="N143" s="5">
        <v>137</v>
      </c>
    </row>
    <row r="144" spans="14:14">
      <c r="N144" s="5">
        <v>138</v>
      </c>
    </row>
    <row r="145" spans="14:14">
      <c r="N145" s="5">
        <v>139</v>
      </c>
    </row>
    <row r="146" spans="14:14">
      <c r="N146" s="5">
        <v>140</v>
      </c>
    </row>
    <row r="147" spans="14:14">
      <c r="N147" s="5">
        <v>141</v>
      </c>
    </row>
    <row r="148" spans="14:14">
      <c r="N148" s="5">
        <v>142</v>
      </c>
    </row>
    <row r="149" spans="14:14">
      <c r="N149" s="5">
        <v>143</v>
      </c>
    </row>
    <row r="150" spans="14:14">
      <c r="N150" s="5">
        <v>144</v>
      </c>
    </row>
    <row r="151" spans="14:14">
      <c r="N151" s="5">
        <v>145</v>
      </c>
    </row>
    <row r="152" spans="14:14">
      <c r="N152" s="5">
        <v>146</v>
      </c>
    </row>
    <row r="153" spans="14:14">
      <c r="N153" s="5">
        <v>147</v>
      </c>
    </row>
    <row r="154" spans="14:14">
      <c r="N154" s="5">
        <v>148</v>
      </c>
    </row>
    <row r="155" spans="14:14">
      <c r="N155" s="5">
        <v>149</v>
      </c>
    </row>
    <row r="156" spans="14:14">
      <c r="N156" s="5">
        <v>150</v>
      </c>
    </row>
    <row r="157" spans="14:14">
      <c r="N157" s="5">
        <v>151</v>
      </c>
    </row>
    <row r="158" spans="14:14">
      <c r="N158" s="5">
        <v>152</v>
      </c>
    </row>
    <row r="159" spans="14:14">
      <c r="N159" s="5">
        <v>153</v>
      </c>
    </row>
    <row r="160" spans="14:14">
      <c r="N160" s="5">
        <v>154</v>
      </c>
    </row>
    <row r="161" spans="14:14">
      <c r="N161" s="5">
        <v>155</v>
      </c>
    </row>
    <row r="162" spans="14:14">
      <c r="N162" s="5">
        <v>156</v>
      </c>
    </row>
    <row r="163" spans="14:14">
      <c r="N163" s="5">
        <v>157</v>
      </c>
    </row>
    <row r="164" spans="14:14">
      <c r="N164" s="5">
        <v>158</v>
      </c>
    </row>
    <row r="165" spans="14:14">
      <c r="N165" s="5">
        <v>159</v>
      </c>
    </row>
    <row r="166" spans="14:14">
      <c r="N166" s="5">
        <v>160</v>
      </c>
    </row>
  </sheetData>
  <mergeCells count="4">
    <mergeCell ref="F5:K5"/>
    <mergeCell ref="O5:S5"/>
    <mergeCell ref="F18:K18"/>
    <mergeCell ref="F20:K20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/>
  <dimension ref="A1:AN165"/>
  <sheetViews>
    <sheetView workbookViewId="0">
      <selection activeCell="M9" sqref="M9"/>
    </sheetView>
  </sheetViews>
  <sheetFormatPr defaultColWidth="9" defaultRowHeight="11.25"/>
  <cols>
    <col min="1" max="1" width="9" style="32"/>
    <col min="2" max="5" width="9" style="16"/>
    <col min="6" max="6" width="15.375" style="16" bestFit="1" customWidth="1"/>
    <col min="7" max="7" width="7.375" style="16" bestFit="1" customWidth="1"/>
    <col min="8" max="27" width="9" style="16" customWidth="1"/>
    <col min="28" max="28" width="15.375" style="16" bestFit="1" customWidth="1"/>
    <col min="29" max="33" width="9" style="16" customWidth="1"/>
    <col min="34" max="16384" width="9" style="16"/>
  </cols>
  <sheetData>
    <row r="1" spans="1:40">
      <c r="A1" s="47" t="s">
        <v>481</v>
      </c>
      <c r="P1" s="16" t="s">
        <v>210</v>
      </c>
      <c r="Q1" s="16">
        <v>2</v>
      </c>
      <c r="R1" s="16">
        <v>3</v>
      </c>
      <c r="S1" s="16">
        <v>4</v>
      </c>
      <c r="T1" s="16">
        <v>5</v>
      </c>
    </row>
    <row r="2" spans="1:40">
      <c r="A2" s="47" t="s">
        <v>482</v>
      </c>
      <c r="P2" s="16" t="s">
        <v>435</v>
      </c>
      <c r="Q2" s="16">
        <v>4</v>
      </c>
      <c r="R2" s="16">
        <v>9</v>
      </c>
      <c r="S2" s="16">
        <v>25</v>
      </c>
      <c r="T2" s="16">
        <v>1</v>
      </c>
    </row>
    <row r="3" spans="1:40">
      <c r="A3" s="47"/>
      <c r="U3" s="68" t="s">
        <v>536</v>
      </c>
    </row>
    <row r="4" spans="1:40">
      <c r="G4" s="32"/>
      <c r="H4" s="32"/>
      <c r="I4" s="32"/>
      <c r="J4" s="32"/>
      <c r="K4" s="32"/>
      <c r="L4" s="32"/>
      <c r="M4" s="32"/>
      <c r="N4" s="32"/>
      <c r="O4" s="32"/>
      <c r="P4" s="32"/>
      <c r="Q4" s="164" t="s">
        <v>526</v>
      </c>
      <c r="R4" s="164"/>
      <c r="S4" s="164"/>
      <c r="T4" s="164"/>
      <c r="U4" s="164" t="s">
        <v>535</v>
      </c>
      <c r="V4" s="164"/>
      <c r="W4" s="164"/>
      <c r="X4" s="164"/>
      <c r="Y4" s="32"/>
      <c r="Z4" s="32"/>
      <c r="AA4" s="32"/>
      <c r="AB4" s="32"/>
      <c r="AC4" s="164" t="s">
        <v>520</v>
      </c>
      <c r="AD4" s="164"/>
      <c r="AE4" s="164"/>
      <c r="AF4" s="164"/>
      <c r="AG4" s="164"/>
      <c r="AJ4" s="164" t="s">
        <v>548</v>
      </c>
      <c r="AK4" s="164"/>
      <c r="AL4" s="164"/>
      <c r="AM4" s="164"/>
      <c r="AN4" s="164"/>
    </row>
    <row r="5" spans="1:40">
      <c r="A5" s="32" t="s">
        <v>543</v>
      </c>
      <c r="E5" s="16" t="s">
        <v>510</v>
      </c>
      <c r="F5" s="16" t="s">
        <v>511</v>
      </c>
      <c r="G5" s="16" t="s">
        <v>484</v>
      </c>
      <c r="H5" s="16" t="s">
        <v>514</v>
      </c>
      <c r="I5" s="16" t="s">
        <v>515</v>
      </c>
      <c r="J5" s="16" t="s">
        <v>516</v>
      </c>
      <c r="K5" s="16" t="s">
        <v>517</v>
      </c>
      <c r="L5" s="16" t="s">
        <v>518</v>
      </c>
      <c r="M5" s="16" t="s">
        <v>519</v>
      </c>
      <c r="N5" s="16" t="s">
        <v>542</v>
      </c>
      <c r="P5" s="16" t="s">
        <v>401</v>
      </c>
      <c r="Q5" s="16" t="s">
        <v>79</v>
      </c>
      <c r="R5" s="16" t="s">
        <v>80</v>
      </c>
      <c r="S5" s="16" t="s">
        <v>81</v>
      </c>
      <c r="T5" s="16" t="s">
        <v>205</v>
      </c>
      <c r="U5" s="16" t="s">
        <v>79</v>
      </c>
      <c r="V5" s="16" t="s">
        <v>80</v>
      </c>
      <c r="W5" s="16" t="s">
        <v>81</v>
      </c>
      <c r="X5" s="16" t="s">
        <v>205</v>
      </c>
      <c r="Y5" s="16" t="s">
        <v>541</v>
      </c>
      <c r="AA5" s="16" t="s">
        <v>510</v>
      </c>
      <c r="AB5" s="16" t="s">
        <v>511</v>
      </c>
      <c r="AC5" s="16" t="s">
        <v>74</v>
      </c>
      <c r="AD5" s="16" t="s">
        <v>75</v>
      </c>
      <c r="AE5" s="16" t="s">
        <v>76</v>
      </c>
      <c r="AF5" s="16" t="s">
        <v>77</v>
      </c>
      <c r="AG5" s="16" t="s">
        <v>78</v>
      </c>
      <c r="AI5" s="16" t="s">
        <v>547</v>
      </c>
      <c r="AJ5" s="16" t="s">
        <v>74</v>
      </c>
      <c r="AK5" s="16" t="s">
        <v>75</v>
      </c>
      <c r="AL5" s="16" t="s">
        <v>76</v>
      </c>
      <c r="AM5" s="16" t="s">
        <v>77</v>
      </c>
      <c r="AN5" s="16" t="s">
        <v>78</v>
      </c>
    </row>
    <row r="6" spans="1:40">
      <c r="A6" s="32" t="s">
        <v>544</v>
      </c>
      <c r="B6" s="16">
        <v>1</v>
      </c>
      <c r="E6" s="16">
        <v>1</v>
      </c>
      <c r="F6" s="16" t="s">
        <v>521</v>
      </c>
      <c r="G6" s="16">
        <v>20</v>
      </c>
      <c r="H6" s="16" t="s">
        <v>483</v>
      </c>
      <c r="I6" s="16">
        <v>500</v>
      </c>
      <c r="J6" s="16" t="s">
        <v>512</v>
      </c>
      <c r="K6" s="16">
        <v>1</v>
      </c>
      <c r="L6" s="16" t="s">
        <v>513</v>
      </c>
      <c r="M6" s="16">
        <v>5</v>
      </c>
      <c r="N6" s="77">
        <f>IF(H6="",0,INDEX($B$6:$B$9,MATCH(H6,$A$6:$A$9,0))*I6)+IF(J6="",0,INDEX($B$6:$B$9,MATCH(J6,$A$6:$A$9,0))*K6)+IF(L6="",0,INDEX($B$6:$B$9,MATCH(L6,$A$6:$A$9,0))*M6)</f>
        <v>1500</v>
      </c>
      <c r="P6" s="16">
        <v>45</v>
      </c>
      <c r="Q6" s="16">
        <v>0</v>
      </c>
      <c r="R6" s="16">
        <v>0</v>
      </c>
      <c r="S6" s="16">
        <v>0</v>
      </c>
      <c r="T6" s="16">
        <v>0</v>
      </c>
      <c r="U6" s="16">
        <f>MIN(Q6/2,Q$2)</f>
        <v>0</v>
      </c>
      <c r="V6" s="16">
        <f t="shared" ref="V6:W6" si="0">MIN(R6/2,R$2)</f>
        <v>0</v>
      </c>
      <c r="W6" s="16">
        <f t="shared" si="0"/>
        <v>0</v>
      </c>
      <c r="X6" s="16">
        <v>0</v>
      </c>
      <c r="Y6" s="16">
        <f>SUM(U6:X6)</f>
        <v>0</v>
      </c>
      <c r="AA6" s="16">
        <v>1</v>
      </c>
      <c r="AB6" s="16" t="s">
        <v>521</v>
      </c>
      <c r="AC6" s="37">
        <f>求节点($Y$6:$Y$27,$P$6:$P$27,$G6)</f>
        <v>64.626934443556607</v>
      </c>
      <c r="AD6" s="37">
        <f>求节点($Y$32:$Y$53,$P$32:$P$53,$G6)</f>
        <v>62.23231374507008</v>
      </c>
      <c r="AE6" s="37">
        <f>求节点($Y$58:$Y$79,$P$58:$P$79,$G6)</f>
        <v>58.448570778952494</v>
      </c>
      <c r="AF6" s="37">
        <f>求节点($Y$84:$Y$105,$P$84:$P$105,$G6)</f>
        <v>49.853394468241589</v>
      </c>
      <c r="AG6" s="37">
        <f>求节点($Y$110:$Y$131,$P$110:$P$131,$G6)</f>
        <v>49.199284931826099</v>
      </c>
      <c r="AI6" s="16">
        <v>1</v>
      </c>
      <c r="AJ6" s="16">
        <f t="shared" ref="AJ6:AJ37" si="1">IF($AI6&lt;35,0,求节点(AC$6:AC$10,$N$6:$N$10,$AI6)+求节点(AC$19:AC$20,$N$19:$N$20,$AI6)+求节点(AC$32:AC$34,$N$32:$N$34,$AI6)+求节点(AC$45:AC$54,$N$45:$N$54,$AI6)+求节点(AC$58:AC$67,$N$58:$N$67,$AI6))</f>
        <v>0</v>
      </c>
      <c r="AK6" s="16">
        <f t="shared" ref="AK6:AK37" si="2">IF($AI6&lt;35,0,求节点(AD$6:AD$10,$N$6:$N$10,$AI6)+求节点(AD$19:AD$20,$N$19:$N$20,$AI6)+求节点(AD$32:AD$34,$N$32:$N$34,$AI6)+求节点(AD$45:AD$54,$N$45:$N$54,$AI6)+求节点(AD$58:AD$67,$N$58:$N$67,$AI6))</f>
        <v>0</v>
      </c>
      <c r="AL6" s="16">
        <f t="shared" ref="AL6:AL37" si="3">IF($AI6&lt;35,0,求节点(AE$6:AE$10,$N$6:$N$10,$AI6)+求节点(AE$19:AE$20,$N$19:$N$20,$AI6)+求节点(AE$32:AE$34,$N$32:$N$34,$AI6)+求节点(AE$45:AE$54,$N$45:$N$54,$AI6)+求节点(AE$58:AE$67,$N$58:$N$67,$AI6))</f>
        <v>0</v>
      </c>
      <c r="AM6" s="16">
        <f t="shared" ref="AM6:AM37" si="4">IF($AI6&lt;35,0,求节点(AF$6:AF$10,$N$6:$N$10,$AI6)+求节点(AF$19:AF$20,$N$19:$N$20,$AI6)+求节点(AF$32:AF$34,$N$32:$N$34,$AI6)+求节点(AF$45:AF$54,$N$45:$N$54,$AI6)+求节点(AF$58:AF$67,$N$58:$N$67,$AI6))</f>
        <v>0</v>
      </c>
      <c r="AN6" s="16">
        <f t="shared" ref="AN6:AN37" si="5">IF($AI6&lt;35,0,求节点(AG$6:AG$10,$N$6:$N$10,$AI6)+求节点(AG$19:AG$20,$N$19:$N$20,$AI6)+求节点(AG$32:AG$34,$N$32:$N$34,$AI6)+求节点(AG$45:AG$54,$N$45:$N$54,$AI6)+求节点(AG$58:AG$67,$N$58:$N$67,$AI6))</f>
        <v>0</v>
      </c>
    </row>
    <row r="7" spans="1:40">
      <c r="A7" s="32" t="s">
        <v>545</v>
      </c>
      <c r="B7" s="16">
        <f>宝物鉴赏!C11</f>
        <v>500</v>
      </c>
      <c r="E7" s="16">
        <v>2</v>
      </c>
      <c r="F7" s="16" t="s">
        <v>521</v>
      </c>
      <c r="G7" s="16">
        <v>40</v>
      </c>
      <c r="H7" s="16" t="s">
        <v>483</v>
      </c>
      <c r="I7" s="16">
        <v>1000</v>
      </c>
      <c r="J7" s="16" t="s">
        <v>512</v>
      </c>
      <c r="K7" s="16">
        <v>1</v>
      </c>
      <c r="L7" s="16" t="s">
        <v>513</v>
      </c>
      <c r="M7" s="16">
        <v>10</v>
      </c>
      <c r="N7" s="16">
        <f>IF(H7="",0,INDEX($B$6:$B$9,MATCH(H7,$A$6:$A$9,0))*I7)+IF(J7="",0,INDEX($B$6:$B$9,MATCH(J7,$A$6:$A$9,0))*K7)+IF(L7="",0,INDEX($B$6:$B$9,MATCH(L7,$A$6:$A$9,0))*M7)+N6</f>
        <v>4000</v>
      </c>
      <c r="P7" s="16">
        <v>50</v>
      </c>
      <c r="Q7" s="16">
        <f>投放验证!AL17</f>
        <v>49.61456456947095</v>
      </c>
      <c r="R7" s="16">
        <f>投放验证!AM17</f>
        <v>16.298188189823648</v>
      </c>
      <c r="S7" s="16">
        <f>投放验证!AN17</f>
        <v>3.0008738741682572</v>
      </c>
      <c r="T7" s="16">
        <f>投放验证!AO17</f>
        <v>0.9202912913894189</v>
      </c>
      <c r="U7" s="16">
        <f t="shared" ref="U7:U27" si="6">MIN(Q7/2,Q$2)</f>
        <v>4</v>
      </c>
      <c r="V7" s="16">
        <f t="shared" ref="V7:V27" si="7">MIN(R7/2,R$2)</f>
        <v>8.149094094911824</v>
      </c>
      <c r="W7" s="16">
        <f t="shared" ref="W7:W27" si="8">MIN(S7/2,S$2)</f>
        <v>1.5004369370841286</v>
      </c>
      <c r="X7" s="77">
        <f>投放验证!AA17</f>
        <v>0.9202912913894189</v>
      </c>
      <c r="Y7" s="16">
        <f t="shared" ref="Y7:Y27" si="9">SUM(U7:X7)</f>
        <v>14.56982232338537</v>
      </c>
      <c r="AA7" s="16">
        <v>2</v>
      </c>
      <c r="AB7" s="16" t="s">
        <v>521</v>
      </c>
      <c r="AC7" s="37">
        <f t="shared" ref="AC7:AC10" si="10">求节点($Y$6:$Y$27,$P$6:$P$27,$G7)</f>
        <v>87.696090376243831</v>
      </c>
      <c r="AD7" s="37">
        <f t="shared" ref="AD7:AD10" si="11">求节点($Y$32:$Y$53,$P$32:$P$53,$G7)</f>
        <v>84.527105755986838</v>
      </c>
      <c r="AE7" s="37">
        <f t="shared" ref="AE7:AE10" si="12">求节点($Y$58:$Y$79,$P$58:$P$79,$G7)</f>
        <v>79.356936184364898</v>
      </c>
      <c r="AF7" s="37">
        <f t="shared" ref="AF7:AF10" si="13">求节点($Y$84:$Y$105,$P$84:$P$105,$G7)</f>
        <v>69.628605968454664</v>
      </c>
      <c r="AG7" s="37">
        <f t="shared" ref="AG7:AG10" si="14">求节点($Y$110:$Y$131,$P$110:$P$131,$G7)</f>
        <v>64.5619227538388</v>
      </c>
      <c r="AI7" s="16">
        <v>2</v>
      </c>
      <c r="AJ7" s="16">
        <f t="shared" si="1"/>
        <v>0</v>
      </c>
      <c r="AK7" s="16">
        <f t="shared" si="2"/>
        <v>0</v>
      </c>
      <c r="AL7" s="16">
        <f t="shared" si="3"/>
        <v>0</v>
      </c>
      <c r="AM7" s="16">
        <f t="shared" si="4"/>
        <v>0</v>
      </c>
      <c r="AN7" s="16">
        <f t="shared" si="5"/>
        <v>0</v>
      </c>
    </row>
    <row r="8" spans="1:40">
      <c r="A8" s="32" t="s">
        <v>546</v>
      </c>
      <c r="B8" s="16">
        <f>投放验证!E10</f>
        <v>100</v>
      </c>
      <c r="E8" s="16">
        <v>3</v>
      </c>
      <c r="F8" s="16" t="s">
        <v>521</v>
      </c>
      <c r="G8" s="16">
        <v>60</v>
      </c>
      <c r="H8" s="16" t="s">
        <v>483</v>
      </c>
      <c r="I8" s="16">
        <v>1500</v>
      </c>
      <c r="J8" s="16" t="s">
        <v>512</v>
      </c>
      <c r="K8" s="16">
        <v>1</v>
      </c>
      <c r="L8" s="16" t="s">
        <v>513</v>
      </c>
      <c r="M8" s="16">
        <v>15</v>
      </c>
      <c r="N8" s="16">
        <f t="shared" ref="N8:N10" si="15">IF(H8="",0,INDEX($B$6:$B$9,MATCH(H8,$A$6:$A$9,0))*I8)+IF(J8="",0,INDEX($B$6:$B$9,MATCH(J8,$A$6:$A$9,0))*K8)+IF(L8="",0,INDEX($B$6:$B$9,MATCH(L8,$A$6:$A$9,0))*M8)+N7</f>
        <v>7500</v>
      </c>
      <c r="P8" s="16">
        <v>60</v>
      </c>
      <c r="Q8" s="16">
        <f>投放验证!AL18</f>
        <v>105.70701454333339</v>
      </c>
      <c r="R8" s="16">
        <f>投放验证!AM18</f>
        <v>33.8373127860715</v>
      </c>
      <c r="S8" s="16">
        <f>投放验证!AN18</f>
        <v>6.3553901587160873</v>
      </c>
      <c r="T8" s="16">
        <f>投放验证!AO18</f>
        <v>1.7824633862386956</v>
      </c>
      <c r="U8" s="16">
        <f t="shared" si="6"/>
        <v>4</v>
      </c>
      <c r="V8" s="16">
        <f t="shared" si="7"/>
        <v>9</v>
      </c>
      <c r="W8" s="16">
        <f t="shared" si="8"/>
        <v>3.1776950793580436</v>
      </c>
      <c r="X8" s="77">
        <f>投放验证!AA18</f>
        <v>1.7824633862386956</v>
      </c>
      <c r="Y8" s="16">
        <f t="shared" si="9"/>
        <v>17.960158465596741</v>
      </c>
      <c r="AA8" s="16">
        <v>3</v>
      </c>
      <c r="AB8" s="16" t="s">
        <v>521</v>
      </c>
      <c r="AC8" s="37">
        <f t="shared" si="10"/>
        <v>103.38333008923854</v>
      </c>
      <c r="AD8" s="37">
        <f t="shared" si="11"/>
        <v>98.567047513334145</v>
      </c>
      <c r="AE8" s="37">
        <f t="shared" si="12"/>
        <v>92.130719260354482</v>
      </c>
      <c r="AF8" s="37">
        <f t="shared" si="13"/>
        <v>80.790352617910315</v>
      </c>
      <c r="AG8" s="37">
        <f t="shared" si="14"/>
        <v>76.300036762358332</v>
      </c>
      <c r="AI8" s="16">
        <v>3</v>
      </c>
      <c r="AJ8" s="16">
        <f t="shared" si="1"/>
        <v>0</v>
      </c>
      <c r="AK8" s="16">
        <f t="shared" si="2"/>
        <v>0</v>
      </c>
      <c r="AL8" s="16">
        <f t="shared" si="3"/>
        <v>0</v>
      </c>
      <c r="AM8" s="16">
        <f t="shared" si="4"/>
        <v>0</v>
      </c>
      <c r="AN8" s="16">
        <f t="shared" si="5"/>
        <v>0</v>
      </c>
    </row>
    <row r="9" spans="1:40">
      <c r="E9" s="16">
        <v>4</v>
      </c>
      <c r="F9" s="16" t="s">
        <v>521</v>
      </c>
      <c r="G9" s="16">
        <v>80</v>
      </c>
      <c r="H9" s="16" t="s">
        <v>483</v>
      </c>
      <c r="I9" s="16">
        <v>2000</v>
      </c>
      <c r="J9" s="16" t="s">
        <v>512</v>
      </c>
      <c r="K9" s="16">
        <v>1</v>
      </c>
      <c r="L9" s="16" t="s">
        <v>513</v>
      </c>
      <c r="M9" s="16">
        <v>20</v>
      </c>
      <c r="N9" s="16">
        <f t="shared" si="15"/>
        <v>12000</v>
      </c>
      <c r="P9" s="16">
        <v>70</v>
      </c>
      <c r="Q9" s="16">
        <f>投放验证!AL19</f>
        <v>223.41869934021267</v>
      </c>
      <c r="R9" s="16">
        <f>投放验证!AM19</f>
        <v>65.70942105169793</v>
      </c>
      <c r="S9" s="16">
        <f>投放验证!AN19</f>
        <v>12.260139246528846</v>
      </c>
      <c r="T9" s="16">
        <f>投放验证!AO19</f>
        <v>3.2387130821762815</v>
      </c>
      <c r="U9" s="16">
        <f t="shared" si="6"/>
        <v>4</v>
      </c>
      <c r="V9" s="16">
        <f t="shared" si="7"/>
        <v>9</v>
      </c>
      <c r="W9" s="16">
        <f t="shared" si="8"/>
        <v>6.130069623264423</v>
      </c>
      <c r="X9" s="77">
        <f>投放验证!AA19</f>
        <v>3.2387130821762815</v>
      </c>
      <c r="Y9" s="16">
        <f t="shared" si="9"/>
        <v>22.368782705440704</v>
      </c>
      <c r="AA9" s="16">
        <v>4</v>
      </c>
      <c r="AB9" s="16" t="s">
        <v>521</v>
      </c>
      <c r="AC9" s="37">
        <f t="shared" si="10"/>
        <v>114.04368924462894</v>
      </c>
      <c r="AD9" s="37">
        <f t="shared" si="11"/>
        <v>109.04229570722987</v>
      </c>
      <c r="AE9" s="37">
        <f t="shared" si="12"/>
        <v>102.22483032239852</v>
      </c>
      <c r="AF9" s="37">
        <f t="shared" si="13"/>
        <v>91.066677866632659</v>
      </c>
      <c r="AG9" s="37">
        <f t="shared" si="14"/>
        <v>86.228968751311839</v>
      </c>
      <c r="AI9" s="16">
        <v>4</v>
      </c>
      <c r="AJ9" s="16">
        <f t="shared" si="1"/>
        <v>0</v>
      </c>
      <c r="AK9" s="16">
        <f t="shared" si="2"/>
        <v>0</v>
      </c>
      <c r="AL9" s="16">
        <f t="shared" si="3"/>
        <v>0</v>
      </c>
      <c r="AM9" s="16">
        <f t="shared" si="4"/>
        <v>0</v>
      </c>
      <c r="AN9" s="16">
        <f t="shared" si="5"/>
        <v>0</v>
      </c>
    </row>
    <row r="10" spans="1:40">
      <c r="E10" s="16">
        <v>5</v>
      </c>
      <c r="F10" s="16" t="s">
        <v>521</v>
      </c>
      <c r="G10" s="16">
        <v>100</v>
      </c>
      <c r="H10" s="16" t="s">
        <v>483</v>
      </c>
      <c r="I10" s="16">
        <v>2500</v>
      </c>
      <c r="J10" s="16" t="s">
        <v>512</v>
      </c>
      <c r="K10" s="16">
        <v>1</v>
      </c>
      <c r="L10" s="16" t="s">
        <v>513</v>
      </c>
      <c r="M10" s="16">
        <v>25</v>
      </c>
      <c r="N10" s="16">
        <f t="shared" si="15"/>
        <v>17500</v>
      </c>
      <c r="P10" s="16">
        <v>75</v>
      </c>
      <c r="Q10" s="16">
        <f>投放验证!AL20</f>
        <v>312.82876431696604</v>
      </c>
      <c r="R10" s="16">
        <f>投放验证!AM20</f>
        <v>89.411310858938407</v>
      </c>
      <c r="S10" s="16">
        <f>投放验证!AN20</f>
        <v>16.665464299179952</v>
      </c>
      <c r="T10" s="16">
        <f>投放验证!AO20</f>
        <v>4.2830000785232674</v>
      </c>
      <c r="U10" s="16">
        <f t="shared" si="6"/>
        <v>4</v>
      </c>
      <c r="V10" s="16">
        <f t="shared" si="7"/>
        <v>9</v>
      </c>
      <c r="W10" s="16">
        <f t="shared" si="8"/>
        <v>8.332732149589976</v>
      </c>
      <c r="X10" s="77">
        <f>投放验证!AA20</f>
        <v>4.2830000785232674</v>
      </c>
      <c r="Y10" s="16">
        <f t="shared" si="9"/>
        <v>25.615732228113245</v>
      </c>
      <c r="AA10" s="16">
        <v>5</v>
      </c>
      <c r="AB10" s="16" t="s">
        <v>521</v>
      </c>
      <c r="AC10" s="37">
        <f t="shared" si="10"/>
        <v>120.38285755189553</v>
      </c>
      <c r="AD10" s="37">
        <f t="shared" si="11"/>
        <v>115.24290678382042</v>
      </c>
      <c r="AE10" s="37">
        <f t="shared" si="12"/>
        <v>108.3407421040046</v>
      </c>
      <c r="AF10" s="37">
        <f t="shared" si="13"/>
        <v>96.921510781516886</v>
      </c>
      <c r="AG10" s="37">
        <f t="shared" si="14"/>
        <v>92.579896636282371</v>
      </c>
      <c r="AI10" s="16">
        <v>5</v>
      </c>
      <c r="AJ10" s="16">
        <f t="shared" si="1"/>
        <v>0</v>
      </c>
      <c r="AK10" s="16">
        <f t="shared" si="2"/>
        <v>0</v>
      </c>
      <c r="AL10" s="16">
        <f t="shared" si="3"/>
        <v>0</v>
      </c>
      <c r="AM10" s="16">
        <f t="shared" si="4"/>
        <v>0</v>
      </c>
      <c r="AN10" s="16">
        <f t="shared" si="5"/>
        <v>0</v>
      </c>
    </row>
    <row r="11" spans="1:40">
      <c r="P11" s="16">
        <v>80</v>
      </c>
      <c r="Q11" s="16">
        <f>投放验证!AL21</f>
        <v>431.68563728607455</v>
      </c>
      <c r="R11" s="16">
        <f>投放验证!AM21</f>
        <v>120.40149370031857</v>
      </c>
      <c r="S11" s="16">
        <f>投放验证!AN21</f>
        <v>22.440251523280562</v>
      </c>
      <c r="T11" s="16">
        <f>投放验证!AO21</f>
        <v>5.6080838410935199</v>
      </c>
      <c r="U11" s="16">
        <f t="shared" si="6"/>
        <v>4</v>
      </c>
      <c r="V11" s="16">
        <f t="shared" si="7"/>
        <v>9</v>
      </c>
      <c r="W11" s="16">
        <f t="shared" si="8"/>
        <v>11.220125761640281</v>
      </c>
      <c r="X11" s="77">
        <f>投放验证!AA21</f>
        <v>5.6080838410935199</v>
      </c>
      <c r="Y11" s="16">
        <f t="shared" si="9"/>
        <v>29.828209602733804</v>
      </c>
      <c r="AI11" s="16">
        <v>6</v>
      </c>
      <c r="AJ11" s="16">
        <f t="shared" si="1"/>
        <v>0</v>
      </c>
      <c r="AK11" s="16">
        <f t="shared" si="2"/>
        <v>0</v>
      </c>
      <c r="AL11" s="16">
        <f t="shared" si="3"/>
        <v>0</v>
      </c>
      <c r="AM11" s="16">
        <f t="shared" si="4"/>
        <v>0</v>
      </c>
      <c r="AN11" s="16">
        <f t="shared" si="5"/>
        <v>0</v>
      </c>
    </row>
    <row r="12" spans="1:40">
      <c r="P12" s="16">
        <v>85</v>
      </c>
      <c r="Q12" s="16">
        <f>投放验证!AL22</f>
        <v>599.69133271096382</v>
      </c>
      <c r="R12" s="16">
        <f>投放验证!AM22</f>
        <v>164.20046180526032</v>
      </c>
      <c r="S12" s="16">
        <f>投放验证!AN22</f>
        <v>30.602035556865715</v>
      </c>
      <c r="T12" s="16">
        <f>投放验证!AO22</f>
        <v>7.4803691432151389</v>
      </c>
      <c r="U12" s="16">
        <f t="shared" si="6"/>
        <v>4</v>
      </c>
      <c r="V12" s="16">
        <f t="shared" si="7"/>
        <v>9</v>
      </c>
      <c r="W12" s="16">
        <f t="shared" si="8"/>
        <v>15.301017778432858</v>
      </c>
      <c r="X12" s="77">
        <f>投放验证!AA22</f>
        <v>7.4803691432151389</v>
      </c>
      <c r="Y12" s="16">
        <f t="shared" si="9"/>
        <v>35.781386921647993</v>
      </c>
      <c r="AI12" s="16">
        <v>7</v>
      </c>
      <c r="AJ12" s="16">
        <f t="shared" si="1"/>
        <v>0</v>
      </c>
      <c r="AK12" s="16">
        <f t="shared" si="2"/>
        <v>0</v>
      </c>
      <c r="AL12" s="16">
        <f t="shared" si="3"/>
        <v>0</v>
      </c>
      <c r="AM12" s="16">
        <f t="shared" si="4"/>
        <v>0</v>
      </c>
      <c r="AN12" s="16">
        <f t="shared" si="5"/>
        <v>0</v>
      </c>
    </row>
    <row r="13" spans="1:40">
      <c r="P13" s="16">
        <v>90</v>
      </c>
      <c r="Q13" s="16">
        <f>投放验证!AL23</f>
        <v>825.37748460229568</v>
      </c>
      <c r="R13" s="16">
        <f>投放验证!AM23</f>
        <v>222.17162947239228</v>
      </c>
      <c r="S13" s="16">
        <f>投放验证!AN23</f>
        <v>41.429954362253824</v>
      </c>
      <c r="T13" s="16">
        <f>投放验证!AO23</f>
        <v>9.8899847874179407</v>
      </c>
      <c r="U13" s="16">
        <f t="shared" si="6"/>
        <v>4</v>
      </c>
      <c r="V13" s="16">
        <f t="shared" si="7"/>
        <v>9</v>
      </c>
      <c r="W13" s="16">
        <f t="shared" si="8"/>
        <v>20.714977181126912</v>
      </c>
      <c r="X13" s="77">
        <f>投放验证!AA23</f>
        <v>9.8899847874179407</v>
      </c>
      <c r="Y13" s="16">
        <f t="shared" si="9"/>
        <v>43.604961968544856</v>
      </c>
      <c r="AI13" s="16">
        <v>8</v>
      </c>
      <c r="AJ13" s="16">
        <f t="shared" si="1"/>
        <v>0</v>
      </c>
      <c r="AK13" s="16">
        <f t="shared" si="2"/>
        <v>0</v>
      </c>
      <c r="AL13" s="16">
        <f t="shared" si="3"/>
        <v>0</v>
      </c>
      <c r="AM13" s="16">
        <f t="shared" si="4"/>
        <v>0</v>
      </c>
      <c r="AN13" s="16">
        <f t="shared" si="5"/>
        <v>0</v>
      </c>
    </row>
    <row r="14" spans="1:40">
      <c r="P14" s="16">
        <v>95</v>
      </c>
      <c r="Q14" s="16">
        <f>投放验证!AL24</f>
        <v>1144.3569565047599</v>
      </c>
      <c r="R14" s="16">
        <f>投放验证!AM24</f>
        <v>304.09225936650438</v>
      </c>
      <c r="S14" s="16">
        <f>投放验证!AN24</f>
        <v>56.731607292585281</v>
      </c>
      <c r="T14" s="16">
        <f>投放验证!AO24</f>
        <v>13.293917012714894</v>
      </c>
      <c r="U14" s="16">
        <f t="shared" si="6"/>
        <v>4</v>
      </c>
      <c r="V14" s="16">
        <f t="shared" si="7"/>
        <v>9</v>
      </c>
      <c r="W14" s="16">
        <f t="shared" si="8"/>
        <v>25</v>
      </c>
      <c r="X14" s="77">
        <f>投放验证!AA24</f>
        <v>13.293917012714894</v>
      </c>
      <c r="Y14" s="16">
        <f t="shared" si="9"/>
        <v>51.293917012714893</v>
      </c>
      <c r="AI14" s="16">
        <v>9</v>
      </c>
      <c r="AJ14" s="16">
        <f t="shared" si="1"/>
        <v>0</v>
      </c>
      <c r="AK14" s="16">
        <f t="shared" si="2"/>
        <v>0</v>
      </c>
      <c r="AL14" s="16">
        <f t="shared" si="3"/>
        <v>0</v>
      </c>
      <c r="AM14" s="16">
        <f t="shared" si="4"/>
        <v>0</v>
      </c>
      <c r="AN14" s="16">
        <f t="shared" si="5"/>
        <v>0</v>
      </c>
    </row>
    <row r="15" spans="1:40">
      <c r="P15" s="16">
        <v>100</v>
      </c>
      <c r="Q15" s="16">
        <f>投放验证!AL25</f>
        <v>1577.3143966691316</v>
      </c>
      <c r="R15" s="16">
        <f>投放验证!AM25</f>
        <v>413.8963068280043</v>
      </c>
      <c r="S15" s="16">
        <f>投放验证!AN25</f>
        <v>77.282553086263988</v>
      </c>
      <c r="T15" s="16">
        <f>投放验证!AO25</f>
        <v>17.74485102875466</v>
      </c>
      <c r="U15" s="16">
        <f t="shared" si="6"/>
        <v>4</v>
      </c>
      <c r="V15" s="16">
        <f t="shared" si="7"/>
        <v>9</v>
      </c>
      <c r="W15" s="16">
        <f t="shared" si="8"/>
        <v>25</v>
      </c>
      <c r="X15" s="77">
        <f>投放验证!AA25</f>
        <v>17.74485102875466</v>
      </c>
      <c r="Y15" s="16">
        <f t="shared" si="9"/>
        <v>55.74485102875466</v>
      </c>
      <c r="AI15" s="16">
        <v>10</v>
      </c>
      <c r="AJ15" s="16">
        <f t="shared" si="1"/>
        <v>0</v>
      </c>
      <c r="AK15" s="16">
        <f t="shared" si="2"/>
        <v>0</v>
      </c>
      <c r="AL15" s="16">
        <f t="shared" si="3"/>
        <v>0</v>
      </c>
      <c r="AM15" s="16">
        <f t="shared" si="4"/>
        <v>0</v>
      </c>
      <c r="AN15" s="16">
        <f t="shared" si="5"/>
        <v>0</v>
      </c>
    </row>
    <row r="16" spans="1:40">
      <c r="P16" s="16">
        <v>105</v>
      </c>
      <c r="Q16" s="16">
        <f>投放验证!AL26</f>
        <v>2189.3002941473769</v>
      </c>
      <c r="R16" s="16">
        <f>投放验证!AM26</f>
        <v>569.0798845073341</v>
      </c>
      <c r="S16" s="16">
        <f>投放验证!AN26</f>
        <v>106.3274761673259</v>
      </c>
      <c r="T16" s="16">
        <f>投放验证!AO26</f>
        <v>24.033254552814903</v>
      </c>
      <c r="U16" s="16">
        <f t="shared" si="6"/>
        <v>4</v>
      </c>
      <c r="V16" s="16">
        <f t="shared" si="7"/>
        <v>9</v>
      </c>
      <c r="W16" s="16">
        <f t="shared" si="8"/>
        <v>25</v>
      </c>
      <c r="X16" s="77">
        <f>投放验证!AA26</f>
        <v>24.033254552814903</v>
      </c>
      <c r="Y16" s="16">
        <f t="shared" si="9"/>
        <v>62.033254552814903</v>
      </c>
      <c r="AI16" s="16">
        <v>11</v>
      </c>
      <c r="AJ16" s="16">
        <f t="shared" si="1"/>
        <v>0</v>
      </c>
      <c r="AK16" s="16">
        <f t="shared" si="2"/>
        <v>0</v>
      </c>
      <c r="AL16" s="16">
        <f t="shared" si="3"/>
        <v>0</v>
      </c>
      <c r="AM16" s="16">
        <f t="shared" si="4"/>
        <v>0</v>
      </c>
      <c r="AN16" s="16">
        <f t="shared" si="5"/>
        <v>0</v>
      </c>
    </row>
    <row r="17" spans="5:40">
      <c r="P17" s="16">
        <v>110</v>
      </c>
      <c r="Q17" s="16">
        <f>投放验证!AL27</f>
        <v>3029.3602246497967</v>
      </c>
      <c r="R17" s="16">
        <f>投放验证!AM27</f>
        <v>780.06966282155918</v>
      </c>
      <c r="S17" s="16">
        <f>投放验证!AN27</f>
        <v>145.8780707651039</v>
      </c>
      <c r="T17" s="16">
        <f>投放验证!AO27</f>
        <v>32.418023588367959</v>
      </c>
      <c r="U17" s="16">
        <f t="shared" si="6"/>
        <v>4</v>
      </c>
      <c r="V17" s="16">
        <f t="shared" si="7"/>
        <v>9</v>
      </c>
      <c r="W17" s="16">
        <f t="shared" si="8"/>
        <v>25</v>
      </c>
      <c r="X17" s="77">
        <f>投放验证!AA27</f>
        <v>32.418023588367959</v>
      </c>
      <c r="Y17" s="16">
        <f t="shared" si="9"/>
        <v>70.418023588367959</v>
      </c>
      <c r="AA17" s="32"/>
      <c r="AB17" s="32"/>
      <c r="AC17" s="164" t="s">
        <v>520</v>
      </c>
      <c r="AD17" s="164"/>
      <c r="AE17" s="164"/>
      <c r="AF17" s="164"/>
      <c r="AG17" s="164"/>
      <c r="AI17" s="16">
        <v>12</v>
      </c>
      <c r="AJ17" s="16">
        <f t="shared" si="1"/>
        <v>0</v>
      </c>
      <c r="AK17" s="16">
        <f t="shared" si="2"/>
        <v>0</v>
      </c>
      <c r="AL17" s="16">
        <f t="shared" si="3"/>
        <v>0</v>
      </c>
      <c r="AM17" s="16">
        <f t="shared" si="4"/>
        <v>0</v>
      </c>
      <c r="AN17" s="16">
        <f t="shared" si="5"/>
        <v>0</v>
      </c>
    </row>
    <row r="18" spans="5:40">
      <c r="E18" s="16" t="s">
        <v>510</v>
      </c>
      <c r="F18" s="16" t="s">
        <v>511</v>
      </c>
      <c r="G18" s="16" t="s">
        <v>484</v>
      </c>
      <c r="H18" s="16" t="s">
        <v>514</v>
      </c>
      <c r="I18" s="16" t="s">
        <v>515</v>
      </c>
      <c r="J18" s="16" t="s">
        <v>516</v>
      </c>
      <c r="K18" s="16" t="s">
        <v>517</v>
      </c>
      <c r="L18" s="16" t="s">
        <v>518</v>
      </c>
      <c r="M18" s="16" t="s">
        <v>519</v>
      </c>
      <c r="N18" s="16" t="s">
        <v>542</v>
      </c>
      <c r="P18" s="16">
        <v>115</v>
      </c>
      <c r="Q18" s="16">
        <f>投放验证!AL28</f>
        <v>4216.8947817793196</v>
      </c>
      <c r="R18" s="16">
        <f>投放验证!AM28</f>
        <v>1078.2910722378963</v>
      </c>
      <c r="S18" s="16">
        <f>投放验证!AN28</f>
        <v>201.78168265760962</v>
      </c>
      <c r="T18" s="16">
        <f>投放验证!AO28</f>
        <v>44.266085879949088</v>
      </c>
      <c r="U18" s="16">
        <f t="shared" si="6"/>
        <v>4</v>
      </c>
      <c r="V18" s="16">
        <f t="shared" si="7"/>
        <v>9</v>
      </c>
      <c r="W18" s="16">
        <f t="shared" si="8"/>
        <v>25</v>
      </c>
      <c r="X18" s="77">
        <f>投放验证!AA28</f>
        <v>44.266085879949088</v>
      </c>
      <c r="Y18" s="16">
        <f t="shared" si="9"/>
        <v>82.266085879949088</v>
      </c>
      <c r="AA18" s="16" t="s">
        <v>510</v>
      </c>
      <c r="AB18" s="16" t="s">
        <v>511</v>
      </c>
      <c r="AC18" s="16" t="s">
        <v>74</v>
      </c>
      <c r="AD18" s="16" t="s">
        <v>75</v>
      </c>
      <c r="AE18" s="16" t="s">
        <v>76</v>
      </c>
      <c r="AF18" s="16" t="s">
        <v>77</v>
      </c>
      <c r="AG18" s="16" t="s">
        <v>78</v>
      </c>
      <c r="AI18" s="16">
        <v>13</v>
      </c>
      <c r="AJ18" s="16">
        <f t="shared" si="1"/>
        <v>0</v>
      </c>
      <c r="AK18" s="16">
        <f t="shared" si="2"/>
        <v>0</v>
      </c>
      <c r="AL18" s="16">
        <f t="shared" si="3"/>
        <v>0</v>
      </c>
      <c r="AM18" s="16">
        <f t="shared" si="4"/>
        <v>0</v>
      </c>
      <c r="AN18" s="16">
        <f t="shared" si="5"/>
        <v>0</v>
      </c>
    </row>
    <row r="19" spans="5:40">
      <c r="E19" s="16">
        <v>1</v>
      </c>
      <c r="F19" s="16" t="s">
        <v>522</v>
      </c>
      <c r="G19" s="16">
        <v>2</v>
      </c>
      <c r="H19" s="16" t="s">
        <v>483</v>
      </c>
      <c r="I19" s="16">
        <v>50</v>
      </c>
      <c r="N19" s="77">
        <f>IF(H19="",0,INDEX($B$6:$B$9,MATCH(H19,$A$6:$A$9,0))*I19)+IF(J19="",0,INDEX($B$6:$B$9,MATCH(J19,$A$6:$A$9,0))*K19)+IF(L19="",0,INDEX($B$6:$B$9,MATCH(L19,$A$6:$A$9,0))*M19)</f>
        <v>50</v>
      </c>
      <c r="P19" s="16">
        <v>120</v>
      </c>
      <c r="Q19" s="16">
        <f>投放验证!AL29</f>
        <v>5858.6488534400496</v>
      </c>
      <c r="R19" s="16">
        <f>投放验证!AM29</f>
        <v>1487.4820324183102</v>
      </c>
      <c r="S19" s="16">
        <f>投放验证!AN29</f>
        <v>278.58092449251905</v>
      </c>
      <c r="T19" s="16">
        <f>投放验证!AO29</f>
        <v>60.268308164173007</v>
      </c>
      <c r="U19" s="16">
        <f t="shared" si="6"/>
        <v>4</v>
      </c>
      <c r="V19" s="16">
        <f t="shared" si="7"/>
        <v>9</v>
      </c>
      <c r="W19" s="16">
        <f t="shared" si="8"/>
        <v>25</v>
      </c>
      <c r="X19" s="77">
        <f>投放验证!AA29</f>
        <v>60.268308164173007</v>
      </c>
      <c r="Y19" s="16">
        <f t="shared" si="9"/>
        <v>98.268308164173007</v>
      </c>
      <c r="AA19" s="16">
        <v>1</v>
      </c>
      <c r="AB19" s="16" t="s">
        <v>522</v>
      </c>
      <c r="AC19" s="37">
        <f>求节点($Q$6:$Q$27,$P$6:$P$27,$G19*2)</f>
        <v>45.403107437776576</v>
      </c>
      <c r="AD19" s="37">
        <f>求节点($Q$32:$Q$53,$P$32:$P$53,$G19*2)</f>
        <v>45.338205434074041</v>
      </c>
      <c r="AE19" s="37">
        <f>求节点($Q$58:$Q$79,$P$58:$P$79,$G19*2)</f>
        <v>45.252891630607245</v>
      </c>
      <c r="AF19" s="37">
        <f>求节点($Q$84:$Q$105,$P$84:$P$105,$G19*2)</f>
        <v>45.130950802818646</v>
      </c>
      <c r="AG19" s="37">
        <f>求节点($Q$110:$Q$131,$P$110:$P$131,$G19*2)</f>
        <v>45.092313016005697</v>
      </c>
      <c r="AI19" s="16">
        <v>14</v>
      </c>
      <c r="AJ19" s="16">
        <f t="shared" si="1"/>
        <v>0</v>
      </c>
      <c r="AK19" s="16">
        <f t="shared" si="2"/>
        <v>0</v>
      </c>
      <c r="AL19" s="16">
        <f t="shared" si="3"/>
        <v>0</v>
      </c>
      <c r="AM19" s="16">
        <f t="shared" si="4"/>
        <v>0</v>
      </c>
      <c r="AN19" s="16">
        <f t="shared" si="5"/>
        <v>0</v>
      </c>
    </row>
    <row r="20" spans="5:40">
      <c r="E20" s="16">
        <v>2</v>
      </c>
      <c r="F20" s="16" t="s">
        <v>522</v>
      </c>
      <c r="G20" s="16">
        <v>4</v>
      </c>
      <c r="H20" s="16" t="s">
        <v>483</v>
      </c>
      <c r="I20" s="16">
        <v>50</v>
      </c>
      <c r="N20" s="16">
        <f>IF(H20="",0,INDEX($B$6:$B$9,MATCH(H20,$A$6:$A$9,0))*I20)+IF(J20="",0,INDEX($B$6:$B$9,MATCH(J20,$A$6:$A$9,0))*K20)+IF(L20="",0,INDEX($B$6:$B$9,MATCH(L20,$A$6:$A$9,0))*M20)+N19</f>
        <v>100</v>
      </c>
      <c r="P20" s="16">
        <v>125</v>
      </c>
      <c r="Q20" s="16">
        <f>投放验证!AL30</f>
        <v>8179.6794530952529</v>
      </c>
      <c r="R20" s="16">
        <f>投放验证!AM30</f>
        <v>2065.9120130497035</v>
      </c>
      <c r="S20" s="16">
        <f>投放验证!AN30</f>
        <v>387.14583740130001</v>
      </c>
      <c r="T20" s="16">
        <f>投放验证!AO30</f>
        <v>82.883662455258417</v>
      </c>
      <c r="U20" s="16">
        <f t="shared" si="6"/>
        <v>4</v>
      </c>
      <c r="V20" s="16">
        <f t="shared" si="7"/>
        <v>9</v>
      </c>
      <c r="W20" s="16">
        <f t="shared" si="8"/>
        <v>25</v>
      </c>
      <c r="X20" s="77">
        <f>投放验证!AA30</f>
        <v>82.883662455258417</v>
      </c>
      <c r="Y20" s="16">
        <f t="shared" si="9"/>
        <v>120.88366245525842</v>
      </c>
      <c r="AA20" s="16">
        <v>2</v>
      </c>
      <c r="AB20" s="16" t="s">
        <v>522</v>
      </c>
      <c r="AC20" s="37">
        <f>求节点($Q$6:$Q$27,$P$6:$P$27,$G20*2)</f>
        <v>45.806214875553152</v>
      </c>
      <c r="AD20" s="37">
        <f>求节点($Q$32:$Q$53,$P$32:$P$53,$G20*2)</f>
        <v>45.676410868148075</v>
      </c>
      <c r="AE20" s="37">
        <f>求节点($Q$58:$Q$79,$P$58:$P$79,$G20*2)</f>
        <v>45.505783261214482</v>
      </c>
      <c r="AF20" s="37">
        <f>求节点($Q$84:$Q$105,$P$84:$P$105,$G20*2)</f>
        <v>45.261901605637284</v>
      </c>
      <c r="AG20" s="37">
        <f>求节点($Q$110:$Q$131,$P$110:$P$131,$G20*2)</f>
        <v>45.184626032011394</v>
      </c>
      <c r="AI20" s="16">
        <v>15</v>
      </c>
      <c r="AJ20" s="16">
        <f t="shared" si="1"/>
        <v>0</v>
      </c>
      <c r="AK20" s="16">
        <f t="shared" si="2"/>
        <v>0</v>
      </c>
      <c r="AL20" s="16">
        <f t="shared" si="3"/>
        <v>0</v>
      </c>
      <c r="AM20" s="16">
        <f t="shared" si="4"/>
        <v>0</v>
      </c>
      <c r="AN20" s="16">
        <f t="shared" si="5"/>
        <v>0</v>
      </c>
    </row>
    <row r="21" spans="5:40">
      <c r="P21" s="16">
        <v>130</v>
      </c>
      <c r="Q21" s="16">
        <f>投放验证!AL31</f>
        <v>11405.494346103147</v>
      </c>
      <c r="R21" s="16">
        <f>投放验证!AM31</f>
        <v>2865.0628499726758</v>
      </c>
      <c r="S21" s="16">
        <f>投放验证!AN31</f>
        <v>537.28272605230484</v>
      </c>
      <c r="T21" s="16">
        <f>投放验证!AO31</f>
        <v>113.73424201743494</v>
      </c>
      <c r="U21" s="16">
        <f t="shared" si="6"/>
        <v>4</v>
      </c>
      <c r="V21" s="16">
        <f t="shared" si="7"/>
        <v>9</v>
      </c>
      <c r="W21" s="16">
        <f t="shared" si="8"/>
        <v>25</v>
      </c>
      <c r="X21" s="77">
        <f>投放验证!AA31</f>
        <v>113.73424201743494</v>
      </c>
      <c r="Y21" s="16">
        <f t="shared" si="9"/>
        <v>151.73424201743495</v>
      </c>
      <c r="AI21" s="16">
        <v>16</v>
      </c>
      <c r="AJ21" s="16">
        <f t="shared" si="1"/>
        <v>0</v>
      </c>
      <c r="AK21" s="16">
        <f t="shared" si="2"/>
        <v>0</v>
      </c>
      <c r="AL21" s="16">
        <f t="shared" si="3"/>
        <v>0</v>
      </c>
      <c r="AM21" s="16">
        <f t="shared" si="4"/>
        <v>0</v>
      </c>
      <c r="AN21" s="16">
        <f t="shared" si="5"/>
        <v>0</v>
      </c>
    </row>
    <row r="22" spans="5:40">
      <c r="P22" s="16">
        <v>135</v>
      </c>
      <c r="Q22" s="16">
        <f>投放验证!AL32</f>
        <v>15966.327166863563</v>
      </c>
      <c r="R22" s="16">
        <f>投放验证!AM32</f>
        <v>3994.8466850521327</v>
      </c>
      <c r="S22" s="16">
        <f>投放验证!AN32</f>
        <v>749.5388491568674</v>
      </c>
      <c r="T22" s="16">
        <f>投放验证!AO32</f>
        <v>157.34038302860594</v>
      </c>
      <c r="U22" s="16">
        <f t="shared" si="6"/>
        <v>4</v>
      </c>
      <c r="V22" s="16">
        <f t="shared" si="7"/>
        <v>9</v>
      </c>
      <c r="W22" s="16">
        <f t="shared" si="8"/>
        <v>25</v>
      </c>
      <c r="X22" s="77">
        <f>投放验证!AA32</f>
        <v>157.34038302860594</v>
      </c>
      <c r="Y22" s="16">
        <f t="shared" si="9"/>
        <v>195.34038302860594</v>
      </c>
      <c r="AI22" s="16">
        <v>17</v>
      </c>
      <c r="AJ22" s="16">
        <f t="shared" si="1"/>
        <v>0</v>
      </c>
      <c r="AK22" s="16">
        <f t="shared" si="2"/>
        <v>0</v>
      </c>
      <c r="AL22" s="16">
        <f t="shared" si="3"/>
        <v>0</v>
      </c>
      <c r="AM22" s="16">
        <f t="shared" si="4"/>
        <v>0</v>
      </c>
      <c r="AN22" s="16">
        <f t="shared" si="5"/>
        <v>0</v>
      </c>
    </row>
    <row r="23" spans="5:40">
      <c r="P23" s="16">
        <v>140</v>
      </c>
      <c r="Q23" s="16">
        <f>投放验证!AL33</f>
        <v>22331.424174727523</v>
      </c>
      <c r="R23" s="16">
        <f>投放验证!AM33</f>
        <v>5564.3040995141346</v>
      </c>
      <c r="S23" s="16">
        <f>投放验证!AN33</f>
        <v>1044.6206597697674</v>
      </c>
      <c r="T23" s="16">
        <f>投放验证!AO33</f>
        <v>217.31088658992246</v>
      </c>
      <c r="U23" s="16">
        <f t="shared" si="6"/>
        <v>4</v>
      </c>
      <c r="V23" s="16">
        <f t="shared" si="7"/>
        <v>9</v>
      </c>
      <c r="W23" s="16">
        <f t="shared" si="8"/>
        <v>25</v>
      </c>
      <c r="X23" s="77">
        <f>投放验证!AA33</f>
        <v>217.31088658992246</v>
      </c>
      <c r="Y23" s="16">
        <f t="shared" si="9"/>
        <v>255.31088658992246</v>
      </c>
      <c r="AI23" s="16">
        <v>18</v>
      </c>
      <c r="AJ23" s="16">
        <f t="shared" si="1"/>
        <v>0</v>
      </c>
      <c r="AK23" s="16">
        <f t="shared" si="2"/>
        <v>0</v>
      </c>
      <c r="AL23" s="16">
        <f t="shared" si="3"/>
        <v>0</v>
      </c>
      <c r="AM23" s="16">
        <f t="shared" si="4"/>
        <v>0</v>
      </c>
      <c r="AN23" s="16">
        <f t="shared" si="5"/>
        <v>0</v>
      </c>
    </row>
    <row r="24" spans="5:40">
      <c r="P24" s="16">
        <v>145</v>
      </c>
      <c r="Q24" s="16">
        <f>投放验证!AL34</f>
        <v>31331.279677477665</v>
      </c>
      <c r="R24" s="16">
        <f>投放验证!AM34</f>
        <v>7783.2683900828179</v>
      </c>
      <c r="S24" s="16">
        <f>投放验证!AN34</f>
        <v>1461.8242976526512</v>
      </c>
      <c r="T24" s="16">
        <f>投放验证!AO34</f>
        <v>302.0869658368506</v>
      </c>
      <c r="U24" s="16">
        <f t="shared" si="6"/>
        <v>4</v>
      </c>
      <c r="V24" s="16">
        <f t="shared" si="7"/>
        <v>9</v>
      </c>
      <c r="W24" s="16">
        <f t="shared" si="8"/>
        <v>25</v>
      </c>
      <c r="X24" s="77">
        <f>投放验证!AA34</f>
        <v>302.0869658368506</v>
      </c>
      <c r="Y24" s="16">
        <f t="shared" si="9"/>
        <v>340.0869658368506</v>
      </c>
      <c r="AI24" s="16">
        <v>19</v>
      </c>
      <c r="AJ24" s="16">
        <f t="shared" si="1"/>
        <v>0</v>
      </c>
      <c r="AK24" s="16">
        <f t="shared" si="2"/>
        <v>0</v>
      </c>
      <c r="AL24" s="16">
        <f t="shared" si="3"/>
        <v>0</v>
      </c>
      <c r="AM24" s="16">
        <f t="shared" si="4"/>
        <v>0</v>
      </c>
      <c r="AN24" s="16">
        <f t="shared" si="5"/>
        <v>0</v>
      </c>
    </row>
    <row r="25" spans="5:40">
      <c r="P25" s="16">
        <v>150</v>
      </c>
      <c r="Q25" s="16">
        <f>投放验证!AL35</f>
        <v>43931.677387001459</v>
      </c>
      <c r="R25" s="16">
        <f>投放验证!AM35</f>
        <v>10878.917783605444</v>
      </c>
      <c r="S25" s="16">
        <f>投放验证!AN35</f>
        <v>2044.2001405062038</v>
      </c>
      <c r="T25" s="16">
        <f>投放验证!AO35</f>
        <v>419.43204683540102</v>
      </c>
      <c r="U25" s="16">
        <f t="shared" si="6"/>
        <v>4</v>
      </c>
      <c r="V25" s="16">
        <f t="shared" si="7"/>
        <v>9</v>
      </c>
      <c r="W25" s="16">
        <f t="shared" si="8"/>
        <v>25</v>
      </c>
      <c r="X25" s="77">
        <f>投放验证!AA35</f>
        <v>419.43204683540102</v>
      </c>
      <c r="Y25" s="16">
        <f t="shared" si="9"/>
        <v>457.43204683540102</v>
      </c>
      <c r="AI25" s="16">
        <v>20</v>
      </c>
      <c r="AJ25" s="16">
        <f t="shared" si="1"/>
        <v>0</v>
      </c>
      <c r="AK25" s="16">
        <f t="shared" si="2"/>
        <v>0</v>
      </c>
      <c r="AL25" s="16">
        <f t="shared" si="3"/>
        <v>0</v>
      </c>
      <c r="AM25" s="16">
        <f t="shared" si="4"/>
        <v>0</v>
      </c>
      <c r="AN25" s="16">
        <f t="shared" si="5"/>
        <v>0</v>
      </c>
    </row>
    <row r="26" spans="5:40">
      <c r="P26" s="16">
        <v>155</v>
      </c>
      <c r="Q26" s="16">
        <f>投放验证!AL36</f>
        <v>61748.294525340083</v>
      </c>
      <c r="R26" s="16">
        <f>投放验证!AM36</f>
        <v>15255.815075688921</v>
      </c>
      <c r="S26" s="16">
        <f>投放验证!AN36</f>
        <v>2867.6217842422707</v>
      </c>
      <c r="T26" s="16">
        <f>投放验证!AO36</f>
        <v>585.32232798602388</v>
      </c>
      <c r="U26" s="16">
        <f t="shared" si="6"/>
        <v>4</v>
      </c>
      <c r="V26" s="16">
        <f t="shared" si="7"/>
        <v>9</v>
      </c>
      <c r="W26" s="16">
        <f t="shared" si="8"/>
        <v>25</v>
      </c>
      <c r="X26" s="77">
        <f>投放验证!AA36</f>
        <v>585.32232798602388</v>
      </c>
      <c r="Y26" s="16">
        <f t="shared" si="9"/>
        <v>623.32232798602388</v>
      </c>
      <c r="AI26" s="16">
        <v>21</v>
      </c>
      <c r="AJ26" s="16">
        <f t="shared" si="1"/>
        <v>0</v>
      </c>
      <c r="AK26" s="16">
        <f t="shared" si="2"/>
        <v>0</v>
      </c>
      <c r="AL26" s="16">
        <f t="shared" si="3"/>
        <v>0</v>
      </c>
      <c r="AM26" s="16">
        <f t="shared" si="4"/>
        <v>0</v>
      </c>
      <c r="AN26" s="16">
        <f t="shared" si="5"/>
        <v>0</v>
      </c>
    </row>
    <row r="27" spans="5:40">
      <c r="P27" s="16">
        <v>160</v>
      </c>
      <c r="Q27" s="16">
        <f>投放验证!AL37</f>
        <v>86724.893412611258</v>
      </c>
      <c r="R27" s="16">
        <f>投放验证!AM37</f>
        <v>21372.381685475379</v>
      </c>
      <c r="S27" s="16">
        <f>投放验证!AN37</f>
        <v>4018.9216780427914</v>
      </c>
      <c r="T27" s="16">
        <f>投放验证!AO37</f>
        <v>815.52855934759691</v>
      </c>
      <c r="U27" s="16">
        <f t="shared" si="6"/>
        <v>4</v>
      </c>
      <c r="V27" s="16">
        <f t="shared" si="7"/>
        <v>9</v>
      </c>
      <c r="W27" s="16">
        <f t="shared" si="8"/>
        <v>25</v>
      </c>
      <c r="X27" s="77">
        <f>投放验证!AA37</f>
        <v>815.52855934759691</v>
      </c>
      <c r="Y27" s="16">
        <f t="shared" si="9"/>
        <v>853.52855934759691</v>
      </c>
      <c r="AI27" s="16">
        <v>22</v>
      </c>
      <c r="AJ27" s="16">
        <f t="shared" si="1"/>
        <v>0</v>
      </c>
      <c r="AK27" s="16">
        <f t="shared" si="2"/>
        <v>0</v>
      </c>
      <c r="AL27" s="16">
        <f t="shared" si="3"/>
        <v>0</v>
      </c>
      <c r="AM27" s="16">
        <f t="shared" si="4"/>
        <v>0</v>
      </c>
      <c r="AN27" s="16">
        <f t="shared" si="5"/>
        <v>0</v>
      </c>
    </row>
    <row r="28" spans="5:40">
      <c r="AI28" s="16">
        <v>23</v>
      </c>
      <c r="AJ28" s="16">
        <f t="shared" si="1"/>
        <v>0</v>
      </c>
      <c r="AK28" s="16">
        <f t="shared" si="2"/>
        <v>0</v>
      </c>
      <c r="AL28" s="16">
        <f t="shared" si="3"/>
        <v>0</v>
      </c>
      <c r="AM28" s="16">
        <f t="shared" si="4"/>
        <v>0</v>
      </c>
      <c r="AN28" s="16">
        <f t="shared" si="5"/>
        <v>0</v>
      </c>
    </row>
    <row r="29" spans="5:40">
      <c r="AI29" s="16">
        <v>24</v>
      </c>
      <c r="AJ29" s="16">
        <f t="shared" si="1"/>
        <v>0</v>
      </c>
      <c r="AK29" s="16">
        <f t="shared" si="2"/>
        <v>0</v>
      </c>
      <c r="AL29" s="16">
        <f t="shared" si="3"/>
        <v>0</v>
      </c>
      <c r="AM29" s="16">
        <f t="shared" si="4"/>
        <v>0</v>
      </c>
      <c r="AN29" s="16">
        <f t="shared" si="5"/>
        <v>0</v>
      </c>
    </row>
    <row r="30" spans="5:40">
      <c r="P30" s="32"/>
      <c r="Q30" s="164" t="s">
        <v>527</v>
      </c>
      <c r="R30" s="164"/>
      <c r="S30" s="164"/>
      <c r="T30" s="164"/>
      <c r="U30" s="164" t="s">
        <v>540</v>
      </c>
      <c r="V30" s="164"/>
      <c r="W30" s="164"/>
      <c r="X30" s="164"/>
      <c r="AA30" s="32"/>
      <c r="AC30" s="164" t="s">
        <v>520</v>
      </c>
      <c r="AD30" s="164"/>
      <c r="AE30" s="164"/>
      <c r="AF30" s="164"/>
      <c r="AG30" s="164"/>
      <c r="AI30" s="16">
        <v>25</v>
      </c>
      <c r="AJ30" s="16">
        <f t="shared" si="1"/>
        <v>0</v>
      </c>
      <c r="AK30" s="16">
        <f t="shared" si="2"/>
        <v>0</v>
      </c>
      <c r="AL30" s="16">
        <f t="shared" si="3"/>
        <v>0</v>
      </c>
      <c r="AM30" s="16">
        <f t="shared" si="4"/>
        <v>0</v>
      </c>
      <c r="AN30" s="16">
        <f t="shared" si="5"/>
        <v>0</v>
      </c>
    </row>
    <row r="31" spans="5:40">
      <c r="E31" s="16" t="s">
        <v>510</v>
      </c>
      <c r="F31" s="16" t="s">
        <v>511</v>
      </c>
      <c r="G31" s="16" t="s">
        <v>484</v>
      </c>
      <c r="H31" s="16" t="s">
        <v>514</v>
      </c>
      <c r="I31" s="16" t="s">
        <v>515</v>
      </c>
      <c r="J31" s="16" t="s">
        <v>516</v>
      </c>
      <c r="K31" s="16" t="s">
        <v>517</v>
      </c>
      <c r="L31" s="16" t="s">
        <v>518</v>
      </c>
      <c r="M31" s="16" t="s">
        <v>519</v>
      </c>
      <c r="N31" s="16" t="s">
        <v>542</v>
      </c>
      <c r="P31" s="16" t="s">
        <v>401</v>
      </c>
      <c r="Q31" s="16" t="s">
        <v>79</v>
      </c>
      <c r="R31" s="16" t="s">
        <v>80</v>
      </c>
      <c r="S31" s="16" t="s">
        <v>81</v>
      </c>
      <c r="T31" s="16" t="s">
        <v>205</v>
      </c>
      <c r="U31" s="16" t="s">
        <v>79</v>
      </c>
      <c r="V31" s="16" t="s">
        <v>80</v>
      </c>
      <c r="W31" s="16" t="s">
        <v>81</v>
      </c>
      <c r="X31" s="16" t="s">
        <v>205</v>
      </c>
      <c r="Y31" s="16" t="s">
        <v>541</v>
      </c>
      <c r="AA31" s="16" t="s">
        <v>510</v>
      </c>
      <c r="AB31" s="16" t="s">
        <v>511</v>
      </c>
      <c r="AC31" s="16" t="s">
        <v>74</v>
      </c>
      <c r="AD31" s="16" t="s">
        <v>75</v>
      </c>
      <c r="AE31" s="16" t="s">
        <v>76</v>
      </c>
      <c r="AF31" s="16" t="s">
        <v>77</v>
      </c>
      <c r="AG31" s="16" t="s">
        <v>78</v>
      </c>
      <c r="AI31" s="16">
        <v>26</v>
      </c>
      <c r="AJ31" s="16">
        <f t="shared" si="1"/>
        <v>0</v>
      </c>
      <c r="AK31" s="16">
        <f t="shared" si="2"/>
        <v>0</v>
      </c>
      <c r="AL31" s="16">
        <f t="shared" si="3"/>
        <v>0</v>
      </c>
      <c r="AM31" s="16">
        <f t="shared" si="4"/>
        <v>0</v>
      </c>
      <c r="AN31" s="16">
        <f t="shared" si="5"/>
        <v>0</v>
      </c>
    </row>
    <row r="32" spans="5:40">
      <c r="E32" s="16">
        <v>1</v>
      </c>
      <c r="F32" s="16" t="s">
        <v>523</v>
      </c>
      <c r="G32" s="16">
        <v>3</v>
      </c>
      <c r="H32" s="16" t="s">
        <v>483</v>
      </c>
      <c r="I32" s="16">
        <v>100</v>
      </c>
      <c r="N32" s="77">
        <f>IF(H32="",0,INDEX($B$6:$B$9,MATCH(H32,$A$6:$A$9,0))*I32)+IF(J32="",0,INDEX($B$6:$B$9,MATCH(J32,$A$6:$A$9,0))*K32)+IF(L32="",0,INDEX($B$6:$B$9,MATCH(L32,$A$6:$A$9,0))*M32)</f>
        <v>100</v>
      </c>
      <c r="P32" s="16">
        <v>45</v>
      </c>
      <c r="Q32" s="16">
        <v>0</v>
      </c>
      <c r="R32" s="16">
        <v>0</v>
      </c>
      <c r="S32" s="16">
        <v>0</v>
      </c>
      <c r="T32" s="16">
        <v>0</v>
      </c>
      <c r="U32" s="16">
        <f>MIN(Q32/2,Q$2)</f>
        <v>0</v>
      </c>
      <c r="V32" s="16">
        <f t="shared" ref="V32:V53" si="16">MIN(R32/2,R$2)</f>
        <v>0</v>
      </c>
      <c r="W32" s="16">
        <f t="shared" ref="W32:W53" si="17">MIN(S32/2,S$2)</f>
        <v>0</v>
      </c>
      <c r="X32" s="16">
        <v>0</v>
      </c>
      <c r="Y32" s="16">
        <f>SUM(U32:X32)</f>
        <v>0</v>
      </c>
      <c r="AA32" s="16">
        <v>1</v>
      </c>
      <c r="AB32" s="16" t="s">
        <v>523</v>
      </c>
      <c r="AC32" s="37">
        <f>求节点($R$6:$R$27,$P$6:$P$27,$G32*2)</f>
        <v>46.840695398199635</v>
      </c>
      <c r="AD32" s="37">
        <f>求节点($R$32:$R$53,$P$32:$P$53,$G32*2)</f>
        <v>46.538852744061089</v>
      </c>
      <c r="AE32" s="37">
        <f>求节点($R$58:$R$79,$P$58:$P$79,$G32*2)</f>
        <v>46.14552673680025</v>
      </c>
      <c r="AF32" s="37">
        <f>求节点($R$84:$R$105,$P$84:$P$105,$G32*2)</f>
        <v>45.590778816643457</v>
      </c>
      <c r="AG32" s="37">
        <f>求节点($R$110:$R$131,$P$110:$P$131,$G32*2)</f>
        <v>45.415849202077908</v>
      </c>
      <c r="AI32" s="16">
        <v>27</v>
      </c>
      <c r="AJ32" s="16">
        <f t="shared" si="1"/>
        <v>0</v>
      </c>
      <c r="AK32" s="16">
        <f t="shared" si="2"/>
        <v>0</v>
      </c>
      <c r="AL32" s="16">
        <f t="shared" si="3"/>
        <v>0</v>
      </c>
      <c r="AM32" s="16">
        <f t="shared" si="4"/>
        <v>0</v>
      </c>
      <c r="AN32" s="16">
        <f t="shared" si="5"/>
        <v>0</v>
      </c>
    </row>
    <row r="33" spans="5:40">
      <c r="E33" s="16">
        <v>2</v>
      </c>
      <c r="F33" s="16" t="s">
        <v>523</v>
      </c>
      <c r="G33" s="16">
        <v>6</v>
      </c>
      <c r="H33" s="16" t="s">
        <v>483</v>
      </c>
      <c r="I33" s="16">
        <v>100</v>
      </c>
      <c r="N33" s="16">
        <f t="shared" ref="N33:N34" si="18">IF(H33="",0,INDEX($B$6:$B$9,MATCH(H33,$A$6:$A$9,0))*I33)+IF(J33="",0,INDEX($B$6:$B$9,MATCH(J33,$A$6:$A$9,0))*K33)+IF(L33="",0,INDEX($B$6:$B$9,MATCH(L33,$A$6:$A$9,0))*M33)+N32</f>
        <v>200</v>
      </c>
      <c r="P33" s="16">
        <v>50</v>
      </c>
      <c r="Q33" s="16">
        <f>投放验证!AL43</f>
        <v>59.135655388735323</v>
      </c>
      <c r="R33" s="16">
        <f>投放验证!AM43</f>
        <v>19.49504272957844</v>
      </c>
      <c r="S33" s="16">
        <f>投放验证!AN43</f>
        <v>3.5698235633241198</v>
      </c>
      <c r="T33" s="16">
        <f>投放验证!AO43</f>
        <v>1.1176603877747064</v>
      </c>
      <c r="U33" s="16">
        <f t="shared" ref="U33:U53" si="19">MIN(Q33/2,Q$2)</f>
        <v>4</v>
      </c>
      <c r="V33" s="16">
        <f t="shared" si="16"/>
        <v>9</v>
      </c>
      <c r="W33" s="16">
        <f t="shared" si="17"/>
        <v>1.7849117816620599</v>
      </c>
      <c r="X33" s="77">
        <f>投放验证!AA43</f>
        <v>1.1176603877747064</v>
      </c>
      <c r="Y33" s="16">
        <f t="shared" ref="Y33:Y53" si="20">SUM(U33:X33)</f>
        <v>15.902572169436766</v>
      </c>
      <c r="AA33" s="16">
        <v>2</v>
      </c>
      <c r="AB33" s="16" t="s">
        <v>523</v>
      </c>
      <c r="AC33" s="37">
        <f>求节点($R$6:$R$27,$P$6:$P$27,$G33*2)</f>
        <v>48.68139079639927</v>
      </c>
      <c r="AD33" s="37">
        <f>求节点($R$32:$R$53,$P$32:$P$53,$G33*2)</f>
        <v>48.077705488122184</v>
      </c>
      <c r="AE33" s="37">
        <f>求节点($R$58:$R$79,$P$58:$P$79,$G33*2)</f>
        <v>47.291053473600499</v>
      </c>
      <c r="AF33" s="37">
        <f>求节点($R$84:$R$105,$P$84:$P$105,$G33*2)</f>
        <v>46.181557633286914</v>
      </c>
      <c r="AG33" s="37">
        <f>求节点($R$110:$R$131,$P$110:$P$131,$G33*2)</f>
        <v>45.831698404155816</v>
      </c>
      <c r="AI33" s="16">
        <v>28</v>
      </c>
      <c r="AJ33" s="16">
        <f t="shared" si="1"/>
        <v>0</v>
      </c>
      <c r="AK33" s="16">
        <f t="shared" si="2"/>
        <v>0</v>
      </c>
      <c r="AL33" s="16">
        <f t="shared" si="3"/>
        <v>0</v>
      </c>
      <c r="AM33" s="16">
        <f t="shared" si="4"/>
        <v>0</v>
      </c>
      <c r="AN33" s="16">
        <f t="shared" si="5"/>
        <v>0</v>
      </c>
    </row>
    <row r="34" spans="5:40">
      <c r="E34" s="16">
        <v>3</v>
      </c>
      <c r="F34" s="16" t="s">
        <v>523</v>
      </c>
      <c r="G34" s="16">
        <v>9</v>
      </c>
      <c r="H34" s="16" t="s">
        <v>483</v>
      </c>
      <c r="I34" s="16">
        <v>100</v>
      </c>
      <c r="N34" s="16">
        <f t="shared" si="18"/>
        <v>300</v>
      </c>
      <c r="P34" s="16">
        <v>60</v>
      </c>
      <c r="Q34" s="16">
        <f>投放验证!AL44</f>
        <v>123.70727814728093</v>
      </c>
      <c r="R34" s="16">
        <f>投放验证!AM44</f>
        <v>39.411811348701001</v>
      </c>
      <c r="S34" s="16">
        <f>投放验证!AN44</f>
        <v>7.2974464812485129</v>
      </c>
      <c r="T34" s="16">
        <f>投放验证!AO44</f>
        <v>2.1397661604161704</v>
      </c>
      <c r="U34" s="16">
        <f t="shared" si="19"/>
        <v>4</v>
      </c>
      <c r="V34" s="16">
        <f t="shared" si="16"/>
        <v>9</v>
      </c>
      <c r="W34" s="16">
        <f t="shared" si="17"/>
        <v>3.6487232406242565</v>
      </c>
      <c r="X34" s="77">
        <f>投放验证!AA44</f>
        <v>2.1397661604161704</v>
      </c>
      <c r="Y34" s="16">
        <f t="shared" si="20"/>
        <v>18.788489401040426</v>
      </c>
      <c r="AA34" s="16">
        <v>3</v>
      </c>
      <c r="AB34" s="16" t="s">
        <v>523</v>
      </c>
      <c r="AC34" s="37">
        <f>求节点($R$6:$R$27,$P$6:$P$27,$G34*2)</f>
        <v>50.970294612389274</v>
      </c>
      <c r="AD34" s="37">
        <f>求节点($R$32:$R$53,$P$32:$P$53,$G34*2)</f>
        <v>49.616558232183273</v>
      </c>
      <c r="AE34" s="37">
        <f>求节点($R$58:$R$79,$P$58:$P$79,$G34*2)</f>
        <v>48.436580210400741</v>
      </c>
      <c r="AF34" s="37">
        <f>求节点($R$84:$R$105,$P$84:$P$105,$G34*2)</f>
        <v>46.772336449930371</v>
      </c>
      <c r="AG34" s="37">
        <f>求节点($R$110:$R$131,$P$110:$P$131,$G34*2)</f>
        <v>46.247547606233717</v>
      </c>
      <c r="AI34" s="16">
        <v>29</v>
      </c>
      <c r="AJ34" s="16">
        <f t="shared" si="1"/>
        <v>0</v>
      </c>
      <c r="AK34" s="16">
        <f t="shared" si="2"/>
        <v>0</v>
      </c>
      <c r="AL34" s="16">
        <f t="shared" si="3"/>
        <v>0</v>
      </c>
      <c r="AM34" s="16">
        <f t="shared" si="4"/>
        <v>0</v>
      </c>
      <c r="AN34" s="16">
        <f t="shared" si="5"/>
        <v>0</v>
      </c>
    </row>
    <row r="35" spans="5:40">
      <c r="P35" s="16">
        <v>70</v>
      </c>
      <c r="Q35" s="16">
        <f>投放验证!AL45</f>
        <v>266.44596000365647</v>
      </c>
      <c r="R35" s="16">
        <f>投放验证!AM45</f>
        <v>78.315572499492845</v>
      </c>
      <c r="S35" s="16">
        <f>投放验证!AN45</f>
        <v>14.341674952331047</v>
      </c>
      <c r="T35" s="16">
        <f>投放验证!AO45</f>
        <v>4.044803917443681</v>
      </c>
      <c r="U35" s="16">
        <f t="shared" si="19"/>
        <v>4</v>
      </c>
      <c r="V35" s="16">
        <f t="shared" si="16"/>
        <v>9</v>
      </c>
      <c r="W35" s="16">
        <f t="shared" si="17"/>
        <v>7.1708374761655236</v>
      </c>
      <c r="X35" s="77">
        <f>投放验证!AA45</f>
        <v>4.044803917443681</v>
      </c>
      <c r="Y35" s="16">
        <f t="shared" si="20"/>
        <v>24.215641393609204</v>
      </c>
      <c r="AI35" s="16">
        <v>30</v>
      </c>
      <c r="AJ35" s="16">
        <f t="shared" si="1"/>
        <v>0</v>
      </c>
      <c r="AK35" s="16">
        <f t="shared" si="2"/>
        <v>0</v>
      </c>
      <c r="AL35" s="16">
        <f t="shared" si="3"/>
        <v>0</v>
      </c>
      <c r="AM35" s="16">
        <f t="shared" si="4"/>
        <v>0</v>
      </c>
      <c r="AN35" s="16">
        <f t="shared" si="5"/>
        <v>0</v>
      </c>
    </row>
    <row r="36" spans="5:40">
      <c r="P36" s="16">
        <v>75</v>
      </c>
      <c r="Q36" s="16">
        <f>投放验证!AL46</f>
        <v>372.78404715533577</v>
      </c>
      <c r="R36" s="16">
        <f>投放验证!AM46</f>
        <v>106.58916948565638</v>
      </c>
      <c r="S36" s="16">
        <f>投放验证!AN46</f>
        <v>19.465273716989188</v>
      </c>
      <c r="T36" s="16">
        <f>投放验证!AO46</f>
        <v>5.3864027363845617</v>
      </c>
      <c r="U36" s="16">
        <f t="shared" si="19"/>
        <v>4</v>
      </c>
      <c r="V36" s="16">
        <f t="shared" si="16"/>
        <v>9</v>
      </c>
      <c r="W36" s="16">
        <f t="shared" si="17"/>
        <v>9.7326368584945939</v>
      </c>
      <c r="X36" s="77">
        <f>投放验证!AA46</f>
        <v>5.3864027363845617</v>
      </c>
      <c r="Y36" s="16">
        <f t="shared" si="20"/>
        <v>28.119039594879155</v>
      </c>
      <c r="AI36" s="16">
        <v>31</v>
      </c>
      <c r="AJ36" s="16">
        <f t="shared" si="1"/>
        <v>0</v>
      </c>
      <c r="AK36" s="16">
        <f t="shared" si="2"/>
        <v>0</v>
      </c>
      <c r="AL36" s="16">
        <f t="shared" si="3"/>
        <v>0</v>
      </c>
      <c r="AM36" s="16">
        <f t="shared" si="4"/>
        <v>0</v>
      </c>
      <c r="AN36" s="16">
        <f t="shared" si="5"/>
        <v>0</v>
      </c>
    </row>
    <row r="37" spans="5:40">
      <c r="P37" s="16">
        <v>80</v>
      </c>
      <c r="Q37" s="16">
        <f>投放验证!AL47</f>
        <v>519.95165326927281</v>
      </c>
      <c r="R37" s="16">
        <f>投放验证!AM47</f>
        <v>145.41008469269829</v>
      </c>
      <c r="S37" s="16">
        <f>投放验证!AN47</f>
        <v>26.502057256818027</v>
      </c>
      <c r="T37" s="16">
        <f>投放验证!AO47</f>
        <v>7.2093390856060067</v>
      </c>
      <c r="U37" s="16">
        <f t="shared" si="19"/>
        <v>4</v>
      </c>
      <c r="V37" s="16">
        <f t="shared" si="16"/>
        <v>9</v>
      </c>
      <c r="W37" s="16">
        <f t="shared" si="17"/>
        <v>13.251028628409014</v>
      </c>
      <c r="X37" s="77">
        <f>投放验证!AA47</f>
        <v>7.2093390856060067</v>
      </c>
      <c r="Y37" s="16">
        <f t="shared" si="20"/>
        <v>33.460367714015021</v>
      </c>
      <c r="AI37" s="16">
        <v>32</v>
      </c>
      <c r="AJ37" s="16">
        <f t="shared" si="1"/>
        <v>0</v>
      </c>
      <c r="AK37" s="16">
        <f t="shared" si="2"/>
        <v>0</v>
      </c>
      <c r="AL37" s="16">
        <f t="shared" si="3"/>
        <v>0</v>
      </c>
      <c r="AM37" s="16">
        <f t="shared" si="4"/>
        <v>0</v>
      </c>
      <c r="AN37" s="16">
        <f t="shared" si="5"/>
        <v>0</v>
      </c>
    </row>
    <row r="38" spans="5:40">
      <c r="P38" s="16">
        <v>85</v>
      </c>
      <c r="Q38" s="16">
        <f>投放验证!AL48</f>
        <v>720.37202411908322</v>
      </c>
      <c r="R38" s="16">
        <f>投放验证!AM48</f>
        <v>198.01787221220675</v>
      </c>
      <c r="S38" s="16">
        <f>投放验证!AN48</f>
        <v>36.039463043098927</v>
      </c>
      <c r="T38" s="16">
        <f>投放验证!AO48</f>
        <v>9.6633880326856385</v>
      </c>
      <c r="U38" s="16">
        <f t="shared" si="19"/>
        <v>4</v>
      </c>
      <c r="V38" s="16">
        <f t="shared" si="16"/>
        <v>9</v>
      </c>
      <c r="W38" s="16">
        <f t="shared" si="17"/>
        <v>18.019731521549463</v>
      </c>
      <c r="X38" s="77">
        <f>投放验证!AA48</f>
        <v>9.6633880326856385</v>
      </c>
      <c r="Y38" s="16">
        <f t="shared" si="20"/>
        <v>40.683119554235105</v>
      </c>
      <c r="AC38" s="32"/>
      <c r="AD38" s="32"/>
      <c r="AE38" s="32"/>
      <c r="AF38" s="32"/>
      <c r="AG38" s="32"/>
      <c r="AI38" s="16">
        <v>33</v>
      </c>
      <c r="AJ38" s="16">
        <f t="shared" ref="AJ38:AJ69" si="21">IF($AI38&lt;35,0,求节点(AC$6:AC$10,$N$6:$N$10,$AI38)+求节点(AC$19:AC$20,$N$19:$N$20,$AI38)+求节点(AC$32:AC$34,$N$32:$N$34,$AI38)+求节点(AC$45:AC$54,$N$45:$N$54,$AI38)+求节点(AC$58:AC$67,$N$58:$N$67,$AI38))</f>
        <v>0</v>
      </c>
      <c r="AK38" s="16">
        <f t="shared" ref="AK38:AK69" si="22">IF($AI38&lt;35,0,求节点(AD$6:AD$10,$N$6:$N$10,$AI38)+求节点(AD$19:AD$20,$N$19:$N$20,$AI38)+求节点(AD$32:AD$34,$N$32:$N$34,$AI38)+求节点(AD$45:AD$54,$N$45:$N$54,$AI38)+求节点(AD$58:AD$67,$N$58:$N$67,$AI38))</f>
        <v>0</v>
      </c>
      <c r="AL38" s="16">
        <f t="shared" ref="AL38:AL69" si="23">IF($AI38&lt;35,0,求节点(AE$6:AE$10,$N$6:$N$10,$AI38)+求节点(AE$19:AE$20,$N$19:$N$20,$AI38)+求节点(AE$32:AE$34,$N$32:$N$34,$AI38)+求节点(AE$45:AE$54,$N$45:$N$54,$AI38)+求节点(AE$58:AE$67,$N$58:$N$67,$AI38))</f>
        <v>0</v>
      </c>
      <c r="AM38" s="16">
        <f t="shared" ref="AM38:AM69" si="24">IF($AI38&lt;35,0,求节点(AF$6:AF$10,$N$6:$N$10,$AI38)+求节点(AF$19:AF$20,$N$19:$N$20,$AI38)+求节点(AF$32:AF$34,$N$32:$N$34,$AI38)+求节点(AF$45:AF$54,$N$45:$N$54,$AI38)+求节点(AF$58:AF$67,$N$58:$N$67,$AI38))</f>
        <v>0</v>
      </c>
      <c r="AN38" s="16">
        <f t="shared" ref="AN38:AN69" si="25">IF($AI38&lt;35,0,求节点(AG$6:AG$10,$N$6:$N$10,$AI38)+求节点(AG$19:AG$20,$N$19:$N$20,$AI38)+求节点(AG$32:AG$34,$N$32:$N$34,$AI38)+求节点(AG$45:AG$54,$N$45:$N$54,$AI38)+求节点(AG$58:AG$67,$N$58:$N$67,$AI38))</f>
        <v>0</v>
      </c>
    </row>
    <row r="39" spans="5:40">
      <c r="P39" s="16">
        <v>90</v>
      </c>
      <c r="Q39" s="16">
        <f>投放验证!AL49</f>
        <v>993.00709987399455</v>
      </c>
      <c r="R39" s="16">
        <f>投放验证!AM49</f>
        <v>269.09274453693888</v>
      </c>
      <c r="S39" s="16">
        <f>投放验证!AN49</f>
        <v>48.927785942701334</v>
      </c>
      <c r="T39" s="16">
        <f>投放验证!AO49</f>
        <v>12.948210780900441</v>
      </c>
      <c r="U39" s="16">
        <f t="shared" si="19"/>
        <v>4</v>
      </c>
      <c r="V39" s="16">
        <f t="shared" si="16"/>
        <v>9</v>
      </c>
      <c r="W39" s="16">
        <f t="shared" si="17"/>
        <v>24.463892971350667</v>
      </c>
      <c r="X39" s="77">
        <f>投放验证!AA49</f>
        <v>12.948210780900441</v>
      </c>
      <c r="Y39" s="16">
        <f t="shared" si="20"/>
        <v>50.412103752251106</v>
      </c>
      <c r="AI39" s="16">
        <v>34</v>
      </c>
      <c r="AJ39" s="16">
        <f t="shared" si="21"/>
        <v>0</v>
      </c>
      <c r="AK39" s="16">
        <f t="shared" si="22"/>
        <v>0</v>
      </c>
      <c r="AL39" s="16">
        <f t="shared" si="23"/>
        <v>0</v>
      </c>
      <c r="AM39" s="16">
        <f t="shared" si="24"/>
        <v>0</v>
      </c>
      <c r="AN39" s="16">
        <f t="shared" si="25"/>
        <v>0</v>
      </c>
    </row>
    <row r="40" spans="5:40">
      <c r="P40" s="16">
        <v>95</v>
      </c>
      <c r="Q40" s="16">
        <f>投放验证!AL50</f>
        <v>1375.2137336722676</v>
      </c>
      <c r="R40" s="16">
        <f>投放验证!AM50</f>
        <v>368.2918599774639</v>
      </c>
      <c r="S40" s="16">
        <f>投放验证!AN50</f>
        <v>66.918701296219766</v>
      </c>
      <c r="T40" s="16">
        <f>投放验证!AO50</f>
        <v>17.504963194766166</v>
      </c>
      <c r="U40" s="16">
        <f t="shared" si="19"/>
        <v>4</v>
      </c>
      <c r="V40" s="16">
        <f t="shared" si="16"/>
        <v>9</v>
      </c>
      <c r="W40" s="16">
        <f t="shared" si="17"/>
        <v>25</v>
      </c>
      <c r="X40" s="77">
        <f>投放验证!AA50</f>
        <v>17.504963194766166</v>
      </c>
      <c r="Y40" s="16">
        <f t="shared" si="20"/>
        <v>55.504963194766162</v>
      </c>
      <c r="AI40" s="16">
        <v>35</v>
      </c>
      <c r="AJ40" s="16">
        <f t="shared" si="21"/>
        <v>1394.8498348998451</v>
      </c>
      <c r="AK40" s="16">
        <f t="shared" si="22"/>
        <v>1449.3385127823431</v>
      </c>
      <c r="AL40" s="16">
        <f t="shared" si="23"/>
        <v>1538.9530459885364</v>
      </c>
      <c r="AM40" s="16">
        <f t="shared" si="24"/>
        <v>1782.5013707344622</v>
      </c>
      <c r="AN40" s="16">
        <f t="shared" si="25"/>
        <v>1838.9445863721971</v>
      </c>
    </row>
    <row r="41" spans="5:40">
      <c r="P41" s="16">
        <v>100</v>
      </c>
      <c r="Q41" s="16">
        <f>投放验证!AL51</f>
        <v>1910.8144406474159</v>
      </c>
      <c r="R41" s="16">
        <f>投放验证!AM51</f>
        <v>506.52898679274597</v>
      </c>
      <c r="S41" s="16">
        <f>投放验证!AN51</f>
        <v>91.994377998656617</v>
      </c>
      <c r="T41" s="16">
        <f>投放验证!AO51</f>
        <v>23.805743866218869</v>
      </c>
      <c r="U41" s="16">
        <f t="shared" si="19"/>
        <v>4</v>
      </c>
      <c r="V41" s="16">
        <f t="shared" si="16"/>
        <v>9</v>
      </c>
      <c r="W41" s="16">
        <f t="shared" si="17"/>
        <v>25</v>
      </c>
      <c r="X41" s="77">
        <f>投放验证!AA51</f>
        <v>23.805743866218869</v>
      </c>
      <c r="Y41" s="16">
        <f t="shared" si="20"/>
        <v>61.805743866218869</v>
      </c>
      <c r="AI41" s="16">
        <v>36</v>
      </c>
      <c r="AJ41" s="16">
        <f t="shared" si="21"/>
        <v>1434.7026873255547</v>
      </c>
      <c r="AK41" s="16">
        <f t="shared" si="22"/>
        <v>1490.7481845761242</v>
      </c>
      <c r="AL41" s="16">
        <f t="shared" si="23"/>
        <v>1582.92313301678</v>
      </c>
      <c r="AM41" s="16">
        <f t="shared" si="24"/>
        <v>1833.4299813268753</v>
      </c>
      <c r="AN41" s="16">
        <f t="shared" si="25"/>
        <v>1891.4858602685456</v>
      </c>
    </row>
    <row r="42" spans="5:40">
      <c r="P42" s="16">
        <v>105</v>
      </c>
      <c r="Q42" s="16">
        <f>投放验证!AL52</f>
        <v>2649.7202900593311</v>
      </c>
      <c r="R42" s="16">
        <f>投放验证!AM52</f>
        <v>696.51542719502834</v>
      </c>
      <c r="S42" s="16">
        <f>投放验证!AN52</f>
        <v>126.46165211023562</v>
      </c>
      <c r="T42" s="16">
        <f>投放验证!AO52</f>
        <v>32.419027275469098</v>
      </c>
      <c r="U42" s="16">
        <f t="shared" si="19"/>
        <v>4</v>
      </c>
      <c r="V42" s="16">
        <f t="shared" si="16"/>
        <v>9</v>
      </c>
      <c r="W42" s="16">
        <f t="shared" si="17"/>
        <v>25</v>
      </c>
      <c r="X42" s="77">
        <f>投放验证!AA52</f>
        <v>32.419027275469098</v>
      </c>
      <c r="Y42" s="16">
        <f t="shared" si="20"/>
        <v>70.419027275469091</v>
      </c>
      <c r="AI42" s="16">
        <v>37</v>
      </c>
      <c r="AJ42" s="16">
        <f t="shared" si="21"/>
        <v>1474.5555397512646</v>
      </c>
      <c r="AK42" s="16">
        <f t="shared" si="22"/>
        <v>1532.1578563699056</v>
      </c>
      <c r="AL42" s="16">
        <f t="shared" si="23"/>
        <v>1626.893220045024</v>
      </c>
      <c r="AM42" s="16">
        <f t="shared" si="24"/>
        <v>1884.3585919192883</v>
      </c>
      <c r="AN42" s="16">
        <f t="shared" si="25"/>
        <v>1944.0271341648941</v>
      </c>
    </row>
    <row r="43" spans="5:40">
      <c r="P43" s="16">
        <v>110</v>
      </c>
      <c r="Q43" s="16">
        <f>投放验证!AL53</f>
        <v>3676.5987695856688</v>
      </c>
      <c r="R43" s="16">
        <f>投放验证!AM53</f>
        <v>959.45592111749693</v>
      </c>
      <c r="S43" s="16">
        <f>投放验证!AN53</f>
        <v>174.17098732765177</v>
      </c>
      <c r="T43" s="16">
        <f>投放验证!AO53</f>
        <v>44.269932575883921</v>
      </c>
      <c r="U43" s="16">
        <f t="shared" si="19"/>
        <v>4</v>
      </c>
      <c r="V43" s="16">
        <f t="shared" si="16"/>
        <v>9</v>
      </c>
      <c r="W43" s="16">
        <f t="shared" si="17"/>
        <v>25</v>
      </c>
      <c r="X43" s="77">
        <f>投放验证!AA53</f>
        <v>44.269932575883921</v>
      </c>
      <c r="Y43" s="16">
        <f t="shared" si="20"/>
        <v>82.269932575883928</v>
      </c>
      <c r="AA43" s="32"/>
      <c r="AC43" s="164" t="s">
        <v>520</v>
      </c>
      <c r="AD43" s="164"/>
      <c r="AE43" s="164"/>
      <c r="AF43" s="164"/>
      <c r="AG43" s="164"/>
      <c r="AI43" s="16">
        <v>38</v>
      </c>
      <c r="AJ43" s="16">
        <f t="shared" si="21"/>
        <v>1514.4083921769743</v>
      </c>
      <c r="AK43" s="16">
        <f t="shared" si="22"/>
        <v>1573.5675281636866</v>
      </c>
      <c r="AL43" s="16">
        <f t="shared" si="23"/>
        <v>1670.8633070732676</v>
      </c>
      <c r="AM43" s="16">
        <f t="shared" si="24"/>
        <v>1935.2872025117015</v>
      </c>
      <c r="AN43" s="16">
        <f t="shared" si="25"/>
        <v>1996.5684080612427</v>
      </c>
    </row>
    <row r="44" spans="5:40">
      <c r="E44" s="16" t="s">
        <v>510</v>
      </c>
      <c r="F44" s="16" t="s">
        <v>511</v>
      </c>
      <c r="G44" s="16" t="s">
        <v>484</v>
      </c>
      <c r="H44" s="16" t="s">
        <v>514</v>
      </c>
      <c r="I44" s="16" t="s">
        <v>515</v>
      </c>
      <c r="J44" s="16" t="s">
        <v>516</v>
      </c>
      <c r="K44" s="16" t="s">
        <v>517</v>
      </c>
      <c r="L44" s="16" t="s">
        <v>518</v>
      </c>
      <c r="M44" s="16" t="s">
        <v>519</v>
      </c>
      <c r="N44" s="16" t="s">
        <v>542</v>
      </c>
      <c r="P44" s="16">
        <v>115</v>
      </c>
      <c r="Q44" s="16">
        <f>投放验证!AL54</f>
        <v>5125.7543099869654</v>
      </c>
      <c r="R44" s="16">
        <f>投放验证!AM54</f>
        <v>1329.4530158322391</v>
      </c>
      <c r="S44" s="16">
        <f>投放验证!AN54</f>
        <v>241.31192346279772</v>
      </c>
      <c r="T44" s="16">
        <f>投放验证!AO54</f>
        <v>60.876990333395753</v>
      </c>
      <c r="U44" s="16">
        <f t="shared" si="19"/>
        <v>4</v>
      </c>
      <c r="V44" s="16">
        <f t="shared" si="16"/>
        <v>9</v>
      </c>
      <c r="W44" s="16">
        <f t="shared" si="17"/>
        <v>25</v>
      </c>
      <c r="X44" s="77">
        <f>投放验证!AA54</f>
        <v>60.876990333395753</v>
      </c>
      <c r="Y44" s="16">
        <f t="shared" si="20"/>
        <v>98.876990333395753</v>
      </c>
      <c r="AA44" s="16" t="s">
        <v>510</v>
      </c>
      <c r="AB44" s="16" t="s">
        <v>511</v>
      </c>
      <c r="AC44" s="16" t="s">
        <v>74</v>
      </c>
      <c r="AD44" s="16" t="s">
        <v>75</v>
      </c>
      <c r="AE44" s="16" t="s">
        <v>76</v>
      </c>
      <c r="AF44" s="16" t="s">
        <v>77</v>
      </c>
      <c r="AG44" s="16" t="s">
        <v>78</v>
      </c>
      <c r="AI44" s="16">
        <v>39</v>
      </c>
      <c r="AJ44" s="16">
        <f t="shared" si="21"/>
        <v>1554.2612446026842</v>
      </c>
      <c r="AK44" s="16">
        <f t="shared" si="22"/>
        <v>1614.9771999574677</v>
      </c>
      <c r="AL44" s="16">
        <f t="shared" si="23"/>
        <v>1714.8333941015117</v>
      </c>
      <c r="AM44" s="16">
        <f t="shared" si="24"/>
        <v>1986.2158131041149</v>
      </c>
      <c r="AN44" s="16">
        <f t="shared" si="25"/>
        <v>2049.109681957591</v>
      </c>
    </row>
    <row r="45" spans="5:40">
      <c r="E45" s="16">
        <v>1</v>
      </c>
      <c r="F45" s="16" t="s">
        <v>524</v>
      </c>
      <c r="G45" s="16">
        <v>5</v>
      </c>
      <c r="H45" s="16" t="s">
        <v>483</v>
      </c>
      <c r="I45" s="16">
        <v>300</v>
      </c>
      <c r="N45" s="77">
        <f>IF(H45="",0,INDEX($B$6:$B$9,MATCH(H45,$A$6:$A$9,0))*I45)+IF(J45="",0,INDEX($B$6:$B$9,MATCH(J45,$A$6:$A$9,0))*K45)+IF(L45="",0,INDEX($B$6:$B$9,MATCH(L45,$A$6:$A$9,0))*M45)</f>
        <v>300</v>
      </c>
      <c r="O45" s="32"/>
      <c r="P45" s="16">
        <v>120</v>
      </c>
      <c r="Q45" s="16">
        <f>投放验证!AL55</f>
        <v>7158.7833416366502</v>
      </c>
      <c r="R45" s="16">
        <f>投放验证!AM55</f>
        <v>1846.8608824051573</v>
      </c>
      <c r="S45" s="16">
        <f>投放验证!AN55</f>
        <v>335.21292171661065</v>
      </c>
      <c r="T45" s="16">
        <f>投放验证!AO55</f>
        <v>83.993052572203538</v>
      </c>
      <c r="U45" s="16">
        <f t="shared" si="19"/>
        <v>4</v>
      </c>
      <c r="V45" s="16">
        <f t="shared" si="16"/>
        <v>9</v>
      </c>
      <c r="W45" s="16">
        <f t="shared" si="17"/>
        <v>25</v>
      </c>
      <c r="X45" s="77">
        <f>投放验证!AA55</f>
        <v>83.993052572203538</v>
      </c>
      <c r="Y45" s="16">
        <f t="shared" si="20"/>
        <v>121.99305257220354</v>
      </c>
      <c r="Z45" s="32"/>
      <c r="AA45" s="16">
        <v>1</v>
      </c>
      <c r="AB45" s="16" t="s">
        <v>524</v>
      </c>
      <c r="AC45" s="37">
        <f>求节点($S$6:$S$27,$P$6:$P$27,$G45*2)</f>
        <v>66.172336516053306</v>
      </c>
      <c r="AD45" s="37">
        <f>求节点($S$32:$S$53,$P$32:$P$53,$G45*2)</f>
        <v>63.83655006342542</v>
      </c>
      <c r="AE45" s="37">
        <f>求节点($S$58:$S$79,$P$58:$P$79,$G45*2)</f>
        <v>60.672709769988579</v>
      </c>
      <c r="AF45" s="37">
        <f>求节点($S$84:$S$105,$P$84:$P$105,$G45*2)</f>
        <v>51.052127514468843</v>
      </c>
      <c r="AG45" s="37">
        <f>求节点($S$110:$S$131,$P$110:$P$131,$G45*2)</f>
        <v>48.844112785165827</v>
      </c>
      <c r="AI45" s="16">
        <v>40</v>
      </c>
      <c r="AJ45" s="16">
        <f t="shared" si="21"/>
        <v>1594.1140970283943</v>
      </c>
      <c r="AK45" s="16">
        <f t="shared" si="22"/>
        <v>1656.3868717512491</v>
      </c>
      <c r="AL45" s="16">
        <f t="shared" si="23"/>
        <v>1758.8034811297555</v>
      </c>
      <c r="AM45" s="16">
        <f t="shared" si="24"/>
        <v>2037.1444236965278</v>
      </c>
      <c r="AN45" s="16">
        <f t="shared" si="25"/>
        <v>2101.6509558539396</v>
      </c>
    </row>
    <row r="46" spans="5:40">
      <c r="E46" s="16">
        <v>2</v>
      </c>
      <c r="F46" s="16" t="s">
        <v>524</v>
      </c>
      <c r="G46" s="16">
        <v>10</v>
      </c>
      <c r="H46" s="16" t="s">
        <v>483</v>
      </c>
      <c r="I46" s="16">
        <v>300</v>
      </c>
      <c r="N46" s="16">
        <f t="shared" ref="N46:N54" si="26">IF(H46="",0,INDEX($B$6:$B$9,MATCH(H46,$A$6:$A$9,0))*I46)+IF(J46="",0,INDEX($B$6:$B$9,MATCH(J46,$A$6:$A$9,0))*K46)+IF(L46="",0,INDEX($B$6:$B$9,MATCH(L46,$A$6:$A$9,0))*M46)+N45</f>
        <v>600</v>
      </c>
      <c r="P46" s="16">
        <v>125</v>
      </c>
      <c r="Q46" s="16">
        <f>投放验证!AL56</f>
        <v>9985.4775581164668</v>
      </c>
      <c r="R46" s="16">
        <f>投放验证!AM56</f>
        <v>2564.6379383380995</v>
      </c>
      <c r="S46" s="16">
        <f>投放验证!AN56</f>
        <v>465.48778283825607</v>
      </c>
      <c r="T46" s="16">
        <f>投放验证!AO56</f>
        <v>115.9560198343616</v>
      </c>
      <c r="U46" s="16">
        <f t="shared" si="19"/>
        <v>4</v>
      </c>
      <c r="V46" s="16">
        <f t="shared" si="16"/>
        <v>9</v>
      </c>
      <c r="W46" s="16">
        <f t="shared" si="17"/>
        <v>25</v>
      </c>
      <c r="X46" s="77">
        <f>投放验证!AA56</f>
        <v>115.9560198343616</v>
      </c>
      <c r="Y46" s="16">
        <f t="shared" si="20"/>
        <v>153.9560198343616</v>
      </c>
      <c r="AA46" s="16">
        <v>2</v>
      </c>
      <c r="AB46" s="16" t="s">
        <v>524</v>
      </c>
      <c r="AC46" s="37">
        <f t="shared" ref="AC46:AC54" si="27">求节点($S$6:$S$27,$P$6:$P$27,$G46*2)</f>
        <v>77.887150271878099</v>
      </c>
      <c r="AD46" s="37">
        <f t="shared" ref="AD46:AD54" si="28">求节点($S$32:$S$53,$P$32:$P$53,$G46*2)</f>
        <v>75.379950782899755</v>
      </c>
      <c r="AE46" s="37">
        <f t="shared" ref="AE46:AE54" si="29">求节点($S$58:$S$79,$P$58:$P$79,$G46*2)</f>
        <v>70.893945316909864</v>
      </c>
      <c r="AF46" s="37">
        <f t="shared" ref="AF46:AF54" si="30">求节点($S$84:$S$105,$P$84:$P$105,$G46*2)</f>
        <v>61.813962798070037</v>
      </c>
      <c r="AG46" s="37">
        <f t="shared" ref="AG46:AG54" si="31">求节点($S$110:$S$131,$P$110:$P$131,$G46*2)</f>
        <v>56.701227833708394</v>
      </c>
      <c r="AI46" s="16">
        <v>41</v>
      </c>
      <c r="AJ46" s="16">
        <f t="shared" si="21"/>
        <v>1633.966949454104</v>
      </c>
      <c r="AK46" s="16">
        <f t="shared" si="22"/>
        <v>1697.7965435450303</v>
      </c>
      <c r="AL46" s="16">
        <f t="shared" si="23"/>
        <v>1802.7735681579995</v>
      </c>
      <c r="AM46" s="16">
        <f t="shared" si="24"/>
        <v>2088.073034288941</v>
      </c>
      <c r="AN46" s="16">
        <f t="shared" si="25"/>
        <v>2154.1922297502883</v>
      </c>
    </row>
    <row r="47" spans="5:40">
      <c r="E47" s="16">
        <v>3</v>
      </c>
      <c r="F47" s="16" t="s">
        <v>524</v>
      </c>
      <c r="G47" s="16">
        <v>15</v>
      </c>
      <c r="H47" s="16" t="s">
        <v>483</v>
      </c>
      <c r="I47" s="16">
        <v>300</v>
      </c>
      <c r="N47" s="16">
        <f t="shared" si="26"/>
        <v>900</v>
      </c>
      <c r="P47" s="16">
        <v>130</v>
      </c>
      <c r="Q47" s="16">
        <f>投放验证!AL57</f>
        <v>13945.529686092787</v>
      </c>
      <c r="R47" s="16">
        <f>投放验证!AM57</f>
        <v>3567.7241925505364</v>
      </c>
      <c r="S47" s="16">
        <f>投放验证!AN57</f>
        <v>647.56120353247888</v>
      </c>
      <c r="T47" s="16">
        <f>投放验证!AO57</f>
        <v>160.46275451082627</v>
      </c>
      <c r="U47" s="16">
        <f t="shared" si="19"/>
        <v>4</v>
      </c>
      <c r="V47" s="16">
        <f t="shared" si="16"/>
        <v>9</v>
      </c>
      <c r="W47" s="16">
        <f t="shared" si="17"/>
        <v>25</v>
      </c>
      <c r="X47" s="77">
        <f>投放验证!AA57</f>
        <v>160.46275451082627</v>
      </c>
      <c r="Y47" s="16">
        <f t="shared" si="20"/>
        <v>198.46275451082627</v>
      </c>
      <c r="AA47" s="16">
        <v>3</v>
      </c>
      <c r="AB47" s="16" t="s">
        <v>524</v>
      </c>
      <c r="AC47" s="37">
        <f t="shared" si="27"/>
        <v>84.631186298002746</v>
      </c>
      <c r="AD47" s="37">
        <f t="shared" si="28"/>
        <v>81.833801990586153</v>
      </c>
      <c r="AE47" s="37">
        <f t="shared" si="29"/>
        <v>77.315148553957911</v>
      </c>
      <c r="AF47" s="37">
        <f t="shared" si="30"/>
        <v>67.864565069314949</v>
      </c>
      <c r="AG47" s="37">
        <f t="shared" si="31"/>
        <v>63.267542029837799</v>
      </c>
      <c r="AI47" s="16">
        <v>42</v>
      </c>
      <c r="AJ47" s="16">
        <f t="shared" si="21"/>
        <v>1673.8198018798141</v>
      </c>
      <c r="AK47" s="16">
        <f t="shared" si="22"/>
        <v>1739.2062153388117</v>
      </c>
      <c r="AL47" s="16">
        <f t="shared" si="23"/>
        <v>1846.7436551862434</v>
      </c>
      <c r="AM47" s="16">
        <f t="shared" si="24"/>
        <v>2139.001644881354</v>
      </c>
      <c r="AN47" s="16">
        <f t="shared" si="25"/>
        <v>2206.7335036466366</v>
      </c>
    </row>
    <row r="48" spans="5:40">
      <c r="E48" s="16">
        <v>4</v>
      </c>
      <c r="F48" s="16" t="s">
        <v>524</v>
      </c>
      <c r="G48" s="16">
        <v>20</v>
      </c>
      <c r="H48" s="16" t="s">
        <v>483</v>
      </c>
      <c r="I48" s="16">
        <v>300</v>
      </c>
      <c r="N48" s="16">
        <f t="shared" si="26"/>
        <v>1200</v>
      </c>
      <c r="P48" s="16">
        <v>135</v>
      </c>
      <c r="Q48" s="16">
        <f>投放验证!AL58</f>
        <v>19502.53442793023</v>
      </c>
      <c r="R48" s="16">
        <f>投放验证!AM58</f>
        <v>4972.8077847976601</v>
      </c>
      <c r="S48" s="16">
        <f>投放验证!AN58</f>
        <v>902.61829447929824</v>
      </c>
      <c r="T48" s="16">
        <f>投放验证!AO58</f>
        <v>222.64244757640387</v>
      </c>
      <c r="U48" s="16">
        <f t="shared" si="19"/>
        <v>4</v>
      </c>
      <c r="V48" s="16">
        <f t="shared" si="16"/>
        <v>9</v>
      </c>
      <c r="W48" s="16">
        <f t="shared" si="17"/>
        <v>25</v>
      </c>
      <c r="X48" s="77">
        <f>投放验证!AA58</f>
        <v>222.64244757640387</v>
      </c>
      <c r="Y48" s="16">
        <f t="shared" si="20"/>
        <v>260.64244757640387</v>
      </c>
      <c r="AA48" s="16">
        <v>4</v>
      </c>
      <c r="AB48" s="16" t="s">
        <v>524</v>
      </c>
      <c r="AC48" s="37">
        <f t="shared" si="27"/>
        <v>89.339691039453371</v>
      </c>
      <c r="AD48" s="37">
        <f t="shared" si="28"/>
        <v>86.53648267030276</v>
      </c>
      <c r="AE48" s="37">
        <f t="shared" si="29"/>
        <v>81.890639440913631</v>
      </c>
      <c r="AF48" s="37">
        <f t="shared" si="30"/>
        <v>72.391926429158104</v>
      </c>
      <c r="AG48" s="37">
        <f t="shared" si="31"/>
        <v>68.250411499210969</v>
      </c>
      <c r="AI48" s="16">
        <v>43</v>
      </c>
      <c r="AJ48" s="16">
        <f t="shared" si="21"/>
        <v>1713.6726543055238</v>
      </c>
      <c r="AK48" s="16">
        <f t="shared" si="22"/>
        <v>1780.6158871325931</v>
      </c>
      <c r="AL48" s="16">
        <f t="shared" si="23"/>
        <v>1890.7137422144872</v>
      </c>
      <c r="AM48" s="16">
        <f t="shared" si="24"/>
        <v>2189.9302554737674</v>
      </c>
      <c r="AN48" s="16">
        <f t="shared" si="25"/>
        <v>2259.2747775429852</v>
      </c>
    </row>
    <row r="49" spans="5:40">
      <c r="E49" s="16">
        <v>5</v>
      </c>
      <c r="F49" s="16" t="s">
        <v>524</v>
      </c>
      <c r="G49" s="16">
        <v>25</v>
      </c>
      <c r="H49" s="16" t="s">
        <v>483</v>
      </c>
      <c r="I49" s="16">
        <v>300</v>
      </c>
      <c r="N49" s="16">
        <f t="shared" si="26"/>
        <v>1500</v>
      </c>
      <c r="P49" s="16">
        <v>140</v>
      </c>
      <c r="Q49" s="16">
        <f>投放验证!AL59</f>
        <v>27406.095867274642</v>
      </c>
      <c r="R49" s="16">
        <f>投放验证!AM59</f>
        <v>6967.4463832338206</v>
      </c>
      <c r="S49" s="16">
        <f>投放验证!AN59</f>
        <v>1264.7178622384899</v>
      </c>
      <c r="T49" s="16">
        <f>投放验证!AO59</f>
        <v>310.66609354616327</v>
      </c>
      <c r="U49" s="16">
        <f t="shared" si="19"/>
        <v>4</v>
      </c>
      <c r="V49" s="16">
        <f t="shared" si="16"/>
        <v>9</v>
      </c>
      <c r="W49" s="16">
        <f t="shared" si="17"/>
        <v>25</v>
      </c>
      <c r="X49" s="77">
        <f>投放验证!AA59</f>
        <v>310.66609354616327</v>
      </c>
      <c r="Y49" s="16">
        <f t="shared" si="20"/>
        <v>348.66609354616327</v>
      </c>
      <c r="AA49" s="16">
        <v>5</v>
      </c>
      <c r="AB49" s="16" t="s">
        <v>524</v>
      </c>
      <c r="AC49" s="37">
        <f t="shared" si="27"/>
        <v>92.800365972475547</v>
      </c>
      <c r="AD49" s="37">
        <f t="shared" si="28"/>
        <v>90.29798763326653</v>
      </c>
      <c r="AE49" s="37">
        <f t="shared" si="29"/>
        <v>85.58343957643406</v>
      </c>
      <c r="AF49" s="37">
        <f t="shared" si="30"/>
        <v>75.816221514179617</v>
      </c>
      <c r="AG49" s="37">
        <f t="shared" si="31"/>
        <v>71.857980238590869</v>
      </c>
      <c r="AI49" s="16">
        <v>44</v>
      </c>
      <c r="AJ49" s="16">
        <f t="shared" si="21"/>
        <v>1753.5255067312337</v>
      </c>
      <c r="AK49" s="16">
        <f t="shared" si="22"/>
        <v>1822.0255589263738</v>
      </c>
      <c r="AL49" s="16">
        <f t="shared" si="23"/>
        <v>1934.6838292427315</v>
      </c>
      <c r="AM49" s="16">
        <f t="shared" si="24"/>
        <v>2240.8588660661808</v>
      </c>
      <c r="AN49" s="16">
        <f t="shared" si="25"/>
        <v>2311.8160514393335</v>
      </c>
    </row>
    <row r="50" spans="5:40">
      <c r="E50" s="16">
        <v>6</v>
      </c>
      <c r="F50" s="16" t="s">
        <v>524</v>
      </c>
      <c r="G50" s="16">
        <v>30</v>
      </c>
      <c r="H50" s="16" t="s">
        <v>483</v>
      </c>
      <c r="I50" s="16">
        <v>300</v>
      </c>
      <c r="N50" s="16">
        <f t="shared" si="26"/>
        <v>1800</v>
      </c>
      <c r="P50" s="16">
        <v>145</v>
      </c>
      <c r="Q50" s="16">
        <f>投放验证!AL60</f>
        <v>38484.579525589339</v>
      </c>
      <c r="R50" s="16">
        <f>投放验证!AM60</f>
        <v>9759.4510278462549</v>
      </c>
      <c r="S50" s="16">
        <f>投放验证!AN60</f>
        <v>1771.5930585271974</v>
      </c>
      <c r="T50" s="16">
        <f>投放验证!AO60</f>
        <v>433.62305012893216</v>
      </c>
      <c r="U50" s="16">
        <f t="shared" si="19"/>
        <v>4</v>
      </c>
      <c r="V50" s="16">
        <f t="shared" si="16"/>
        <v>9</v>
      </c>
      <c r="W50" s="16">
        <f t="shared" si="17"/>
        <v>25</v>
      </c>
      <c r="X50" s="77">
        <f>投放验证!AA60</f>
        <v>433.62305012893216</v>
      </c>
      <c r="Y50" s="16">
        <f t="shared" si="20"/>
        <v>471.62305012893216</v>
      </c>
      <c r="AA50" s="16">
        <v>6</v>
      </c>
      <c r="AB50" s="16" t="s">
        <v>524</v>
      </c>
      <c r="AC50" s="37">
        <f t="shared" si="27"/>
        <v>95.795192771230035</v>
      </c>
      <c r="AD50" s="37">
        <f t="shared" si="28"/>
        <v>93.077168070587717</v>
      </c>
      <c r="AE50" s="37">
        <f t="shared" si="29"/>
        <v>88.450154979057515</v>
      </c>
      <c r="AF50" s="37">
        <f t="shared" si="30"/>
        <v>78.588180303200531</v>
      </c>
      <c r="AG50" s="37">
        <f t="shared" si="31"/>
        <v>74.721348159760808</v>
      </c>
      <c r="AI50" s="16">
        <v>45</v>
      </c>
      <c r="AJ50" s="16">
        <f t="shared" si="21"/>
        <v>1793.3783591569431</v>
      </c>
      <c r="AK50" s="16">
        <f t="shared" si="22"/>
        <v>1863.4352307201552</v>
      </c>
      <c r="AL50" s="16">
        <f t="shared" si="23"/>
        <v>1978.6539162709751</v>
      </c>
      <c r="AM50" s="16">
        <f t="shared" si="24"/>
        <v>2291.7874766585937</v>
      </c>
      <c r="AN50" s="16">
        <f t="shared" si="25"/>
        <v>2364.3573253356822</v>
      </c>
    </row>
    <row r="51" spans="5:40">
      <c r="E51" s="16">
        <v>7</v>
      </c>
      <c r="F51" s="16" t="s">
        <v>524</v>
      </c>
      <c r="G51" s="16">
        <v>35</v>
      </c>
      <c r="H51" s="16" t="s">
        <v>483</v>
      </c>
      <c r="I51" s="16">
        <v>300</v>
      </c>
      <c r="N51" s="16">
        <f t="shared" si="26"/>
        <v>2100</v>
      </c>
      <c r="P51" s="16">
        <v>150</v>
      </c>
      <c r="Q51" s="16">
        <f>投放验证!AL61</f>
        <v>53906.254305903174</v>
      </c>
      <c r="R51" s="16">
        <f>投放验证!AM61</f>
        <v>13640.42602154733</v>
      </c>
      <c r="S51" s="16">
        <f>投放验证!AN61</f>
        <v>2476.2011459596015</v>
      </c>
      <c r="T51" s="16">
        <f>投放验证!AO61</f>
        <v>604.17052998653378</v>
      </c>
      <c r="U51" s="16">
        <f t="shared" si="19"/>
        <v>4</v>
      </c>
      <c r="V51" s="16">
        <f t="shared" si="16"/>
        <v>9</v>
      </c>
      <c r="W51" s="16">
        <f t="shared" si="17"/>
        <v>25</v>
      </c>
      <c r="X51" s="77">
        <f>投放验证!AA61</f>
        <v>604.17052998653378</v>
      </c>
      <c r="Y51" s="16">
        <f t="shared" si="20"/>
        <v>642.17052998653378</v>
      </c>
      <c r="AA51" s="16">
        <v>7</v>
      </c>
      <c r="AB51" s="16" t="s">
        <v>524</v>
      </c>
      <c r="AC51" s="37">
        <f t="shared" si="27"/>
        <v>98.228170820122543</v>
      </c>
      <c r="AD51" s="37">
        <f t="shared" si="28"/>
        <v>95.614399910388215</v>
      </c>
      <c r="AE51" s="37">
        <f t="shared" si="29"/>
        <v>90.961167973401245</v>
      </c>
      <c r="AF51" s="37">
        <f t="shared" si="30"/>
        <v>80.968181616248543</v>
      </c>
      <c r="AG51" s="37">
        <f t="shared" si="31"/>
        <v>76.875789868036321</v>
      </c>
      <c r="AI51" s="16">
        <v>46</v>
      </c>
      <c r="AJ51" s="16">
        <f t="shared" si="21"/>
        <v>1882.5738859105707</v>
      </c>
      <c r="AK51" s="16">
        <f t="shared" si="22"/>
        <v>1954.1150604749878</v>
      </c>
      <c r="AL51" s="16">
        <f t="shared" si="23"/>
        <v>2071.79852194049</v>
      </c>
      <c r="AM51" s="16">
        <f t="shared" si="24"/>
        <v>2460.1237692091181</v>
      </c>
      <c r="AN51" s="16">
        <f t="shared" si="25"/>
        <v>2605.0776812875333</v>
      </c>
    </row>
    <row r="52" spans="5:40">
      <c r="E52" s="16">
        <v>8</v>
      </c>
      <c r="F52" s="16" t="s">
        <v>524</v>
      </c>
      <c r="G52" s="16">
        <v>40</v>
      </c>
      <c r="H52" s="16" t="s">
        <v>483</v>
      </c>
      <c r="I52" s="16">
        <v>300</v>
      </c>
      <c r="N52" s="16">
        <f t="shared" si="26"/>
        <v>2400</v>
      </c>
      <c r="P52" s="16">
        <v>155</v>
      </c>
      <c r="Q52" s="16">
        <f>投放验证!AL62</f>
        <v>85272.109276281059</v>
      </c>
      <c r="R52" s="16">
        <f>投放验证!AM62</f>
        <v>21525.417188168314</v>
      </c>
      <c r="S52" s="16">
        <f>投放验证!AN62</f>
        <v>3907.8095997135124</v>
      </c>
      <c r="T52" s="16">
        <f>投放验证!AO62</f>
        <v>950.11871629439406</v>
      </c>
      <c r="U52" s="16">
        <f t="shared" si="19"/>
        <v>4</v>
      </c>
      <c r="V52" s="16">
        <f t="shared" si="16"/>
        <v>9</v>
      </c>
      <c r="W52" s="16">
        <f t="shared" si="17"/>
        <v>25</v>
      </c>
      <c r="X52" s="77">
        <f>投放验证!AA62</f>
        <v>950.11871629439406</v>
      </c>
      <c r="Y52" s="16">
        <f t="shared" si="20"/>
        <v>988.11871629439406</v>
      </c>
      <c r="AA52" s="16">
        <v>8</v>
      </c>
      <c r="AB52" s="16" t="s">
        <v>524</v>
      </c>
      <c r="AC52" s="37">
        <f t="shared" si="27"/>
        <v>100.46780067314205</v>
      </c>
      <c r="AD52" s="37">
        <f t="shared" si="28"/>
        <v>97.608364045168315</v>
      </c>
      <c r="AE52" s="37">
        <f t="shared" si="29"/>
        <v>93.053549328611396</v>
      </c>
      <c r="AF52" s="37">
        <f t="shared" si="30"/>
        <v>82.941332418160556</v>
      </c>
      <c r="AG52" s="37">
        <f t="shared" si="31"/>
        <v>78.953803996789958</v>
      </c>
      <c r="AI52" s="16">
        <v>47</v>
      </c>
      <c r="AJ52" s="16">
        <f t="shared" si="21"/>
        <v>1929.6399813460489</v>
      </c>
      <c r="AK52" s="16">
        <f t="shared" si="22"/>
        <v>2023.3979745456172</v>
      </c>
      <c r="AL52" s="16">
        <f t="shared" si="23"/>
        <v>2187.4041857609759</v>
      </c>
      <c r="AM52" s="16">
        <f t="shared" si="24"/>
        <v>2638.4829798790934</v>
      </c>
      <c r="AN52" s="16">
        <f t="shared" si="25"/>
        <v>2713.8364590402325</v>
      </c>
    </row>
    <row r="53" spans="5:40">
      <c r="E53" s="16">
        <v>9</v>
      </c>
      <c r="F53" s="16" t="s">
        <v>524</v>
      </c>
      <c r="G53" s="16">
        <v>45</v>
      </c>
      <c r="H53" s="16" t="s">
        <v>483</v>
      </c>
      <c r="I53" s="16">
        <v>300</v>
      </c>
      <c r="N53" s="16">
        <f t="shared" si="26"/>
        <v>2700</v>
      </c>
      <c r="P53" s="16">
        <v>160</v>
      </c>
      <c r="Q53" s="16">
        <f>投放验证!AL63</f>
        <v>126041.6320004591</v>
      </c>
      <c r="R53" s="16">
        <f>投放验证!AM63</f>
        <v>31753.892276522634</v>
      </c>
      <c r="S53" s="16">
        <f>投放验证!AN63</f>
        <v>5765.0338822107078</v>
      </c>
      <c r="T53" s="16">
        <f>投放验证!AO63</f>
        <v>1397.5419607369022</v>
      </c>
      <c r="U53" s="16">
        <f t="shared" si="19"/>
        <v>4</v>
      </c>
      <c r="V53" s="16">
        <f t="shared" si="16"/>
        <v>9</v>
      </c>
      <c r="W53" s="16">
        <f t="shared" si="17"/>
        <v>25</v>
      </c>
      <c r="X53" s="77">
        <f>投放验证!AA63</f>
        <v>1397.5419607369022</v>
      </c>
      <c r="Y53" s="16">
        <f t="shared" si="20"/>
        <v>1435.5419607369022</v>
      </c>
      <c r="AA53" s="16">
        <v>9</v>
      </c>
      <c r="AB53" s="16" t="s">
        <v>524</v>
      </c>
      <c r="AC53" s="37">
        <f t="shared" si="27"/>
        <v>102.18927192167848</v>
      </c>
      <c r="AD53" s="37">
        <f t="shared" si="28"/>
        <v>99.602328179948415</v>
      </c>
      <c r="AE53" s="37">
        <f t="shared" si="29"/>
        <v>95.098362388447697</v>
      </c>
      <c r="AF53" s="37">
        <f t="shared" si="30"/>
        <v>84.914483220072569</v>
      </c>
      <c r="AG53" s="37">
        <f t="shared" si="31"/>
        <v>80.737528354470086</v>
      </c>
      <c r="AI53" s="16">
        <v>48</v>
      </c>
      <c r="AJ53" s="16">
        <f t="shared" si="21"/>
        <v>2020.5839858102956</v>
      </c>
      <c r="AK53" s="16">
        <f t="shared" si="22"/>
        <v>2126.5395571835402</v>
      </c>
      <c r="AL53" s="16">
        <f t="shared" si="23"/>
        <v>2315.3983992695084</v>
      </c>
      <c r="AM53" s="16">
        <f t="shared" si="24"/>
        <v>2686.1102773233288</v>
      </c>
      <c r="AN53" s="16">
        <f t="shared" si="25"/>
        <v>2763.0670219985354</v>
      </c>
    </row>
    <row r="54" spans="5:40">
      <c r="E54" s="16">
        <v>10</v>
      </c>
      <c r="F54" s="16" t="s">
        <v>524</v>
      </c>
      <c r="G54" s="16">
        <v>50</v>
      </c>
      <c r="H54" s="16" t="s">
        <v>483</v>
      </c>
      <c r="I54" s="16">
        <v>300</v>
      </c>
      <c r="N54" s="16">
        <f t="shared" si="26"/>
        <v>3000</v>
      </c>
      <c r="AA54" s="16">
        <v>10</v>
      </c>
      <c r="AB54" s="16" t="s">
        <v>524</v>
      </c>
      <c r="AC54" s="37">
        <f t="shared" si="27"/>
        <v>103.9107431702149</v>
      </c>
      <c r="AD54" s="37">
        <f t="shared" si="28"/>
        <v>101.16133668932264</v>
      </c>
      <c r="AE54" s="37">
        <f t="shared" si="29"/>
        <v>96.508700654891868</v>
      </c>
      <c r="AF54" s="37">
        <f t="shared" si="30"/>
        <v>86.49351512289148</v>
      </c>
      <c r="AG54" s="37">
        <f t="shared" si="31"/>
        <v>82.222862157981098</v>
      </c>
      <c r="AI54" s="16">
        <v>49</v>
      </c>
      <c r="AJ54" s="16">
        <f t="shared" si="21"/>
        <v>2108.1385432068223</v>
      </c>
      <c r="AK54" s="16">
        <f t="shared" si="22"/>
        <v>2229.6811398214631</v>
      </c>
      <c r="AL54" s="16">
        <f t="shared" si="23"/>
        <v>2394.2082706322585</v>
      </c>
      <c r="AM54" s="16">
        <f t="shared" si="24"/>
        <v>2733.7375747675651</v>
      </c>
      <c r="AN54" s="16">
        <f t="shared" si="25"/>
        <v>2817.2922057687879</v>
      </c>
    </row>
    <row r="55" spans="5:40">
      <c r="AI55" s="16">
        <v>50</v>
      </c>
      <c r="AJ55" s="16">
        <f t="shared" si="21"/>
        <v>2188.4442891731528</v>
      </c>
      <c r="AK55" s="16">
        <f t="shared" si="22"/>
        <v>2307.9053436330787</v>
      </c>
      <c r="AL55" s="16">
        <f t="shared" si="23"/>
        <v>2434.9063986043452</v>
      </c>
      <c r="AM55" s="16">
        <f t="shared" si="24"/>
        <v>2795.487775432799</v>
      </c>
      <c r="AN55" s="16">
        <f t="shared" si="25"/>
        <v>3004.452674435709</v>
      </c>
    </row>
    <row r="56" spans="5:40">
      <c r="P56" s="32"/>
      <c r="Q56" s="164" t="s">
        <v>528</v>
      </c>
      <c r="R56" s="164"/>
      <c r="S56" s="164"/>
      <c r="T56" s="164"/>
      <c r="U56" s="164" t="s">
        <v>539</v>
      </c>
      <c r="V56" s="164"/>
      <c r="W56" s="164"/>
      <c r="X56" s="164"/>
      <c r="AA56" s="32"/>
      <c r="AC56" s="164" t="s">
        <v>520</v>
      </c>
      <c r="AD56" s="164"/>
      <c r="AE56" s="164"/>
      <c r="AF56" s="164"/>
      <c r="AG56" s="164"/>
      <c r="AI56" s="16">
        <v>51</v>
      </c>
      <c r="AJ56" s="16">
        <f t="shared" si="21"/>
        <v>2267.452235406563</v>
      </c>
      <c r="AK56" s="16">
        <f t="shared" si="22"/>
        <v>2346.0634505057405</v>
      </c>
      <c r="AL56" s="16">
        <f t="shared" si="23"/>
        <v>2475.6045265764324</v>
      </c>
      <c r="AM56" s="16">
        <f t="shared" si="24"/>
        <v>2939.4477490837598</v>
      </c>
      <c r="AN56" s="16">
        <f t="shared" si="25"/>
        <v>3217.9674238895814</v>
      </c>
    </row>
    <row r="57" spans="5:40">
      <c r="E57" s="16" t="s">
        <v>510</v>
      </c>
      <c r="F57" s="16" t="s">
        <v>511</v>
      </c>
      <c r="G57" s="16" t="s">
        <v>484</v>
      </c>
      <c r="H57" s="16" t="s">
        <v>514</v>
      </c>
      <c r="I57" s="16" t="s">
        <v>515</v>
      </c>
      <c r="J57" s="16" t="s">
        <v>516</v>
      </c>
      <c r="K57" s="16" t="s">
        <v>517</v>
      </c>
      <c r="L57" s="16" t="s">
        <v>518</v>
      </c>
      <c r="M57" s="16" t="s">
        <v>519</v>
      </c>
      <c r="N57" s="16" t="s">
        <v>542</v>
      </c>
      <c r="P57" s="16" t="s">
        <v>401</v>
      </c>
      <c r="Q57" s="16" t="s">
        <v>79</v>
      </c>
      <c r="R57" s="16" t="s">
        <v>80</v>
      </c>
      <c r="S57" s="16" t="s">
        <v>81</v>
      </c>
      <c r="T57" s="16" t="s">
        <v>205</v>
      </c>
      <c r="U57" s="16" t="s">
        <v>79</v>
      </c>
      <c r="V57" s="16" t="s">
        <v>80</v>
      </c>
      <c r="W57" s="16" t="s">
        <v>81</v>
      </c>
      <c r="X57" s="16" t="s">
        <v>205</v>
      </c>
      <c r="Y57" s="16" t="s">
        <v>541</v>
      </c>
      <c r="AA57" s="16" t="s">
        <v>510</v>
      </c>
      <c r="AB57" s="16" t="s">
        <v>511</v>
      </c>
      <c r="AC57" s="16" t="s">
        <v>74</v>
      </c>
      <c r="AD57" s="16" t="s">
        <v>75</v>
      </c>
      <c r="AE57" s="16" t="s">
        <v>76</v>
      </c>
      <c r="AF57" s="16" t="s">
        <v>77</v>
      </c>
      <c r="AG57" s="16" t="s">
        <v>78</v>
      </c>
      <c r="AI57" s="16">
        <v>52</v>
      </c>
      <c r="AJ57" s="16">
        <f t="shared" si="21"/>
        <v>2304.0689459047308</v>
      </c>
      <c r="AK57" s="16">
        <f t="shared" si="22"/>
        <v>2384.2215573784019</v>
      </c>
      <c r="AL57" s="16">
        <f t="shared" si="23"/>
        <v>2516.3026545485191</v>
      </c>
      <c r="AM57" s="16">
        <f t="shared" si="24"/>
        <v>3104.2608600540843</v>
      </c>
      <c r="AN57" s="16">
        <f t="shared" si="25"/>
        <v>3431.4821733434537</v>
      </c>
    </row>
    <row r="58" spans="5:40">
      <c r="E58" s="16">
        <v>1</v>
      </c>
      <c r="F58" s="16" t="s">
        <v>525</v>
      </c>
      <c r="G58" s="16">
        <v>5</v>
      </c>
      <c r="H58" s="16" t="s">
        <v>483</v>
      </c>
      <c r="I58" s="16">
        <v>800</v>
      </c>
      <c r="N58" s="77">
        <f>IF(H58="",0,INDEX($B$6:$B$9,MATCH(H58,$A$6:$A$9,0))*I58)+IF(J58="",0,INDEX($B$6:$B$9,MATCH(J58,$A$6:$A$9,0))*K58)+IF(L58="",0,INDEX($B$6:$B$9,MATCH(L58,$A$6:$A$9,0))*M58)</f>
        <v>800</v>
      </c>
      <c r="P58" s="16">
        <v>45</v>
      </c>
      <c r="Q58" s="16">
        <v>0</v>
      </c>
      <c r="R58" s="16">
        <v>0</v>
      </c>
      <c r="S58" s="16">
        <v>0</v>
      </c>
      <c r="T58" s="16">
        <v>0</v>
      </c>
      <c r="U58" s="16">
        <f>MIN(Q58/2,Q$2)</f>
        <v>0</v>
      </c>
      <c r="V58" s="16">
        <f t="shared" ref="V58:V79" si="32">MIN(R58/2,R$2)</f>
        <v>0</v>
      </c>
      <c r="W58" s="16">
        <f t="shared" ref="W58:W79" si="33">MIN(S58/2,S$2)</f>
        <v>0</v>
      </c>
      <c r="X58" s="16">
        <v>0</v>
      </c>
      <c r="Y58" s="16">
        <f>SUM(U58:X58)</f>
        <v>0</v>
      </c>
      <c r="AA58" s="16">
        <v>1</v>
      </c>
      <c r="AB58" s="16" t="s">
        <v>525</v>
      </c>
      <c r="AC58" s="37">
        <f>求节点($T$6:$T$27,$P$6:$P$27,$G58*2)</f>
        <v>90.161600180762207</v>
      </c>
      <c r="AD58" s="37">
        <f>求节点($T$32:$T$53,$P$32:$P$53,$G58*2)</f>
        <v>85.512374628885681</v>
      </c>
      <c r="AE58" s="37">
        <f>求节点($T$58:$T$79,$P$58:$P$79,$G58*2)</f>
        <v>79.286593178597585</v>
      </c>
      <c r="AF58" s="37">
        <f>求节点($T$84:$T$105,$P$84:$P$105,$G58*2)</f>
        <v>68.594581580514102</v>
      </c>
      <c r="AG58" s="37">
        <f>求节点($T$110:$T$131,$P$110:$P$131,$G58*2)</f>
        <v>63.490420615057673</v>
      </c>
      <c r="AI58" s="16">
        <v>53</v>
      </c>
      <c r="AJ58" s="16">
        <f t="shared" si="21"/>
        <v>2340.685656402899</v>
      </c>
      <c r="AK58" s="16">
        <f t="shared" si="22"/>
        <v>2422.3796642510633</v>
      </c>
      <c r="AL58" s="16">
        <f t="shared" si="23"/>
        <v>2557.0007825206062</v>
      </c>
      <c r="AM58" s="16">
        <f t="shared" si="24"/>
        <v>3270.2207731881253</v>
      </c>
      <c r="AN58" s="16">
        <f t="shared" si="25"/>
        <v>3644.9969227973252</v>
      </c>
    </row>
    <row r="59" spans="5:40">
      <c r="E59" s="16">
        <v>2</v>
      </c>
      <c r="F59" s="16" t="s">
        <v>525</v>
      </c>
      <c r="G59" s="16">
        <v>10</v>
      </c>
      <c r="H59" s="16" t="s">
        <v>483</v>
      </c>
      <c r="I59" s="16">
        <v>800</v>
      </c>
      <c r="N59" s="16">
        <f t="shared" ref="N59:N67" si="34">IF(H59="",0,INDEX($B$6:$B$9,MATCH(H59,$A$6:$A$9,0))*I59)+IF(J59="",0,INDEX($B$6:$B$9,MATCH(J59,$A$6:$A$9,0))*K59)+IF(L59="",0,INDEX($B$6:$B$9,MATCH(L59,$A$6:$A$9,0))*M59)+N58</f>
        <v>1600</v>
      </c>
      <c r="P59" s="16">
        <v>50</v>
      </c>
      <c r="Q59" s="16">
        <f>投放验证!AL69</f>
        <v>79.085258582801131</v>
      </c>
      <c r="R59" s="16">
        <f>投放验证!AM69</f>
        <v>26.188825660933713</v>
      </c>
      <c r="S59" s="16">
        <f>投放验证!AN69</f>
        <v>4.7624082349680688</v>
      </c>
      <c r="T59" s="16">
        <f>投放验证!AO69</f>
        <v>1.5298270116560226</v>
      </c>
      <c r="U59" s="16">
        <f t="shared" ref="U59:U79" si="35">MIN(Q59/2,Q$2)</f>
        <v>4</v>
      </c>
      <c r="V59" s="16">
        <f t="shared" si="32"/>
        <v>9</v>
      </c>
      <c r="W59" s="16">
        <f t="shared" si="33"/>
        <v>2.3812041174840344</v>
      </c>
      <c r="X59" s="77">
        <f>投放验证!AA69</f>
        <v>1.5298270116560226</v>
      </c>
      <c r="Y59" s="16">
        <f t="shared" ref="Y59:Y79" si="36">SUM(U59:X59)</f>
        <v>16.911031129140056</v>
      </c>
      <c r="AA59" s="16">
        <v>2</v>
      </c>
      <c r="AB59" s="16" t="s">
        <v>525</v>
      </c>
      <c r="AC59" s="37">
        <f t="shared" ref="AC59:AC67" si="37">求节点($T$6:$T$27,$P$6:$P$27,$G59*2)</f>
        <v>101.79310135125462</v>
      </c>
      <c r="AD59" s="37">
        <f t="shared" ref="AD59:AD67" si="38">求节点($T$32:$T$53,$P$32:$P$53,$G59*2)</f>
        <v>96.979942593890186</v>
      </c>
      <c r="AE59" s="37">
        <f t="shared" ref="AE59:AE67" si="39">求节点($T$58:$T$79,$P$58:$P$79,$G59*2)</f>
        <v>90.666744710617522</v>
      </c>
      <c r="AF59" s="37">
        <f t="shared" ref="AF59:AF67" si="40">求节点($T$84:$T$105,$P$84:$P$105,$G59*2)</f>
        <v>79.357568484832058</v>
      </c>
      <c r="AG59" s="37">
        <f t="shared" ref="AG59:AG67" si="41">求节点($T$110:$T$131,$P$110:$P$131,$G59*2)</f>
        <v>75.026525597723051</v>
      </c>
      <c r="AI59" s="16">
        <v>54</v>
      </c>
      <c r="AJ59" s="16">
        <f t="shared" si="21"/>
        <v>2377.3023669010668</v>
      </c>
      <c r="AK59" s="16">
        <f t="shared" si="22"/>
        <v>2460.5377711237252</v>
      </c>
      <c r="AL59" s="16">
        <f t="shared" si="23"/>
        <v>2597.6989104926934</v>
      </c>
      <c r="AM59" s="16">
        <f t="shared" si="24"/>
        <v>3436.1806863221673</v>
      </c>
      <c r="AN59" s="16">
        <f t="shared" si="25"/>
        <v>3858.511672251198</v>
      </c>
    </row>
    <row r="60" spans="5:40">
      <c r="E60" s="16">
        <v>3</v>
      </c>
      <c r="F60" s="16" t="s">
        <v>525</v>
      </c>
      <c r="G60" s="16">
        <v>15</v>
      </c>
      <c r="H60" s="16" t="s">
        <v>483</v>
      </c>
      <c r="I60" s="16">
        <v>800</v>
      </c>
      <c r="N60" s="16">
        <f t="shared" si="34"/>
        <v>2400</v>
      </c>
      <c r="P60" s="16">
        <v>60</v>
      </c>
      <c r="Q60" s="16">
        <f>投放验证!AL70</f>
        <v>163.74534943200331</v>
      </c>
      <c r="R60" s="16">
        <f>投放验证!AM70</f>
        <v>51.512677144413736</v>
      </c>
      <c r="S60" s="16">
        <f>投放验证!AN70</f>
        <v>9.3659678360130414</v>
      </c>
      <c r="T60" s="16">
        <f>投放验证!AO70</f>
        <v>2.8842500786710135</v>
      </c>
      <c r="U60" s="16">
        <f t="shared" si="35"/>
        <v>4</v>
      </c>
      <c r="V60" s="16">
        <f t="shared" si="32"/>
        <v>9</v>
      </c>
      <c r="W60" s="16">
        <f t="shared" si="33"/>
        <v>4.6829839180065207</v>
      </c>
      <c r="X60" s="77">
        <f>投放验证!AA70</f>
        <v>2.8842500786710135</v>
      </c>
      <c r="Y60" s="16">
        <f t="shared" si="36"/>
        <v>20.567233996677533</v>
      </c>
      <c r="AA60" s="16">
        <v>3</v>
      </c>
      <c r="AB60" s="16" t="s">
        <v>525</v>
      </c>
      <c r="AC60" s="37">
        <f t="shared" si="37"/>
        <v>108.55808575160802</v>
      </c>
      <c r="AD60" s="37">
        <f t="shared" si="38"/>
        <v>103.59575776127883</v>
      </c>
      <c r="AE60" s="37">
        <f t="shared" si="39"/>
        <v>97.013564387733311</v>
      </c>
      <c r="AF60" s="37">
        <f t="shared" si="40"/>
        <v>85.618564595389898</v>
      </c>
      <c r="AG60" s="37">
        <f t="shared" si="41"/>
        <v>80.996721786152392</v>
      </c>
      <c r="AI60" s="16">
        <v>55</v>
      </c>
      <c r="AJ60" s="16">
        <f t="shared" si="21"/>
        <v>2413.919077399235</v>
      </c>
      <c r="AK60" s="16">
        <f t="shared" si="22"/>
        <v>2498.695877996387</v>
      </c>
      <c r="AL60" s="16">
        <f t="shared" si="23"/>
        <v>2638.3970384647801</v>
      </c>
      <c r="AM60" s="16">
        <f t="shared" si="24"/>
        <v>3602.1405994562092</v>
      </c>
      <c r="AN60" s="16">
        <f t="shared" si="25"/>
        <v>4072.0264217050703</v>
      </c>
    </row>
    <row r="61" spans="5:40">
      <c r="E61" s="16">
        <v>4</v>
      </c>
      <c r="F61" s="16" t="s">
        <v>525</v>
      </c>
      <c r="G61" s="16">
        <v>20</v>
      </c>
      <c r="H61" s="16" t="s">
        <v>483</v>
      </c>
      <c r="I61" s="16">
        <v>800</v>
      </c>
      <c r="N61" s="16">
        <f t="shared" si="34"/>
        <v>3200</v>
      </c>
      <c r="P61" s="16">
        <v>70</v>
      </c>
      <c r="Q61" s="16">
        <f>投放验证!AL71</f>
        <v>349.68219315147269</v>
      </c>
      <c r="R61" s="16">
        <f>投放验证!AM71</f>
        <v>104.22407861290351</v>
      </c>
      <c r="S61" s="16">
        <f>投放验证!AN71</f>
        <v>18.791015490631199</v>
      </c>
      <c r="T61" s="16">
        <f>投放验证!AO71</f>
        <v>5.6628198302103998</v>
      </c>
      <c r="U61" s="16">
        <f t="shared" si="35"/>
        <v>4</v>
      </c>
      <c r="V61" s="16">
        <f t="shared" si="32"/>
        <v>9</v>
      </c>
      <c r="W61" s="16">
        <f t="shared" si="33"/>
        <v>9.3955077453155997</v>
      </c>
      <c r="X61" s="77">
        <f>投放验证!AA71</f>
        <v>5.6628198302103998</v>
      </c>
      <c r="Y61" s="16">
        <f t="shared" si="36"/>
        <v>28.058327575525997</v>
      </c>
      <c r="AA61" s="16">
        <v>4</v>
      </c>
      <c r="AB61" s="16" t="s">
        <v>525</v>
      </c>
      <c r="AC61" s="37">
        <f t="shared" si="37"/>
        <v>113.19966937421471</v>
      </c>
      <c r="AD61" s="37">
        <f t="shared" si="38"/>
        <v>108.19847831551972</v>
      </c>
      <c r="AE61" s="37">
        <f t="shared" si="39"/>
        <v>101.47679845291971</v>
      </c>
      <c r="AF61" s="37">
        <f t="shared" si="40"/>
        <v>90.38529486243732</v>
      </c>
      <c r="AG61" s="37">
        <f t="shared" si="41"/>
        <v>85.462442441712938</v>
      </c>
      <c r="AI61" s="16">
        <v>56</v>
      </c>
      <c r="AJ61" s="16">
        <f t="shared" si="21"/>
        <v>2450.5357878974028</v>
      </c>
      <c r="AK61" s="16">
        <f t="shared" si="22"/>
        <v>2536.853984869048</v>
      </c>
      <c r="AL61" s="16">
        <f t="shared" si="23"/>
        <v>2679.0951664368667</v>
      </c>
      <c r="AM61" s="16">
        <f t="shared" si="24"/>
        <v>3768.1005125902502</v>
      </c>
      <c r="AN61" s="16">
        <f t="shared" si="25"/>
        <v>4285.5411711589422</v>
      </c>
    </row>
    <row r="62" spans="5:40">
      <c r="E62" s="16">
        <v>5</v>
      </c>
      <c r="F62" s="16" t="s">
        <v>525</v>
      </c>
      <c r="G62" s="16">
        <v>25</v>
      </c>
      <c r="H62" s="16" t="s">
        <v>483</v>
      </c>
      <c r="I62" s="16">
        <v>800</v>
      </c>
      <c r="N62" s="16">
        <f t="shared" si="34"/>
        <v>4000</v>
      </c>
      <c r="P62" s="16">
        <v>75</v>
      </c>
      <c r="Q62" s="16">
        <f>投放验证!AL72</f>
        <v>486.07829362441367</v>
      </c>
      <c r="R62" s="16">
        <f>投放验证!AM72</f>
        <v>142.07859874744202</v>
      </c>
      <c r="S62" s="16">
        <f>投放验证!AN72</f>
        <v>25.553087434516673</v>
      </c>
      <c r="T62" s="16">
        <f>投放验证!AO72</f>
        <v>7.6186423543687098</v>
      </c>
      <c r="U62" s="16">
        <f t="shared" si="35"/>
        <v>4</v>
      </c>
      <c r="V62" s="16">
        <f t="shared" si="32"/>
        <v>9</v>
      </c>
      <c r="W62" s="16">
        <f t="shared" si="33"/>
        <v>12.776543717258336</v>
      </c>
      <c r="X62" s="77">
        <f>投放验证!AA72</f>
        <v>7.6186423543687098</v>
      </c>
      <c r="Y62" s="16">
        <f t="shared" si="36"/>
        <v>33.395186071627045</v>
      </c>
      <c r="AA62" s="16">
        <v>5</v>
      </c>
      <c r="AB62" s="16" t="s">
        <v>525</v>
      </c>
      <c r="AC62" s="37">
        <f t="shared" si="37"/>
        <v>116.79159932233406</v>
      </c>
      <c r="AD62" s="37">
        <f t="shared" si="38"/>
        <v>111.72519043041331</v>
      </c>
      <c r="AE62" s="37">
        <f t="shared" si="39"/>
        <v>105.15404401766082</v>
      </c>
      <c r="AF62" s="37">
        <f t="shared" si="40"/>
        <v>93.792209883414046</v>
      </c>
      <c r="AG62" s="37">
        <f t="shared" si="41"/>
        <v>89.295073989707475</v>
      </c>
      <c r="AI62" s="16">
        <v>57</v>
      </c>
      <c r="AJ62" s="16">
        <f t="shared" si="21"/>
        <v>2487.1524983955705</v>
      </c>
      <c r="AK62" s="16">
        <f t="shared" si="22"/>
        <v>2575.0120917417098</v>
      </c>
      <c r="AL62" s="16">
        <f t="shared" si="23"/>
        <v>2719.7932944089539</v>
      </c>
      <c r="AM62" s="16">
        <f t="shared" si="24"/>
        <v>3934.0604257242921</v>
      </c>
      <c r="AN62" s="16">
        <f t="shared" si="25"/>
        <v>4501.2984382227123</v>
      </c>
    </row>
    <row r="63" spans="5:40">
      <c r="E63" s="16">
        <v>6</v>
      </c>
      <c r="F63" s="16" t="s">
        <v>525</v>
      </c>
      <c r="G63" s="16">
        <v>30</v>
      </c>
      <c r="H63" s="16" t="s">
        <v>483</v>
      </c>
      <c r="I63" s="16">
        <v>800</v>
      </c>
      <c r="N63" s="16">
        <f t="shared" si="34"/>
        <v>4800</v>
      </c>
      <c r="P63" s="16">
        <v>80</v>
      </c>
      <c r="Q63" s="16">
        <f>投放验证!AL73</f>
        <v>679.80580445345413</v>
      </c>
      <c r="R63" s="16">
        <f>投放验证!AM73</f>
        <v>195.84222307023066</v>
      </c>
      <c r="S63" s="16">
        <f>投放验证!AN73</f>
        <v>35.157033924000089</v>
      </c>
      <c r="T63" s="16">
        <f>投放验证!AO73</f>
        <v>10.396323308000028</v>
      </c>
      <c r="U63" s="16">
        <f t="shared" si="35"/>
        <v>4</v>
      </c>
      <c r="V63" s="16">
        <f t="shared" si="32"/>
        <v>9</v>
      </c>
      <c r="W63" s="16">
        <f t="shared" si="33"/>
        <v>17.578516962000045</v>
      </c>
      <c r="X63" s="77">
        <f>投放验证!AA73</f>
        <v>10.396323308000028</v>
      </c>
      <c r="Y63" s="16">
        <f t="shared" si="36"/>
        <v>40.974840270000072</v>
      </c>
      <c r="AA63" s="16">
        <v>6</v>
      </c>
      <c r="AB63" s="16" t="s">
        <v>525</v>
      </c>
      <c r="AC63" s="37">
        <f t="shared" si="37"/>
        <v>119.9161653427232</v>
      </c>
      <c r="AD63" s="37">
        <f t="shared" si="38"/>
        <v>114.73595854660074</v>
      </c>
      <c r="AE63" s="37">
        <f t="shared" si="39"/>
        <v>107.80962575628064</v>
      </c>
      <c r="AF63" s="37">
        <f t="shared" si="40"/>
        <v>96.466978167667406</v>
      </c>
      <c r="AG63" s="37">
        <f t="shared" si="41"/>
        <v>92.072079247565057</v>
      </c>
      <c r="AI63" s="16">
        <v>58</v>
      </c>
      <c r="AJ63" s="16">
        <f t="shared" si="21"/>
        <v>2523.7692088937383</v>
      </c>
      <c r="AK63" s="16">
        <f t="shared" si="22"/>
        <v>2613.1701986143717</v>
      </c>
      <c r="AL63" s="16">
        <f t="shared" si="23"/>
        <v>2760.4914223810406</v>
      </c>
      <c r="AM63" s="16">
        <f t="shared" si="24"/>
        <v>4100.0203388583341</v>
      </c>
      <c r="AN63" s="16">
        <f t="shared" si="25"/>
        <v>4722.3189658678139</v>
      </c>
    </row>
    <row r="64" spans="5:40">
      <c r="E64" s="16">
        <v>7</v>
      </c>
      <c r="F64" s="16" t="s">
        <v>525</v>
      </c>
      <c r="G64" s="16">
        <v>35</v>
      </c>
      <c r="H64" s="16" t="s">
        <v>483</v>
      </c>
      <c r="I64" s="16">
        <v>800</v>
      </c>
      <c r="N64" s="16">
        <f t="shared" si="34"/>
        <v>5600</v>
      </c>
      <c r="P64" s="16">
        <v>85</v>
      </c>
      <c r="Q64" s="16">
        <f>投放验证!AL74</f>
        <v>940.04279786960274</v>
      </c>
      <c r="R64" s="16">
        <f>投放验证!AM74</f>
        <v>267.56381310171184</v>
      </c>
      <c r="S64" s="16">
        <f>投放验证!AN74</f>
        <v>47.964780264200193</v>
      </c>
      <c r="T64" s="16">
        <f>投放验证!AO74</f>
        <v>14.076912104108716</v>
      </c>
      <c r="U64" s="16">
        <f t="shared" si="35"/>
        <v>4</v>
      </c>
      <c r="V64" s="16">
        <f t="shared" si="32"/>
        <v>9</v>
      </c>
      <c r="W64" s="16">
        <f t="shared" si="33"/>
        <v>23.982390132100097</v>
      </c>
      <c r="X64" s="77">
        <f>投放验证!AA74</f>
        <v>14.076912104108716</v>
      </c>
      <c r="Y64" s="16">
        <f t="shared" si="36"/>
        <v>51.059302236208808</v>
      </c>
      <c r="AA64" s="16">
        <v>7</v>
      </c>
      <c r="AB64" s="16" t="s">
        <v>525</v>
      </c>
      <c r="AC64" s="37">
        <f t="shared" si="37"/>
        <v>122.15156740649937</v>
      </c>
      <c r="AD64" s="37">
        <f t="shared" si="38"/>
        <v>116.97330530874076</v>
      </c>
      <c r="AE64" s="37">
        <f t="shared" si="39"/>
        <v>110.33520506793101</v>
      </c>
      <c r="AF64" s="37">
        <f t="shared" si="40"/>
        <v>98.739641236914764</v>
      </c>
      <c r="AG64" s="37">
        <f t="shared" si="41"/>
        <v>94.611166191151625</v>
      </c>
      <c r="AI64" s="16">
        <v>59</v>
      </c>
      <c r="AJ64" s="16">
        <f t="shared" si="21"/>
        <v>2560.3859193919061</v>
      </c>
      <c r="AK64" s="16">
        <f t="shared" si="22"/>
        <v>2651.328305487033</v>
      </c>
      <c r="AL64" s="16">
        <f t="shared" si="23"/>
        <v>2852.9719408571732</v>
      </c>
      <c r="AM64" s="16">
        <f t="shared" si="24"/>
        <v>4265.980251992376</v>
      </c>
      <c r="AN64" s="16">
        <f t="shared" si="25"/>
        <v>4943.3394935129154</v>
      </c>
    </row>
    <row r="65" spans="5:40">
      <c r="E65" s="16">
        <v>8</v>
      </c>
      <c r="F65" s="16" t="s">
        <v>525</v>
      </c>
      <c r="G65" s="16">
        <v>40</v>
      </c>
      <c r="H65" s="16" t="s">
        <v>483</v>
      </c>
      <c r="I65" s="16">
        <v>800</v>
      </c>
      <c r="N65" s="16">
        <f t="shared" si="34"/>
        <v>6400</v>
      </c>
      <c r="P65" s="16">
        <v>90</v>
      </c>
      <c r="Q65" s="16">
        <f>投放验证!AL75</f>
        <v>1294.4330270579133</v>
      </c>
      <c r="R65" s="16">
        <f>投放验证!AM75</f>
        <v>365.23413427838369</v>
      </c>
      <c r="S65" s="16">
        <f>投放验证!AN75</f>
        <v>65.406344206767642</v>
      </c>
      <c r="T65" s="16">
        <f>投放验证!AO75</f>
        <v>19.089130735589208</v>
      </c>
      <c r="U65" s="16">
        <f t="shared" si="35"/>
        <v>4</v>
      </c>
      <c r="V65" s="16">
        <f t="shared" si="32"/>
        <v>9</v>
      </c>
      <c r="W65" s="16">
        <f t="shared" si="33"/>
        <v>25</v>
      </c>
      <c r="X65" s="77">
        <f>投放验证!AA75</f>
        <v>19.089130735589208</v>
      </c>
      <c r="Y65" s="16">
        <f t="shared" si="36"/>
        <v>57.089130735589208</v>
      </c>
      <c r="AA65" s="16">
        <v>8</v>
      </c>
      <c r="AB65" s="16" t="s">
        <v>525</v>
      </c>
      <c r="AC65" s="37">
        <f t="shared" si="37"/>
        <v>124.36245472475417</v>
      </c>
      <c r="AD65" s="37">
        <f t="shared" si="38"/>
        <v>119.1363034648912</v>
      </c>
      <c r="AE65" s="37">
        <f t="shared" si="39"/>
        <v>112.24868339071874</v>
      </c>
      <c r="AF65" s="37">
        <f t="shared" si="40"/>
        <v>100.75369792629704</v>
      </c>
      <c r="AG65" s="37">
        <f t="shared" si="41"/>
        <v>96.43569612275553</v>
      </c>
      <c r="AI65" s="16">
        <v>60</v>
      </c>
      <c r="AJ65" s="16">
        <f t="shared" si="21"/>
        <v>2597.0026298900739</v>
      </c>
      <c r="AK65" s="16">
        <f t="shared" si="22"/>
        <v>2689.4864123596944</v>
      </c>
      <c r="AL65" s="16">
        <f t="shared" si="23"/>
        <v>2987.5758477172171</v>
      </c>
      <c r="AM65" s="16">
        <f t="shared" si="24"/>
        <v>4431.940165126417</v>
      </c>
      <c r="AN65" s="16">
        <f t="shared" si="25"/>
        <v>5164.3600211580178</v>
      </c>
    </row>
    <row r="66" spans="5:40">
      <c r="E66" s="16">
        <v>9</v>
      </c>
      <c r="F66" s="16" t="s">
        <v>525</v>
      </c>
      <c r="G66" s="16">
        <v>45</v>
      </c>
      <c r="H66" s="16" t="s">
        <v>483</v>
      </c>
      <c r="I66" s="16">
        <v>800</v>
      </c>
      <c r="N66" s="16">
        <f t="shared" si="34"/>
        <v>7200</v>
      </c>
      <c r="P66" s="16">
        <v>95</v>
      </c>
      <c r="Q66" s="16">
        <f>投放验证!AL76</f>
        <v>1782.8647595783073</v>
      </c>
      <c r="R66" s="16">
        <f>投放验证!AM76</f>
        <v>499.08468830831794</v>
      </c>
      <c r="S66" s="16">
        <f>投放验证!AN76</f>
        <v>89.302561727296194</v>
      </c>
      <c r="T66" s="16">
        <f>投放验证!AO76</f>
        <v>25.919850574125128</v>
      </c>
      <c r="U66" s="16">
        <f t="shared" si="35"/>
        <v>4</v>
      </c>
      <c r="V66" s="16">
        <f t="shared" si="32"/>
        <v>9</v>
      </c>
      <c r="W66" s="16">
        <f t="shared" si="33"/>
        <v>25</v>
      </c>
      <c r="X66" s="77">
        <f>投放验证!AA76</f>
        <v>25.919850574125128</v>
      </c>
      <c r="Y66" s="16">
        <f t="shared" si="36"/>
        <v>63.919850574125128</v>
      </c>
      <c r="AA66" s="16">
        <v>9</v>
      </c>
      <c r="AB66" s="16" t="s">
        <v>525</v>
      </c>
      <c r="AC66" s="37">
        <f t="shared" si="37"/>
        <v>126.15335556831262</v>
      </c>
      <c r="AD66" s="37">
        <f t="shared" si="38"/>
        <v>120.93967299383188</v>
      </c>
      <c r="AE66" s="37">
        <f t="shared" si="39"/>
        <v>114.16216171350648</v>
      </c>
      <c r="AF66" s="37">
        <f t="shared" si="40"/>
        <v>102.44577947928143</v>
      </c>
      <c r="AG66" s="37">
        <f t="shared" si="41"/>
        <v>98.131011535324518</v>
      </c>
      <c r="AI66" s="16">
        <v>61</v>
      </c>
      <c r="AJ66" s="16">
        <f t="shared" si="21"/>
        <v>2633.6193403882421</v>
      </c>
      <c r="AK66" s="16">
        <f t="shared" si="22"/>
        <v>2727.6445192323563</v>
      </c>
      <c r="AL66" s="16">
        <f t="shared" si="23"/>
        <v>3130.1676315730419</v>
      </c>
      <c r="AM66" s="16">
        <f t="shared" si="24"/>
        <v>4597.9000782604589</v>
      </c>
      <c r="AN66" s="16">
        <f t="shared" si="25"/>
        <v>5385.3805488031194</v>
      </c>
    </row>
    <row r="67" spans="5:40">
      <c r="E67" s="16">
        <v>10</v>
      </c>
      <c r="F67" s="16" t="s">
        <v>525</v>
      </c>
      <c r="G67" s="16">
        <v>50</v>
      </c>
      <c r="H67" s="16" t="s">
        <v>483</v>
      </c>
      <c r="I67" s="16">
        <v>800</v>
      </c>
      <c r="N67" s="16">
        <f t="shared" si="34"/>
        <v>8000</v>
      </c>
      <c r="P67" s="16">
        <v>100</v>
      </c>
      <c r="Q67" s="16">
        <f>投放验证!AL77</f>
        <v>2507.6951241923271</v>
      </c>
      <c r="R67" s="16">
        <f>投放验证!AM77</f>
        <v>697.66802995118826</v>
      </c>
      <c r="S67" s="16">
        <f>投放验证!AN77</f>
        <v>124.75504939613245</v>
      </c>
      <c r="T67" s="16">
        <f>投放验证!AO77</f>
        <v>36.051509265377483</v>
      </c>
      <c r="U67" s="16">
        <f t="shared" si="35"/>
        <v>4</v>
      </c>
      <c r="V67" s="16">
        <f t="shared" si="32"/>
        <v>9</v>
      </c>
      <c r="W67" s="16">
        <f t="shared" si="33"/>
        <v>25</v>
      </c>
      <c r="X67" s="77">
        <f>投放验证!AA77</f>
        <v>36.051509265377483</v>
      </c>
      <c r="Y67" s="16">
        <f t="shared" si="36"/>
        <v>74.05150926537749</v>
      </c>
      <c r="AA67" s="16">
        <v>10</v>
      </c>
      <c r="AB67" s="16" t="s">
        <v>525</v>
      </c>
      <c r="AC67" s="37">
        <f t="shared" si="37"/>
        <v>127.77407066376908</v>
      </c>
      <c r="AD67" s="37">
        <f t="shared" si="38"/>
        <v>122.50398332803532</v>
      </c>
      <c r="AE67" s="37">
        <f t="shared" si="39"/>
        <v>115.75067476394992</v>
      </c>
      <c r="AF67" s="37">
        <f t="shared" si="40"/>
        <v>104.13786103226583</v>
      </c>
      <c r="AG67" s="37">
        <f t="shared" si="41"/>
        <v>99.826326947893506</v>
      </c>
      <c r="AI67" s="16">
        <v>62</v>
      </c>
      <c r="AJ67" s="16">
        <f t="shared" si="21"/>
        <v>2670.2360508864103</v>
      </c>
      <c r="AK67" s="16">
        <f t="shared" si="22"/>
        <v>2765.8026261050177</v>
      </c>
      <c r="AL67" s="16">
        <f t="shared" si="23"/>
        <v>3289.177635112178</v>
      </c>
      <c r="AM67" s="16">
        <f t="shared" si="24"/>
        <v>4767.8980320899564</v>
      </c>
      <c r="AN67" s="16">
        <f t="shared" si="25"/>
        <v>5606.4010764482209</v>
      </c>
    </row>
    <row r="68" spans="5:40">
      <c r="P68" s="16">
        <v>105</v>
      </c>
      <c r="Q68" s="16">
        <f>投放验证!AL78</f>
        <v>3472.8303739718731</v>
      </c>
      <c r="R68" s="16">
        <f>投放验证!AM78</f>
        <v>960.88346307630832</v>
      </c>
      <c r="S68" s="16">
        <f>投放验证!AN78</f>
        <v>171.73614522841598</v>
      </c>
      <c r="T68" s="16">
        <f>投放验证!AO78</f>
        <v>49.4199236445236</v>
      </c>
      <c r="U68" s="16">
        <f t="shared" si="35"/>
        <v>4</v>
      </c>
      <c r="V68" s="16">
        <f t="shared" si="32"/>
        <v>9</v>
      </c>
      <c r="W68" s="16">
        <f t="shared" si="33"/>
        <v>25</v>
      </c>
      <c r="X68" s="77">
        <f>投放验证!AA78</f>
        <v>49.4199236445236</v>
      </c>
      <c r="Y68" s="16">
        <f t="shared" si="36"/>
        <v>87.419923644523607</v>
      </c>
      <c r="AI68" s="16">
        <v>63</v>
      </c>
      <c r="AJ68" s="16">
        <f t="shared" si="21"/>
        <v>2706.8527613845781</v>
      </c>
      <c r="AK68" s="16">
        <f t="shared" si="22"/>
        <v>2871.5405974268583</v>
      </c>
      <c r="AL68" s="16">
        <f t="shared" si="23"/>
        <v>3448.187638651314</v>
      </c>
      <c r="AM68" s="16">
        <f t="shared" si="24"/>
        <v>4955.5635000999291</v>
      </c>
      <c r="AN68" s="16">
        <f t="shared" si="25"/>
        <v>5827.4216040933215</v>
      </c>
    </row>
    <row r="69" spans="5:40">
      <c r="P69" s="16">
        <v>110</v>
      </c>
      <c r="Q69" s="16">
        <f>投放验证!AL79</f>
        <v>4832.7598890245836</v>
      </c>
      <c r="R69" s="16">
        <f>投放验证!AM79</f>
        <v>1331.6841761446069</v>
      </c>
      <c r="S69" s="16">
        <f>投放验证!AN79</f>
        <v>237.91934245716783</v>
      </c>
      <c r="T69" s="16">
        <f>投放验证!AO79</f>
        <v>68.248189885722596</v>
      </c>
      <c r="U69" s="16">
        <f t="shared" si="35"/>
        <v>4</v>
      </c>
      <c r="V69" s="16">
        <f t="shared" si="32"/>
        <v>9</v>
      </c>
      <c r="W69" s="16">
        <f t="shared" si="33"/>
        <v>25</v>
      </c>
      <c r="X69" s="77">
        <f>投放验证!AA79</f>
        <v>68.248189885722596</v>
      </c>
      <c r="Y69" s="16">
        <f t="shared" si="36"/>
        <v>106.2481898857226</v>
      </c>
      <c r="AI69" s="16">
        <v>64</v>
      </c>
      <c r="AJ69" s="16">
        <f t="shared" si="21"/>
        <v>2743.4694718827454</v>
      </c>
      <c r="AK69" s="16">
        <f t="shared" si="22"/>
        <v>3001.2090285913191</v>
      </c>
      <c r="AL69" s="16">
        <f t="shared" si="23"/>
        <v>3607.1976421904506</v>
      </c>
      <c r="AM69" s="16">
        <f t="shared" si="24"/>
        <v>5143.2289681099028</v>
      </c>
      <c r="AN69" s="16">
        <f t="shared" si="25"/>
        <v>6087.9935414531456</v>
      </c>
    </row>
    <row r="70" spans="5:40">
      <c r="E70" s="16" t="s">
        <v>510</v>
      </c>
      <c r="F70" s="16" t="s">
        <v>511</v>
      </c>
      <c r="G70" s="16" t="s">
        <v>484</v>
      </c>
      <c r="H70" s="16" t="s">
        <v>514</v>
      </c>
      <c r="I70" s="16" t="s">
        <v>515</v>
      </c>
      <c r="J70" s="16" t="s">
        <v>516</v>
      </c>
      <c r="K70" s="16" t="s">
        <v>517</v>
      </c>
      <c r="L70" s="16" t="s">
        <v>518</v>
      </c>
      <c r="M70" s="16" t="s">
        <v>519</v>
      </c>
      <c r="N70" s="16" t="s">
        <v>93</v>
      </c>
      <c r="P70" s="16">
        <v>115</v>
      </c>
      <c r="Q70" s="16">
        <f>投放验证!AL80</f>
        <v>6732.3979748979027</v>
      </c>
      <c r="R70" s="16">
        <f>投放验证!AM80</f>
        <v>1847.9657828541208</v>
      </c>
      <c r="S70" s="16">
        <f>投放验证!AN80</f>
        <v>330.05508581288643</v>
      </c>
      <c r="T70" s="16">
        <f>投放验证!AO80</f>
        <v>94.3786139436003</v>
      </c>
      <c r="U70" s="16">
        <f t="shared" si="35"/>
        <v>4</v>
      </c>
      <c r="V70" s="16">
        <f t="shared" si="32"/>
        <v>9</v>
      </c>
      <c r="W70" s="16">
        <f t="shared" si="33"/>
        <v>25</v>
      </c>
      <c r="X70" s="77">
        <f>投放验证!AA80</f>
        <v>94.3786139436003</v>
      </c>
      <c r="Y70" s="16">
        <f t="shared" si="36"/>
        <v>132.3786139436003</v>
      </c>
      <c r="AI70" s="16">
        <v>65</v>
      </c>
      <c r="AJ70" s="16">
        <f t="shared" ref="AJ70:AJ101" si="42">IF($AI70&lt;35,0,求节点(AC$6:AC$10,$N$6:$N$10,$AI70)+求节点(AC$19:AC$20,$N$19:$N$20,$AI70)+求节点(AC$32:AC$34,$N$32:$N$34,$AI70)+求节点(AC$45:AC$54,$N$45:$N$54,$AI70)+求节点(AC$58:AC$67,$N$58:$N$67,$AI70))</f>
        <v>2811.8563224562745</v>
      </c>
      <c r="AK70" s="16">
        <f t="shared" ref="AK70:AK101" si="43">IF($AI70&lt;35,0,求节点(AD$6:AD$10,$N$6:$N$10,$AI70)+求节点(AD$19:AD$20,$N$19:$N$20,$AI70)+求节点(AD$32:AD$34,$N$32:$N$34,$AI70)+求节点(AD$45:AD$54,$N$45:$N$54,$AI70)+求节点(AD$58:AD$67,$N$58:$N$67,$AI70))</f>
        <v>3148.6870861375983</v>
      </c>
      <c r="AL70" s="16">
        <f t="shared" ref="AL70:AL101" si="44">IF($AI70&lt;35,0,求节点(AE$6:AE$10,$N$6:$N$10,$AI70)+求节点(AE$19:AE$20,$N$19:$N$20,$AI70)+求节点(AE$32:AE$34,$N$32:$N$34,$AI70)+求节点(AE$45:AE$54,$N$45:$N$54,$AI70)+求节点(AE$58:AE$67,$N$58:$N$67,$AI70))</f>
        <v>3766.2076457295866</v>
      </c>
      <c r="AM70" s="16">
        <f t="shared" ref="AM70:AM101" si="45">IF($AI70&lt;35,0,求节点(AF$6:AF$10,$N$6:$N$10,$AI70)+求节点(AF$19:AF$20,$N$19:$N$20,$AI70)+求节点(AF$32:AF$34,$N$32:$N$34,$AI70)+求节点(AF$45:AF$54,$N$45:$N$54,$AI70)+求节点(AF$58:AF$67,$N$58:$N$67,$AI70))</f>
        <v>5330.8944361198755</v>
      </c>
      <c r="AN70" s="16">
        <f t="shared" ref="AN70:AN101" si="46">IF($AI70&lt;35,0,求节点(AG$6:AG$10,$N$6:$N$10,$AI70)+求节点(AG$19:AG$20,$N$19:$N$20,$AI70)+求节点(AG$32:AG$34,$N$32:$N$34,$AI70)+求节点(AG$45:AG$54,$N$45:$N$54,$AI70)+求节点(AG$58:AG$67,$N$58:$N$67,$AI70))</f>
        <v>6439.6136184091156</v>
      </c>
    </row>
    <row r="71" spans="5:40">
      <c r="E71" s="16">
        <v>1</v>
      </c>
      <c r="F71" s="16" t="s">
        <v>561</v>
      </c>
      <c r="G71" s="16">
        <v>1</v>
      </c>
      <c r="H71" s="16" t="s">
        <v>513</v>
      </c>
      <c r="I71" s="16">
        <v>15</v>
      </c>
      <c r="N71" s="77">
        <f>IF(H71="",0,INDEX($B$6:$B$9,MATCH(H71,$A$6:$A$9,0))*I71)+IF(J71="",0,INDEX($B$6:$B$9,MATCH(J71,$A$6:$A$9,0))*K71)+IF(L71="",0,INDEX($B$6:$B$9,MATCH(L71,$A$6:$A$9,0))*M71)</f>
        <v>1500</v>
      </c>
      <c r="P71" s="16">
        <v>120</v>
      </c>
      <c r="Q71" s="16">
        <f>投放验证!AL81</f>
        <v>9455.8364562703828</v>
      </c>
      <c r="R71" s="16">
        <f>投放验证!AM81</f>
        <v>2587.9421393758726</v>
      </c>
      <c r="S71" s="16">
        <f>投放验证!AN81</f>
        <v>462.10980831551569</v>
      </c>
      <c r="T71" s="16">
        <f>投放验证!AO81</f>
        <v>131.82083477183855</v>
      </c>
      <c r="U71" s="16">
        <f t="shared" si="35"/>
        <v>4</v>
      </c>
      <c r="V71" s="16">
        <f t="shared" si="32"/>
        <v>9</v>
      </c>
      <c r="W71" s="16">
        <f t="shared" si="33"/>
        <v>25</v>
      </c>
      <c r="X71" s="77">
        <f>投放验证!AA81</f>
        <v>131.82083477183855</v>
      </c>
      <c r="Y71" s="16">
        <f t="shared" si="36"/>
        <v>169.82083477183855</v>
      </c>
      <c r="AI71" s="16">
        <v>66</v>
      </c>
      <c r="AJ71" s="16">
        <f t="shared" si="42"/>
        <v>2933.6327040273768</v>
      </c>
      <c r="AK71" s="16">
        <f t="shared" si="43"/>
        <v>3296.1651436838774</v>
      </c>
      <c r="AL71" s="16">
        <f t="shared" si="44"/>
        <v>3925.2176492687227</v>
      </c>
      <c r="AM71" s="16">
        <f t="shared" si="45"/>
        <v>5518.5599041298492</v>
      </c>
      <c r="AN71" s="16">
        <f t="shared" si="46"/>
        <v>6867.341353377753</v>
      </c>
    </row>
    <row r="72" spans="5:40">
      <c r="E72" s="16">
        <v>2</v>
      </c>
      <c r="F72" s="16" t="s">
        <v>561</v>
      </c>
      <c r="G72" s="16">
        <v>2</v>
      </c>
      <c r="H72" s="16" t="s">
        <v>513</v>
      </c>
      <c r="I72" s="16">
        <v>15</v>
      </c>
      <c r="N72" s="16">
        <f t="shared" ref="N72:N80" si="47">IF(H72="",0,INDEX($B$6:$B$9,MATCH(H72,$A$6:$A$9,0))*I72)+IF(J72="",0,INDEX($B$6:$B$9,MATCH(J72,$A$6:$A$9,0))*K72)+IF(L72="",0,INDEX($B$6:$B$9,MATCH(L72,$A$6:$A$9,0))*M72)+N71</f>
        <v>3000</v>
      </c>
      <c r="P72" s="16">
        <v>125</v>
      </c>
      <c r="Q72" s="16">
        <f>投放验证!AL82</f>
        <v>13218.565917323527</v>
      </c>
      <c r="R72" s="16">
        <f>投放验证!AM82</f>
        <v>3607.7729246847384</v>
      </c>
      <c r="S72" s="16">
        <f>投放验证!AN82</f>
        <v>644.08571753994249</v>
      </c>
      <c r="T72" s="16">
        <f>投放验证!AO82</f>
        <v>183.29493328692502</v>
      </c>
      <c r="U72" s="16">
        <f t="shared" si="35"/>
        <v>4</v>
      </c>
      <c r="V72" s="16">
        <f t="shared" si="32"/>
        <v>9</v>
      </c>
      <c r="W72" s="16">
        <f t="shared" si="33"/>
        <v>25</v>
      </c>
      <c r="X72" s="77">
        <f>投放验证!AA82</f>
        <v>183.29493328692502</v>
      </c>
      <c r="Y72" s="16">
        <f t="shared" si="36"/>
        <v>221.29493328692502</v>
      </c>
      <c r="AI72" s="16">
        <v>67</v>
      </c>
      <c r="AJ72" s="16">
        <f t="shared" si="42"/>
        <v>3072.8520812695879</v>
      </c>
      <c r="AK72" s="16">
        <f t="shared" si="43"/>
        <v>3443.6432012301566</v>
      </c>
      <c r="AL72" s="16">
        <f t="shared" si="44"/>
        <v>4084.2276528078587</v>
      </c>
      <c r="AM72" s="16">
        <f t="shared" si="45"/>
        <v>5706.225372139822</v>
      </c>
      <c r="AN72" s="16">
        <f t="shared" si="46"/>
        <v>7295.0690883463894</v>
      </c>
    </row>
    <row r="73" spans="5:40">
      <c r="E73" s="16">
        <v>3</v>
      </c>
      <c r="F73" s="16" t="s">
        <v>561</v>
      </c>
      <c r="G73" s="16">
        <v>3</v>
      </c>
      <c r="H73" s="16" t="s">
        <v>513</v>
      </c>
      <c r="I73" s="16">
        <v>15</v>
      </c>
      <c r="N73" s="16">
        <f t="shared" si="47"/>
        <v>4500</v>
      </c>
      <c r="P73" s="16">
        <v>130</v>
      </c>
      <c r="Q73" s="16">
        <f>投放验证!AL83</f>
        <v>18464.257775876886</v>
      </c>
      <c r="R73" s="16">
        <f>投放验证!AM83</f>
        <v>5029.2420767833737</v>
      </c>
      <c r="S73" s="16">
        <f>投放验证!AN83</f>
        <v>897.7264393181058</v>
      </c>
      <c r="T73" s="16">
        <f>投放验证!AO83</f>
        <v>255.02590163936861</v>
      </c>
      <c r="U73" s="16">
        <f t="shared" si="35"/>
        <v>4</v>
      </c>
      <c r="V73" s="16">
        <f t="shared" si="32"/>
        <v>9</v>
      </c>
      <c r="W73" s="16">
        <f t="shared" si="33"/>
        <v>25</v>
      </c>
      <c r="X73" s="77">
        <f>投放验证!AA83</f>
        <v>255.02590163936861</v>
      </c>
      <c r="Y73" s="16">
        <f t="shared" si="36"/>
        <v>293.02590163936861</v>
      </c>
      <c r="AI73" s="16">
        <v>68</v>
      </c>
      <c r="AJ73" s="16">
        <f t="shared" si="42"/>
        <v>3215.7034480362827</v>
      </c>
      <c r="AK73" s="16">
        <f t="shared" si="43"/>
        <v>3591.1212587764348</v>
      </c>
      <c r="AL73" s="16">
        <f t="shared" si="44"/>
        <v>4243.2376563469952</v>
      </c>
      <c r="AM73" s="16">
        <f t="shared" si="45"/>
        <v>5896.15015508944</v>
      </c>
      <c r="AN73" s="16">
        <f t="shared" si="46"/>
        <v>7722.7968233150268</v>
      </c>
    </row>
    <row r="74" spans="5:40">
      <c r="E74" s="16">
        <v>4</v>
      </c>
      <c r="F74" s="16" t="s">
        <v>561</v>
      </c>
      <c r="G74" s="16">
        <v>4</v>
      </c>
      <c r="H74" s="16" t="s">
        <v>513</v>
      </c>
      <c r="I74" s="16">
        <v>15</v>
      </c>
      <c r="N74" s="16">
        <f t="shared" si="47"/>
        <v>6000</v>
      </c>
      <c r="P74" s="16">
        <v>135</v>
      </c>
      <c r="Q74" s="16">
        <f>投放验证!AL84</f>
        <v>25786.221523766355</v>
      </c>
      <c r="R74" s="16">
        <f>投放验证!AM84</f>
        <v>7009.6420175336507</v>
      </c>
      <c r="S74" s="16">
        <f>投放验证!AN84</f>
        <v>1251.0694274366165</v>
      </c>
      <c r="T74" s="16">
        <f>投放验证!AO84</f>
        <v>354.7736077629333</v>
      </c>
      <c r="U74" s="16">
        <f t="shared" si="35"/>
        <v>4</v>
      </c>
      <c r="V74" s="16">
        <f t="shared" si="32"/>
        <v>9</v>
      </c>
      <c r="W74" s="16">
        <f t="shared" si="33"/>
        <v>25</v>
      </c>
      <c r="X74" s="77">
        <f>投放验证!AA84</f>
        <v>354.7736077629333</v>
      </c>
      <c r="Y74" s="16">
        <f t="shared" si="36"/>
        <v>392.7736077629333</v>
      </c>
      <c r="AI74" s="16">
        <v>69</v>
      </c>
      <c r="AJ74" s="16">
        <f t="shared" si="42"/>
        <v>3358.5548148029766</v>
      </c>
      <c r="AK74" s="16">
        <f t="shared" si="43"/>
        <v>3738.599316322714</v>
      </c>
      <c r="AL74" s="16">
        <f t="shared" si="44"/>
        <v>4402.2476598861313</v>
      </c>
      <c r="AM74" s="16">
        <f t="shared" si="45"/>
        <v>6125.9035283071407</v>
      </c>
      <c r="AN74" s="16">
        <f t="shared" si="46"/>
        <v>8167.7292826078919</v>
      </c>
    </row>
    <row r="75" spans="5:40">
      <c r="E75" s="16">
        <v>5</v>
      </c>
      <c r="F75" s="16" t="s">
        <v>561</v>
      </c>
      <c r="G75" s="16">
        <v>5</v>
      </c>
      <c r="H75" s="16" t="s">
        <v>513</v>
      </c>
      <c r="I75" s="16">
        <v>15</v>
      </c>
      <c r="N75" s="16">
        <f t="shared" si="47"/>
        <v>7500</v>
      </c>
      <c r="P75" s="16">
        <v>140</v>
      </c>
      <c r="Q75" s="16">
        <f>投放验证!AL85</f>
        <v>36304.630122630908</v>
      </c>
      <c r="R75" s="16">
        <f>投放验证!AM85</f>
        <v>9854.0236376647154</v>
      </c>
      <c r="S75" s="16">
        <f>投放验证!AN85</f>
        <v>1758.5592380150977</v>
      </c>
      <c r="T75" s="16">
        <f>投放验证!AO85</f>
        <v>498.00859587169913</v>
      </c>
      <c r="U75" s="16">
        <f t="shared" si="35"/>
        <v>4</v>
      </c>
      <c r="V75" s="16">
        <f t="shared" si="32"/>
        <v>9</v>
      </c>
      <c r="W75" s="16">
        <f t="shared" si="33"/>
        <v>25</v>
      </c>
      <c r="X75" s="77">
        <f>投放验证!AA85</f>
        <v>498.00859587169913</v>
      </c>
      <c r="Y75" s="16">
        <f t="shared" si="36"/>
        <v>536.00859587169907</v>
      </c>
      <c r="AI75" s="16">
        <v>70</v>
      </c>
      <c r="AJ75" s="16">
        <f t="shared" si="42"/>
        <v>3501.4061815696714</v>
      </c>
      <c r="AK75" s="16">
        <f t="shared" si="43"/>
        <v>3886.0773738689923</v>
      </c>
      <c r="AL75" s="16">
        <f t="shared" si="44"/>
        <v>4561.2576634252673</v>
      </c>
      <c r="AM75" s="16">
        <f t="shared" si="45"/>
        <v>6462.4234275305926</v>
      </c>
      <c r="AN75" s="16">
        <f t="shared" si="46"/>
        <v>8618.4092431057616</v>
      </c>
    </row>
    <row r="76" spans="5:40">
      <c r="E76" s="16">
        <v>6</v>
      </c>
      <c r="F76" s="16" t="s">
        <v>561</v>
      </c>
      <c r="G76" s="16">
        <v>6</v>
      </c>
      <c r="H76" s="16" t="s">
        <v>513</v>
      </c>
      <c r="I76" s="16">
        <v>15</v>
      </c>
      <c r="N76" s="16">
        <f t="shared" si="47"/>
        <v>9000</v>
      </c>
      <c r="P76" s="16">
        <v>145</v>
      </c>
      <c r="Q76" s="16">
        <f>投放验证!AL86</f>
        <v>51187.903472958475</v>
      </c>
      <c r="R76" s="16">
        <f>投放验证!AM86</f>
        <v>13873.078612486699</v>
      </c>
      <c r="S76" s="16">
        <f>投放验证!AN86</f>
        <v>2475.5847825738269</v>
      </c>
      <c r="T76" s="16">
        <f>投放验证!AO86</f>
        <v>700.10708459261298</v>
      </c>
      <c r="U76" s="16">
        <f t="shared" si="35"/>
        <v>4</v>
      </c>
      <c r="V76" s="16">
        <f t="shared" si="32"/>
        <v>9</v>
      </c>
      <c r="W76" s="16">
        <f t="shared" si="33"/>
        <v>25</v>
      </c>
      <c r="X76" s="77">
        <f>投放验证!AA86</f>
        <v>700.10708459261298</v>
      </c>
      <c r="Y76" s="16">
        <f t="shared" si="36"/>
        <v>738.10708459261298</v>
      </c>
      <c r="AI76" s="16">
        <v>71</v>
      </c>
      <c r="AJ76" s="16">
        <f t="shared" si="42"/>
        <v>3644.2575483363657</v>
      </c>
      <c r="AK76" s="16">
        <f t="shared" si="43"/>
        <v>4033.5554314152714</v>
      </c>
      <c r="AL76" s="16">
        <f t="shared" si="44"/>
        <v>4722.109789781498</v>
      </c>
      <c r="AM76" s="16">
        <f t="shared" si="45"/>
        <v>6916.5869944397382</v>
      </c>
      <c r="AN76" s="16">
        <f t="shared" si="46"/>
        <v>9069.0892036036312</v>
      </c>
    </row>
    <row r="77" spans="5:40">
      <c r="E77" s="16">
        <v>7</v>
      </c>
      <c r="F77" s="16" t="s">
        <v>561</v>
      </c>
      <c r="G77" s="16">
        <v>7</v>
      </c>
      <c r="H77" s="16" t="s">
        <v>513</v>
      </c>
      <c r="I77" s="16">
        <v>15</v>
      </c>
      <c r="N77" s="16">
        <f t="shared" si="47"/>
        <v>10500</v>
      </c>
      <c r="P77" s="16">
        <v>150</v>
      </c>
      <c r="Q77" s="16">
        <f>投放验证!AL87</f>
        <v>71643.065321820686</v>
      </c>
      <c r="R77" s="16">
        <f>投放验证!AM87</f>
        <v>19395.840330594641</v>
      </c>
      <c r="S77" s="16">
        <f>投放验证!AN87</f>
        <v>3460.8736939364844</v>
      </c>
      <c r="T77" s="16">
        <f>投放验证!AO87</f>
        <v>977.77266784549465</v>
      </c>
      <c r="U77" s="16">
        <f t="shared" si="35"/>
        <v>4</v>
      </c>
      <c r="V77" s="16">
        <f t="shared" si="32"/>
        <v>9</v>
      </c>
      <c r="W77" s="16">
        <f t="shared" si="33"/>
        <v>25</v>
      </c>
      <c r="X77" s="77">
        <f>投放验证!AA87</f>
        <v>977.77266784549465</v>
      </c>
      <c r="Y77" s="16">
        <f t="shared" si="36"/>
        <v>1015.7726678454947</v>
      </c>
      <c r="AI77" s="16">
        <v>72</v>
      </c>
      <c r="AJ77" s="16">
        <f t="shared" si="42"/>
        <v>3787.1089151030606</v>
      </c>
      <c r="AK77" s="16">
        <f t="shared" si="43"/>
        <v>4181.0334889615506</v>
      </c>
      <c r="AL77" s="16">
        <f t="shared" si="44"/>
        <v>4898.4893498873098</v>
      </c>
      <c r="AM77" s="16">
        <f t="shared" si="45"/>
        <v>7370.7505613488847</v>
      </c>
      <c r="AN77" s="16">
        <f t="shared" si="46"/>
        <v>9522.8386695346871</v>
      </c>
    </row>
    <row r="78" spans="5:40">
      <c r="E78" s="16">
        <v>8</v>
      </c>
      <c r="F78" s="16" t="s">
        <v>561</v>
      </c>
      <c r="G78" s="16">
        <v>8</v>
      </c>
      <c r="H78" s="16" t="s">
        <v>513</v>
      </c>
      <c r="I78" s="16">
        <v>15</v>
      </c>
      <c r="N78" s="16">
        <f t="shared" si="47"/>
        <v>12000</v>
      </c>
      <c r="P78" s="16">
        <v>155</v>
      </c>
      <c r="Q78" s="16">
        <f>投放验证!AL88</f>
        <v>143522.17044583944</v>
      </c>
      <c r="R78" s="16">
        <f>投放验证!AM88</f>
        <v>38780.592464785943</v>
      </c>
      <c r="S78" s="16">
        <f>投放验证!AN88</f>
        <v>6919.026680679749</v>
      </c>
      <c r="T78" s="16">
        <f>投放验证!AO88</f>
        <v>1951.2387060824763</v>
      </c>
      <c r="U78" s="16">
        <f t="shared" si="35"/>
        <v>4</v>
      </c>
      <c r="V78" s="16">
        <f t="shared" si="32"/>
        <v>9</v>
      </c>
      <c r="W78" s="16">
        <f t="shared" si="33"/>
        <v>25</v>
      </c>
      <c r="X78" s="77">
        <f>投放验证!AA88</f>
        <v>1951.2387060824763</v>
      </c>
      <c r="Y78" s="16">
        <f t="shared" si="36"/>
        <v>1989.2387060824763</v>
      </c>
      <c r="AI78" s="16">
        <v>73</v>
      </c>
      <c r="AJ78" s="16">
        <f t="shared" si="42"/>
        <v>3929.9602818697549</v>
      </c>
      <c r="AK78" s="16">
        <f t="shared" si="43"/>
        <v>4328.5115465078297</v>
      </c>
      <c r="AL78" s="16">
        <f t="shared" si="44"/>
        <v>5074.8689099931207</v>
      </c>
      <c r="AM78" s="16">
        <f t="shared" si="45"/>
        <v>7837.8937682457981</v>
      </c>
      <c r="AN78" s="16">
        <f t="shared" si="46"/>
        <v>9995.1318576758822</v>
      </c>
    </row>
    <row r="79" spans="5:40">
      <c r="E79" s="16">
        <v>9</v>
      </c>
      <c r="F79" s="16" t="s">
        <v>561</v>
      </c>
      <c r="G79" s="16">
        <v>9</v>
      </c>
      <c r="H79" s="16" t="s">
        <v>513</v>
      </c>
      <c r="I79" s="16">
        <v>15</v>
      </c>
      <c r="N79" s="16">
        <f t="shared" si="47"/>
        <v>13500</v>
      </c>
      <c r="P79" s="16">
        <v>160</v>
      </c>
      <c r="Q79" s="16">
        <f>投放验证!AL89</f>
        <v>213114.58959999081</v>
      </c>
      <c r="R79" s="16">
        <f>投放验证!AM89</f>
        <v>57529.512163062667</v>
      </c>
      <c r="S79" s="16">
        <f>投放验证!AN89</f>
        <v>10263.589122689242</v>
      </c>
      <c r="T79" s="16">
        <f>投放验证!AO89</f>
        <v>2891.7935742297464</v>
      </c>
      <c r="U79" s="16">
        <f t="shared" si="35"/>
        <v>4</v>
      </c>
      <c r="V79" s="16">
        <f t="shared" si="32"/>
        <v>9</v>
      </c>
      <c r="W79" s="16">
        <f t="shared" si="33"/>
        <v>25</v>
      </c>
      <c r="X79" s="77">
        <f>投放验证!AA89</f>
        <v>2891.7935742297464</v>
      </c>
      <c r="Y79" s="16">
        <f t="shared" si="36"/>
        <v>2929.7935742297464</v>
      </c>
      <c r="AI79" s="16">
        <v>74</v>
      </c>
      <c r="AJ79" s="16">
        <f t="shared" si="42"/>
        <v>4072.8116486364497</v>
      </c>
      <c r="AK79" s="16">
        <f t="shared" si="43"/>
        <v>4475.989604054108</v>
      </c>
      <c r="AL79" s="16">
        <f t="shared" si="44"/>
        <v>5251.2484700989326</v>
      </c>
      <c r="AM79" s="16">
        <f t="shared" si="45"/>
        <v>8313.4028443337065</v>
      </c>
      <c r="AN79" s="16">
        <f t="shared" si="46"/>
        <v>10467.425045817074</v>
      </c>
    </row>
    <row r="80" spans="5:40">
      <c r="E80" s="16">
        <v>10</v>
      </c>
      <c r="F80" s="16" t="s">
        <v>561</v>
      </c>
      <c r="G80" s="16">
        <v>10</v>
      </c>
      <c r="H80" s="16" t="s">
        <v>513</v>
      </c>
      <c r="I80" s="16">
        <v>15</v>
      </c>
      <c r="N80" s="16">
        <f t="shared" si="47"/>
        <v>15000</v>
      </c>
      <c r="AI80" s="16">
        <v>75</v>
      </c>
      <c r="AJ80" s="16">
        <f t="shared" si="42"/>
        <v>4215.6630154031445</v>
      </c>
      <c r="AK80" s="16">
        <f t="shared" si="43"/>
        <v>4623.4676616003871</v>
      </c>
      <c r="AL80" s="16">
        <f t="shared" si="44"/>
        <v>5427.6280302047426</v>
      </c>
      <c r="AM80" s="16">
        <f t="shared" si="45"/>
        <v>8788.9119204216149</v>
      </c>
      <c r="AN80" s="16">
        <f t="shared" si="46"/>
        <v>10949.324891337308</v>
      </c>
    </row>
    <row r="81" spans="16:40">
      <c r="AI81" s="16">
        <v>76</v>
      </c>
      <c r="AJ81" s="16">
        <f t="shared" si="42"/>
        <v>4358.5143821698384</v>
      </c>
      <c r="AK81" s="16">
        <f t="shared" si="43"/>
        <v>4783.6536265333652</v>
      </c>
      <c r="AL81" s="16">
        <f t="shared" si="44"/>
        <v>5604.0075903105544</v>
      </c>
      <c r="AM81" s="16">
        <f t="shared" si="45"/>
        <v>9268.2100393470209</v>
      </c>
      <c r="AN81" s="16">
        <f t="shared" si="46"/>
        <v>11519.030096319224</v>
      </c>
    </row>
    <row r="82" spans="16:40">
      <c r="P82" s="32"/>
      <c r="Q82" s="164" t="s">
        <v>529</v>
      </c>
      <c r="R82" s="164"/>
      <c r="S82" s="164"/>
      <c r="T82" s="164"/>
      <c r="U82" s="164" t="s">
        <v>538</v>
      </c>
      <c r="V82" s="164"/>
      <c r="W82" s="164"/>
      <c r="X82" s="164"/>
      <c r="AI82" s="16">
        <v>77</v>
      </c>
      <c r="AJ82" s="16">
        <f t="shared" si="42"/>
        <v>4501.3657489365323</v>
      </c>
      <c r="AK82" s="16">
        <f t="shared" si="43"/>
        <v>4951.626681954378</v>
      </c>
      <c r="AL82" s="16">
        <f t="shared" si="44"/>
        <v>5780.3871504163653</v>
      </c>
      <c r="AM82" s="16">
        <f t="shared" si="45"/>
        <v>9764.3365605106374</v>
      </c>
      <c r="AN82" s="16">
        <f t="shared" si="46"/>
        <v>12199.613538727022</v>
      </c>
    </row>
    <row r="83" spans="16:40">
      <c r="P83" s="16" t="s">
        <v>401</v>
      </c>
      <c r="Q83" s="16" t="s">
        <v>79</v>
      </c>
      <c r="R83" s="16" t="s">
        <v>80</v>
      </c>
      <c r="S83" s="16" t="s">
        <v>81</v>
      </c>
      <c r="T83" s="16" t="s">
        <v>205</v>
      </c>
      <c r="U83" s="16" t="s">
        <v>79</v>
      </c>
      <c r="V83" s="16" t="s">
        <v>80</v>
      </c>
      <c r="W83" s="16" t="s">
        <v>81</v>
      </c>
      <c r="X83" s="16" t="s">
        <v>205</v>
      </c>
      <c r="Y83" s="16" t="s">
        <v>541</v>
      </c>
      <c r="AI83" s="16">
        <v>78</v>
      </c>
      <c r="AJ83" s="16">
        <f t="shared" si="42"/>
        <v>4646.34717084151</v>
      </c>
      <c r="AK83" s="16">
        <f t="shared" si="43"/>
        <v>5119.5997373753889</v>
      </c>
      <c r="AL83" s="16">
        <f t="shared" si="44"/>
        <v>5969.6737767759232</v>
      </c>
      <c r="AM83" s="16">
        <f t="shared" si="45"/>
        <v>10260.463081674257</v>
      </c>
      <c r="AN83" s="16">
        <f t="shared" si="46"/>
        <v>12931.202040990724</v>
      </c>
    </row>
    <row r="84" spans="16:40">
      <c r="P84" s="16">
        <v>45</v>
      </c>
      <c r="Q84" s="16">
        <v>0</v>
      </c>
      <c r="R84" s="16">
        <v>0</v>
      </c>
      <c r="S84" s="16">
        <v>0</v>
      </c>
      <c r="T84" s="16">
        <v>0</v>
      </c>
      <c r="U84" s="16">
        <f>MIN(Q84/2,Q$2)</f>
        <v>0</v>
      </c>
      <c r="V84" s="16">
        <f t="shared" ref="V84:V105" si="48">MIN(R84/2,R$2)</f>
        <v>0</v>
      </c>
      <c r="W84" s="16">
        <f t="shared" ref="W84:W105" si="49">MIN(S84/2,S$2)</f>
        <v>0</v>
      </c>
      <c r="X84" s="16">
        <v>0</v>
      </c>
      <c r="Y84" s="16">
        <f>SUM(U84:X84)</f>
        <v>0</v>
      </c>
      <c r="AI84" s="16">
        <v>79</v>
      </c>
      <c r="AJ84" s="16">
        <f t="shared" si="42"/>
        <v>4808.0736839974052</v>
      </c>
      <c r="AK84" s="16">
        <f t="shared" si="43"/>
        <v>5287.5727927964017</v>
      </c>
      <c r="AL84" s="16">
        <f t="shared" si="44"/>
        <v>6164.8998565588699</v>
      </c>
      <c r="AM84" s="16">
        <f t="shared" si="45"/>
        <v>10763.929726143713</v>
      </c>
      <c r="AN84" s="16">
        <f t="shared" si="46"/>
        <v>13663.890877388812</v>
      </c>
    </row>
    <row r="85" spans="16:40">
      <c r="P85" s="16">
        <v>50</v>
      </c>
      <c r="Q85" s="16">
        <f>投放验证!AL95</f>
        <v>152.72911329683492</v>
      </c>
      <c r="R85" s="16">
        <f>投放验证!AM95</f>
        <v>50.780426032278307</v>
      </c>
      <c r="S85" s="16">
        <f>投放验证!AN95</f>
        <v>9.1766746378100965</v>
      </c>
      <c r="T85" s="16">
        <f>投放验证!AO95</f>
        <v>3.0157987459366984</v>
      </c>
      <c r="U85" s="16">
        <f t="shared" ref="U85:U105" si="50">MIN(Q85/2,Q$2)</f>
        <v>4</v>
      </c>
      <c r="V85" s="16">
        <f t="shared" si="48"/>
        <v>9</v>
      </c>
      <c r="W85" s="16">
        <f t="shared" si="49"/>
        <v>4.5883373189050483</v>
      </c>
      <c r="X85" s="77">
        <f>投放验证!AA95</f>
        <v>3.0157987459366984</v>
      </c>
      <c r="Y85" s="16">
        <f t="shared" ref="Y85:Y105" si="51">SUM(U85:X85)</f>
        <v>20.604136064841747</v>
      </c>
      <c r="AI85" s="16">
        <v>80</v>
      </c>
      <c r="AJ85" s="16">
        <f t="shared" si="42"/>
        <v>4969.8001971533004</v>
      </c>
      <c r="AK85" s="16">
        <f t="shared" si="43"/>
        <v>5455.5458482174126</v>
      </c>
      <c r="AL85" s="16">
        <f t="shared" si="44"/>
        <v>6502.3865499386184</v>
      </c>
      <c r="AM85" s="16">
        <f t="shared" si="45"/>
        <v>11312.21552343753</v>
      </c>
      <c r="AN85" s="16">
        <f t="shared" si="46"/>
        <v>14419.298196388303</v>
      </c>
    </row>
    <row r="86" spans="16:40">
      <c r="P86" s="16">
        <v>60</v>
      </c>
      <c r="Q86" s="16">
        <f>投放验证!AL96</f>
        <v>293.10948865788509</v>
      </c>
      <c r="R86" s="16">
        <f>投放验证!AM96</f>
        <v>94.349040176652252</v>
      </c>
      <c r="S86" s="16">
        <f>投放验证!AN96</f>
        <v>17.002012829878481</v>
      </c>
      <c r="T86" s="16">
        <f>投放验证!AO96</f>
        <v>5.4928544099594934</v>
      </c>
      <c r="U86" s="16">
        <f t="shared" si="50"/>
        <v>4</v>
      </c>
      <c r="V86" s="16">
        <f t="shared" si="48"/>
        <v>9</v>
      </c>
      <c r="W86" s="16">
        <f t="shared" si="49"/>
        <v>8.5010064149392406</v>
      </c>
      <c r="X86" s="77">
        <f>投放验证!AA96</f>
        <v>5.4928544099594934</v>
      </c>
      <c r="Y86" s="16">
        <f t="shared" si="51"/>
        <v>26.993860824898732</v>
      </c>
      <c r="AI86" s="16">
        <v>81</v>
      </c>
      <c r="AJ86" s="16">
        <f t="shared" si="42"/>
        <v>5131.5267103091965</v>
      </c>
      <c r="AK86" s="16">
        <f t="shared" si="43"/>
        <v>5623.5189036384254</v>
      </c>
      <c r="AL86" s="16">
        <f t="shared" si="44"/>
        <v>6912.249822355343</v>
      </c>
      <c r="AM86" s="16">
        <f t="shared" si="45"/>
        <v>11906.504240132457</v>
      </c>
      <c r="AN86" s="16">
        <f t="shared" si="46"/>
        <v>15183.72173460492</v>
      </c>
    </row>
    <row r="87" spans="16:40">
      <c r="P87" s="16">
        <v>70</v>
      </c>
      <c r="Q87" s="16">
        <f>投放验证!AL97</f>
        <v>592.56530265144818</v>
      </c>
      <c r="R87" s="16">
        <f>投放验证!AM97</f>
        <v>186.61934335917326</v>
      </c>
      <c r="S87" s="16">
        <f>投放验证!AN97</f>
        <v>33.529293176042266</v>
      </c>
      <c r="T87" s="16">
        <f>投放验证!AO97</f>
        <v>10.737025458680755</v>
      </c>
      <c r="U87" s="16">
        <f t="shared" si="50"/>
        <v>4</v>
      </c>
      <c r="V87" s="16">
        <f t="shared" si="48"/>
        <v>9</v>
      </c>
      <c r="W87" s="16">
        <f t="shared" si="49"/>
        <v>16.764646588021133</v>
      </c>
      <c r="X87" s="77">
        <f>投放验证!AA97</f>
        <v>10.737025458680755</v>
      </c>
      <c r="Y87" s="16">
        <f t="shared" si="51"/>
        <v>40.501672046701884</v>
      </c>
      <c r="AI87" s="16">
        <v>82</v>
      </c>
      <c r="AJ87" s="16">
        <f t="shared" si="42"/>
        <v>5293.2532234650917</v>
      </c>
      <c r="AK87" s="16">
        <f t="shared" si="43"/>
        <v>5794.3687683530843</v>
      </c>
      <c r="AL87" s="16">
        <f t="shared" si="44"/>
        <v>7323.8270404569475</v>
      </c>
      <c r="AM87" s="16">
        <f t="shared" si="45"/>
        <v>12624.22025094397</v>
      </c>
      <c r="AN87" s="16">
        <f t="shared" si="46"/>
        <v>16018.059905994254</v>
      </c>
    </row>
    <row r="88" spans="16:40">
      <c r="P88" s="16">
        <v>75</v>
      </c>
      <c r="Q88" s="16">
        <f>投放验证!AL98</f>
        <v>837.77887228183863</v>
      </c>
      <c r="R88" s="16">
        <f>投放验证!AM98</f>
        <v>262.13710202606239</v>
      </c>
      <c r="S88" s="16">
        <f>投放验证!AN98</f>
        <v>47.055434166581101</v>
      </c>
      <c r="T88" s="16">
        <f>投放验证!AO98</f>
        <v>15.027432624814587</v>
      </c>
      <c r="U88" s="16">
        <f t="shared" si="50"/>
        <v>4</v>
      </c>
      <c r="V88" s="16">
        <f t="shared" si="48"/>
        <v>9</v>
      </c>
      <c r="W88" s="16">
        <f t="shared" si="49"/>
        <v>23.52771708329055</v>
      </c>
      <c r="X88" s="77">
        <f>投放验证!AA98</f>
        <v>15.027432624814587</v>
      </c>
      <c r="Y88" s="16">
        <f t="shared" si="51"/>
        <v>51.555149708105141</v>
      </c>
      <c r="AI88" s="16">
        <v>83</v>
      </c>
      <c r="AJ88" s="16">
        <f t="shared" si="42"/>
        <v>5454.9797366209878</v>
      </c>
      <c r="AK88" s="16">
        <f t="shared" si="43"/>
        <v>5979.6513529543345</v>
      </c>
      <c r="AL88" s="16">
        <f t="shared" si="44"/>
        <v>7749.3627426710136</v>
      </c>
      <c r="AM88" s="16">
        <f t="shared" si="45"/>
        <v>13341.936261755478</v>
      </c>
      <c r="AN88" s="16">
        <f t="shared" si="46"/>
        <v>16695.435816069275</v>
      </c>
    </row>
    <row r="89" spans="16:40">
      <c r="P89" s="16">
        <v>80</v>
      </c>
      <c r="Q89" s="16">
        <f>投放验证!AL99</f>
        <v>1166.2153511602803</v>
      </c>
      <c r="R89" s="16">
        <f>投放验证!AM99</f>
        <v>362.87078505345067</v>
      </c>
      <c r="S89" s="16">
        <f>投放验证!AN99</f>
        <v>65.093220369622216</v>
      </c>
      <c r="T89" s="16">
        <f>投放验证!AO99</f>
        <v>20.7331001232074</v>
      </c>
      <c r="U89" s="16">
        <f t="shared" si="50"/>
        <v>4</v>
      </c>
      <c r="V89" s="16">
        <f t="shared" si="48"/>
        <v>9</v>
      </c>
      <c r="W89" s="16">
        <f t="shared" si="49"/>
        <v>25</v>
      </c>
      <c r="X89" s="77">
        <f>投放验证!AA99</f>
        <v>20.7331001232074</v>
      </c>
      <c r="Y89" s="16">
        <f t="shared" si="51"/>
        <v>58.7331001232074</v>
      </c>
      <c r="AI89" s="16">
        <v>84</v>
      </c>
      <c r="AJ89" s="16">
        <f t="shared" si="42"/>
        <v>5616.7062497768839</v>
      </c>
      <c r="AK89" s="16">
        <f t="shared" si="43"/>
        <v>6164.9339375555846</v>
      </c>
      <c r="AL89" s="16">
        <f t="shared" si="44"/>
        <v>8174.8984448850797</v>
      </c>
      <c r="AM89" s="16">
        <f t="shared" si="45"/>
        <v>14059.652272566989</v>
      </c>
      <c r="AN89" s="16">
        <f t="shared" si="46"/>
        <v>17327.799186043016</v>
      </c>
    </row>
    <row r="90" spans="16:40">
      <c r="P90" s="16">
        <v>85</v>
      </c>
      <c r="Q90" s="16">
        <f>投放验证!AL100</f>
        <v>1627.6851266482236</v>
      </c>
      <c r="R90" s="16">
        <f>投放验证!AM100</f>
        <v>504.3866791368585</v>
      </c>
      <c r="S90" s="16">
        <f>投放验证!AN100</f>
        <v>90.433402149721971</v>
      </c>
      <c r="T90" s="16">
        <f>投放验证!AO100</f>
        <v>28.74787636411024</v>
      </c>
      <c r="U90" s="16">
        <f t="shared" si="50"/>
        <v>4</v>
      </c>
      <c r="V90" s="16">
        <f t="shared" si="48"/>
        <v>9</v>
      </c>
      <c r="W90" s="16">
        <f t="shared" si="49"/>
        <v>25</v>
      </c>
      <c r="X90" s="77">
        <f>投放验证!AA100</f>
        <v>28.74787636411024</v>
      </c>
      <c r="Y90" s="16">
        <f t="shared" si="51"/>
        <v>66.74787636411024</v>
      </c>
      <c r="AI90" s="16">
        <v>85</v>
      </c>
      <c r="AJ90" s="16">
        <f t="shared" si="42"/>
        <v>5785.5253257346931</v>
      </c>
      <c r="AK90" s="16">
        <f t="shared" si="43"/>
        <v>6415.0763190178423</v>
      </c>
      <c r="AL90" s="16">
        <f t="shared" si="44"/>
        <v>8600.4341470991458</v>
      </c>
      <c r="AM90" s="16">
        <f t="shared" si="45"/>
        <v>14780.613537216781</v>
      </c>
      <c r="AN90" s="16">
        <f t="shared" si="46"/>
        <v>17960.162556016756</v>
      </c>
    </row>
    <row r="91" spans="16:40">
      <c r="P91" s="16">
        <v>90</v>
      </c>
      <c r="Q91" s="16">
        <f>投放验证!AL101</f>
        <v>2211.7067467307352</v>
      </c>
      <c r="R91" s="16">
        <f>投放验证!AM101</f>
        <v>683.2613649182689</v>
      </c>
      <c r="S91" s="16">
        <f>投放验证!AN101</f>
        <v>122.46052294564952</v>
      </c>
      <c r="T91" s="16">
        <f>投放验证!AO101</f>
        <v>38.869079915216496</v>
      </c>
      <c r="U91" s="16">
        <f t="shared" si="50"/>
        <v>4</v>
      </c>
      <c r="V91" s="16">
        <f t="shared" si="48"/>
        <v>9</v>
      </c>
      <c r="W91" s="16">
        <f t="shared" si="49"/>
        <v>25</v>
      </c>
      <c r="X91" s="77">
        <f>投放验证!AA101</f>
        <v>38.869079915216496</v>
      </c>
      <c r="Y91" s="16">
        <f t="shared" si="51"/>
        <v>76.869079915216503</v>
      </c>
      <c r="AI91" s="16">
        <v>86</v>
      </c>
      <c r="AJ91" s="16">
        <f t="shared" si="42"/>
        <v>5966.4825853718175</v>
      </c>
      <c r="AK91" s="16">
        <f t="shared" si="43"/>
        <v>6766.9696603242646</v>
      </c>
      <c r="AL91" s="16">
        <f t="shared" si="44"/>
        <v>9035.72161985811</v>
      </c>
      <c r="AM91" s="16">
        <f t="shared" si="45"/>
        <v>15551.556579007984</v>
      </c>
      <c r="AN91" s="16">
        <f t="shared" si="46"/>
        <v>18608.433032088855</v>
      </c>
    </row>
    <row r="92" spans="16:40">
      <c r="P92" s="16">
        <v>95</v>
      </c>
      <c r="Q92" s="16">
        <f>投放验证!AL102</f>
        <v>3058.5547517838154</v>
      </c>
      <c r="R92" s="16">
        <f>投放验证!AM102</f>
        <v>942.63476069612148</v>
      </c>
      <c r="S92" s="16">
        <f>投放验证!AN102</f>
        <v>168.90076149331384</v>
      </c>
      <c r="T92" s="16">
        <f>投放验证!AO102</f>
        <v>53.545113714752091</v>
      </c>
      <c r="U92" s="16">
        <f t="shared" si="50"/>
        <v>4</v>
      </c>
      <c r="V92" s="16">
        <f t="shared" si="48"/>
        <v>9</v>
      </c>
      <c r="W92" s="16">
        <f t="shared" si="49"/>
        <v>25</v>
      </c>
      <c r="X92" s="77">
        <f>投放验证!AA102</f>
        <v>53.545113714752091</v>
      </c>
      <c r="Y92" s="16">
        <f t="shared" si="51"/>
        <v>91.545113714752091</v>
      </c>
      <c r="AI92" s="16">
        <v>87</v>
      </c>
      <c r="AJ92" s="16">
        <f t="shared" si="42"/>
        <v>6147.4398450089429</v>
      </c>
      <c r="AK92" s="16">
        <f t="shared" si="43"/>
        <v>7157.2124259745915</v>
      </c>
      <c r="AL92" s="16">
        <f t="shared" si="44"/>
        <v>9484.6675405980222</v>
      </c>
      <c r="AM92" s="16">
        <f t="shared" si="45"/>
        <v>16251.049085919411</v>
      </c>
      <c r="AN92" s="16">
        <f t="shared" si="46"/>
        <v>19588.665104376705</v>
      </c>
    </row>
    <row r="93" spans="16:40">
      <c r="P93" s="16">
        <v>100</v>
      </c>
      <c r="Q93" s="16">
        <f>投放验证!AL103</f>
        <v>4330.4895606596647</v>
      </c>
      <c r="R93" s="16">
        <f>投放验证!AM103</f>
        <v>1331.7760744705788</v>
      </c>
      <c r="S93" s="16">
        <f>投放验证!AN103</f>
        <v>238.57063926598528</v>
      </c>
      <c r="T93" s="16">
        <f>投放验证!AO103</f>
        <v>75.545735221995074</v>
      </c>
      <c r="U93" s="16">
        <f t="shared" si="50"/>
        <v>4</v>
      </c>
      <c r="V93" s="16">
        <f t="shared" si="48"/>
        <v>9</v>
      </c>
      <c r="W93" s="16">
        <f t="shared" si="49"/>
        <v>25</v>
      </c>
      <c r="X93" s="77">
        <f>投放验证!AA103</f>
        <v>75.545735221995074</v>
      </c>
      <c r="Y93" s="16">
        <f t="shared" si="51"/>
        <v>113.54573522199507</v>
      </c>
      <c r="AI93" s="16">
        <v>88</v>
      </c>
      <c r="AJ93" s="16">
        <f t="shared" si="42"/>
        <v>6363.2681396617008</v>
      </c>
      <c r="AK93" s="16">
        <f t="shared" si="43"/>
        <v>7556.0184793472426</v>
      </c>
      <c r="AL93" s="16">
        <f t="shared" si="44"/>
        <v>9933.6134613379327</v>
      </c>
      <c r="AM93" s="16">
        <f t="shared" si="45"/>
        <v>16856.778739399484</v>
      </c>
      <c r="AN93" s="16">
        <f t="shared" si="46"/>
        <v>20663.414157397063</v>
      </c>
    </row>
    <row r="94" spans="16:40">
      <c r="P94" s="16">
        <v>105</v>
      </c>
      <c r="Q94" s="16">
        <f>投放验证!AL104</f>
        <v>6038.9497854001174</v>
      </c>
      <c r="R94" s="16">
        <f>投放验证!AM104</f>
        <v>1854.4517865230966</v>
      </c>
      <c r="S94" s="16">
        <f>投放验证!AN104</f>
        <v>332.14762260408702</v>
      </c>
      <c r="T94" s="16">
        <f>投放验证!AO104</f>
        <v>105.09513838865256</v>
      </c>
      <c r="U94" s="16">
        <f t="shared" si="50"/>
        <v>4</v>
      </c>
      <c r="V94" s="16">
        <f t="shared" si="48"/>
        <v>9</v>
      </c>
      <c r="W94" s="16">
        <f t="shared" si="49"/>
        <v>25</v>
      </c>
      <c r="X94" s="77">
        <f>投放验证!AA104</f>
        <v>105.09513838865256</v>
      </c>
      <c r="Y94" s="16">
        <f t="shared" si="51"/>
        <v>143.09513838865257</v>
      </c>
      <c r="AI94" s="16">
        <v>89</v>
      </c>
      <c r="AJ94" s="16">
        <f t="shared" si="42"/>
        <v>6658.9668628452764</v>
      </c>
      <c r="AK94" s="16">
        <f t="shared" si="43"/>
        <v>7954.8245327198947</v>
      </c>
      <c r="AL94" s="16">
        <f t="shared" si="44"/>
        <v>10390.710455722221</v>
      </c>
      <c r="AM94" s="16">
        <f t="shared" si="45"/>
        <v>17462.508392879554</v>
      </c>
      <c r="AN94" s="16">
        <f t="shared" si="46"/>
        <v>21738.16321041742</v>
      </c>
    </row>
    <row r="95" spans="16:40">
      <c r="P95" s="16">
        <v>110</v>
      </c>
      <c r="Q95" s="16">
        <f>投放验证!AL105</f>
        <v>8410.1992720062626</v>
      </c>
      <c r="R95" s="16">
        <f>投放验证!AM105</f>
        <v>2579.2670535461111</v>
      </c>
      <c r="S95" s="16">
        <f>投放验证!AN105</f>
        <v>461.90715868778113</v>
      </c>
      <c r="T95" s="16">
        <f>投放验证!AO105</f>
        <v>146.04591369592703</v>
      </c>
      <c r="U95" s="16">
        <f t="shared" si="50"/>
        <v>4</v>
      </c>
      <c r="V95" s="16">
        <f t="shared" si="48"/>
        <v>9</v>
      </c>
      <c r="W95" s="16">
        <f t="shared" si="49"/>
        <v>25</v>
      </c>
      <c r="X95" s="77">
        <f>投放验证!AA105</f>
        <v>146.04591369592703</v>
      </c>
      <c r="Y95" s="16">
        <f t="shared" si="51"/>
        <v>184.04591369592703</v>
      </c>
      <c r="AI95" s="16">
        <v>90</v>
      </c>
      <c r="AJ95" s="16">
        <f t="shared" si="42"/>
        <v>6969.8353904687292</v>
      </c>
      <c r="AK95" s="16">
        <f t="shared" si="43"/>
        <v>8353.6305860925459</v>
      </c>
      <c r="AL95" s="16">
        <f t="shared" si="44"/>
        <v>10854.480687556923</v>
      </c>
      <c r="AM95" s="16">
        <f t="shared" si="45"/>
        <v>18068.238046359627</v>
      </c>
      <c r="AN95" s="16">
        <f t="shared" si="46"/>
        <v>22868.845499683972</v>
      </c>
    </row>
    <row r="96" spans="16:40">
      <c r="P96" s="16">
        <v>115</v>
      </c>
      <c r="Q96" s="16">
        <f>投放验证!AL106</f>
        <v>11752.340774267674</v>
      </c>
      <c r="R96" s="16">
        <f>投放验证!AM106</f>
        <v>3600.8325905369693</v>
      </c>
      <c r="S96" s="16">
        <f>投放验证!AN106</f>
        <v>644.79196003835864</v>
      </c>
      <c r="T96" s="16">
        <f>投放验证!AO106</f>
        <v>203.76169049324201</v>
      </c>
      <c r="U96" s="16">
        <f t="shared" si="50"/>
        <v>4</v>
      </c>
      <c r="V96" s="16">
        <f t="shared" si="48"/>
        <v>9</v>
      </c>
      <c r="W96" s="16">
        <f t="shared" si="49"/>
        <v>25</v>
      </c>
      <c r="X96" s="77">
        <f>投放验证!AA106</f>
        <v>203.76169049324201</v>
      </c>
      <c r="Y96" s="16">
        <f t="shared" si="51"/>
        <v>241.76169049324201</v>
      </c>
      <c r="AI96" s="16">
        <v>91</v>
      </c>
      <c r="AJ96" s="16">
        <f t="shared" si="42"/>
        <v>7338.7329093186772</v>
      </c>
      <c r="AK96" s="16">
        <f t="shared" si="43"/>
        <v>8772.2264948872617</v>
      </c>
      <c r="AL96" s="16">
        <f t="shared" si="44"/>
        <v>11337.757976646371</v>
      </c>
      <c r="AM96" s="16">
        <f t="shared" si="45"/>
        <v>18715.144714550624</v>
      </c>
      <c r="AN96" s="16">
        <f t="shared" si="46"/>
        <v>24022.940803842059</v>
      </c>
    </row>
    <row r="97" spans="16:40">
      <c r="P97" s="16">
        <v>120</v>
      </c>
      <c r="Q97" s="16">
        <f>投放验证!AL107</f>
        <v>16510.189116537185</v>
      </c>
      <c r="R97" s="16">
        <f>投放验证!AM107</f>
        <v>5054.2550679657506</v>
      </c>
      <c r="S97" s="16">
        <f>投放验证!AN107</f>
        <v>904.97930314423638</v>
      </c>
      <c r="T97" s="16">
        <f>投放验证!AO107</f>
        <v>285.83951171474541</v>
      </c>
      <c r="U97" s="16">
        <f t="shared" si="50"/>
        <v>4</v>
      </c>
      <c r="V97" s="16">
        <f t="shared" si="48"/>
        <v>9</v>
      </c>
      <c r="W97" s="16">
        <f t="shared" si="49"/>
        <v>25</v>
      </c>
      <c r="X97" s="77">
        <f>投放验证!AA107</f>
        <v>285.83951171474541</v>
      </c>
      <c r="Y97" s="16">
        <f t="shared" si="51"/>
        <v>323.83951171474541</v>
      </c>
      <c r="AI97" s="16">
        <v>92</v>
      </c>
      <c r="AJ97" s="16">
        <f t="shared" si="42"/>
        <v>7717.311213604773</v>
      </c>
      <c r="AK97" s="16">
        <f t="shared" si="43"/>
        <v>9199.2227288889917</v>
      </c>
      <c r="AL97" s="16">
        <f t="shared" si="44"/>
        <v>11881.181366461709</v>
      </c>
      <c r="AM97" s="16">
        <f t="shared" si="45"/>
        <v>19855.91749815621</v>
      </c>
      <c r="AN97" s="16">
        <f t="shared" si="46"/>
        <v>25177.036108000146</v>
      </c>
    </row>
    <row r="98" spans="16:40">
      <c r="P98" s="16">
        <v>125</v>
      </c>
      <c r="Q98" s="16">
        <f>投放验证!AL108</f>
        <v>23282.695584696117</v>
      </c>
      <c r="R98" s="16">
        <f>投放验证!AM108</f>
        <v>7123.0383586140397</v>
      </c>
      <c r="S98" s="16">
        <f>投放验证!AN108</f>
        <v>1275.325817668707</v>
      </c>
      <c r="T98" s="16">
        <f>投放验证!AO108</f>
        <v>402.6648922988104</v>
      </c>
      <c r="U98" s="16">
        <f t="shared" si="50"/>
        <v>4</v>
      </c>
      <c r="V98" s="16">
        <f t="shared" si="48"/>
        <v>9</v>
      </c>
      <c r="W98" s="16">
        <f t="shared" si="49"/>
        <v>25</v>
      </c>
      <c r="X98" s="77">
        <f>投放验证!AA108</f>
        <v>402.6648922988104</v>
      </c>
      <c r="Y98" s="16">
        <f t="shared" si="51"/>
        <v>440.6648922988104</v>
      </c>
      <c r="AI98" s="16">
        <v>93</v>
      </c>
      <c r="AJ98" s="16">
        <f t="shared" si="42"/>
        <v>8098.5814720856961</v>
      </c>
      <c r="AK98" s="16">
        <f t="shared" si="43"/>
        <v>9626.2189628907217</v>
      </c>
      <c r="AL98" s="16">
        <f t="shared" si="44"/>
        <v>12573.952214621266</v>
      </c>
      <c r="AM98" s="16">
        <f t="shared" si="45"/>
        <v>21030.128908103427</v>
      </c>
      <c r="AN98" s="16">
        <f t="shared" si="46"/>
        <v>25992.363600948367</v>
      </c>
    </row>
    <row r="99" spans="16:40">
      <c r="P99" s="16">
        <v>130</v>
      </c>
      <c r="Q99" s="16">
        <f>投放验证!AL109</f>
        <v>32520.393897874248</v>
      </c>
      <c r="R99" s="16">
        <f>投放验证!AM109</f>
        <v>9943.5879042621054</v>
      </c>
      <c r="S99" s="16">
        <f>投放验证!AN109</f>
        <v>1780.2360095108604</v>
      </c>
      <c r="T99" s="16">
        <f>投放验证!AO109</f>
        <v>561.88929597028664</v>
      </c>
      <c r="U99" s="16">
        <f t="shared" si="50"/>
        <v>4</v>
      </c>
      <c r="V99" s="16">
        <f t="shared" si="48"/>
        <v>9</v>
      </c>
      <c r="W99" s="16">
        <f t="shared" si="49"/>
        <v>25</v>
      </c>
      <c r="X99" s="77">
        <f>投放验证!AA109</f>
        <v>561.88929597028664</v>
      </c>
      <c r="Y99" s="16">
        <f t="shared" si="51"/>
        <v>599.88929597028664</v>
      </c>
      <c r="AI99" s="16">
        <v>94</v>
      </c>
      <c r="AJ99" s="16">
        <f t="shared" si="42"/>
        <v>8490.6442220257195</v>
      </c>
      <c r="AK99" s="16">
        <f t="shared" si="43"/>
        <v>10062.714463555076</v>
      </c>
      <c r="AL99" s="16">
        <f t="shared" si="44"/>
        <v>13292.33815358297</v>
      </c>
      <c r="AM99" s="16">
        <f t="shared" si="45"/>
        <v>22217.695983715548</v>
      </c>
      <c r="AN99" s="16">
        <f t="shared" si="46"/>
        <v>26307.437490804998</v>
      </c>
    </row>
    <row r="100" spans="16:40">
      <c r="P100" s="16">
        <v>135</v>
      </c>
      <c r="Q100" s="16">
        <f>投放验证!AL110</f>
        <v>45520.079415359258</v>
      </c>
      <c r="R100" s="16">
        <f>投放验证!AM110</f>
        <v>13912.67966979897</v>
      </c>
      <c r="S100" s="16">
        <f>投放验证!AN110</f>
        <v>2490.7469626329403</v>
      </c>
      <c r="T100" s="16">
        <f>投放验证!AO110</f>
        <v>785.94618943296882</v>
      </c>
      <c r="U100" s="16">
        <f t="shared" si="50"/>
        <v>4</v>
      </c>
      <c r="V100" s="16">
        <f t="shared" si="48"/>
        <v>9</v>
      </c>
      <c r="W100" s="16">
        <f t="shared" si="49"/>
        <v>25</v>
      </c>
      <c r="X100" s="77">
        <f>投放验证!AA110</f>
        <v>785.94618943296882</v>
      </c>
      <c r="Y100" s="16">
        <f t="shared" si="51"/>
        <v>823.94618943296882</v>
      </c>
      <c r="AI100" s="16">
        <v>95</v>
      </c>
      <c r="AJ100" s="16">
        <f t="shared" si="42"/>
        <v>8882.7069719657429</v>
      </c>
      <c r="AK100" s="16">
        <f t="shared" si="43"/>
        <v>10500.00430179813</v>
      </c>
      <c r="AL100" s="16">
        <f t="shared" si="44"/>
        <v>14010.90269952243</v>
      </c>
      <c r="AM100" s="16">
        <f t="shared" si="45"/>
        <v>23456.18218153208</v>
      </c>
      <c r="AN100" s="16">
        <f t="shared" si="46"/>
        <v>26670.491610847537</v>
      </c>
    </row>
    <row r="101" spans="16:40">
      <c r="P101" s="16">
        <v>140</v>
      </c>
      <c r="Q101" s="16">
        <f>投放验证!AL111</f>
        <v>63998.747918268986</v>
      </c>
      <c r="R101" s="16">
        <f>投放验证!AM111</f>
        <v>19552.772513267017</v>
      </c>
      <c r="S101" s="16">
        <f>投放验证!AN111</f>
        <v>3500.3636164310451</v>
      </c>
      <c r="T101" s="16">
        <f>投放验证!AO111</f>
        <v>1104.2534929436813</v>
      </c>
      <c r="U101" s="16">
        <f t="shared" si="50"/>
        <v>4</v>
      </c>
      <c r="V101" s="16">
        <f t="shared" si="48"/>
        <v>9</v>
      </c>
      <c r="W101" s="16">
        <f t="shared" si="49"/>
        <v>25</v>
      </c>
      <c r="X101" s="77">
        <f>投放验证!AA111</f>
        <v>1104.2534929436813</v>
      </c>
      <c r="Y101" s="16">
        <f t="shared" si="51"/>
        <v>1142.2534929436813</v>
      </c>
      <c r="AI101" s="16">
        <v>96</v>
      </c>
      <c r="AJ101" s="16">
        <f t="shared" si="42"/>
        <v>9279.5075145955798</v>
      </c>
      <c r="AK101" s="16">
        <f t="shared" si="43"/>
        <v>10949.716232989424</v>
      </c>
      <c r="AL101" s="16">
        <f t="shared" si="44"/>
        <v>14788.977354725348</v>
      </c>
      <c r="AM101" s="16">
        <f t="shared" si="45"/>
        <v>24694.668379348608</v>
      </c>
      <c r="AN101" s="16">
        <f t="shared" si="46"/>
        <v>27108.960712473476</v>
      </c>
    </row>
    <row r="102" spans="16:40">
      <c r="P102" s="16">
        <v>145</v>
      </c>
      <c r="Q102" s="16">
        <f>投放验证!AL112</f>
        <v>90563.019536171283</v>
      </c>
      <c r="R102" s="16">
        <f>投放验证!AM112</f>
        <v>27660.494669915643</v>
      </c>
      <c r="S102" s="16">
        <f>投放验证!AN112</f>
        <v>4951.7002167770861</v>
      </c>
      <c r="T102" s="16">
        <f>投放验证!AO112</f>
        <v>1561.8137039629923</v>
      </c>
      <c r="U102" s="16">
        <f t="shared" si="50"/>
        <v>4</v>
      </c>
      <c r="V102" s="16">
        <f t="shared" si="48"/>
        <v>9</v>
      </c>
      <c r="W102" s="16">
        <f t="shared" si="49"/>
        <v>25</v>
      </c>
      <c r="X102" s="77">
        <f>投放验证!AA112</f>
        <v>1561.8137039629923</v>
      </c>
      <c r="Y102" s="16">
        <f t="shared" si="51"/>
        <v>1599.8137039629923</v>
      </c>
      <c r="AI102" s="16">
        <v>97</v>
      </c>
      <c r="AJ102" s="16">
        <f t="shared" ref="AJ102:AJ133" si="52">IF($AI102&lt;35,0,求节点(AC$6:AC$10,$N$6:$N$10,$AI102)+求节点(AC$19:AC$20,$N$19:$N$20,$AI102)+求节点(AC$32:AC$34,$N$32:$N$34,$AI102)+求节点(AC$45:AC$54,$N$45:$N$54,$AI102)+求节点(AC$58:AC$67,$N$58:$N$67,$AI102))</f>
        <v>9694.7032013868338</v>
      </c>
      <c r="AK102" s="16">
        <f t="shared" ref="AK102:AK133" si="53">IF($AI102&lt;35,0,求节点(AD$6:AD$10,$N$6:$N$10,$AI102)+求节点(AD$19:AD$20,$N$19:$N$20,$AI102)+求节点(AD$32:AD$34,$N$32:$N$34,$AI102)+求节点(AD$45:AD$54,$N$45:$N$54,$AI102)+求节点(AD$58:AD$67,$N$58:$N$67,$AI102))</f>
        <v>11420.247180085549</v>
      </c>
      <c r="AL102" s="16">
        <f t="shared" ref="AL102:AL133" si="54">IF($AI102&lt;35,0,求节点(AE$6:AE$10,$N$6:$N$10,$AI102)+求节点(AE$19:AE$20,$N$19:$N$20,$AI102)+求节点(AE$32:AE$34,$N$32:$N$34,$AI102)+求节点(AE$45:AE$54,$N$45:$N$54,$AI102)+求节点(AE$58:AE$67,$N$58:$N$67,$AI102))</f>
        <v>15469.037444841688</v>
      </c>
      <c r="AM102" s="16">
        <f t="shared" ref="AM102:AM133" si="55">IF($AI102&lt;35,0,求节点(AF$6:AF$10,$N$6:$N$10,$AI102)+求节点(AF$19:AF$20,$N$19:$N$20,$AI102)+求节点(AF$32:AF$34,$N$32:$N$34,$AI102)+求节点(AF$45:AF$54,$N$45:$N$54,$AI102)+求节点(AF$58:AF$67,$N$58:$N$67,$AI102))</f>
        <v>25887.628985411942</v>
      </c>
      <c r="AN102" s="16">
        <f t="shared" ref="AN102:AN133" si="56">IF($AI102&lt;35,0,求节点(AG$6:AG$10,$N$6:$N$10,$AI102)+求节点(AG$19:AG$20,$N$19:$N$20,$AI102)+求节点(AG$32:AG$34,$N$32:$N$34,$AI102)+求节点(AG$45:AG$54,$N$45:$N$54,$AI102)+求节点(AG$58:AG$67,$N$58:$N$67,$AI102))</f>
        <v>27566.288561083442</v>
      </c>
    </row>
    <row r="103" spans="16:40">
      <c r="P103" s="16">
        <v>150</v>
      </c>
      <c r="Q103" s="16">
        <f>投放验证!AL113</f>
        <v>126927.53378882067</v>
      </c>
      <c r="R103" s="16">
        <f>投放验证!AM113</f>
        <v>38756.607676997592</v>
      </c>
      <c r="S103" s="16">
        <f>投放验证!AN113</f>
        <v>6937.9463546121469</v>
      </c>
      <c r="T103" s="16">
        <f>投放验证!AO113</f>
        <v>2187.9076216707149</v>
      </c>
      <c r="U103" s="16">
        <f t="shared" si="50"/>
        <v>4</v>
      </c>
      <c r="V103" s="16">
        <f t="shared" si="48"/>
        <v>9</v>
      </c>
      <c r="W103" s="16">
        <f t="shared" si="49"/>
        <v>25</v>
      </c>
      <c r="X103" s="77">
        <f>投放验证!AA113</f>
        <v>2187.9076216707149</v>
      </c>
      <c r="Y103" s="16">
        <f t="shared" si="51"/>
        <v>2225.9076216707149</v>
      </c>
      <c r="AI103" s="16">
        <v>98</v>
      </c>
      <c r="AJ103" s="16">
        <f t="shared" si="52"/>
        <v>10109.898888178086</v>
      </c>
      <c r="AK103" s="16">
        <f t="shared" si="53"/>
        <v>11940.912386236341</v>
      </c>
      <c r="AL103" s="16">
        <f t="shared" si="54"/>
        <v>16093.362599983142</v>
      </c>
      <c r="AM103" s="16">
        <f t="shared" si="55"/>
        <v>26239.638929527828</v>
      </c>
      <c r="AN103" s="16">
        <f t="shared" si="56"/>
        <v>28038.177151294345</v>
      </c>
    </row>
    <row r="104" spans="16:40">
      <c r="P104" s="16">
        <v>155</v>
      </c>
      <c r="Q104" s="16">
        <f>投放验证!AL114</f>
        <v>359283.21069865546</v>
      </c>
      <c r="R104" s="16">
        <f>投放验证!AM114</f>
        <v>109643.98874605088</v>
      </c>
      <c r="S104" s="16">
        <f>投放验证!AN114</f>
        <v>19626.906440172123</v>
      </c>
      <c r="T104" s="16">
        <f>投放验证!AO114</f>
        <v>6187.1666259132671</v>
      </c>
      <c r="U104" s="16">
        <f t="shared" si="50"/>
        <v>4</v>
      </c>
      <c r="V104" s="16">
        <f t="shared" si="48"/>
        <v>9</v>
      </c>
      <c r="W104" s="16">
        <f t="shared" si="49"/>
        <v>25</v>
      </c>
      <c r="X104" s="77">
        <f>投放验证!AA114</f>
        <v>6187.1666259132671</v>
      </c>
      <c r="Y104" s="16">
        <f t="shared" si="51"/>
        <v>6225.1666259132671</v>
      </c>
      <c r="AI104" s="16">
        <v>99</v>
      </c>
      <c r="AJ104" s="16">
        <f t="shared" si="52"/>
        <v>10533.310720702706</v>
      </c>
      <c r="AK104" s="16">
        <f t="shared" si="53"/>
        <v>12539.636895237836</v>
      </c>
      <c r="AL104" s="16">
        <f t="shared" si="54"/>
        <v>16718.409310595911</v>
      </c>
      <c r="AM104" s="16">
        <f t="shared" si="55"/>
        <v>26603.416657319649</v>
      </c>
      <c r="AN104" s="16">
        <f t="shared" si="56"/>
        <v>28510.065741505252</v>
      </c>
    </row>
    <row r="105" spans="16:40">
      <c r="P105" s="16">
        <v>160</v>
      </c>
      <c r="Q105" s="16">
        <f>投放验证!AL115</f>
        <v>534652.37745438609</v>
      </c>
      <c r="R105" s="16">
        <f>投放验证!AM115</f>
        <v>163134.1554523287</v>
      </c>
      <c r="S105" s="16">
        <f>投放验证!AN115</f>
        <v>29201.598244958172</v>
      </c>
      <c r="T105" s="16">
        <f>投放验证!AO115</f>
        <v>9204.4312816527217</v>
      </c>
      <c r="U105" s="16">
        <f t="shared" si="50"/>
        <v>4</v>
      </c>
      <c r="V105" s="16">
        <f t="shared" si="48"/>
        <v>9</v>
      </c>
      <c r="W105" s="16">
        <f t="shared" si="49"/>
        <v>25</v>
      </c>
      <c r="X105" s="77">
        <f>投放验证!AA115</f>
        <v>9204.4312816527217</v>
      </c>
      <c r="Y105" s="16">
        <f t="shared" si="51"/>
        <v>9242.4312816527217</v>
      </c>
      <c r="AI105" s="16">
        <v>100</v>
      </c>
      <c r="AJ105" s="16">
        <f t="shared" si="52"/>
        <v>10959.151438736066</v>
      </c>
      <c r="AK105" s="16">
        <f t="shared" si="53"/>
        <v>13257.290057978982</v>
      </c>
      <c r="AL105" s="16">
        <f t="shared" si="54"/>
        <v>17343.456021208684</v>
      </c>
      <c r="AM105" s="16">
        <f t="shared" si="55"/>
        <v>27000.624940590642</v>
      </c>
      <c r="AN105" s="16">
        <f t="shared" si="56"/>
        <v>28900</v>
      </c>
    </row>
    <row r="106" spans="16:40">
      <c r="AI106" s="16">
        <v>101</v>
      </c>
      <c r="AJ106" s="16">
        <f t="shared" si="52"/>
        <v>11406.449812276151</v>
      </c>
      <c r="AK106" s="16">
        <f t="shared" si="53"/>
        <v>14000.226509250917</v>
      </c>
      <c r="AL106" s="16">
        <f t="shared" si="54"/>
        <v>17968.502731821452</v>
      </c>
      <c r="AM106" s="16">
        <f t="shared" si="55"/>
        <v>27416.449268426124</v>
      </c>
      <c r="AN106" s="16">
        <f t="shared" si="56"/>
        <v>28900</v>
      </c>
    </row>
    <row r="107" spans="16:40">
      <c r="AI107" s="16">
        <v>102</v>
      </c>
      <c r="AJ107" s="16">
        <f t="shared" si="52"/>
        <v>11882.846141082422</v>
      </c>
      <c r="AK107" s="16">
        <f t="shared" si="53"/>
        <v>14581.778983661685</v>
      </c>
      <c r="AL107" s="16">
        <f t="shared" si="54"/>
        <v>18613.594296677358</v>
      </c>
      <c r="AM107" s="16">
        <f t="shared" si="55"/>
        <v>27889.239719092646</v>
      </c>
      <c r="AN107" s="16">
        <f t="shared" si="56"/>
        <v>28900</v>
      </c>
    </row>
    <row r="108" spans="16:40">
      <c r="P108" s="32"/>
      <c r="Q108" s="164" t="s">
        <v>530</v>
      </c>
      <c r="R108" s="164"/>
      <c r="S108" s="164"/>
      <c r="T108" s="164"/>
      <c r="U108" s="164" t="s">
        <v>537</v>
      </c>
      <c r="V108" s="164"/>
      <c r="W108" s="164"/>
      <c r="X108" s="164"/>
      <c r="AI108" s="16">
        <v>103</v>
      </c>
      <c r="AJ108" s="16">
        <f t="shared" si="52"/>
        <v>12398.482951854616</v>
      </c>
      <c r="AK108" s="16">
        <f t="shared" si="53"/>
        <v>15132.285439717994</v>
      </c>
      <c r="AL108" s="16">
        <f t="shared" si="54"/>
        <v>19628.483893106408</v>
      </c>
      <c r="AM108" s="16">
        <f t="shared" si="55"/>
        <v>28362.030169759168</v>
      </c>
      <c r="AN108" s="16">
        <f t="shared" si="56"/>
        <v>28900</v>
      </c>
    </row>
    <row r="109" spans="16:40">
      <c r="P109" s="16" t="s">
        <v>401</v>
      </c>
      <c r="Q109" s="16" t="s">
        <v>79</v>
      </c>
      <c r="R109" s="16" t="s">
        <v>80</v>
      </c>
      <c r="S109" s="16" t="s">
        <v>81</v>
      </c>
      <c r="T109" s="16" t="s">
        <v>205</v>
      </c>
      <c r="U109" s="16" t="s">
        <v>79</v>
      </c>
      <c r="V109" s="16" t="s">
        <v>80</v>
      </c>
      <c r="W109" s="16" t="s">
        <v>81</v>
      </c>
      <c r="X109" s="16" t="s">
        <v>205</v>
      </c>
      <c r="Y109" s="16" t="s">
        <v>541</v>
      </c>
      <c r="AI109" s="16">
        <v>104</v>
      </c>
      <c r="AJ109" s="16">
        <f t="shared" si="52"/>
        <v>13021.290556573707</v>
      </c>
      <c r="AK109" s="16">
        <f t="shared" si="53"/>
        <v>15704.171412915715</v>
      </c>
      <c r="AL109" s="16">
        <f t="shared" si="54"/>
        <v>20745.331581211347</v>
      </c>
      <c r="AM109" s="16">
        <f t="shared" si="55"/>
        <v>28834.820620425686</v>
      </c>
      <c r="AN109" s="16">
        <f t="shared" si="56"/>
        <v>28900</v>
      </c>
    </row>
    <row r="110" spans="16:40">
      <c r="P110" s="16">
        <v>45</v>
      </c>
      <c r="Q110" s="16">
        <v>0</v>
      </c>
      <c r="R110" s="16">
        <v>0</v>
      </c>
      <c r="S110" s="16">
        <v>0</v>
      </c>
      <c r="T110" s="16">
        <v>0</v>
      </c>
      <c r="U110" s="16">
        <f>MIN(Q110/2,Q$2)</f>
        <v>0</v>
      </c>
      <c r="V110" s="16">
        <f t="shared" ref="V110:V131" si="57">MIN(R110/2,R$2)</f>
        <v>0</v>
      </c>
      <c r="W110" s="16">
        <f t="shared" ref="W110:W131" si="58">MIN(S110/2,S$2)</f>
        <v>0</v>
      </c>
      <c r="X110" s="16">
        <v>0</v>
      </c>
      <c r="Y110" s="16">
        <f>SUM(U110:X110)</f>
        <v>0</v>
      </c>
      <c r="AI110" s="16">
        <v>105</v>
      </c>
      <c r="AJ110" s="16">
        <f t="shared" si="52"/>
        <v>13561.671171879239</v>
      </c>
      <c r="AK110" s="16">
        <f t="shared" si="53"/>
        <v>16307.565754238658</v>
      </c>
      <c r="AL110" s="16">
        <f t="shared" si="54"/>
        <v>21862.179269316286</v>
      </c>
      <c r="AM110" s="16">
        <f t="shared" si="55"/>
        <v>28900</v>
      </c>
      <c r="AN110" s="16">
        <f t="shared" si="56"/>
        <v>28900</v>
      </c>
    </row>
    <row r="111" spans="16:40">
      <c r="P111" s="16">
        <v>50</v>
      </c>
      <c r="Q111" s="16">
        <f>投放验证!AL121</f>
        <v>216.65417148504326</v>
      </c>
      <c r="R111" s="16">
        <f>投放验证!AM121</f>
        <v>72.141535561681081</v>
      </c>
      <c r="S111" s="16">
        <f>投放验证!AN121</f>
        <v>13.006902449102595</v>
      </c>
      <c r="T111" s="16">
        <f>投放验证!AO121</f>
        <v>4.310126949700865</v>
      </c>
      <c r="U111" s="16">
        <f t="shared" ref="U111:U131" si="59">MIN(Q111/2,Q$2)</f>
        <v>4</v>
      </c>
      <c r="V111" s="16">
        <f t="shared" si="57"/>
        <v>9</v>
      </c>
      <c r="W111" s="16">
        <f t="shared" si="58"/>
        <v>6.5034512245512976</v>
      </c>
      <c r="X111" s="77">
        <f>投放验证!AA121</f>
        <v>4.310126949700865</v>
      </c>
      <c r="Y111" s="16">
        <f t="shared" ref="Y111:Y131" si="60">SUM(U111:X111)</f>
        <v>23.813578174252164</v>
      </c>
      <c r="AI111" s="16">
        <v>106</v>
      </c>
      <c r="AJ111" s="16">
        <f t="shared" si="52"/>
        <v>14102.05178718477</v>
      </c>
      <c r="AK111" s="16">
        <f t="shared" si="53"/>
        <v>16910.960095561601</v>
      </c>
      <c r="AL111" s="16">
        <f t="shared" si="54"/>
        <v>23049.831881799859</v>
      </c>
      <c r="AM111" s="16">
        <f t="shared" si="55"/>
        <v>28900</v>
      </c>
      <c r="AN111" s="16">
        <f t="shared" si="56"/>
        <v>28900</v>
      </c>
    </row>
    <row r="112" spans="16:40">
      <c r="P112" s="16">
        <v>60</v>
      </c>
      <c r="Q112" s="16">
        <f>投放验证!AL122</f>
        <v>396.66383058367734</v>
      </c>
      <c r="R112" s="16">
        <f>投放验证!AM122</f>
        <v>130.20733952750138</v>
      </c>
      <c r="S112" s="16">
        <f>投放验证!AN122</f>
        <v>23.44244907493265</v>
      </c>
      <c r="T112" s="16">
        <f>投放验证!AO122</f>
        <v>7.715939291644216</v>
      </c>
      <c r="U112" s="16">
        <f t="shared" si="59"/>
        <v>4</v>
      </c>
      <c r="V112" s="16">
        <f t="shared" si="57"/>
        <v>9</v>
      </c>
      <c r="W112" s="16">
        <f t="shared" si="58"/>
        <v>11.721224537466325</v>
      </c>
      <c r="X112" s="77">
        <f>投放验证!AA122</f>
        <v>7.715939291644216</v>
      </c>
      <c r="Y112" s="16">
        <f t="shared" si="60"/>
        <v>32.437163829110546</v>
      </c>
      <c r="AI112" s="16">
        <v>107</v>
      </c>
      <c r="AJ112" s="16">
        <f t="shared" si="52"/>
        <v>14642.4324024903</v>
      </c>
      <c r="AK112" s="16">
        <f t="shared" si="53"/>
        <v>17514.354436884543</v>
      </c>
      <c r="AL112" s="16">
        <f t="shared" si="54"/>
        <v>24250.377688786641</v>
      </c>
      <c r="AM112" s="16">
        <f t="shared" si="55"/>
        <v>28900</v>
      </c>
      <c r="AN112" s="16">
        <f t="shared" si="56"/>
        <v>28900</v>
      </c>
    </row>
    <row r="113" spans="16:40">
      <c r="P113" s="16">
        <v>70</v>
      </c>
      <c r="Q113" s="16">
        <f>投放验证!AL123</f>
        <v>744.35106269055564</v>
      </c>
      <c r="R113" s="16">
        <f>投放验证!AM123</f>
        <v>241.94921897312747</v>
      </c>
      <c r="S113" s="16">
        <f>投放验证!AN123</f>
        <v>43.511206768595351</v>
      </c>
      <c r="T113" s="16">
        <f>投放验证!AO123</f>
        <v>14.259737189531782</v>
      </c>
      <c r="U113" s="16">
        <f t="shared" si="59"/>
        <v>4</v>
      </c>
      <c r="V113" s="16">
        <f t="shared" si="57"/>
        <v>9</v>
      </c>
      <c r="W113" s="16">
        <f t="shared" si="58"/>
        <v>21.755603384297675</v>
      </c>
      <c r="X113" s="77">
        <f>投放验证!AA123</f>
        <v>14.259737189531782</v>
      </c>
      <c r="Y113" s="16">
        <f t="shared" si="60"/>
        <v>49.015340573829455</v>
      </c>
      <c r="AI113" s="16">
        <v>108</v>
      </c>
      <c r="AJ113" s="16">
        <f t="shared" si="52"/>
        <v>15182.813017795832</v>
      </c>
      <c r="AK113" s="16">
        <f t="shared" si="53"/>
        <v>18117.748778207486</v>
      </c>
      <c r="AL113" s="16">
        <f t="shared" si="54"/>
        <v>25453.875581420485</v>
      </c>
      <c r="AM113" s="16">
        <f t="shared" si="55"/>
        <v>28900</v>
      </c>
      <c r="AN113" s="16">
        <f t="shared" si="56"/>
        <v>28900</v>
      </c>
    </row>
    <row r="114" spans="16:40">
      <c r="P114" s="16">
        <v>75</v>
      </c>
      <c r="Q114" s="16">
        <f>投放验证!AL124</f>
        <v>1046.4406284153883</v>
      </c>
      <c r="R114" s="16">
        <f>投放验证!AM124</f>
        <v>339.16834315321557</v>
      </c>
      <c r="S114" s="16">
        <f>投放验证!AN124</f>
        <v>60.973161144186264</v>
      </c>
      <c r="T114" s="16">
        <f>投放验证!AO124</f>
        <v>19.958342575299447</v>
      </c>
      <c r="U114" s="16">
        <f t="shared" si="59"/>
        <v>4</v>
      </c>
      <c r="V114" s="16">
        <f t="shared" si="57"/>
        <v>9</v>
      </c>
      <c r="W114" s="16">
        <f t="shared" si="58"/>
        <v>25</v>
      </c>
      <c r="X114" s="77">
        <f>投放验证!AA124</f>
        <v>19.958342575299447</v>
      </c>
      <c r="Y114" s="16">
        <f t="shared" si="60"/>
        <v>57.958342575299447</v>
      </c>
      <c r="AI114" s="16">
        <v>109</v>
      </c>
      <c r="AJ114" s="16">
        <f t="shared" si="52"/>
        <v>15747.100737883484</v>
      </c>
      <c r="AK114" s="16">
        <f t="shared" si="53"/>
        <v>18763.647757641589</v>
      </c>
      <c r="AL114" s="16">
        <f t="shared" si="54"/>
        <v>26077.061765822429</v>
      </c>
      <c r="AM114" s="16">
        <f t="shared" si="55"/>
        <v>28900</v>
      </c>
      <c r="AN114" s="16">
        <f t="shared" si="56"/>
        <v>28900</v>
      </c>
    </row>
    <row r="115" spans="16:40">
      <c r="P115" s="16">
        <v>80</v>
      </c>
      <c r="Q115" s="16">
        <f>投放验证!AL125</f>
        <v>1462.7003447703755</v>
      </c>
      <c r="R115" s="16">
        <f>投放验证!AM125</f>
        <v>473.12995469840075</v>
      </c>
      <c r="S115" s="16">
        <f>投放验证!AN125</f>
        <v>85.034595235584561</v>
      </c>
      <c r="T115" s="16">
        <f>投放验证!AO125</f>
        <v>27.810649078528183</v>
      </c>
      <c r="U115" s="16">
        <f t="shared" si="59"/>
        <v>4</v>
      </c>
      <c r="V115" s="16">
        <f t="shared" si="57"/>
        <v>9</v>
      </c>
      <c r="W115" s="16">
        <f t="shared" si="58"/>
        <v>25</v>
      </c>
      <c r="X115" s="77">
        <f>投放验证!AA125</f>
        <v>27.810649078528183</v>
      </c>
      <c r="Y115" s="16">
        <f t="shared" si="60"/>
        <v>65.810649078528186</v>
      </c>
      <c r="AI115" s="16">
        <v>110</v>
      </c>
      <c r="AJ115" s="16">
        <f t="shared" si="52"/>
        <v>16341.580321188152</v>
      </c>
      <c r="AK115" s="16">
        <f t="shared" si="53"/>
        <v>19858.150159709527</v>
      </c>
      <c r="AL115" s="16">
        <f t="shared" si="54"/>
        <v>26393.820774858352</v>
      </c>
      <c r="AM115" s="16">
        <f t="shared" si="55"/>
        <v>28900</v>
      </c>
      <c r="AN115" s="16">
        <f t="shared" si="56"/>
        <v>28900</v>
      </c>
    </row>
    <row r="116" spans="16:40">
      <c r="P116" s="16">
        <v>85</v>
      </c>
      <c r="Q116" s="16">
        <f>投放验证!AL126</f>
        <v>2045.3093018256559</v>
      </c>
      <c r="R116" s="16">
        <f>投放验证!AM126</f>
        <v>660.54990577522415</v>
      </c>
      <c r="S116" s="16">
        <f>投放验证!AN126</f>
        <v>118.69706213818306</v>
      </c>
      <c r="T116" s="16">
        <f>投放验证!AO126</f>
        <v>38.793407516684155</v>
      </c>
      <c r="U116" s="16">
        <f t="shared" si="59"/>
        <v>4</v>
      </c>
      <c r="V116" s="16">
        <f t="shared" si="57"/>
        <v>9</v>
      </c>
      <c r="W116" s="16">
        <f t="shared" si="58"/>
        <v>25</v>
      </c>
      <c r="X116" s="77">
        <f>投放验证!AA126</f>
        <v>38.793407516684155</v>
      </c>
      <c r="Y116" s="16">
        <f t="shared" si="60"/>
        <v>76.793407516684155</v>
      </c>
      <c r="AI116" s="16">
        <v>111</v>
      </c>
      <c r="AJ116" s="16">
        <f t="shared" si="52"/>
        <v>16936.05990449282</v>
      </c>
      <c r="AK116" s="16">
        <f t="shared" si="53"/>
        <v>20971.999686499741</v>
      </c>
      <c r="AL116" s="16">
        <f t="shared" si="54"/>
        <v>26777.941975783851</v>
      </c>
      <c r="AM116" s="16">
        <f t="shared" si="55"/>
        <v>28900</v>
      </c>
      <c r="AN116" s="16">
        <f t="shared" si="56"/>
        <v>28900</v>
      </c>
    </row>
    <row r="117" spans="16:40">
      <c r="P117" s="16">
        <v>90</v>
      </c>
      <c r="Q117" s="16">
        <f>投放验证!AL127</f>
        <v>2738.0338145555183</v>
      </c>
      <c r="R117" s="16">
        <f>投放验证!AM127</f>
        <v>883.26454153344832</v>
      </c>
      <c r="S117" s="16">
        <f>投放验证!AN127</f>
        <v>158.69736642669315</v>
      </c>
      <c r="T117" s="16">
        <f>投放验证!AO127</f>
        <v>51.839274142231041</v>
      </c>
      <c r="U117" s="16">
        <f t="shared" si="59"/>
        <v>4</v>
      </c>
      <c r="V117" s="16">
        <f t="shared" si="57"/>
        <v>9</v>
      </c>
      <c r="W117" s="16">
        <f t="shared" si="58"/>
        <v>25</v>
      </c>
      <c r="X117" s="77">
        <f>投放验证!AA127</f>
        <v>51.839274142231041</v>
      </c>
      <c r="Y117" s="16">
        <f t="shared" si="60"/>
        <v>89.839274142231034</v>
      </c>
      <c r="AI117" s="16">
        <v>112</v>
      </c>
      <c r="AJ117" s="16">
        <f t="shared" si="52"/>
        <v>17530.539487797487</v>
      </c>
      <c r="AK117" s="16">
        <f t="shared" si="53"/>
        <v>22096.531816223582</v>
      </c>
      <c r="AL117" s="16">
        <f t="shared" si="54"/>
        <v>27196.028760709894</v>
      </c>
      <c r="AM117" s="16">
        <f t="shared" si="55"/>
        <v>28900</v>
      </c>
      <c r="AN117" s="16">
        <f t="shared" si="56"/>
        <v>28900</v>
      </c>
    </row>
    <row r="118" spans="16:40">
      <c r="P118" s="16">
        <v>95</v>
      </c>
      <c r="Q118" s="16">
        <f>投放验证!AL128</f>
        <v>3783.7866820996724</v>
      </c>
      <c r="R118" s="16">
        <f>投放验证!AM128</f>
        <v>1219.457162639427</v>
      </c>
      <c r="S118" s="16">
        <f>投放验证!AN128</f>
        <v>219.07845023787033</v>
      </c>
      <c r="T118" s="16">
        <f>投放验证!AO128</f>
        <v>71.53139225827033</v>
      </c>
      <c r="U118" s="16">
        <f t="shared" si="59"/>
        <v>4</v>
      </c>
      <c r="V118" s="16">
        <f t="shared" si="57"/>
        <v>9</v>
      </c>
      <c r="W118" s="16">
        <f t="shared" si="58"/>
        <v>25</v>
      </c>
      <c r="X118" s="77">
        <f>投放验证!AA128</f>
        <v>71.53139225827033</v>
      </c>
      <c r="Y118" s="16">
        <f t="shared" si="60"/>
        <v>109.53139225827033</v>
      </c>
      <c r="AI118" s="16">
        <v>113</v>
      </c>
      <c r="AJ118" s="16">
        <f t="shared" si="52"/>
        <v>18125.019071102157</v>
      </c>
      <c r="AK118" s="16">
        <f t="shared" si="53"/>
        <v>23249.254090239039</v>
      </c>
      <c r="AL118" s="16">
        <f t="shared" si="54"/>
        <v>27614.115545635937</v>
      </c>
      <c r="AM118" s="16">
        <f t="shared" si="55"/>
        <v>28900</v>
      </c>
      <c r="AN118" s="16">
        <f t="shared" si="56"/>
        <v>28900</v>
      </c>
    </row>
    <row r="119" spans="16:40">
      <c r="P119" s="16">
        <v>100</v>
      </c>
      <c r="Q119" s="16">
        <f>投放验证!AL129</f>
        <v>5350.5947979865678</v>
      </c>
      <c r="R119" s="16">
        <f>投放验证!AM129</f>
        <v>1723.0507100851314</v>
      </c>
      <c r="S119" s="16">
        <f>投放验证!AN129</f>
        <v>309.52395463935613</v>
      </c>
      <c r="T119" s="16">
        <f>投放验证!AO129</f>
        <v>101.02442914645202</v>
      </c>
      <c r="U119" s="16">
        <f t="shared" si="59"/>
        <v>4</v>
      </c>
      <c r="V119" s="16">
        <f t="shared" si="57"/>
        <v>9</v>
      </c>
      <c r="W119" s="16">
        <f t="shared" si="58"/>
        <v>25</v>
      </c>
      <c r="X119" s="77">
        <f>投放验证!AA129</f>
        <v>101.02442914645202</v>
      </c>
      <c r="Y119" s="16">
        <f t="shared" si="60"/>
        <v>139.02442914645201</v>
      </c>
      <c r="AI119" s="16">
        <v>114</v>
      </c>
      <c r="AJ119" s="16">
        <f t="shared" si="52"/>
        <v>18759.80852613975</v>
      </c>
      <c r="AK119" s="16">
        <f t="shared" si="53"/>
        <v>24401.9763642545</v>
      </c>
      <c r="AL119" s="16">
        <f t="shared" si="54"/>
        <v>28032.20233056198</v>
      </c>
      <c r="AM119" s="16">
        <f t="shared" si="55"/>
        <v>28900</v>
      </c>
      <c r="AN119" s="16">
        <f t="shared" si="56"/>
        <v>28900</v>
      </c>
    </row>
    <row r="120" spans="16:40">
      <c r="P120" s="16">
        <v>105</v>
      </c>
      <c r="Q120" s="16">
        <f>投放验证!AL130</f>
        <v>7481.8644047593698</v>
      </c>
      <c r="R120" s="16">
        <f>投放验证!AM130</f>
        <v>2408.032958714055</v>
      </c>
      <c r="S120" s="16">
        <f>投放验证!AN130</f>
        <v>432.54649399223001</v>
      </c>
      <c r="T120" s="16">
        <f>投放验证!AO130</f>
        <v>141.13904225078622</v>
      </c>
      <c r="U120" s="16">
        <f t="shared" si="59"/>
        <v>4</v>
      </c>
      <c r="V120" s="16">
        <f t="shared" si="57"/>
        <v>9</v>
      </c>
      <c r="W120" s="16">
        <f t="shared" si="58"/>
        <v>25</v>
      </c>
      <c r="X120" s="77">
        <f>投放验证!AA130</f>
        <v>141.13904225078622</v>
      </c>
      <c r="Y120" s="16">
        <f t="shared" si="60"/>
        <v>179.13904225078622</v>
      </c>
      <c r="AI120" s="16">
        <v>115</v>
      </c>
      <c r="AJ120" s="16">
        <f t="shared" si="52"/>
        <v>19830.68829028638</v>
      </c>
      <c r="AK120" s="16">
        <f t="shared" si="53"/>
        <v>25578.951760320393</v>
      </c>
      <c r="AL120" s="16">
        <f t="shared" si="54"/>
        <v>28521.948456141239</v>
      </c>
      <c r="AM120" s="16">
        <f t="shared" si="55"/>
        <v>28900</v>
      </c>
      <c r="AN120" s="16">
        <f t="shared" si="56"/>
        <v>28900</v>
      </c>
    </row>
    <row r="121" spans="16:40">
      <c r="P121" s="16">
        <v>110</v>
      </c>
      <c r="Q121" s="16">
        <f>投放验证!AL131</f>
        <v>10440.18619321894</v>
      </c>
      <c r="R121" s="16">
        <f>投放验证!AM131</f>
        <v>3358.6601528305891</v>
      </c>
      <c r="S121" s="16">
        <f>投放验证!AN131</f>
        <v>603.27689716859857</v>
      </c>
      <c r="T121" s="16">
        <f>投放验证!AO131</f>
        <v>196.80393425619948</v>
      </c>
      <c r="U121" s="16">
        <f t="shared" si="59"/>
        <v>4</v>
      </c>
      <c r="V121" s="16">
        <f t="shared" si="57"/>
        <v>9</v>
      </c>
      <c r="W121" s="16">
        <f t="shared" si="58"/>
        <v>25</v>
      </c>
      <c r="X121" s="77">
        <f>投放验证!AA131</f>
        <v>196.80393425619948</v>
      </c>
      <c r="Y121" s="16">
        <f t="shared" si="60"/>
        <v>234.80393425619948</v>
      </c>
      <c r="AI121" s="16">
        <v>116</v>
      </c>
      <c r="AJ121" s="16">
        <f t="shared" si="52"/>
        <v>20921.031485693235</v>
      </c>
      <c r="AK121" s="16">
        <f t="shared" si="53"/>
        <v>26151.978736524579</v>
      </c>
      <c r="AL121" s="16">
        <f t="shared" si="54"/>
        <v>28900</v>
      </c>
      <c r="AM121" s="16">
        <f t="shared" si="55"/>
        <v>28900</v>
      </c>
      <c r="AN121" s="16">
        <f t="shared" si="56"/>
        <v>28900</v>
      </c>
    </row>
    <row r="122" spans="16:40">
      <c r="P122" s="16">
        <v>115</v>
      </c>
      <c r="Q122" s="16">
        <f>投放验证!AL132</f>
        <v>14557.391024027405</v>
      </c>
      <c r="R122" s="16">
        <f>投放验证!AM132</f>
        <v>4681.6409548763422</v>
      </c>
      <c r="S122" s="16">
        <f>投放验证!AN132</f>
        <v>840.88066206834173</v>
      </c>
      <c r="T122" s="16">
        <f>投放验证!AO132</f>
        <v>274.27066932372867</v>
      </c>
      <c r="U122" s="16">
        <f t="shared" si="59"/>
        <v>4</v>
      </c>
      <c r="V122" s="16">
        <f t="shared" si="57"/>
        <v>9</v>
      </c>
      <c r="W122" s="16">
        <f t="shared" si="58"/>
        <v>25</v>
      </c>
      <c r="X122" s="77">
        <f>投放验证!AA132</f>
        <v>274.27066932372867</v>
      </c>
      <c r="Y122" s="16">
        <f t="shared" si="60"/>
        <v>312.27066932372867</v>
      </c>
      <c r="AI122" s="16">
        <v>117</v>
      </c>
      <c r="AJ122" s="16">
        <f t="shared" si="52"/>
        <v>22018.317354565424</v>
      </c>
      <c r="AK122" s="16">
        <f t="shared" si="53"/>
        <v>26509.873218313507</v>
      </c>
      <c r="AL122" s="16">
        <f t="shared" si="54"/>
        <v>28900</v>
      </c>
      <c r="AM122" s="16">
        <f t="shared" si="55"/>
        <v>28900</v>
      </c>
      <c r="AN122" s="16">
        <f t="shared" si="56"/>
        <v>28900</v>
      </c>
    </row>
    <row r="123" spans="16:40">
      <c r="P123" s="16">
        <v>120</v>
      </c>
      <c r="Q123" s="16">
        <f>投放验证!AL133</f>
        <v>20404.526244459797</v>
      </c>
      <c r="R123" s="16">
        <f>投放验证!AM133</f>
        <v>6560.226261201542</v>
      </c>
      <c r="S123" s="16">
        <f>投放验证!AN133</f>
        <v>1178.26642790345</v>
      </c>
      <c r="T123" s="16">
        <f>投放验证!AO133</f>
        <v>384.25966796781665</v>
      </c>
      <c r="U123" s="16">
        <f t="shared" si="59"/>
        <v>4</v>
      </c>
      <c r="V123" s="16">
        <f t="shared" si="57"/>
        <v>9</v>
      </c>
      <c r="W123" s="16">
        <f t="shared" si="58"/>
        <v>25</v>
      </c>
      <c r="X123" s="77">
        <f>投放验证!AA133</f>
        <v>384.25966796781665</v>
      </c>
      <c r="Y123" s="16">
        <f t="shared" si="60"/>
        <v>422.25966796781665</v>
      </c>
      <c r="AI123" s="16">
        <v>118</v>
      </c>
      <c r="AJ123" s="16">
        <f t="shared" si="52"/>
        <v>23141.974613741622</v>
      </c>
      <c r="AK123" s="16">
        <f t="shared" si="53"/>
        <v>26879.730214134433</v>
      </c>
      <c r="AL123" s="16">
        <f t="shared" si="54"/>
        <v>28900</v>
      </c>
      <c r="AM123" s="16">
        <f t="shared" si="55"/>
        <v>28900</v>
      </c>
      <c r="AN123" s="16">
        <f t="shared" si="56"/>
        <v>28900</v>
      </c>
    </row>
    <row r="124" spans="16:40">
      <c r="P124" s="16">
        <v>125</v>
      </c>
      <c r="Q124" s="16">
        <f>投放验证!AL134</f>
        <v>28758.946899484534</v>
      </c>
      <c r="R124" s="16">
        <f>投放验证!AM134</f>
        <v>9244.3066862098167</v>
      </c>
      <c r="S124" s="16">
        <f>投放验证!AN134</f>
        <v>1660.3150259713254</v>
      </c>
      <c r="T124" s="16">
        <f>投放验证!AO134</f>
        <v>541.4073419223547</v>
      </c>
      <c r="U124" s="16">
        <f t="shared" si="59"/>
        <v>4</v>
      </c>
      <c r="V124" s="16">
        <f t="shared" si="57"/>
        <v>9</v>
      </c>
      <c r="W124" s="16">
        <f t="shared" si="58"/>
        <v>25</v>
      </c>
      <c r="X124" s="77">
        <f>投放验证!AA134</f>
        <v>541.4073419223547</v>
      </c>
      <c r="Y124" s="16">
        <f t="shared" si="60"/>
        <v>579.4073419223547</v>
      </c>
      <c r="AI124" s="16">
        <v>119</v>
      </c>
      <c r="AJ124" s="16">
        <f t="shared" si="52"/>
        <v>24265.63187291782</v>
      </c>
      <c r="AK124" s="16">
        <f t="shared" si="53"/>
        <v>27249.58720995536</v>
      </c>
      <c r="AL124" s="16">
        <f t="shared" si="54"/>
        <v>28900</v>
      </c>
      <c r="AM124" s="16">
        <f t="shared" si="55"/>
        <v>28900</v>
      </c>
      <c r="AN124" s="16">
        <f t="shared" si="56"/>
        <v>28900</v>
      </c>
    </row>
    <row r="125" spans="16:40">
      <c r="P125" s="16">
        <v>130</v>
      </c>
      <c r="Q125" s="16">
        <f>投放验证!AL135</f>
        <v>40350.849960336331</v>
      </c>
      <c r="R125" s="16">
        <f>投放验证!AM135</f>
        <v>12968.120816124387</v>
      </c>
      <c r="S125" s="16">
        <f>投放验证!AN135</f>
        <v>2329.0906483429426</v>
      </c>
      <c r="T125" s="16">
        <f>投放验证!AO135</f>
        <v>759.41358624764734</v>
      </c>
      <c r="U125" s="16">
        <f t="shared" si="59"/>
        <v>4</v>
      </c>
      <c r="V125" s="16">
        <f t="shared" si="57"/>
        <v>9</v>
      </c>
      <c r="W125" s="16">
        <f t="shared" si="58"/>
        <v>25</v>
      </c>
      <c r="X125" s="77">
        <f>投放验证!AA135</f>
        <v>759.41358624764734</v>
      </c>
      <c r="Y125" s="16">
        <f t="shared" si="60"/>
        <v>797.41358624764734</v>
      </c>
      <c r="AI125" s="16">
        <v>120</v>
      </c>
      <c r="AJ125" s="16">
        <f t="shared" si="52"/>
        <v>25397.827012691472</v>
      </c>
      <c r="AK125" s="16">
        <f t="shared" si="53"/>
        <v>27683.147888992513</v>
      </c>
      <c r="AL125" s="16">
        <f t="shared" si="54"/>
        <v>28900</v>
      </c>
      <c r="AM125" s="16">
        <f t="shared" si="55"/>
        <v>28900</v>
      </c>
      <c r="AN125" s="16">
        <f t="shared" si="56"/>
        <v>28900</v>
      </c>
    </row>
    <row r="126" spans="16:40">
      <c r="P126" s="16">
        <v>135</v>
      </c>
      <c r="Q126" s="16">
        <f>投放验证!AL136</f>
        <v>56459.892795295935</v>
      </c>
      <c r="R126" s="16">
        <f>投放验证!AM136</f>
        <v>18142.976773586463</v>
      </c>
      <c r="S126" s="16">
        <f>投放验证!AN136</f>
        <v>3258.4644160364546</v>
      </c>
      <c r="T126" s="16">
        <f>投放验证!AO136</f>
        <v>1062.3670782593933</v>
      </c>
      <c r="U126" s="16">
        <f t="shared" si="59"/>
        <v>4</v>
      </c>
      <c r="V126" s="16">
        <f t="shared" si="57"/>
        <v>9</v>
      </c>
      <c r="W126" s="16">
        <f t="shared" si="58"/>
        <v>25</v>
      </c>
      <c r="X126" s="77">
        <f>投放验证!AA136</f>
        <v>1062.3670782593933</v>
      </c>
      <c r="Y126" s="16">
        <f t="shared" si="60"/>
        <v>1100.3670782593933</v>
      </c>
      <c r="AI126" s="16">
        <v>121</v>
      </c>
      <c r="AJ126" s="16">
        <f t="shared" si="52"/>
        <v>26087.879988066547</v>
      </c>
      <c r="AK126" s="16">
        <f t="shared" si="53"/>
        <v>28130.851681970809</v>
      </c>
      <c r="AL126" s="16">
        <f t="shared" si="54"/>
        <v>28900</v>
      </c>
      <c r="AM126" s="16">
        <f t="shared" si="55"/>
        <v>28900</v>
      </c>
      <c r="AN126" s="16">
        <f t="shared" si="56"/>
        <v>28900</v>
      </c>
    </row>
    <row r="127" spans="16:40">
      <c r="P127" s="16">
        <v>140</v>
      </c>
      <c r="Q127" s="16">
        <f>投放验证!AL137</f>
        <v>79270.240565105589</v>
      </c>
      <c r="R127" s="16">
        <f>投放验证!AM137</f>
        <v>25469.94761717214</v>
      </c>
      <c r="S127" s="16">
        <f>投放验证!AN137</f>
        <v>4574.3386010471486</v>
      </c>
      <c r="T127" s="16">
        <f>投放验证!AO137</f>
        <v>1491.2882560823825</v>
      </c>
      <c r="U127" s="16">
        <f t="shared" si="59"/>
        <v>4</v>
      </c>
      <c r="V127" s="16">
        <f t="shared" si="57"/>
        <v>9</v>
      </c>
      <c r="W127" s="16">
        <f t="shared" si="58"/>
        <v>25</v>
      </c>
      <c r="X127" s="77">
        <f>投放验证!AA137</f>
        <v>1491.2882560823825</v>
      </c>
      <c r="Y127" s="16">
        <f t="shared" si="60"/>
        <v>1529.2882560823825</v>
      </c>
      <c r="AI127" s="16">
        <v>122</v>
      </c>
      <c r="AJ127" s="16">
        <f t="shared" si="52"/>
        <v>26445.757442401809</v>
      </c>
      <c r="AK127" s="16">
        <f t="shared" si="53"/>
        <v>28642.25915816534</v>
      </c>
      <c r="AL127" s="16">
        <f t="shared" si="54"/>
        <v>28900</v>
      </c>
      <c r="AM127" s="16">
        <f t="shared" si="55"/>
        <v>28900</v>
      </c>
      <c r="AN127" s="16">
        <f t="shared" si="56"/>
        <v>28900</v>
      </c>
    </row>
    <row r="128" spans="16:40">
      <c r="P128" s="16">
        <v>145</v>
      </c>
      <c r="Q128" s="16">
        <f>投放验证!AL138</f>
        <v>111880.01474078462</v>
      </c>
      <c r="R128" s="16">
        <f>投放验证!AM138</f>
        <v>35944.54642543356</v>
      </c>
      <c r="S128" s="16">
        <f>投放验证!AN138</f>
        <v>6455.5045879215959</v>
      </c>
      <c r="T128" s="16">
        <f>投放验证!AO138</f>
        <v>2104.4688489884152</v>
      </c>
      <c r="U128" s="16">
        <f t="shared" si="59"/>
        <v>4</v>
      </c>
      <c r="V128" s="16">
        <f t="shared" si="57"/>
        <v>9</v>
      </c>
      <c r="W128" s="16">
        <f t="shared" si="58"/>
        <v>25</v>
      </c>
      <c r="X128" s="77">
        <f>投放验证!AA138</f>
        <v>2104.4688489884152</v>
      </c>
      <c r="Y128" s="16">
        <f t="shared" si="60"/>
        <v>2142.4688489884152</v>
      </c>
      <c r="AI128" s="16">
        <v>123</v>
      </c>
      <c r="AJ128" s="16">
        <f t="shared" si="52"/>
        <v>26807.001659105939</v>
      </c>
      <c r="AK128" s="16">
        <f t="shared" si="53"/>
        <v>28900</v>
      </c>
      <c r="AL128" s="16">
        <f t="shared" si="54"/>
        <v>28900</v>
      </c>
      <c r="AM128" s="16">
        <f t="shared" si="55"/>
        <v>28900</v>
      </c>
      <c r="AN128" s="16">
        <f t="shared" si="56"/>
        <v>28900</v>
      </c>
    </row>
    <row r="129" spans="16:40">
      <c r="P129" s="16">
        <v>150</v>
      </c>
      <c r="Q129" s="16">
        <f>投放验证!AL139</f>
        <v>157470.60026384541</v>
      </c>
      <c r="R129" s="16">
        <f>投放验证!AM139</f>
        <v>50587.780005536741</v>
      </c>
      <c r="S129" s="16">
        <f>投放验证!AN139</f>
        <v>9085.3182602880879</v>
      </c>
      <c r="T129" s="16">
        <f>投放验证!AO139</f>
        <v>2961.6427400960283</v>
      </c>
      <c r="U129" s="16">
        <f t="shared" si="59"/>
        <v>4</v>
      </c>
      <c r="V129" s="16">
        <f t="shared" si="57"/>
        <v>9</v>
      </c>
      <c r="W129" s="16">
        <f t="shared" si="58"/>
        <v>25</v>
      </c>
      <c r="X129" s="77">
        <f>投放验证!AA139</f>
        <v>2961.6427400960283</v>
      </c>
      <c r="Y129" s="16">
        <f t="shared" si="60"/>
        <v>2999.6427400960283</v>
      </c>
      <c r="AI129" s="16">
        <v>124</v>
      </c>
      <c r="AJ129" s="16">
        <f t="shared" si="52"/>
        <v>27168.847327763306</v>
      </c>
      <c r="AK129" s="16">
        <f t="shared" si="53"/>
        <v>28900</v>
      </c>
      <c r="AL129" s="16">
        <f t="shared" si="54"/>
        <v>28900</v>
      </c>
      <c r="AM129" s="16">
        <f t="shared" si="55"/>
        <v>28900</v>
      </c>
      <c r="AN129" s="16">
        <f t="shared" si="56"/>
        <v>28900</v>
      </c>
    </row>
    <row r="130" spans="16:40">
      <c r="P130" s="16">
        <v>155</v>
      </c>
      <c r="Q130" s="16">
        <f>投放验证!AL140</f>
        <v>835411.92330270004</v>
      </c>
      <c r="R130" s="16">
        <f>投放验证!AM140</f>
        <v>268319.89871207019</v>
      </c>
      <c r="S130" s="16">
        <f>投放验证!AN140</f>
        <v>48188.178848296091</v>
      </c>
      <c r="T130" s="16">
        <f>投放验证!AO140</f>
        <v>15706.438603154304</v>
      </c>
      <c r="U130" s="16">
        <f t="shared" si="59"/>
        <v>4</v>
      </c>
      <c r="V130" s="16">
        <f t="shared" si="57"/>
        <v>9</v>
      </c>
      <c r="W130" s="16">
        <f t="shared" si="58"/>
        <v>25</v>
      </c>
      <c r="X130" s="77">
        <f>投放验证!AA140</f>
        <v>15706.438603154304</v>
      </c>
      <c r="Y130" s="16">
        <f t="shared" si="60"/>
        <v>15744.438603154304</v>
      </c>
      <c r="AI130" s="16">
        <v>125</v>
      </c>
      <c r="AJ130" s="16">
        <f t="shared" si="52"/>
        <v>27584.793109585698</v>
      </c>
      <c r="AK130" s="16">
        <f t="shared" si="53"/>
        <v>28900</v>
      </c>
      <c r="AL130" s="16">
        <f t="shared" si="54"/>
        <v>28900</v>
      </c>
      <c r="AM130" s="16">
        <f t="shared" si="55"/>
        <v>28900</v>
      </c>
      <c r="AN130" s="16">
        <f t="shared" si="56"/>
        <v>28900</v>
      </c>
    </row>
    <row r="131" spans="16:40">
      <c r="P131" s="16">
        <v>160</v>
      </c>
      <c r="Q131" s="16">
        <f>投放验证!AL141</f>
        <v>1240420.459223273</v>
      </c>
      <c r="R131" s="16">
        <f>投放验证!AM141</f>
        <v>398388.20999124605</v>
      </c>
      <c r="S131" s="16">
        <f>投放验证!AN141</f>
        <v>71547.278289681271</v>
      </c>
      <c r="T131" s="16">
        <f>投放验证!AO141</f>
        <v>23319.617963227083</v>
      </c>
      <c r="U131" s="16">
        <f t="shared" si="59"/>
        <v>4</v>
      </c>
      <c r="V131" s="16">
        <f t="shared" si="57"/>
        <v>9</v>
      </c>
      <c r="W131" s="16">
        <f t="shared" si="58"/>
        <v>25</v>
      </c>
      <c r="X131" s="77">
        <f>投放验证!AA141</f>
        <v>23319.617963227083</v>
      </c>
      <c r="Y131" s="16">
        <f t="shared" si="60"/>
        <v>23357.617963227083</v>
      </c>
      <c r="AI131" s="16">
        <v>126</v>
      </c>
      <c r="AJ131" s="16">
        <f t="shared" si="52"/>
        <v>28031.49567431867</v>
      </c>
      <c r="AK131" s="16">
        <f t="shared" si="53"/>
        <v>28900</v>
      </c>
      <c r="AL131" s="16">
        <f t="shared" si="54"/>
        <v>28900</v>
      </c>
      <c r="AM131" s="16">
        <f t="shared" si="55"/>
        <v>28900</v>
      </c>
      <c r="AN131" s="16">
        <f t="shared" si="56"/>
        <v>28900</v>
      </c>
    </row>
    <row r="132" spans="16:40">
      <c r="AI132" s="16">
        <v>127</v>
      </c>
      <c r="AJ132" s="16">
        <f t="shared" si="52"/>
        <v>28517.911542410322</v>
      </c>
      <c r="AK132" s="16">
        <f t="shared" si="53"/>
        <v>28900</v>
      </c>
      <c r="AL132" s="16">
        <f t="shared" si="54"/>
        <v>28900</v>
      </c>
      <c r="AM132" s="16">
        <f t="shared" si="55"/>
        <v>28900</v>
      </c>
      <c r="AN132" s="16">
        <f t="shared" si="56"/>
        <v>28900</v>
      </c>
    </row>
    <row r="133" spans="16:40">
      <c r="AI133" s="16">
        <v>128</v>
      </c>
      <c r="AJ133" s="16">
        <f t="shared" si="52"/>
        <v>28900</v>
      </c>
      <c r="AK133" s="16">
        <f t="shared" si="53"/>
        <v>28900</v>
      </c>
      <c r="AL133" s="16">
        <f t="shared" si="54"/>
        <v>28900</v>
      </c>
      <c r="AM133" s="16">
        <f t="shared" si="55"/>
        <v>28900</v>
      </c>
      <c r="AN133" s="16">
        <f t="shared" si="56"/>
        <v>28900</v>
      </c>
    </row>
    <row r="134" spans="16:40">
      <c r="AI134" s="16">
        <v>129</v>
      </c>
      <c r="AJ134" s="16">
        <f t="shared" ref="AJ134:AJ165" si="61">IF($AI134&lt;35,0,求节点(AC$6:AC$10,$N$6:$N$10,$AI134)+求节点(AC$19:AC$20,$N$19:$N$20,$AI134)+求节点(AC$32:AC$34,$N$32:$N$34,$AI134)+求节点(AC$45:AC$54,$N$45:$N$54,$AI134)+求节点(AC$58:AC$67,$N$58:$N$67,$AI134))</f>
        <v>28900</v>
      </c>
      <c r="AK134" s="16">
        <f t="shared" ref="AK134:AK165" si="62">IF($AI134&lt;35,0,求节点(AD$6:AD$10,$N$6:$N$10,$AI134)+求节点(AD$19:AD$20,$N$19:$N$20,$AI134)+求节点(AD$32:AD$34,$N$32:$N$34,$AI134)+求节点(AD$45:AD$54,$N$45:$N$54,$AI134)+求节点(AD$58:AD$67,$N$58:$N$67,$AI134))</f>
        <v>28900</v>
      </c>
      <c r="AL134" s="16">
        <f t="shared" ref="AL134:AL165" si="63">IF($AI134&lt;35,0,求节点(AE$6:AE$10,$N$6:$N$10,$AI134)+求节点(AE$19:AE$20,$N$19:$N$20,$AI134)+求节点(AE$32:AE$34,$N$32:$N$34,$AI134)+求节点(AE$45:AE$54,$N$45:$N$54,$AI134)+求节点(AE$58:AE$67,$N$58:$N$67,$AI134))</f>
        <v>28900</v>
      </c>
      <c r="AM134" s="16">
        <f t="shared" ref="AM134:AM165" si="64">IF($AI134&lt;35,0,求节点(AF$6:AF$10,$N$6:$N$10,$AI134)+求节点(AF$19:AF$20,$N$19:$N$20,$AI134)+求节点(AF$32:AF$34,$N$32:$N$34,$AI134)+求节点(AF$45:AF$54,$N$45:$N$54,$AI134)+求节点(AF$58:AF$67,$N$58:$N$67,$AI134))</f>
        <v>28900</v>
      </c>
      <c r="AN134" s="16">
        <f t="shared" ref="AN134:AN165" si="65">IF($AI134&lt;35,0,求节点(AG$6:AG$10,$N$6:$N$10,$AI134)+求节点(AG$19:AG$20,$N$19:$N$20,$AI134)+求节点(AG$32:AG$34,$N$32:$N$34,$AI134)+求节点(AG$45:AG$54,$N$45:$N$54,$AI134)+求节点(AG$58:AG$67,$N$58:$N$67,$AI134))</f>
        <v>28900</v>
      </c>
    </row>
    <row r="135" spans="16:40">
      <c r="AI135" s="16">
        <v>130</v>
      </c>
      <c r="AJ135" s="16">
        <f t="shared" si="61"/>
        <v>28900</v>
      </c>
      <c r="AK135" s="16">
        <f t="shared" si="62"/>
        <v>28900</v>
      </c>
      <c r="AL135" s="16">
        <f t="shared" si="63"/>
        <v>28900</v>
      </c>
      <c r="AM135" s="16">
        <f t="shared" si="64"/>
        <v>28900</v>
      </c>
      <c r="AN135" s="16">
        <f t="shared" si="65"/>
        <v>28900</v>
      </c>
    </row>
    <row r="136" spans="16:40">
      <c r="AI136" s="16">
        <v>131</v>
      </c>
      <c r="AJ136" s="16">
        <f t="shared" si="61"/>
        <v>28900</v>
      </c>
      <c r="AK136" s="16">
        <f t="shared" si="62"/>
        <v>28900</v>
      </c>
      <c r="AL136" s="16">
        <f t="shared" si="63"/>
        <v>28900</v>
      </c>
      <c r="AM136" s="16">
        <f t="shared" si="64"/>
        <v>28900</v>
      </c>
      <c r="AN136" s="16">
        <f t="shared" si="65"/>
        <v>28900</v>
      </c>
    </row>
    <row r="137" spans="16:40">
      <c r="AI137" s="16">
        <v>132</v>
      </c>
      <c r="AJ137" s="16">
        <f t="shared" si="61"/>
        <v>28900</v>
      </c>
      <c r="AK137" s="16">
        <f t="shared" si="62"/>
        <v>28900</v>
      </c>
      <c r="AL137" s="16">
        <f t="shared" si="63"/>
        <v>28900</v>
      </c>
      <c r="AM137" s="16">
        <f t="shared" si="64"/>
        <v>28900</v>
      </c>
      <c r="AN137" s="16">
        <f t="shared" si="65"/>
        <v>28900</v>
      </c>
    </row>
    <row r="138" spans="16:40">
      <c r="AI138" s="16">
        <v>133</v>
      </c>
      <c r="AJ138" s="16">
        <f t="shared" si="61"/>
        <v>28900</v>
      </c>
      <c r="AK138" s="16">
        <f t="shared" si="62"/>
        <v>28900</v>
      </c>
      <c r="AL138" s="16">
        <f t="shared" si="63"/>
        <v>28900</v>
      </c>
      <c r="AM138" s="16">
        <f t="shared" si="64"/>
        <v>28900</v>
      </c>
      <c r="AN138" s="16">
        <f t="shared" si="65"/>
        <v>28900</v>
      </c>
    </row>
    <row r="139" spans="16:40">
      <c r="AI139" s="16">
        <v>134</v>
      </c>
      <c r="AJ139" s="16">
        <f t="shared" si="61"/>
        <v>28900</v>
      </c>
      <c r="AK139" s="16">
        <f t="shared" si="62"/>
        <v>28900</v>
      </c>
      <c r="AL139" s="16">
        <f t="shared" si="63"/>
        <v>28900</v>
      </c>
      <c r="AM139" s="16">
        <f t="shared" si="64"/>
        <v>28900</v>
      </c>
      <c r="AN139" s="16">
        <f t="shared" si="65"/>
        <v>28900</v>
      </c>
    </row>
    <row r="140" spans="16:40">
      <c r="AI140" s="16">
        <v>135</v>
      </c>
      <c r="AJ140" s="16">
        <f t="shared" si="61"/>
        <v>28900</v>
      </c>
      <c r="AK140" s="16">
        <f t="shared" si="62"/>
        <v>28900</v>
      </c>
      <c r="AL140" s="16">
        <f t="shared" si="63"/>
        <v>28900</v>
      </c>
      <c r="AM140" s="16">
        <f t="shared" si="64"/>
        <v>28900</v>
      </c>
      <c r="AN140" s="16">
        <f t="shared" si="65"/>
        <v>28900</v>
      </c>
    </row>
    <row r="141" spans="16:40">
      <c r="AI141" s="16">
        <v>136</v>
      </c>
      <c r="AJ141" s="16">
        <f t="shared" si="61"/>
        <v>28900</v>
      </c>
      <c r="AK141" s="16">
        <f t="shared" si="62"/>
        <v>28900</v>
      </c>
      <c r="AL141" s="16">
        <f t="shared" si="63"/>
        <v>28900</v>
      </c>
      <c r="AM141" s="16">
        <f t="shared" si="64"/>
        <v>28900</v>
      </c>
      <c r="AN141" s="16">
        <f t="shared" si="65"/>
        <v>28900</v>
      </c>
    </row>
    <row r="142" spans="16:40">
      <c r="AI142" s="16">
        <v>137</v>
      </c>
      <c r="AJ142" s="16">
        <f t="shared" si="61"/>
        <v>28900</v>
      </c>
      <c r="AK142" s="16">
        <f t="shared" si="62"/>
        <v>28900</v>
      </c>
      <c r="AL142" s="16">
        <f t="shared" si="63"/>
        <v>28900</v>
      </c>
      <c r="AM142" s="16">
        <f t="shared" si="64"/>
        <v>28900</v>
      </c>
      <c r="AN142" s="16">
        <f t="shared" si="65"/>
        <v>28900</v>
      </c>
    </row>
    <row r="143" spans="16:40">
      <c r="AI143" s="16">
        <v>138</v>
      </c>
      <c r="AJ143" s="16">
        <f t="shared" si="61"/>
        <v>28900</v>
      </c>
      <c r="AK143" s="16">
        <f t="shared" si="62"/>
        <v>28900</v>
      </c>
      <c r="AL143" s="16">
        <f t="shared" si="63"/>
        <v>28900</v>
      </c>
      <c r="AM143" s="16">
        <f t="shared" si="64"/>
        <v>28900</v>
      </c>
      <c r="AN143" s="16">
        <f t="shared" si="65"/>
        <v>28900</v>
      </c>
    </row>
    <row r="144" spans="16:40">
      <c r="AI144" s="16">
        <v>139</v>
      </c>
      <c r="AJ144" s="16">
        <f t="shared" si="61"/>
        <v>28900</v>
      </c>
      <c r="AK144" s="16">
        <f t="shared" si="62"/>
        <v>28900</v>
      </c>
      <c r="AL144" s="16">
        <f t="shared" si="63"/>
        <v>28900</v>
      </c>
      <c r="AM144" s="16">
        <f t="shared" si="64"/>
        <v>28900</v>
      </c>
      <c r="AN144" s="16">
        <f t="shared" si="65"/>
        <v>28900</v>
      </c>
    </row>
    <row r="145" spans="35:40">
      <c r="AI145" s="16">
        <v>140</v>
      </c>
      <c r="AJ145" s="16">
        <f t="shared" si="61"/>
        <v>28900</v>
      </c>
      <c r="AK145" s="16">
        <f t="shared" si="62"/>
        <v>28900</v>
      </c>
      <c r="AL145" s="16">
        <f t="shared" si="63"/>
        <v>28900</v>
      </c>
      <c r="AM145" s="16">
        <f t="shared" si="64"/>
        <v>28900</v>
      </c>
      <c r="AN145" s="16">
        <f t="shared" si="65"/>
        <v>28900</v>
      </c>
    </row>
    <row r="146" spans="35:40">
      <c r="AI146" s="16">
        <v>141</v>
      </c>
      <c r="AJ146" s="16">
        <f t="shared" si="61"/>
        <v>28900</v>
      </c>
      <c r="AK146" s="16">
        <f t="shared" si="62"/>
        <v>28900</v>
      </c>
      <c r="AL146" s="16">
        <f t="shared" si="63"/>
        <v>28900</v>
      </c>
      <c r="AM146" s="16">
        <f t="shared" si="64"/>
        <v>28900</v>
      </c>
      <c r="AN146" s="16">
        <f t="shared" si="65"/>
        <v>28900</v>
      </c>
    </row>
    <row r="147" spans="35:40">
      <c r="AI147" s="16">
        <v>142</v>
      </c>
      <c r="AJ147" s="16">
        <f t="shared" si="61"/>
        <v>28900</v>
      </c>
      <c r="AK147" s="16">
        <f t="shared" si="62"/>
        <v>28900</v>
      </c>
      <c r="AL147" s="16">
        <f t="shared" si="63"/>
        <v>28900</v>
      </c>
      <c r="AM147" s="16">
        <f t="shared" si="64"/>
        <v>28900</v>
      </c>
      <c r="AN147" s="16">
        <f t="shared" si="65"/>
        <v>28900</v>
      </c>
    </row>
    <row r="148" spans="35:40">
      <c r="AI148" s="16">
        <v>143</v>
      </c>
      <c r="AJ148" s="16">
        <f t="shared" si="61"/>
        <v>28900</v>
      </c>
      <c r="AK148" s="16">
        <f t="shared" si="62"/>
        <v>28900</v>
      </c>
      <c r="AL148" s="16">
        <f t="shared" si="63"/>
        <v>28900</v>
      </c>
      <c r="AM148" s="16">
        <f t="shared" si="64"/>
        <v>28900</v>
      </c>
      <c r="AN148" s="16">
        <f t="shared" si="65"/>
        <v>28900</v>
      </c>
    </row>
    <row r="149" spans="35:40">
      <c r="AI149" s="16">
        <v>144</v>
      </c>
      <c r="AJ149" s="16">
        <f t="shared" si="61"/>
        <v>28900</v>
      </c>
      <c r="AK149" s="16">
        <f t="shared" si="62"/>
        <v>28900</v>
      </c>
      <c r="AL149" s="16">
        <f t="shared" si="63"/>
        <v>28900</v>
      </c>
      <c r="AM149" s="16">
        <f t="shared" si="64"/>
        <v>28900</v>
      </c>
      <c r="AN149" s="16">
        <f t="shared" si="65"/>
        <v>28900</v>
      </c>
    </row>
    <row r="150" spans="35:40">
      <c r="AI150" s="16">
        <v>145</v>
      </c>
      <c r="AJ150" s="16">
        <f t="shared" si="61"/>
        <v>28900</v>
      </c>
      <c r="AK150" s="16">
        <f t="shared" si="62"/>
        <v>28900</v>
      </c>
      <c r="AL150" s="16">
        <f t="shared" si="63"/>
        <v>28900</v>
      </c>
      <c r="AM150" s="16">
        <f t="shared" si="64"/>
        <v>28900</v>
      </c>
      <c r="AN150" s="16">
        <f t="shared" si="65"/>
        <v>28900</v>
      </c>
    </row>
    <row r="151" spans="35:40">
      <c r="AI151" s="16">
        <v>146</v>
      </c>
      <c r="AJ151" s="16">
        <f t="shared" si="61"/>
        <v>28900</v>
      </c>
      <c r="AK151" s="16">
        <f t="shared" si="62"/>
        <v>28900</v>
      </c>
      <c r="AL151" s="16">
        <f t="shared" si="63"/>
        <v>28900</v>
      </c>
      <c r="AM151" s="16">
        <f t="shared" si="64"/>
        <v>28900</v>
      </c>
      <c r="AN151" s="16">
        <f t="shared" si="65"/>
        <v>28900</v>
      </c>
    </row>
    <row r="152" spans="35:40">
      <c r="AI152" s="16">
        <v>147</v>
      </c>
      <c r="AJ152" s="16">
        <f t="shared" si="61"/>
        <v>28900</v>
      </c>
      <c r="AK152" s="16">
        <f t="shared" si="62"/>
        <v>28900</v>
      </c>
      <c r="AL152" s="16">
        <f t="shared" si="63"/>
        <v>28900</v>
      </c>
      <c r="AM152" s="16">
        <f t="shared" si="64"/>
        <v>28900</v>
      </c>
      <c r="AN152" s="16">
        <f t="shared" si="65"/>
        <v>28900</v>
      </c>
    </row>
    <row r="153" spans="35:40">
      <c r="AI153" s="16">
        <v>148</v>
      </c>
      <c r="AJ153" s="16">
        <f t="shared" si="61"/>
        <v>28900</v>
      </c>
      <c r="AK153" s="16">
        <f t="shared" si="62"/>
        <v>28900</v>
      </c>
      <c r="AL153" s="16">
        <f t="shared" si="63"/>
        <v>28900</v>
      </c>
      <c r="AM153" s="16">
        <f t="shared" si="64"/>
        <v>28900</v>
      </c>
      <c r="AN153" s="16">
        <f t="shared" si="65"/>
        <v>28900</v>
      </c>
    </row>
    <row r="154" spans="35:40">
      <c r="AI154" s="16">
        <v>149</v>
      </c>
      <c r="AJ154" s="16">
        <f t="shared" si="61"/>
        <v>28900</v>
      </c>
      <c r="AK154" s="16">
        <f t="shared" si="62"/>
        <v>28900</v>
      </c>
      <c r="AL154" s="16">
        <f t="shared" si="63"/>
        <v>28900</v>
      </c>
      <c r="AM154" s="16">
        <f t="shared" si="64"/>
        <v>28900</v>
      </c>
      <c r="AN154" s="16">
        <f t="shared" si="65"/>
        <v>28900</v>
      </c>
    </row>
    <row r="155" spans="35:40">
      <c r="AI155" s="16">
        <v>150</v>
      </c>
      <c r="AJ155" s="16">
        <f t="shared" si="61"/>
        <v>28900</v>
      </c>
      <c r="AK155" s="16">
        <f t="shared" si="62"/>
        <v>28900</v>
      </c>
      <c r="AL155" s="16">
        <f t="shared" si="63"/>
        <v>28900</v>
      </c>
      <c r="AM155" s="16">
        <f t="shared" si="64"/>
        <v>28900</v>
      </c>
      <c r="AN155" s="16">
        <f t="shared" si="65"/>
        <v>28900</v>
      </c>
    </row>
    <row r="156" spans="35:40">
      <c r="AI156" s="16">
        <v>151</v>
      </c>
      <c r="AJ156" s="16">
        <f t="shared" si="61"/>
        <v>28900</v>
      </c>
      <c r="AK156" s="16">
        <f t="shared" si="62"/>
        <v>28900</v>
      </c>
      <c r="AL156" s="16">
        <f t="shared" si="63"/>
        <v>28900</v>
      </c>
      <c r="AM156" s="16">
        <f t="shared" si="64"/>
        <v>28900</v>
      </c>
      <c r="AN156" s="16">
        <f t="shared" si="65"/>
        <v>28900</v>
      </c>
    </row>
    <row r="157" spans="35:40">
      <c r="AI157" s="16">
        <v>152</v>
      </c>
      <c r="AJ157" s="16">
        <f t="shared" si="61"/>
        <v>28900</v>
      </c>
      <c r="AK157" s="16">
        <f t="shared" si="62"/>
        <v>28900</v>
      </c>
      <c r="AL157" s="16">
        <f t="shared" si="63"/>
        <v>28900</v>
      </c>
      <c r="AM157" s="16">
        <f t="shared" si="64"/>
        <v>28900</v>
      </c>
      <c r="AN157" s="16">
        <f t="shared" si="65"/>
        <v>28900</v>
      </c>
    </row>
    <row r="158" spans="35:40">
      <c r="AI158" s="16">
        <v>153</v>
      </c>
      <c r="AJ158" s="16">
        <f t="shared" si="61"/>
        <v>28900</v>
      </c>
      <c r="AK158" s="16">
        <f t="shared" si="62"/>
        <v>28900</v>
      </c>
      <c r="AL158" s="16">
        <f t="shared" si="63"/>
        <v>28900</v>
      </c>
      <c r="AM158" s="16">
        <f t="shared" si="64"/>
        <v>28900</v>
      </c>
      <c r="AN158" s="16">
        <f t="shared" si="65"/>
        <v>28900</v>
      </c>
    </row>
    <row r="159" spans="35:40">
      <c r="AI159" s="16">
        <v>154</v>
      </c>
      <c r="AJ159" s="16">
        <f t="shared" si="61"/>
        <v>28900</v>
      </c>
      <c r="AK159" s="16">
        <f t="shared" si="62"/>
        <v>28900</v>
      </c>
      <c r="AL159" s="16">
        <f t="shared" si="63"/>
        <v>28900</v>
      </c>
      <c r="AM159" s="16">
        <f t="shared" si="64"/>
        <v>28900</v>
      </c>
      <c r="AN159" s="16">
        <f t="shared" si="65"/>
        <v>28900</v>
      </c>
    </row>
    <row r="160" spans="35:40">
      <c r="AI160" s="16">
        <v>155</v>
      </c>
      <c r="AJ160" s="16">
        <f t="shared" si="61"/>
        <v>28900</v>
      </c>
      <c r="AK160" s="16">
        <f t="shared" si="62"/>
        <v>28900</v>
      </c>
      <c r="AL160" s="16">
        <f t="shared" si="63"/>
        <v>28900</v>
      </c>
      <c r="AM160" s="16">
        <f t="shared" si="64"/>
        <v>28900</v>
      </c>
      <c r="AN160" s="16">
        <f t="shared" si="65"/>
        <v>28900</v>
      </c>
    </row>
    <row r="161" spans="35:40">
      <c r="AI161" s="16">
        <v>156</v>
      </c>
      <c r="AJ161" s="16">
        <f t="shared" si="61"/>
        <v>28900</v>
      </c>
      <c r="AK161" s="16">
        <f t="shared" si="62"/>
        <v>28900</v>
      </c>
      <c r="AL161" s="16">
        <f t="shared" si="63"/>
        <v>28900</v>
      </c>
      <c r="AM161" s="16">
        <f t="shared" si="64"/>
        <v>28900</v>
      </c>
      <c r="AN161" s="16">
        <f t="shared" si="65"/>
        <v>28900</v>
      </c>
    </row>
    <row r="162" spans="35:40">
      <c r="AI162" s="16">
        <v>157</v>
      </c>
      <c r="AJ162" s="16">
        <f t="shared" si="61"/>
        <v>28900</v>
      </c>
      <c r="AK162" s="16">
        <f t="shared" si="62"/>
        <v>28900</v>
      </c>
      <c r="AL162" s="16">
        <f t="shared" si="63"/>
        <v>28900</v>
      </c>
      <c r="AM162" s="16">
        <f t="shared" si="64"/>
        <v>28900</v>
      </c>
      <c r="AN162" s="16">
        <f t="shared" si="65"/>
        <v>28900</v>
      </c>
    </row>
    <row r="163" spans="35:40">
      <c r="AI163" s="16">
        <v>158</v>
      </c>
      <c r="AJ163" s="16">
        <f t="shared" si="61"/>
        <v>28900</v>
      </c>
      <c r="AK163" s="16">
        <f t="shared" si="62"/>
        <v>28900</v>
      </c>
      <c r="AL163" s="16">
        <f t="shared" si="63"/>
        <v>28900</v>
      </c>
      <c r="AM163" s="16">
        <f t="shared" si="64"/>
        <v>28900</v>
      </c>
      <c r="AN163" s="16">
        <f t="shared" si="65"/>
        <v>28900</v>
      </c>
    </row>
    <row r="164" spans="35:40">
      <c r="AI164" s="16">
        <v>159</v>
      </c>
      <c r="AJ164" s="16">
        <f t="shared" si="61"/>
        <v>28900</v>
      </c>
      <c r="AK164" s="16">
        <f t="shared" si="62"/>
        <v>28900</v>
      </c>
      <c r="AL164" s="16">
        <f t="shared" si="63"/>
        <v>28900</v>
      </c>
      <c r="AM164" s="16">
        <f t="shared" si="64"/>
        <v>28900</v>
      </c>
      <c r="AN164" s="16">
        <f t="shared" si="65"/>
        <v>28900</v>
      </c>
    </row>
    <row r="165" spans="35:40">
      <c r="AI165" s="16">
        <v>160</v>
      </c>
      <c r="AJ165" s="16">
        <f t="shared" si="61"/>
        <v>28900</v>
      </c>
      <c r="AK165" s="16">
        <f t="shared" si="62"/>
        <v>28900</v>
      </c>
      <c r="AL165" s="16">
        <f t="shared" si="63"/>
        <v>28900</v>
      </c>
      <c r="AM165" s="16">
        <f t="shared" si="64"/>
        <v>28900</v>
      </c>
      <c r="AN165" s="16">
        <f t="shared" si="65"/>
        <v>28900</v>
      </c>
    </row>
  </sheetData>
  <mergeCells count="16">
    <mergeCell ref="AJ4:AN4"/>
    <mergeCell ref="Q82:T82"/>
    <mergeCell ref="Q108:T108"/>
    <mergeCell ref="AC4:AG4"/>
    <mergeCell ref="Q4:T4"/>
    <mergeCell ref="Q30:T30"/>
    <mergeCell ref="Q56:T56"/>
    <mergeCell ref="U4:X4"/>
    <mergeCell ref="U30:X30"/>
    <mergeCell ref="U56:X56"/>
    <mergeCell ref="U82:X82"/>
    <mergeCell ref="U108:X108"/>
    <mergeCell ref="AC17:AG17"/>
    <mergeCell ref="AC30:AG30"/>
    <mergeCell ref="AC43:AG43"/>
    <mergeCell ref="AC56:AG56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B4:AN106"/>
  <sheetViews>
    <sheetView workbookViewId="0">
      <selection activeCell="C6" sqref="C6:C12"/>
    </sheetView>
  </sheetViews>
  <sheetFormatPr defaultColWidth="9" defaultRowHeight="12"/>
  <cols>
    <col min="1" max="1" width="9" style="4"/>
    <col min="2" max="6" width="9" style="2"/>
    <col min="7" max="39" width="9" style="4"/>
    <col min="40" max="40" width="9" style="11"/>
    <col min="41" max="16384" width="9" style="4"/>
  </cols>
  <sheetData>
    <row r="4" spans="2:38">
      <c r="B4" s="9"/>
      <c r="C4" s="9" t="s">
        <v>139</v>
      </c>
      <c r="D4" s="9"/>
      <c r="G4" s="2"/>
    </row>
    <row r="5" spans="2:38">
      <c r="B5" s="9" t="s">
        <v>3</v>
      </c>
      <c r="C5" s="9" t="s">
        <v>4</v>
      </c>
      <c r="D5" s="9" t="s">
        <v>5</v>
      </c>
      <c r="G5" s="2"/>
      <c r="J5" s="200" t="s">
        <v>88</v>
      </c>
      <c r="K5" s="200"/>
      <c r="L5" s="200"/>
      <c r="M5" s="200"/>
      <c r="N5" s="200"/>
      <c r="P5" s="200" t="s">
        <v>89</v>
      </c>
      <c r="Q5" s="200"/>
      <c r="R5" s="200"/>
      <c r="S5" s="200"/>
      <c r="T5" s="200"/>
      <c r="Z5" s="200" t="s">
        <v>100</v>
      </c>
      <c r="AA5" s="200"/>
      <c r="AB5" s="200"/>
      <c r="AC5" s="200"/>
      <c r="AD5" s="200"/>
      <c r="AE5" s="10"/>
      <c r="AF5" s="5"/>
      <c r="AG5" s="8"/>
      <c r="AH5" s="200" t="s">
        <v>159</v>
      </c>
      <c r="AI5" s="200"/>
      <c r="AJ5" s="200"/>
      <c r="AK5" s="200"/>
      <c r="AL5" s="200"/>
    </row>
    <row r="6" spans="2:38">
      <c r="B6" s="9">
        <v>1</v>
      </c>
      <c r="C6" s="9">
        <v>1</v>
      </c>
      <c r="D6" s="9">
        <f>SUM($C$6:C6)</f>
        <v>1</v>
      </c>
      <c r="G6" s="2"/>
      <c r="I6" s="4" t="s">
        <v>95</v>
      </c>
      <c r="J6" s="8" t="s">
        <v>84</v>
      </c>
      <c r="K6" s="8" t="s">
        <v>85</v>
      </c>
      <c r="L6" s="8" t="s">
        <v>86</v>
      </c>
      <c r="M6" s="8" t="s">
        <v>0</v>
      </c>
      <c r="N6" s="8" t="s">
        <v>87</v>
      </c>
      <c r="P6" s="8" t="s">
        <v>84</v>
      </c>
      <c r="Q6" s="8" t="s">
        <v>85</v>
      </c>
      <c r="R6" s="8" t="s">
        <v>86</v>
      </c>
      <c r="S6" s="8" t="s">
        <v>0</v>
      </c>
      <c r="T6" s="8" t="s">
        <v>87</v>
      </c>
      <c r="V6" s="8" t="s">
        <v>101</v>
      </c>
      <c r="W6" s="8" t="s">
        <v>90</v>
      </c>
      <c r="X6" s="8" t="s">
        <v>94</v>
      </c>
      <c r="Z6" s="8" t="s">
        <v>84</v>
      </c>
      <c r="AA6" s="8" t="s">
        <v>85</v>
      </c>
      <c r="AB6" s="8" t="s">
        <v>86</v>
      </c>
      <c r="AC6" s="8" t="s">
        <v>0</v>
      </c>
      <c r="AD6" s="8" t="s">
        <v>87</v>
      </c>
      <c r="AE6" s="8" t="s">
        <v>93</v>
      </c>
      <c r="AG6" s="8" t="s">
        <v>99</v>
      </c>
      <c r="AH6" s="8" t="s">
        <v>102</v>
      </c>
      <c r="AI6" s="8" t="s">
        <v>103</v>
      </c>
      <c r="AJ6" s="8" t="s">
        <v>104</v>
      </c>
      <c r="AK6" s="8" t="s">
        <v>105</v>
      </c>
      <c r="AL6" s="8" t="s">
        <v>106</v>
      </c>
    </row>
    <row r="7" spans="2:38">
      <c r="B7" s="9">
        <v>2</v>
      </c>
      <c r="C7" s="9">
        <v>1</v>
      </c>
      <c r="D7" s="9">
        <f>SUM($C$6:C7)</f>
        <v>2</v>
      </c>
      <c r="G7" s="2"/>
      <c r="J7" s="8"/>
      <c r="K7" s="8">
        <v>5</v>
      </c>
      <c r="L7" s="8">
        <v>1</v>
      </c>
      <c r="M7" s="8"/>
      <c r="N7" s="8"/>
      <c r="P7" s="8"/>
      <c r="Q7" s="8">
        <v>0</v>
      </c>
      <c r="R7" s="8">
        <v>0</v>
      </c>
      <c r="S7" s="8"/>
      <c r="T7" s="8"/>
      <c r="V7" s="8">
        <v>6</v>
      </c>
      <c r="W7" s="8">
        <f>INDEX(节奏总纲!P:P,MATCH(V7,节奏总纲!O:O,0))</f>
        <v>0.51571656651039799</v>
      </c>
      <c r="X7" s="8">
        <f>W7</f>
        <v>0.51571656651039799</v>
      </c>
      <c r="Z7" s="8">
        <f t="shared" ref="Z7:Z20" si="0">J7*INDEX($D$19:$D$26,P7+1,1)</f>
        <v>0</v>
      </c>
      <c r="AA7" s="8">
        <f t="shared" ref="AA7:AA20" si="1">K7*INDEX($D$19:$D$26,Q7+1,1)</f>
        <v>5</v>
      </c>
      <c r="AB7" s="8">
        <f t="shared" ref="AB7:AB20" si="2">L7*INDEX($D$19:$D$26,R7+1,1)</f>
        <v>1</v>
      </c>
      <c r="AC7" s="8">
        <f t="shared" ref="AC7:AC20" si="3">M7*INDEX($D$19:$D$26,S7+1,1)</f>
        <v>0</v>
      </c>
      <c r="AD7" s="8">
        <f t="shared" ref="AD7:AD20" si="4">N7*INDEX($D$19:$D$26,T7+1,1)</f>
        <v>0</v>
      </c>
      <c r="AE7" s="8">
        <f t="shared" ref="AE7:AE20" si="5">SUMPRODUCT(Z7:AD7,$C$35:$G$35)</f>
        <v>1000</v>
      </c>
      <c r="AG7" s="8">
        <v>1</v>
      </c>
      <c r="AH7" s="8">
        <f>求节点($V$7:$V$20,$AE$7:$AE$20,AG7)</f>
        <v>166.66666666666674</v>
      </c>
      <c r="AI7" s="8">
        <f>求节点($V$27:$V$39,$AE$27:$AE$39,AG7)</f>
        <v>333.33333333333348</v>
      </c>
      <c r="AJ7" s="8">
        <f>求节点($V$43:$V$54,$AE$43:$AE$54,AG7)</f>
        <v>450</v>
      </c>
      <c r="AK7" s="8">
        <f>求节点($V$58:$V$68,$AE$58:$AE$68,AG7)</f>
        <v>500</v>
      </c>
      <c r="AL7" s="8">
        <f>求节点($V$72:$V$80,$AE$72:$AE$80,AG7)</f>
        <v>1500</v>
      </c>
    </row>
    <row r="8" spans="2:38">
      <c r="B8" s="9">
        <v>3</v>
      </c>
      <c r="C8" s="9">
        <v>1</v>
      </c>
      <c r="D8" s="9">
        <f>SUM($C$6:C8)</f>
        <v>3</v>
      </c>
      <c r="J8" s="8"/>
      <c r="K8" s="8"/>
      <c r="L8" s="8">
        <v>5</v>
      </c>
      <c r="M8" s="8">
        <v>1</v>
      </c>
      <c r="N8" s="8"/>
      <c r="P8" s="8"/>
      <c r="Q8" s="8"/>
      <c r="R8" s="8">
        <v>0</v>
      </c>
      <c r="S8" s="8">
        <v>0</v>
      </c>
      <c r="T8" s="8"/>
      <c r="V8" s="8">
        <v>20</v>
      </c>
      <c r="W8" s="8">
        <f>INDEX(节奏总纲!P:P,MATCH(V8,节奏总纲!O:O,0))</f>
        <v>3</v>
      </c>
      <c r="X8" s="8">
        <f t="shared" ref="X8:X14" si="6">W8-W7</f>
        <v>2.484283433489602</v>
      </c>
      <c r="Z8" s="8">
        <f t="shared" si="0"/>
        <v>0</v>
      </c>
      <c r="AA8" s="8">
        <f t="shared" si="1"/>
        <v>0</v>
      </c>
      <c r="AB8" s="8">
        <f t="shared" si="2"/>
        <v>5</v>
      </c>
      <c r="AC8" s="8">
        <f t="shared" si="3"/>
        <v>1</v>
      </c>
      <c r="AD8" s="8">
        <f t="shared" si="4"/>
        <v>0</v>
      </c>
      <c r="AE8" s="8">
        <f t="shared" si="5"/>
        <v>5000</v>
      </c>
      <c r="AG8" s="8">
        <v>2</v>
      </c>
      <c r="AH8" s="8">
        <f t="shared" ref="AH8:AH71" si="7">求节点($V$7:$V$20,$AE$7:$AE$20,AG8)</f>
        <v>333.33333333333337</v>
      </c>
      <c r="AI8" s="8">
        <f t="shared" ref="AI8:AI71" si="8">求节点($V$27:$V$39,$AE$27:$AE$39,AG8)</f>
        <v>666.66666666666674</v>
      </c>
      <c r="AJ8" s="8">
        <f t="shared" ref="AJ8:AJ71" si="9">求节点($V$43:$V$54,$AE$43:$AE$54,AG8)</f>
        <v>900</v>
      </c>
      <c r="AK8" s="8">
        <f t="shared" ref="AK8:AK71" si="10">求节点($V$58:$V$68,$AE$58:$AE$68,AG8)</f>
        <v>1000</v>
      </c>
      <c r="AL8" s="8">
        <f t="shared" ref="AL8:AL71" si="11">求节点($V$72:$V$80,$AE$72:$AE$80,AG8)</f>
        <v>3000</v>
      </c>
    </row>
    <row r="9" spans="2:38">
      <c r="B9" s="9">
        <v>4</v>
      </c>
      <c r="C9" s="9">
        <v>2</v>
      </c>
      <c r="D9" s="9">
        <f>SUM($C$6:C9)</f>
        <v>5</v>
      </c>
      <c r="J9" s="8"/>
      <c r="K9" s="8"/>
      <c r="L9" s="8">
        <v>3</v>
      </c>
      <c r="M9" s="8">
        <v>3</v>
      </c>
      <c r="N9" s="8"/>
      <c r="P9" s="8"/>
      <c r="Q9" s="8"/>
      <c r="R9" s="8">
        <v>1</v>
      </c>
      <c r="S9" s="8">
        <v>0</v>
      </c>
      <c r="T9" s="8"/>
      <c r="V9" s="8">
        <v>30</v>
      </c>
      <c r="W9" s="8">
        <f>INDEX(节奏总纲!P:P,MATCH(V9,节奏总纲!O:O,0))</f>
        <v>7</v>
      </c>
      <c r="X9" s="8">
        <f t="shared" si="6"/>
        <v>4</v>
      </c>
      <c r="Z9" s="8">
        <f t="shared" si="0"/>
        <v>0</v>
      </c>
      <c r="AA9" s="8">
        <f t="shared" si="1"/>
        <v>0</v>
      </c>
      <c r="AB9" s="8">
        <f t="shared" si="2"/>
        <v>6</v>
      </c>
      <c r="AC9" s="8">
        <f t="shared" si="3"/>
        <v>3</v>
      </c>
      <c r="AD9" s="8">
        <f t="shared" si="4"/>
        <v>0</v>
      </c>
      <c r="AE9" s="8">
        <f t="shared" si="5"/>
        <v>10500</v>
      </c>
      <c r="AG9" s="8">
        <v>3</v>
      </c>
      <c r="AH9" s="8">
        <f t="shared" si="7"/>
        <v>500</v>
      </c>
      <c r="AI9" s="8">
        <f t="shared" si="8"/>
        <v>1000</v>
      </c>
      <c r="AJ9" s="8">
        <f t="shared" si="9"/>
        <v>1350</v>
      </c>
      <c r="AK9" s="8">
        <f t="shared" si="10"/>
        <v>1500</v>
      </c>
      <c r="AL9" s="8">
        <f t="shared" si="11"/>
        <v>4500</v>
      </c>
    </row>
    <row r="10" spans="2:38">
      <c r="B10" s="9">
        <v>5</v>
      </c>
      <c r="C10" s="9">
        <v>2</v>
      </c>
      <c r="D10" s="9">
        <f>SUM($C$6:C10)</f>
        <v>7</v>
      </c>
      <c r="J10" s="8"/>
      <c r="K10" s="8"/>
      <c r="L10" s="8">
        <v>1</v>
      </c>
      <c r="M10" s="8">
        <v>5</v>
      </c>
      <c r="N10" s="8"/>
      <c r="P10" s="8"/>
      <c r="Q10" s="8"/>
      <c r="R10" s="8">
        <v>3</v>
      </c>
      <c r="S10" s="8">
        <v>0</v>
      </c>
      <c r="T10" s="8"/>
      <c r="V10" s="8">
        <v>35</v>
      </c>
      <c r="W10" s="8">
        <f>INDEX(节奏总纲!P:P,MATCH(V10,节奏总纲!O:O,0))</f>
        <v>10.313708498984759</v>
      </c>
      <c r="X10" s="8">
        <f t="shared" si="6"/>
        <v>3.3137084989847594</v>
      </c>
      <c r="Z10" s="8">
        <f t="shared" si="0"/>
        <v>0</v>
      </c>
      <c r="AA10" s="8">
        <f t="shared" si="1"/>
        <v>0</v>
      </c>
      <c r="AB10" s="8">
        <f t="shared" si="2"/>
        <v>4</v>
      </c>
      <c r="AC10" s="8">
        <f t="shared" si="3"/>
        <v>5</v>
      </c>
      <c r="AD10" s="8">
        <f t="shared" si="4"/>
        <v>0</v>
      </c>
      <c r="AE10" s="8">
        <f t="shared" si="5"/>
        <v>14500</v>
      </c>
      <c r="AG10" s="8">
        <v>4</v>
      </c>
      <c r="AH10" s="8">
        <f t="shared" si="7"/>
        <v>666.66666666666674</v>
      </c>
      <c r="AI10" s="8">
        <f t="shared" si="8"/>
        <v>1333.3333333333335</v>
      </c>
      <c r="AJ10" s="8">
        <f t="shared" si="9"/>
        <v>1800</v>
      </c>
      <c r="AK10" s="8">
        <f t="shared" si="10"/>
        <v>2000</v>
      </c>
      <c r="AL10" s="8">
        <f t="shared" si="11"/>
        <v>6000</v>
      </c>
    </row>
    <row r="11" spans="2:38">
      <c r="B11" s="9">
        <v>6</v>
      </c>
      <c r="C11" s="9">
        <v>2</v>
      </c>
      <c r="D11" s="9">
        <f>SUM($C$6:C11)</f>
        <v>9</v>
      </c>
      <c r="J11" s="8"/>
      <c r="K11" s="8"/>
      <c r="L11" s="8"/>
      <c r="M11" s="8">
        <v>6</v>
      </c>
      <c r="N11" s="8"/>
      <c r="P11" s="8"/>
      <c r="Q11" s="8"/>
      <c r="R11" s="8"/>
      <c r="S11" s="8">
        <v>0</v>
      </c>
      <c r="T11" s="8"/>
      <c r="V11" s="8">
        <v>38</v>
      </c>
      <c r="W11" s="8">
        <f>INDEX(节奏总纲!P:P,MATCH(V11,节奏总纲!O:O,0))</f>
        <v>12.928809012737984</v>
      </c>
      <c r="X11" s="8">
        <f t="shared" si="6"/>
        <v>2.6151005137532248</v>
      </c>
      <c r="Z11" s="8">
        <f t="shared" si="0"/>
        <v>0</v>
      </c>
      <c r="AA11" s="8">
        <f t="shared" si="1"/>
        <v>0</v>
      </c>
      <c r="AB11" s="8">
        <f t="shared" si="2"/>
        <v>0</v>
      </c>
      <c r="AC11" s="8">
        <f t="shared" si="3"/>
        <v>6</v>
      </c>
      <c r="AD11" s="8">
        <f t="shared" si="4"/>
        <v>0</v>
      </c>
      <c r="AE11" s="8">
        <f t="shared" si="5"/>
        <v>15000</v>
      </c>
      <c r="AG11" s="8">
        <v>5</v>
      </c>
      <c r="AH11" s="8">
        <f t="shared" si="7"/>
        <v>833.33333333333337</v>
      </c>
      <c r="AI11" s="8">
        <f t="shared" si="8"/>
        <v>1666.6666666666667</v>
      </c>
      <c r="AJ11" s="8">
        <f t="shared" si="9"/>
        <v>2250</v>
      </c>
      <c r="AK11" s="8">
        <f t="shared" si="10"/>
        <v>2500</v>
      </c>
      <c r="AL11" s="8">
        <f t="shared" si="11"/>
        <v>7500</v>
      </c>
    </row>
    <row r="12" spans="2:38">
      <c r="B12" s="9">
        <v>7</v>
      </c>
      <c r="C12" s="9">
        <v>3</v>
      </c>
      <c r="D12" s="9">
        <f>SUM($C$6:C12)</f>
        <v>12</v>
      </c>
      <c r="J12" s="8"/>
      <c r="K12" s="8"/>
      <c r="L12" s="8"/>
      <c r="M12" s="8">
        <v>6</v>
      </c>
      <c r="N12" s="8"/>
      <c r="P12" s="8"/>
      <c r="Q12" s="8"/>
      <c r="R12" s="8"/>
      <c r="S12" s="8">
        <v>1</v>
      </c>
      <c r="T12" s="8"/>
      <c r="V12" s="8">
        <v>46</v>
      </c>
      <c r="W12" s="8">
        <f>INDEX(节奏总纲!P:P,MATCH(V12,节奏总纲!O:O,0))</f>
        <v>23.251465064166357</v>
      </c>
      <c r="X12" s="8">
        <f t="shared" si="6"/>
        <v>10.322656051428373</v>
      </c>
      <c r="Z12" s="8">
        <f t="shared" si="0"/>
        <v>0</v>
      </c>
      <c r="AA12" s="8">
        <f t="shared" si="1"/>
        <v>0</v>
      </c>
      <c r="AB12" s="8">
        <f t="shared" si="2"/>
        <v>0</v>
      </c>
      <c r="AC12" s="8">
        <f t="shared" si="3"/>
        <v>12</v>
      </c>
      <c r="AD12" s="8">
        <f t="shared" si="4"/>
        <v>0</v>
      </c>
      <c r="AE12" s="8">
        <f t="shared" si="5"/>
        <v>30000</v>
      </c>
      <c r="AG12" s="8">
        <v>6</v>
      </c>
      <c r="AH12" s="8">
        <f t="shared" si="7"/>
        <v>1000</v>
      </c>
      <c r="AI12" s="8">
        <f t="shared" si="8"/>
        <v>2000</v>
      </c>
      <c r="AJ12" s="8">
        <f t="shared" si="9"/>
        <v>2700</v>
      </c>
      <c r="AK12" s="8">
        <f t="shared" si="10"/>
        <v>3000</v>
      </c>
      <c r="AL12" s="8">
        <f t="shared" si="11"/>
        <v>9000</v>
      </c>
    </row>
    <row r="13" spans="2:38">
      <c r="B13" s="9">
        <v>8</v>
      </c>
      <c r="C13" s="9">
        <v>3</v>
      </c>
      <c r="D13" s="9">
        <f>SUM($C$6:C13)</f>
        <v>15</v>
      </c>
      <c r="J13" s="8"/>
      <c r="K13" s="8"/>
      <c r="L13" s="8"/>
      <c r="M13" s="8">
        <v>6</v>
      </c>
      <c r="N13" s="8"/>
      <c r="P13" s="8"/>
      <c r="Q13" s="8"/>
      <c r="R13" s="8"/>
      <c r="S13" s="8">
        <v>3</v>
      </c>
      <c r="T13" s="8"/>
      <c r="V13" s="8">
        <v>58</v>
      </c>
      <c r="W13" s="8">
        <f>INDEX(节奏总纲!P:P,MATCH(V13,节奏总纲!O:O,0))</f>
        <v>54.715236050951923</v>
      </c>
      <c r="X13" s="8">
        <f t="shared" si="6"/>
        <v>31.463770986785565</v>
      </c>
      <c r="Z13" s="8">
        <f t="shared" si="0"/>
        <v>0</v>
      </c>
      <c r="AA13" s="8">
        <f t="shared" si="1"/>
        <v>0</v>
      </c>
      <c r="AB13" s="8">
        <f t="shared" si="2"/>
        <v>0</v>
      </c>
      <c r="AC13" s="8">
        <f t="shared" si="3"/>
        <v>24</v>
      </c>
      <c r="AD13" s="8">
        <f t="shared" si="4"/>
        <v>0</v>
      </c>
      <c r="AE13" s="8">
        <f t="shared" si="5"/>
        <v>60000</v>
      </c>
      <c r="AG13" s="8">
        <v>7</v>
      </c>
      <c r="AH13" s="8">
        <f t="shared" si="7"/>
        <v>1285.7142857142858</v>
      </c>
      <c r="AI13" s="8">
        <f t="shared" si="8"/>
        <v>2807.6923076923076</v>
      </c>
      <c r="AJ13" s="8">
        <f t="shared" si="9"/>
        <v>3150</v>
      </c>
      <c r="AK13" s="8">
        <f t="shared" si="10"/>
        <v>3500</v>
      </c>
      <c r="AL13" s="8">
        <f t="shared" si="11"/>
        <v>10500</v>
      </c>
    </row>
    <row r="14" spans="2:38">
      <c r="J14" s="8"/>
      <c r="K14" s="8"/>
      <c r="L14" s="8"/>
      <c r="M14" s="8">
        <v>6</v>
      </c>
      <c r="N14" s="8"/>
      <c r="P14" s="8"/>
      <c r="Q14" s="8"/>
      <c r="R14" s="8"/>
      <c r="S14" s="8">
        <v>6</v>
      </c>
      <c r="T14" s="8"/>
      <c r="V14" s="8">
        <v>67</v>
      </c>
      <c r="W14" s="8">
        <f>INDEX(节奏总纲!P:P,MATCH(V14,节奏总纲!O:O,0))</f>
        <v>102.96830673359811</v>
      </c>
      <c r="X14" s="8">
        <f t="shared" si="6"/>
        <v>48.253070682646189</v>
      </c>
      <c r="Z14" s="8">
        <f t="shared" si="0"/>
        <v>0</v>
      </c>
      <c r="AA14" s="8">
        <f t="shared" si="1"/>
        <v>0</v>
      </c>
      <c r="AB14" s="8">
        <f t="shared" si="2"/>
        <v>0</v>
      </c>
      <c r="AC14" s="8">
        <f t="shared" si="3"/>
        <v>42</v>
      </c>
      <c r="AD14" s="8">
        <f t="shared" si="4"/>
        <v>0</v>
      </c>
      <c r="AE14" s="8">
        <f t="shared" si="5"/>
        <v>105000</v>
      </c>
      <c r="AG14" s="8">
        <v>8</v>
      </c>
      <c r="AH14" s="8">
        <f t="shared" si="7"/>
        <v>1571.4285714285716</v>
      </c>
      <c r="AI14" s="8">
        <f t="shared" si="8"/>
        <v>3615.3846153846152</v>
      </c>
      <c r="AJ14" s="8">
        <f t="shared" si="9"/>
        <v>3600</v>
      </c>
      <c r="AK14" s="8">
        <f t="shared" si="10"/>
        <v>4000</v>
      </c>
      <c r="AL14" s="8">
        <f t="shared" si="11"/>
        <v>12000</v>
      </c>
    </row>
    <row r="15" spans="2:38">
      <c r="J15" s="8"/>
      <c r="K15" s="8"/>
      <c r="L15" s="8"/>
      <c r="M15" s="8"/>
      <c r="N15" s="8">
        <v>1</v>
      </c>
      <c r="P15" s="8"/>
      <c r="Q15" s="8"/>
      <c r="R15" s="8"/>
      <c r="S15" s="8"/>
      <c r="T15" s="8">
        <v>0</v>
      </c>
      <c r="V15" s="8">
        <v>68</v>
      </c>
      <c r="W15" s="8">
        <f>INDEX(节奏总纲!P:P,MATCH(V15,节奏总纲!O:O,0))</f>
        <v>110.43047210190386</v>
      </c>
      <c r="X15" s="8">
        <f t="shared" ref="X15:X20" si="12">W15-W14</f>
        <v>7.4621653683057474</v>
      </c>
      <c r="Z15" s="8">
        <f t="shared" si="0"/>
        <v>0</v>
      </c>
      <c r="AA15" s="8">
        <f t="shared" si="1"/>
        <v>0</v>
      </c>
      <c r="AB15" s="8">
        <f t="shared" si="2"/>
        <v>0</v>
      </c>
      <c r="AC15" s="8">
        <f t="shared" si="3"/>
        <v>0</v>
      </c>
      <c r="AD15" s="8">
        <f t="shared" si="4"/>
        <v>1</v>
      </c>
      <c r="AE15" s="8">
        <f t="shared" si="5"/>
        <v>25000</v>
      </c>
      <c r="AG15" s="8">
        <v>9</v>
      </c>
      <c r="AH15" s="8">
        <f t="shared" si="7"/>
        <v>1857.1428571428571</v>
      </c>
      <c r="AI15" s="8">
        <f t="shared" si="8"/>
        <v>4423.0769230769238</v>
      </c>
      <c r="AJ15" s="8">
        <f t="shared" si="9"/>
        <v>4240</v>
      </c>
      <c r="AK15" s="8">
        <f t="shared" si="10"/>
        <v>4500</v>
      </c>
      <c r="AL15" s="8">
        <f t="shared" si="11"/>
        <v>13500</v>
      </c>
    </row>
    <row r="16" spans="2:38">
      <c r="J16" s="8"/>
      <c r="K16" s="8"/>
      <c r="L16" s="8"/>
      <c r="M16" s="8"/>
      <c r="N16" s="8">
        <v>2</v>
      </c>
      <c r="P16" s="8"/>
      <c r="Q16" s="8"/>
      <c r="R16" s="8"/>
      <c r="S16" s="8"/>
      <c r="T16" s="8">
        <v>0</v>
      </c>
      <c r="V16" s="8">
        <v>75</v>
      </c>
      <c r="W16" s="8">
        <f>INDEX(节奏总纲!P:P,MATCH(V16,节奏总纲!O:O,0))</f>
        <v>180.01933598375612</v>
      </c>
      <c r="X16" s="8">
        <f t="shared" si="12"/>
        <v>69.588863881852262</v>
      </c>
      <c r="Z16" s="8">
        <f t="shared" si="0"/>
        <v>0</v>
      </c>
      <c r="AA16" s="8">
        <f t="shared" si="1"/>
        <v>0</v>
      </c>
      <c r="AB16" s="8">
        <f t="shared" si="2"/>
        <v>0</v>
      </c>
      <c r="AC16" s="8">
        <f t="shared" si="3"/>
        <v>0</v>
      </c>
      <c r="AD16" s="8">
        <f t="shared" si="4"/>
        <v>2</v>
      </c>
      <c r="AE16" s="8">
        <f t="shared" si="5"/>
        <v>50000</v>
      </c>
      <c r="AG16" s="8">
        <v>10</v>
      </c>
      <c r="AH16" s="8">
        <f t="shared" si="7"/>
        <v>2142.8571428571431</v>
      </c>
      <c r="AI16" s="8">
        <f t="shared" si="8"/>
        <v>5230.7692307692305</v>
      </c>
      <c r="AJ16" s="8">
        <f t="shared" si="9"/>
        <v>4880</v>
      </c>
      <c r="AK16" s="8">
        <f t="shared" si="10"/>
        <v>5000</v>
      </c>
      <c r="AL16" s="8">
        <f t="shared" si="11"/>
        <v>15000</v>
      </c>
    </row>
    <row r="17" spans="2:38">
      <c r="B17" s="9"/>
      <c r="C17" s="9" t="s">
        <v>140</v>
      </c>
      <c r="D17" s="9"/>
      <c r="J17" s="8"/>
      <c r="K17" s="8"/>
      <c r="L17" s="8"/>
      <c r="M17" s="8"/>
      <c r="N17" s="8">
        <v>3</v>
      </c>
      <c r="P17" s="8"/>
      <c r="Q17" s="8"/>
      <c r="R17" s="8"/>
      <c r="S17" s="8"/>
      <c r="T17" s="8">
        <v>0</v>
      </c>
      <c r="V17" s="8">
        <v>80</v>
      </c>
      <c r="W17" s="8">
        <f>INDEX(节奏总纲!P:P,MATCH(V17,节奏总纲!O:O,0))</f>
        <v>255</v>
      </c>
      <c r="X17" s="8">
        <f t="shared" si="12"/>
        <v>74.980664016243878</v>
      </c>
      <c r="Z17" s="8">
        <f t="shared" si="0"/>
        <v>0</v>
      </c>
      <c r="AA17" s="8">
        <f t="shared" si="1"/>
        <v>0</v>
      </c>
      <c r="AB17" s="8">
        <f t="shared" si="2"/>
        <v>0</v>
      </c>
      <c r="AC17" s="8">
        <f t="shared" si="3"/>
        <v>0</v>
      </c>
      <c r="AD17" s="8">
        <f t="shared" si="4"/>
        <v>3</v>
      </c>
      <c r="AE17" s="8">
        <f t="shared" si="5"/>
        <v>75000</v>
      </c>
      <c r="AG17" s="8">
        <v>11</v>
      </c>
      <c r="AH17" s="8">
        <f t="shared" si="7"/>
        <v>2428.5714285714284</v>
      </c>
      <c r="AI17" s="8">
        <f t="shared" si="8"/>
        <v>6038.461538461539</v>
      </c>
      <c r="AJ17" s="8">
        <f t="shared" si="9"/>
        <v>5520</v>
      </c>
      <c r="AK17" s="8">
        <f t="shared" si="10"/>
        <v>5307.6923076923076</v>
      </c>
      <c r="AL17" s="8">
        <f t="shared" si="11"/>
        <v>16500</v>
      </c>
    </row>
    <row r="18" spans="2:38">
      <c r="B18" s="9" t="s">
        <v>6</v>
      </c>
      <c r="C18" s="9" t="s">
        <v>4</v>
      </c>
      <c r="D18" s="9" t="s">
        <v>5</v>
      </c>
      <c r="J18" s="8"/>
      <c r="K18" s="8"/>
      <c r="L18" s="8"/>
      <c r="M18" s="8"/>
      <c r="N18" s="8">
        <v>4</v>
      </c>
      <c r="P18" s="8"/>
      <c r="Q18" s="8"/>
      <c r="R18" s="8"/>
      <c r="S18" s="8"/>
      <c r="T18" s="8">
        <v>0</v>
      </c>
      <c r="V18" s="8">
        <v>84</v>
      </c>
      <c r="W18" s="8">
        <f>INDEX(节奏总纲!P:P,MATCH(V18,节奏总纲!O:O,0))</f>
        <v>336.79402515786086</v>
      </c>
      <c r="X18" s="8">
        <f t="shared" si="12"/>
        <v>81.794025157860858</v>
      </c>
      <c r="Z18" s="8">
        <f t="shared" si="0"/>
        <v>0</v>
      </c>
      <c r="AA18" s="8">
        <f t="shared" si="1"/>
        <v>0</v>
      </c>
      <c r="AB18" s="8">
        <f t="shared" si="2"/>
        <v>0</v>
      </c>
      <c r="AC18" s="8">
        <f t="shared" si="3"/>
        <v>0</v>
      </c>
      <c r="AD18" s="8">
        <f t="shared" si="4"/>
        <v>4</v>
      </c>
      <c r="AE18" s="8">
        <f t="shared" si="5"/>
        <v>100000</v>
      </c>
      <c r="AG18" s="8">
        <v>12</v>
      </c>
      <c r="AH18" s="8">
        <f t="shared" si="7"/>
        <v>2714.2857142857142</v>
      </c>
      <c r="AI18" s="8">
        <f t="shared" si="8"/>
        <v>6846.1538461538466</v>
      </c>
      <c r="AJ18" s="8">
        <f t="shared" si="9"/>
        <v>6160</v>
      </c>
      <c r="AK18" s="8">
        <f t="shared" si="10"/>
        <v>5615.3846153846152</v>
      </c>
      <c r="AL18" s="8">
        <f t="shared" si="11"/>
        <v>18000</v>
      </c>
    </row>
    <row r="19" spans="2:38">
      <c r="B19" s="9">
        <v>0</v>
      </c>
      <c r="C19" s="9">
        <v>1</v>
      </c>
      <c r="D19" s="9">
        <f>SUM($C19:C$19)</f>
        <v>1</v>
      </c>
      <c r="J19" s="8"/>
      <c r="K19" s="8"/>
      <c r="L19" s="8"/>
      <c r="M19" s="8"/>
      <c r="N19" s="8">
        <v>5</v>
      </c>
      <c r="P19" s="8"/>
      <c r="Q19" s="8"/>
      <c r="R19" s="8"/>
      <c r="S19" s="8"/>
      <c r="T19" s="8">
        <v>0</v>
      </c>
      <c r="V19" s="8">
        <v>88</v>
      </c>
      <c r="W19" s="8">
        <f>INDEX(节奏总纲!P:P,MATCH(V19,节奏总纲!O:O,0))</f>
        <v>444.72188840761549</v>
      </c>
      <c r="X19" s="8">
        <f t="shared" si="12"/>
        <v>107.92786324975464</v>
      </c>
      <c r="Z19" s="8">
        <f t="shared" si="0"/>
        <v>0</v>
      </c>
      <c r="AA19" s="8">
        <f t="shared" si="1"/>
        <v>0</v>
      </c>
      <c r="AB19" s="8">
        <f t="shared" si="2"/>
        <v>0</v>
      </c>
      <c r="AC19" s="8">
        <f t="shared" si="3"/>
        <v>0</v>
      </c>
      <c r="AD19" s="8">
        <f t="shared" si="4"/>
        <v>5</v>
      </c>
      <c r="AE19" s="8">
        <f t="shared" si="5"/>
        <v>125000</v>
      </c>
      <c r="AG19" s="8">
        <v>13</v>
      </c>
      <c r="AH19" s="8">
        <f t="shared" si="7"/>
        <v>3000</v>
      </c>
      <c r="AI19" s="8">
        <f t="shared" si="8"/>
        <v>7653.8461538461543</v>
      </c>
      <c r="AJ19" s="8">
        <f t="shared" si="9"/>
        <v>6800</v>
      </c>
      <c r="AK19" s="8">
        <f t="shared" si="10"/>
        <v>5923.0769230769229</v>
      </c>
      <c r="AL19" s="8">
        <f t="shared" si="11"/>
        <v>19500</v>
      </c>
    </row>
    <row r="20" spans="2:38">
      <c r="B20" s="9">
        <v>1</v>
      </c>
      <c r="C20" s="9">
        <v>1</v>
      </c>
      <c r="D20" s="9">
        <f>SUM($C$19:C20)</f>
        <v>2</v>
      </c>
      <c r="J20" s="8"/>
      <c r="K20" s="8"/>
      <c r="L20" s="8"/>
      <c r="M20" s="8"/>
      <c r="N20" s="8">
        <v>6</v>
      </c>
      <c r="P20" s="8"/>
      <c r="Q20" s="8"/>
      <c r="R20" s="8"/>
      <c r="S20" s="8"/>
      <c r="T20" s="8">
        <v>0</v>
      </c>
      <c r="V20" s="8">
        <v>91</v>
      </c>
      <c r="W20" s="8">
        <f>INDEX(节奏总纲!P:P,MATCH(V20,节奏总纲!O:O,0))</f>
        <v>547.74801281858208</v>
      </c>
      <c r="X20" s="8">
        <f t="shared" si="12"/>
        <v>103.02612441096659</v>
      </c>
      <c r="Z20" s="8">
        <f t="shared" si="0"/>
        <v>0</v>
      </c>
      <c r="AA20" s="8">
        <f t="shared" si="1"/>
        <v>0</v>
      </c>
      <c r="AB20" s="8">
        <f t="shared" si="2"/>
        <v>0</v>
      </c>
      <c r="AC20" s="8">
        <f t="shared" si="3"/>
        <v>0</v>
      </c>
      <c r="AD20" s="8">
        <f t="shared" si="4"/>
        <v>6</v>
      </c>
      <c r="AE20" s="8">
        <f t="shared" si="5"/>
        <v>150000</v>
      </c>
      <c r="AG20" s="8">
        <v>14</v>
      </c>
      <c r="AH20" s="8">
        <f t="shared" si="7"/>
        <v>3285.7142857142858</v>
      </c>
      <c r="AI20" s="8">
        <f t="shared" si="8"/>
        <v>8461.538461538461</v>
      </c>
      <c r="AJ20" s="8">
        <f t="shared" si="9"/>
        <v>7440</v>
      </c>
      <c r="AK20" s="8">
        <f t="shared" si="10"/>
        <v>6230.7692307692305</v>
      </c>
      <c r="AL20" s="8">
        <f t="shared" si="11"/>
        <v>21000</v>
      </c>
    </row>
    <row r="21" spans="2:38">
      <c r="B21" s="9">
        <v>2</v>
      </c>
      <c r="C21" s="9">
        <v>1</v>
      </c>
      <c r="D21" s="9">
        <f>SUM($C$19:C21)</f>
        <v>3</v>
      </c>
      <c r="AG21" s="8">
        <v>15</v>
      </c>
      <c r="AH21" s="8">
        <f t="shared" si="7"/>
        <v>3571.4285714285716</v>
      </c>
      <c r="AI21" s="8">
        <f t="shared" si="8"/>
        <v>9269.2307692307695</v>
      </c>
      <c r="AJ21" s="8">
        <f t="shared" si="9"/>
        <v>8080</v>
      </c>
      <c r="AK21" s="8">
        <f t="shared" si="10"/>
        <v>6538.4615384615381</v>
      </c>
      <c r="AL21" s="8">
        <f t="shared" si="11"/>
        <v>22500</v>
      </c>
    </row>
    <row r="22" spans="2:38">
      <c r="B22" s="9">
        <v>3</v>
      </c>
      <c r="C22" s="9">
        <v>1</v>
      </c>
      <c r="D22" s="9">
        <f>SUM($C$19:C22)</f>
        <v>4</v>
      </c>
      <c r="AG22" s="8">
        <v>16</v>
      </c>
      <c r="AH22" s="8">
        <f t="shared" si="7"/>
        <v>3857.1428571428573</v>
      </c>
      <c r="AI22" s="8">
        <f t="shared" si="8"/>
        <v>10076.923076923078</v>
      </c>
      <c r="AJ22" s="8">
        <f t="shared" si="9"/>
        <v>8720</v>
      </c>
      <c r="AK22" s="8">
        <f t="shared" si="10"/>
        <v>6846.1538461538457</v>
      </c>
      <c r="AL22" s="8">
        <f t="shared" si="11"/>
        <v>24000</v>
      </c>
    </row>
    <row r="23" spans="2:38">
      <c r="B23" s="9">
        <v>4</v>
      </c>
      <c r="C23" s="9">
        <v>1</v>
      </c>
      <c r="D23" s="9">
        <f>SUM($C$19:C23)</f>
        <v>5</v>
      </c>
      <c r="AG23" s="8">
        <v>17</v>
      </c>
      <c r="AH23" s="8">
        <f t="shared" si="7"/>
        <v>4142.8571428571431</v>
      </c>
      <c r="AI23" s="8">
        <f t="shared" si="8"/>
        <v>10884.615384615385</v>
      </c>
      <c r="AJ23" s="8">
        <f t="shared" si="9"/>
        <v>9360</v>
      </c>
      <c r="AK23" s="8">
        <f t="shared" si="10"/>
        <v>7153.8461538461543</v>
      </c>
      <c r="AL23" s="8">
        <f t="shared" si="11"/>
        <v>25500</v>
      </c>
    </row>
    <row r="24" spans="2:38">
      <c r="B24" s="9">
        <v>5</v>
      </c>
      <c r="C24" s="9">
        <v>1</v>
      </c>
      <c r="D24" s="9">
        <f>SUM($C$19:C24)</f>
        <v>6</v>
      </c>
      <c r="AG24" s="8">
        <v>18</v>
      </c>
      <c r="AH24" s="8">
        <f t="shared" si="7"/>
        <v>4428.5714285714284</v>
      </c>
      <c r="AI24" s="8">
        <f t="shared" si="8"/>
        <v>11692.307692307693</v>
      </c>
      <c r="AJ24" s="8">
        <f t="shared" si="9"/>
        <v>10000</v>
      </c>
      <c r="AK24" s="8">
        <f t="shared" si="10"/>
        <v>7461.538461538461</v>
      </c>
      <c r="AL24" s="8">
        <f t="shared" si="11"/>
        <v>27000</v>
      </c>
    </row>
    <row r="25" spans="2:38">
      <c r="B25" s="9">
        <v>6</v>
      </c>
      <c r="C25" s="9">
        <v>1</v>
      </c>
      <c r="D25" s="9">
        <f>SUM($C$19:C25)</f>
        <v>7</v>
      </c>
      <c r="J25" s="200" t="s">
        <v>88</v>
      </c>
      <c r="K25" s="200"/>
      <c r="L25" s="200"/>
      <c r="M25" s="200"/>
      <c r="N25" s="200"/>
      <c r="P25" s="200" t="s">
        <v>89</v>
      </c>
      <c r="Q25" s="200"/>
      <c r="R25" s="200"/>
      <c r="S25" s="200"/>
      <c r="T25" s="200"/>
      <c r="Z25" s="200" t="s">
        <v>100</v>
      </c>
      <c r="AA25" s="200"/>
      <c r="AB25" s="200"/>
      <c r="AC25" s="200"/>
      <c r="AD25" s="200"/>
      <c r="AE25" s="10"/>
      <c r="AG25" s="8">
        <v>19</v>
      </c>
      <c r="AH25" s="8">
        <f t="shared" si="7"/>
        <v>4714.2857142857138</v>
      </c>
      <c r="AI25" s="8">
        <f t="shared" si="8"/>
        <v>12500</v>
      </c>
      <c r="AJ25" s="8">
        <f t="shared" si="9"/>
        <v>11136.363636363636</v>
      </c>
      <c r="AK25" s="8">
        <f t="shared" si="10"/>
        <v>7769.2307692307695</v>
      </c>
      <c r="AL25" s="8">
        <f t="shared" si="11"/>
        <v>28500</v>
      </c>
    </row>
    <row r="26" spans="2:38">
      <c r="B26" s="9">
        <v>7</v>
      </c>
      <c r="C26" s="9">
        <v>1</v>
      </c>
      <c r="D26" s="9">
        <f>SUM($C$19:C26)</f>
        <v>8</v>
      </c>
      <c r="I26" s="4" t="s">
        <v>96</v>
      </c>
      <c r="J26" s="8" t="s">
        <v>84</v>
      </c>
      <c r="K26" s="8" t="s">
        <v>85</v>
      </c>
      <c r="L26" s="8" t="s">
        <v>86</v>
      </c>
      <c r="M26" s="8" t="s">
        <v>0</v>
      </c>
      <c r="N26" s="8" t="s">
        <v>87</v>
      </c>
      <c r="P26" s="8" t="s">
        <v>84</v>
      </c>
      <c r="Q26" s="8" t="s">
        <v>85</v>
      </c>
      <c r="R26" s="8" t="s">
        <v>86</v>
      </c>
      <c r="S26" s="8" t="s">
        <v>0</v>
      </c>
      <c r="T26" s="8" t="s">
        <v>87</v>
      </c>
      <c r="V26" s="8" t="s">
        <v>101</v>
      </c>
      <c r="W26" s="8" t="s">
        <v>90</v>
      </c>
      <c r="X26" s="8" t="s">
        <v>12</v>
      </c>
      <c r="Z26" s="8" t="s">
        <v>84</v>
      </c>
      <c r="AA26" s="8" t="s">
        <v>85</v>
      </c>
      <c r="AB26" s="8" t="s">
        <v>86</v>
      </c>
      <c r="AC26" s="8" t="s">
        <v>0</v>
      </c>
      <c r="AD26" s="8" t="s">
        <v>87</v>
      </c>
      <c r="AE26" s="8" t="s">
        <v>93</v>
      </c>
      <c r="AG26" s="8">
        <v>20</v>
      </c>
      <c r="AH26" s="8">
        <f t="shared" si="7"/>
        <v>5000</v>
      </c>
      <c r="AI26" s="8">
        <f t="shared" si="8"/>
        <v>13909.090909090908</v>
      </c>
      <c r="AJ26" s="8">
        <f t="shared" si="9"/>
        <v>12272.727272727272</v>
      </c>
      <c r="AK26" s="8">
        <f t="shared" si="10"/>
        <v>8076.9230769230762</v>
      </c>
      <c r="AL26" s="8">
        <f t="shared" si="11"/>
        <v>30000</v>
      </c>
    </row>
    <row r="27" spans="2:38">
      <c r="J27" s="8"/>
      <c r="K27" s="8">
        <v>5</v>
      </c>
      <c r="L27" s="8">
        <v>1</v>
      </c>
      <c r="M27" s="8"/>
      <c r="N27" s="8"/>
      <c r="P27" s="8"/>
      <c r="Q27" s="8">
        <v>0</v>
      </c>
      <c r="R27" s="8">
        <v>0</v>
      </c>
      <c r="S27" s="8"/>
      <c r="T27" s="8"/>
      <c r="V27" s="8">
        <v>6</v>
      </c>
      <c r="W27" s="8">
        <f>INDEX(节奏总纲!Q:Q,MATCH(V27,节奏总纲!O:O,0))</f>
        <v>0.43939051466685908</v>
      </c>
      <c r="X27" s="8">
        <f>W27</f>
        <v>0.43939051466685908</v>
      </c>
      <c r="Z27" s="8">
        <f t="shared" ref="Z27:AD34" si="13">J27*INDEX($D$20:$D$26,P27+1,1)</f>
        <v>0</v>
      </c>
      <c r="AA27" s="8">
        <f t="shared" si="13"/>
        <v>10</v>
      </c>
      <c r="AB27" s="8">
        <f t="shared" si="13"/>
        <v>2</v>
      </c>
      <c r="AC27" s="8">
        <f t="shared" si="13"/>
        <v>0</v>
      </c>
      <c r="AD27" s="8">
        <f t="shared" si="13"/>
        <v>0</v>
      </c>
      <c r="AE27" s="8">
        <f t="shared" ref="AE27:AE39" si="14">SUMPRODUCT(Z27:AD27,$C$35:$G$35)</f>
        <v>2000</v>
      </c>
      <c r="AG27" s="8">
        <v>21</v>
      </c>
      <c r="AH27" s="8">
        <f t="shared" si="7"/>
        <v>5550</v>
      </c>
      <c r="AI27" s="8">
        <f t="shared" si="8"/>
        <v>15318.181818181818</v>
      </c>
      <c r="AJ27" s="8">
        <f t="shared" si="9"/>
        <v>13409.090909090908</v>
      </c>
      <c r="AK27" s="8">
        <f t="shared" si="10"/>
        <v>8384.6153846153848</v>
      </c>
      <c r="AL27" s="8">
        <f t="shared" si="11"/>
        <v>33000</v>
      </c>
    </row>
    <row r="28" spans="2:38">
      <c r="B28" s="9"/>
      <c r="C28" s="9" t="s">
        <v>141</v>
      </c>
      <c r="D28" s="9"/>
      <c r="J28" s="8"/>
      <c r="K28" s="8"/>
      <c r="L28" s="8">
        <v>5</v>
      </c>
      <c r="M28" s="8">
        <v>1</v>
      </c>
      <c r="N28" s="8"/>
      <c r="P28" s="8"/>
      <c r="Q28" s="8"/>
      <c r="R28" s="8">
        <v>1</v>
      </c>
      <c r="S28" s="8">
        <v>0</v>
      </c>
      <c r="T28" s="8"/>
      <c r="V28" s="8">
        <v>19</v>
      </c>
      <c r="W28" s="8">
        <f>INDEX(节奏总纲!Q:Q,MATCH(V28,节奏总纲!O:O,0))</f>
        <v>2.3734030389920986</v>
      </c>
      <c r="X28" s="8">
        <f t="shared" ref="X28:X39" si="15">W28</f>
        <v>2.3734030389920986</v>
      </c>
      <c r="Z28" s="8">
        <f t="shared" si="13"/>
        <v>0</v>
      </c>
      <c r="AA28" s="8">
        <f t="shared" si="13"/>
        <v>0</v>
      </c>
      <c r="AB28" s="8">
        <f t="shared" si="13"/>
        <v>15</v>
      </c>
      <c r="AC28" s="8">
        <f t="shared" si="13"/>
        <v>2</v>
      </c>
      <c r="AD28" s="8">
        <f t="shared" si="13"/>
        <v>0</v>
      </c>
      <c r="AE28" s="8">
        <f t="shared" si="14"/>
        <v>12500</v>
      </c>
      <c r="AG28" s="8">
        <v>22</v>
      </c>
      <c r="AH28" s="8">
        <f t="shared" si="7"/>
        <v>6100</v>
      </c>
      <c r="AI28" s="8">
        <f t="shared" si="8"/>
        <v>16727.272727272728</v>
      </c>
      <c r="AJ28" s="8">
        <f t="shared" si="9"/>
        <v>14545.454545454544</v>
      </c>
      <c r="AK28" s="8">
        <f t="shared" si="10"/>
        <v>8692.3076923076915</v>
      </c>
      <c r="AL28" s="8">
        <f t="shared" si="11"/>
        <v>36000</v>
      </c>
    </row>
    <row r="29" spans="2:38">
      <c r="B29" s="9" t="s">
        <v>13</v>
      </c>
      <c r="C29" s="9" t="s">
        <v>14</v>
      </c>
      <c r="D29" s="9" t="s">
        <v>15</v>
      </c>
      <c r="J29" s="8"/>
      <c r="K29" s="8"/>
      <c r="L29" s="8">
        <v>1</v>
      </c>
      <c r="M29" s="8">
        <v>5</v>
      </c>
      <c r="N29" s="8"/>
      <c r="P29" s="8"/>
      <c r="Q29" s="8"/>
      <c r="R29" s="8">
        <v>4</v>
      </c>
      <c r="S29" s="8">
        <v>0</v>
      </c>
      <c r="T29" s="8"/>
      <c r="V29" s="8">
        <v>30</v>
      </c>
      <c r="W29" s="8">
        <f>INDEX(节奏总纲!Q:Q,MATCH(V29,节奏总纲!O:O,0))</f>
        <v>6.1025999999999998</v>
      </c>
      <c r="X29" s="8">
        <f t="shared" si="15"/>
        <v>6.1025999999999998</v>
      </c>
      <c r="Z29" s="8">
        <f t="shared" si="13"/>
        <v>0</v>
      </c>
      <c r="AA29" s="8">
        <f t="shared" si="13"/>
        <v>0</v>
      </c>
      <c r="AB29" s="8">
        <f t="shared" si="13"/>
        <v>6</v>
      </c>
      <c r="AC29" s="8">
        <f t="shared" si="13"/>
        <v>10</v>
      </c>
      <c r="AD29" s="8">
        <f t="shared" si="13"/>
        <v>0</v>
      </c>
      <c r="AE29" s="8">
        <f t="shared" si="14"/>
        <v>28000</v>
      </c>
      <c r="AG29" s="8">
        <v>23</v>
      </c>
      <c r="AH29" s="8">
        <f t="shared" si="7"/>
        <v>6650</v>
      </c>
      <c r="AI29" s="8">
        <f t="shared" si="8"/>
        <v>18136.363636363636</v>
      </c>
      <c r="AJ29" s="8">
        <f t="shared" si="9"/>
        <v>15681.81818181818</v>
      </c>
      <c r="AK29" s="8">
        <f t="shared" si="10"/>
        <v>9000</v>
      </c>
      <c r="AL29" s="8">
        <f t="shared" si="11"/>
        <v>39000</v>
      </c>
    </row>
    <row r="30" spans="2:38">
      <c r="B30" s="9">
        <v>1</v>
      </c>
      <c r="C30" s="9">
        <v>0</v>
      </c>
      <c r="D30" s="9">
        <v>0</v>
      </c>
      <c r="J30" s="8"/>
      <c r="K30" s="8"/>
      <c r="L30" s="8"/>
      <c r="M30" s="8">
        <v>6</v>
      </c>
      <c r="N30" s="8"/>
      <c r="P30" s="8"/>
      <c r="Q30" s="8"/>
      <c r="R30" s="8"/>
      <c r="S30" s="8">
        <v>0</v>
      </c>
      <c r="T30" s="8"/>
      <c r="V30" s="8">
        <v>38</v>
      </c>
      <c r="W30" s="8">
        <f>INDEX(节奏总纲!Q:Q,MATCH(V30,节奏总纲!O:O,0))</f>
        <v>11.292021791725356</v>
      </c>
      <c r="X30" s="8">
        <f t="shared" si="15"/>
        <v>11.292021791725356</v>
      </c>
      <c r="Z30" s="8">
        <f t="shared" si="13"/>
        <v>0</v>
      </c>
      <c r="AA30" s="8">
        <f t="shared" si="13"/>
        <v>0</v>
      </c>
      <c r="AB30" s="8">
        <f t="shared" si="13"/>
        <v>0</v>
      </c>
      <c r="AC30" s="8">
        <f t="shared" si="13"/>
        <v>12</v>
      </c>
      <c r="AD30" s="8">
        <f t="shared" si="13"/>
        <v>0</v>
      </c>
      <c r="AE30" s="8">
        <f t="shared" si="14"/>
        <v>30000</v>
      </c>
      <c r="AG30" s="8">
        <v>24</v>
      </c>
      <c r="AH30" s="8">
        <f t="shared" si="7"/>
        <v>7200</v>
      </c>
      <c r="AI30" s="8">
        <f t="shared" si="8"/>
        <v>19545.454545454544</v>
      </c>
      <c r="AJ30" s="8">
        <f t="shared" si="9"/>
        <v>16818.181818181816</v>
      </c>
      <c r="AK30" s="8">
        <f t="shared" si="10"/>
        <v>9666.6666666666661</v>
      </c>
      <c r="AL30" s="8">
        <f t="shared" si="11"/>
        <v>42000</v>
      </c>
    </row>
    <row r="31" spans="2:38">
      <c r="B31" s="9">
        <v>2</v>
      </c>
      <c r="C31" s="9">
        <v>3</v>
      </c>
      <c r="D31" s="9">
        <v>3</v>
      </c>
      <c r="J31" s="8"/>
      <c r="K31" s="8"/>
      <c r="L31" s="8"/>
      <c r="M31" s="8">
        <v>6</v>
      </c>
      <c r="N31" s="8"/>
      <c r="P31" s="8"/>
      <c r="Q31" s="8"/>
      <c r="R31" s="8"/>
      <c r="S31" s="8">
        <v>1</v>
      </c>
      <c r="T31" s="8"/>
      <c r="V31" s="8">
        <v>46</v>
      </c>
      <c r="W31" s="8">
        <f>INDEX(节奏总纲!Q:Q,MATCH(V31,节奏总纲!O:O,0))</f>
        <v>20.310154733549314</v>
      </c>
      <c r="X31" s="8">
        <f t="shared" si="15"/>
        <v>20.310154733549314</v>
      </c>
      <c r="Z31" s="8">
        <f t="shared" si="13"/>
        <v>0</v>
      </c>
      <c r="AA31" s="8">
        <f t="shared" si="13"/>
        <v>0</v>
      </c>
      <c r="AB31" s="8">
        <f t="shared" si="13"/>
        <v>0</v>
      </c>
      <c r="AC31" s="8">
        <f t="shared" si="13"/>
        <v>18</v>
      </c>
      <c r="AD31" s="8">
        <f t="shared" si="13"/>
        <v>0</v>
      </c>
      <c r="AE31" s="8">
        <f t="shared" si="14"/>
        <v>45000</v>
      </c>
      <c r="AG31" s="8">
        <v>25</v>
      </c>
      <c r="AH31" s="8">
        <f t="shared" si="7"/>
        <v>7750</v>
      </c>
      <c r="AI31" s="8">
        <f t="shared" si="8"/>
        <v>20954.545454545456</v>
      </c>
      <c r="AJ31" s="8">
        <f t="shared" si="9"/>
        <v>17954.545454545456</v>
      </c>
      <c r="AK31" s="8">
        <f t="shared" si="10"/>
        <v>10333.333333333334</v>
      </c>
      <c r="AL31" s="8">
        <f t="shared" si="11"/>
        <v>45000</v>
      </c>
    </row>
    <row r="32" spans="2:38">
      <c r="J32" s="8"/>
      <c r="K32" s="8"/>
      <c r="L32" s="8"/>
      <c r="M32" s="8">
        <v>6</v>
      </c>
      <c r="N32" s="8"/>
      <c r="P32" s="8"/>
      <c r="Q32" s="8"/>
      <c r="R32" s="8"/>
      <c r="S32" s="8">
        <v>3</v>
      </c>
      <c r="T32" s="8"/>
      <c r="V32" s="8">
        <v>58</v>
      </c>
      <c r="W32" s="8">
        <f>INDEX(节奏总纲!Q:Q,MATCH(V32,节奏总纲!O:O,0))</f>
        <v>47.459995750595695</v>
      </c>
      <c r="X32" s="8">
        <f t="shared" si="15"/>
        <v>47.459995750595695</v>
      </c>
      <c r="Z32" s="8">
        <f t="shared" si="13"/>
        <v>0</v>
      </c>
      <c r="AA32" s="8">
        <f t="shared" si="13"/>
        <v>0</v>
      </c>
      <c r="AB32" s="8">
        <f t="shared" si="13"/>
        <v>0</v>
      </c>
      <c r="AC32" s="8">
        <f t="shared" si="13"/>
        <v>30</v>
      </c>
      <c r="AD32" s="8">
        <f t="shared" si="13"/>
        <v>0</v>
      </c>
      <c r="AE32" s="8">
        <f t="shared" si="14"/>
        <v>75000</v>
      </c>
      <c r="AG32" s="8">
        <v>26</v>
      </c>
      <c r="AH32" s="8">
        <f t="shared" si="7"/>
        <v>8300</v>
      </c>
      <c r="AI32" s="8">
        <f t="shared" si="8"/>
        <v>22363.636363636364</v>
      </c>
      <c r="AJ32" s="8">
        <f t="shared" si="9"/>
        <v>19090.909090909088</v>
      </c>
      <c r="AK32" s="8">
        <f t="shared" si="10"/>
        <v>11000</v>
      </c>
      <c r="AL32" s="8">
        <f t="shared" si="11"/>
        <v>48000</v>
      </c>
    </row>
    <row r="33" spans="2:38">
      <c r="J33" s="8"/>
      <c r="K33" s="8"/>
      <c r="L33" s="8"/>
      <c r="M33" s="8">
        <v>4</v>
      </c>
      <c r="N33" s="8"/>
      <c r="P33" s="8"/>
      <c r="Q33" s="8"/>
      <c r="R33" s="8"/>
      <c r="S33" s="8">
        <v>6</v>
      </c>
      <c r="T33" s="8"/>
      <c r="V33" s="8">
        <v>67</v>
      </c>
      <c r="W33" s="8">
        <f>INDEX(节奏总纲!Q:Q,MATCH(V33,节奏总纲!O:O,0))</f>
        <v>89.469161720823394</v>
      </c>
      <c r="X33" s="8">
        <f t="shared" si="15"/>
        <v>89.469161720823394</v>
      </c>
      <c r="Z33" s="8">
        <f t="shared" si="13"/>
        <v>0</v>
      </c>
      <c r="AA33" s="8">
        <f t="shared" si="13"/>
        <v>0</v>
      </c>
      <c r="AB33" s="8">
        <f t="shared" si="13"/>
        <v>0</v>
      </c>
      <c r="AC33" s="8">
        <f t="shared" si="13"/>
        <v>32</v>
      </c>
      <c r="AD33" s="8">
        <f t="shared" si="13"/>
        <v>0</v>
      </c>
      <c r="AE33" s="8">
        <f t="shared" si="14"/>
        <v>80000</v>
      </c>
      <c r="AG33" s="8">
        <v>27</v>
      </c>
      <c r="AH33" s="8">
        <f t="shared" si="7"/>
        <v>8850</v>
      </c>
      <c r="AI33" s="8">
        <f t="shared" si="8"/>
        <v>23772.727272727272</v>
      </c>
      <c r="AJ33" s="8">
        <f t="shared" si="9"/>
        <v>20227.272727272728</v>
      </c>
      <c r="AK33" s="8">
        <f t="shared" si="10"/>
        <v>11666.666666666666</v>
      </c>
      <c r="AL33" s="8">
        <f t="shared" si="11"/>
        <v>51000</v>
      </c>
    </row>
    <row r="34" spans="2:38">
      <c r="B34" s="9" t="s">
        <v>91</v>
      </c>
      <c r="C34" s="9" t="s">
        <v>82</v>
      </c>
      <c r="D34" s="9" t="s">
        <v>79</v>
      </c>
      <c r="E34" s="9" t="s">
        <v>80</v>
      </c>
      <c r="F34" s="9" t="s">
        <v>81</v>
      </c>
      <c r="G34" s="9" t="s">
        <v>83</v>
      </c>
      <c r="J34" s="8"/>
      <c r="K34" s="8"/>
      <c r="L34" s="8"/>
      <c r="M34" s="8">
        <v>5</v>
      </c>
      <c r="N34" s="8">
        <v>1</v>
      </c>
      <c r="P34" s="8"/>
      <c r="Q34" s="8"/>
      <c r="R34" s="8"/>
      <c r="S34" s="8">
        <v>6</v>
      </c>
      <c r="T34" s="8">
        <v>0</v>
      </c>
      <c r="V34" s="8">
        <v>68</v>
      </c>
      <c r="W34" s="8">
        <f>INDEX(节奏总纲!Q:Q,MATCH(V34,节奏总纲!O:O,0))</f>
        <v>95.831563690032169</v>
      </c>
      <c r="X34" s="8">
        <f t="shared" si="15"/>
        <v>95.831563690032169</v>
      </c>
      <c r="Z34" s="8">
        <f t="shared" si="13"/>
        <v>0</v>
      </c>
      <c r="AA34" s="8">
        <f t="shared" si="13"/>
        <v>0</v>
      </c>
      <c r="AB34" s="8">
        <f t="shared" si="13"/>
        <v>0</v>
      </c>
      <c r="AC34" s="8">
        <f t="shared" si="13"/>
        <v>40</v>
      </c>
      <c r="AD34" s="8">
        <f t="shared" si="13"/>
        <v>2</v>
      </c>
      <c r="AE34" s="8">
        <f t="shared" si="14"/>
        <v>150000</v>
      </c>
      <c r="AG34" s="8">
        <v>28</v>
      </c>
      <c r="AH34" s="8">
        <f t="shared" si="7"/>
        <v>9400</v>
      </c>
      <c r="AI34" s="8">
        <f t="shared" si="8"/>
        <v>25181.81818181818</v>
      </c>
      <c r="AJ34" s="8">
        <f t="shared" si="9"/>
        <v>21363.63636363636</v>
      </c>
      <c r="AK34" s="8">
        <f t="shared" si="10"/>
        <v>12333.333333333332</v>
      </c>
      <c r="AL34" s="8">
        <f t="shared" si="11"/>
        <v>54000</v>
      </c>
    </row>
    <row r="35" spans="2:38">
      <c r="B35" s="9" t="s">
        <v>92</v>
      </c>
      <c r="C35" s="9">
        <v>50</v>
      </c>
      <c r="D35" s="9">
        <v>100</v>
      </c>
      <c r="E35" s="9">
        <v>500</v>
      </c>
      <c r="F35" s="9">
        <v>2500</v>
      </c>
      <c r="G35" s="9">
        <v>25000</v>
      </c>
      <c r="J35" s="8"/>
      <c r="K35" s="8"/>
      <c r="L35" s="8"/>
      <c r="M35" s="8"/>
      <c r="N35" s="8">
        <v>2</v>
      </c>
      <c r="P35" s="8"/>
      <c r="Q35" s="8"/>
      <c r="R35" s="8"/>
      <c r="S35" s="8"/>
      <c r="T35" s="8">
        <v>0</v>
      </c>
      <c r="V35" s="8">
        <v>75</v>
      </c>
      <c r="W35" s="8">
        <f>INDEX(节奏总纲!Q:Q,MATCH(V35,节奏总纲!O:O,0))</f>
        <v>155.75272949314578</v>
      </c>
      <c r="X35" s="8">
        <f t="shared" si="15"/>
        <v>155.75272949314578</v>
      </c>
      <c r="Z35" s="8">
        <f t="shared" ref="Z35:AD39" si="16">J35*INDEX($D$19:$D$26,P35+1,1)</f>
        <v>0</v>
      </c>
      <c r="AA35" s="8">
        <f t="shared" si="16"/>
        <v>0</v>
      </c>
      <c r="AB35" s="8">
        <f t="shared" si="16"/>
        <v>0</v>
      </c>
      <c r="AC35" s="8">
        <f t="shared" si="16"/>
        <v>0</v>
      </c>
      <c r="AD35" s="8">
        <f t="shared" si="16"/>
        <v>2</v>
      </c>
      <c r="AE35" s="8">
        <f t="shared" si="14"/>
        <v>50000</v>
      </c>
      <c r="AG35" s="8">
        <v>29</v>
      </c>
      <c r="AH35" s="8">
        <f t="shared" si="7"/>
        <v>9950</v>
      </c>
      <c r="AI35" s="8">
        <f t="shared" si="8"/>
        <v>26590.909090909088</v>
      </c>
      <c r="AJ35" s="8">
        <f t="shared" si="9"/>
        <v>22500</v>
      </c>
      <c r="AK35" s="8">
        <f t="shared" si="10"/>
        <v>13000</v>
      </c>
      <c r="AL35" s="8">
        <f t="shared" si="11"/>
        <v>57000</v>
      </c>
    </row>
    <row r="36" spans="2:38">
      <c r="J36" s="8"/>
      <c r="K36" s="8"/>
      <c r="L36" s="8"/>
      <c r="M36" s="8"/>
      <c r="N36" s="8">
        <v>3</v>
      </c>
      <c r="P36" s="8"/>
      <c r="Q36" s="8"/>
      <c r="R36" s="8"/>
      <c r="S36" s="8"/>
      <c r="T36" s="8">
        <v>0</v>
      </c>
      <c r="V36" s="8">
        <v>80</v>
      </c>
      <c r="W36" s="8">
        <f>INDEX(节奏总纲!Q:Q,MATCH(V36,节奏总纲!O:O,0))</f>
        <v>221.08500000000001</v>
      </c>
      <c r="X36" s="8">
        <f t="shared" si="15"/>
        <v>221.08500000000001</v>
      </c>
      <c r="Z36" s="8">
        <f t="shared" si="16"/>
        <v>0</v>
      </c>
      <c r="AA36" s="8">
        <f t="shared" si="16"/>
        <v>0</v>
      </c>
      <c r="AB36" s="8">
        <f t="shared" si="16"/>
        <v>0</v>
      </c>
      <c r="AC36" s="8">
        <f t="shared" si="16"/>
        <v>0</v>
      </c>
      <c r="AD36" s="8">
        <f t="shared" si="16"/>
        <v>3</v>
      </c>
      <c r="AE36" s="8">
        <f t="shared" si="14"/>
        <v>75000</v>
      </c>
      <c r="AG36" s="8">
        <v>30</v>
      </c>
      <c r="AH36" s="8">
        <f t="shared" si="7"/>
        <v>10500</v>
      </c>
      <c r="AI36" s="8">
        <f t="shared" si="8"/>
        <v>28000</v>
      </c>
      <c r="AJ36" s="8">
        <f t="shared" si="9"/>
        <v>23111.111111111109</v>
      </c>
      <c r="AK36" s="8">
        <f t="shared" si="10"/>
        <v>13666.666666666666</v>
      </c>
      <c r="AL36" s="8">
        <f t="shared" si="11"/>
        <v>60000</v>
      </c>
    </row>
    <row r="37" spans="2:38">
      <c r="J37" s="8"/>
      <c r="K37" s="8"/>
      <c r="L37" s="8"/>
      <c r="M37" s="8"/>
      <c r="N37" s="8">
        <v>4</v>
      </c>
      <c r="P37" s="8"/>
      <c r="Q37" s="8"/>
      <c r="R37" s="8"/>
      <c r="S37" s="8"/>
      <c r="T37" s="8">
        <v>0</v>
      </c>
      <c r="V37" s="8">
        <v>84</v>
      </c>
      <c r="W37" s="8">
        <f>INDEX(节奏总纲!Q:Q,MATCH(V37,节奏总纲!O:O,0))</f>
        <v>291.2594729565181</v>
      </c>
      <c r="X37" s="8">
        <f t="shared" si="15"/>
        <v>291.2594729565181</v>
      </c>
      <c r="Z37" s="8">
        <f t="shared" si="16"/>
        <v>0</v>
      </c>
      <c r="AA37" s="8">
        <f t="shared" si="16"/>
        <v>0</v>
      </c>
      <c r="AB37" s="8">
        <f t="shared" si="16"/>
        <v>0</v>
      </c>
      <c r="AC37" s="8">
        <f t="shared" si="16"/>
        <v>0</v>
      </c>
      <c r="AD37" s="8">
        <f t="shared" si="16"/>
        <v>4</v>
      </c>
      <c r="AE37" s="8">
        <f t="shared" si="14"/>
        <v>100000</v>
      </c>
      <c r="AG37" s="8">
        <v>31</v>
      </c>
      <c r="AH37" s="8">
        <f t="shared" si="7"/>
        <v>11300</v>
      </c>
      <c r="AI37" s="8">
        <f t="shared" si="8"/>
        <v>28250</v>
      </c>
      <c r="AJ37" s="8">
        <f t="shared" si="9"/>
        <v>23722.222222222223</v>
      </c>
      <c r="AK37" s="8">
        <f t="shared" si="10"/>
        <v>14333.333333333332</v>
      </c>
      <c r="AL37" s="8">
        <f t="shared" si="11"/>
        <v>62750</v>
      </c>
    </row>
    <row r="38" spans="2:38">
      <c r="J38" s="8"/>
      <c r="K38" s="8"/>
      <c r="L38" s="8"/>
      <c r="M38" s="8"/>
      <c r="N38" s="8">
        <v>5</v>
      </c>
      <c r="P38" s="8"/>
      <c r="Q38" s="8"/>
      <c r="R38" s="8"/>
      <c r="S38" s="8"/>
      <c r="T38" s="8">
        <v>0</v>
      </c>
      <c r="V38" s="8">
        <v>88</v>
      </c>
      <c r="W38" s="8">
        <f>INDEX(节奏总纲!Q:Q,MATCH(V38,节奏总纲!O:O,0))</f>
        <v>384.7733778502689</v>
      </c>
      <c r="X38" s="8">
        <f t="shared" si="15"/>
        <v>384.7733778502689</v>
      </c>
      <c r="Z38" s="8">
        <f t="shared" si="16"/>
        <v>0</v>
      </c>
      <c r="AA38" s="8">
        <f t="shared" si="16"/>
        <v>0</v>
      </c>
      <c r="AB38" s="8">
        <f t="shared" si="16"/>
        <v>0</v>
      </c>
      <c r="AC38" s="8">
        <f t="shared" si="16"/>
        <v>0</v>
      </c>
      <c r="AD38" s="8">
        <f t="shared" si="16"/>
        <v>5</v>
      </c>
      <c r="AE38" s="8">
        <f t="shared" si="14"/>
        <v>125000</v>
      </c>
      <c r="AG38" s="8">
        <v>32</v>
      </c>
      <c r="AH38" s="8">
        <f t="shared" si="7"/>
        <v>12100</v>
      </c>
      <c r="AI38" s="8">
        <f t="shared" si="8"/>
        <v>28500</v>
      </c>
      <c r="AJ38" s="8">
        <f t="shared" si="9"/>
        <v>24333.333333333332</v>
      </c>
      <c r="AK38" s="8">
        <f t="shared" si="10"/>
        <v>15000</v>
      </c>
      <c r="AL38" s="8">
        <f t="shared" si="11"/>
        <v>65500</v>
      </c>
    </row>
    <row r="39" spans="2:38">
      <c r="G39" s="2"/>
      <c r="J39" s="8"/>
      <c r="K39" s="8"/>
      <c r="L39" s="8"/>
      <c r="M39" s="8"/>
      <c r="N39" s="8">
        <v>6</v>
      </c>
      <c r="P39" s="8"/>
      <c r="Q39" s="8"/>
      <c r="R39" s="8"/>
      <c r="S39" s="8"/>
      <c r="T39" s="8">
        <v>0</v>
      </c>
      <c r="V39" s="8">
        <v>91</v>
      </c>
      <c r="W39" s="8">
        <f>INDEX(节奏总纲!Q:Q,MATCH(V39,节奏总纲!O:O,0))</f>
        <v>469.6391461906523</v>
      </c>
      <c r="X39" s="8">
        <f t="shared" si="15"/>
        <v>469.6391461906523</v>
      </c>
      <c r="Z39" s="8">
        <f t="shared" si="16"/>
        <v>0</v>
      </c>
      <c r="AA39" s="8">
        <f t="shared" si="16"/>
        <v>0</v>
      </c>
      <c r="AB39" s="8">
        <f t="shared" si="16"/>
        <v>0</v>
      </c>
      <c r="AC39" s="8">
        <f t="shared" si="16"/>
        <v>0</v>
      </c>
      <c r="AD39" s="8">
        <f t="shared" si="16"/>
        <v>6</v>
      </c>
      <c r="AE39" s="8">
        <f t="shared" si="14"/>
        <v>150000</v>
      </c>
      <c r="AG39" s="8">
        <v>33</v>
      </c>
      <c r="AH39" s="8">
        <f t="shared" si="7"/>
        <v>12900</v>
      </c>
      <c r="AI39" s="8">
        <f t="shared" si="8"/>
        <v>28750</v>
      </c>
      <c r="AJ39" s="8">
        <f t="shared" si="9"/>
        <v>24944.444444444445</v>
      </c>
      <c r="AK39" s="8">
        <f t="shared" si="10"/>
        <v>17142.857142857141</v>
      </c>
      <c r="AL39" s="8">
        <f t="shared" si="11"/>
        <v>68250</v>
      </c>
    </row>
    <row r="40" spans="2:38">
      <c r="G40" s="2"/>
      <c r="AG40" s="8">
        <v>34</v>
      </c>
      <c r="AH40" s="8">
        <f t="shared" si="7"/>
        <v>13700</v>
      </c>
      <c r="AI40" s="8">
        <f t="shared" si="8"/>
        <v>29000</v>
      </c>
      <c r="AJ40" s="8">
        <f t="shared" si="9"/>
        <v>25555.555555555555</v>
      </c>
      <c r="AK40" s="8">
        <f t="shared" si="10"/>
        <v>19285.714285714286</v>
      </c>
      <c r="AL40" s="8">
        <f t="shared" si="11"/>
        <v>71000</v>
      </c>
    </row>
    <row r="41" spans="2:38">
      <c r="G41" s="2"/>
      <c r="J41" s="200" t="s">
        <v>88</v>
      </c>
      <c r="K41" s="200"/>
      <c r="L41" s="200"/>
      <c r="M41" s="200"/>
      <c r="N41" s="200"/>
      <c r="P41" s="200" t="s">
        <v>89</v>
      </c>
      <c r="Q41" s="200"/>
      <c r="R41" s="200"/>
      <c r="S41" s="200"/>
      <c r="T41" s="200"/>
      <c r="Z41" s="200" t="s">
        <v>100</v>
      </c>
      <c r="AA41" s="200"/>
      <c r="AB41" s="200"/>
      <c r="AC41" s="200"/>
      <c r="AD41" s="200"/>
      <c r="AE41" s="10"/>
      <c r="AG41" s="8">
        <v>35</v>
      </c>
      <c r="AH41" s="8">
        <f t="shared" si="7"/>
        <v>14500</v>
      </c>
      <c r="AI41" s="8">
        <f t="shared" si="8"/>
        <v>29250</v>
      </c>
      <c r="AJ41" s="8">
        <f t="shared" si="9"/>
        <v>26166.666666666668</v>
      </c>
      <c r="AK41" s="8">
        <f t="shared" si="10"/>
        <v>21428.571428571428</v>
      </c>
      <c r="AL41" s="8">
        <f t="shared" si="11"/>
        <v>73750</v>
      </c>
    </row>
    <row r="42" spans="2:38">
      <c r="G42" s="2"/>
      <c r="I42" s="4" t="s">
        <v>97</v>
      </c>
      <c r="J42" s="8" t="s">
        <v>84</v>
      </c>
      <c r="K42" s="8" t="s">
        <v>85</v>
      </c>
      <c r="L42" s="8" t="s">
        <v>86</v>
      </c>
      <c r="M42" s="8" t="s">
        <v>0</v>
      </c>
      <c r="N42" s="8" t="s">
        <v>87</v>
      </c>
      <c r="P42" s="8" t="s">
        <v>84</v>
      </c>
      <c r="Q42" s="8" t="s">
        <v>85</v>
      </c>
      <c r="R42" s="8" t="s">
        <v>86</v>
      </c>
      <c r="S42" s="8" t="s">
        <v>0</v>
      </c>
      <c r="T42" s="8" t="s">
        <v>87</v>
      </c>
      <c r="V42" s="8" t="s">
        <v>101</v>
      </c>
      <c r="W42" s="8" t="s">
        <v>90</v>
      </c>
      <c r="X42" s="8" t="s">
        <v>12</v>
      </c>
      <c r="Z42" s="8" t="s">
        <v>84</v>
      </c>
      <c r="AA42" s="8" t="s">
        <v>85</v>
      </c>
      <c r="AB42" s="8" t="s">
        <v>86</v>
      </c>
      <c r="AC42" s="8" t="s">
        <v>0</v>
      </c>
      <c r="AD42" s="8" t="s">
        <v>87</v>
      </c>
      <c r="AE42" s="8" t="s">
        <v>93</v>
      </c>
      <c r="AG42" s="8">
        <v>36</v>
      </c>
      <c r="AH42" s="8">
        <f t="shared" si="7"/>
        <v>14666.666666666666</v>
      </c>
      <c r="AI42" s="8">
        <f t="shared" si="8"/>
        <v>29500</v>
      </c>
      <c r="AJ42" s="8">
        <f t="shared" si="9"/>
        <v>26777.777777777777</v>
      </c>
      <c r="AK42" s="8">
        <f t="shared" si="10"/>
        <v>23571.428571428572</v>
      </c>
      <c r="AL42" s="8">
        <f t="shared" si="11"/>
        <v>76500</v>
      </c>
    </row>
    <row r="43" spans="2:38">
      <c r="G43" s="2"/>
      <c r="J43" s="8"/>
      <c r="K43" s="8">
        <v>3</v>
      </c>
      <c r="L43" s="8">
        <v>3</v>
      </c>
      <c r="M43" s="8"/>
      <c r="N43" s="8"/>
      <c r="P43" s="8"/>
      <c r="Q43" s="8">
        <v>0</v>
      </c>
      <c r="R43" s="8">
        <v>0</v>
      </c>
      <c r="S43" s="8"/>
      <c r="T43" s="8"/>
      <c r="V43" s="8">
        <v>8</v>
      </c>
      <c r="W43" s="8">
        <f>INDEX(节奏总纲!R:R,MATCH(V43,节奏总纲!O:O,0))</f>
        <v>0.50550507844857251</v>
      </c>
      <c r="X43" s="8">
        <f>W43</f>
        <v>0.50550507844857251</v>
      </c>
      <c r="Z43" s="8">
        <f t="shared" ref="Z43:Z54" si="17">J43*INDEX($D$20:$D$26,P43+1,1)</f>
        <v>0</v>
      </c>
      <c r="AA43" s="8">
        <f t="shared" ref="AA43:AA54" si="18">K43*INDEX($D$20:$D$26,Q43+1,1)</f>
        <v>6</v>
      </c>
      <c r="AB43" s="8">
        <f t="shared" ref="AB43:AB54" si="19">L43*INDEX($D$20:$D$26,R43+1,1)</f>
        <v>6</v>
      </c>
      <c r="AC43" s="8">
        <f t="shared" ref="AC43:AC54" si="20">M43*INDEX($D$20:$D$26,S43+1,1)</f>
        <v>0</v>
      </c>
      <c r="AD43" s="8">
        <f t="shared" ref="AD43:AD54" si="21">N43*INDEX($D$20:$D$26,T43+1,1)</f>
        <v>0</v>
      </c>
      <c r="AE43" s="8">
        <f t="shared" ref="AE43:AE54" si="22">SUMPRODUCT(Z43:AD43,$C$35:$G$35)</f>
        <v>3600</v>
      </c>
      <c r="AG43" s="8">
        <v>37</v>
      </c>
      <c r="AH43" s="8">
        <f t="shared" si="7"/>
        <v>14833.333333333334</v>
      </c>
      <c r="AI43" s="8">
        <f t="shared" si="8"/>
        <v>29750</v>
      </c>
      <c r="AJ43" s="8">
        <f t="shared" si="9"/>
        <v>27388.888888888891</v>
      </c>
      <c r="AK43" s="8">
        <f t="shared" si="10"/>
        <v>25714.285714285714</v>
      </c>
      <c r="AL43" s="8">
        <f t="shared" si="11"/>
        <v>79250</v>
      </c>
    </row>
    <row r="44" spans="2:38">
      <c r="G44" s="2"/>
      <c r="J44" s="8"/>
      <c r="K44" s="8"/>
      <c r="L44" s="8">
        <v>5</v>
      </c>
      <c r="M44" s="8">
        <v>1</v>
      </c>
      <c r="N44" s="8"/>
      <c r="P44" s="8"/>
      <c r="Q44" s="8"/>
      <c r="R44" s="8">
        <v>0</v>
      </c>
      <c r="S44" s="8">
        <v>0</v>
      </c>
      <c r="T44" s="8"/>
      <c r="V44" s="8">
        <v>18</v>
      </c>
      <c r="W44" s="8">
        <f>INDEX(节奏总纲!R:R,MATCH(V44,节奏总纲!O:O,0))</f>
        <v>1.7690655458445907</v>
      </c>
      <c r="X44" s="8">
        <f>W44-W43</f>
        <v>1.2635604673960183</v>
      </c>
      <c r="Z44" s="8">
        <f t="shared" si="17"/>
        <v>0</v>
      </c>
      <c r="AA44" s="8">
        <f t="shared" si="18"/>
        <v>0</v>
      </c>
      <c r="AB44" s="8">
        <f t="shared" si="19"/>
        <v>10</v>
      </c>
      <c r="AC44" s="8">
        <f t="shared" si="20"/>
        <v>2</v>
      </c>
      <c r="AD44" s="8">
        <f t="shared" si="21"/>
        <v>0</v>
      </c>
      <c r="AE44" s="8">
        <f t="shared" si="22"/>
        <v>10000</v>
      </c>
      <c r="AG44" s="8">
        <v>38</v>
      </c>
      <c r="AH44" s="8">
        <f t="shared" si="7"/>
        <v>15000</v>
      </c>
      <c r="AI44" s="8">
        <f t="shared" si="8"/>
        <v>30000</v>
      </c>
      <c r="AJ44" s="8">
        <f t="shared" si="9"/>
        <v>28000</v>
      </c>
      <c r="AK44" s="8">
        <f t="shared" si="10"/>
        <v>27857.142857142855</v>
      </c>
      <c r="AL44" s="8">
        <f t="shared" si="11"/>
        <v>82000</v>
      </c>
    </row>
    <row r="45" spans="2:38">
      <c r="G45" s="2"/>
      <c r="J45" s="8"/>
      <c r="K45" s="8"/>
      <c r="L45" s="8">
        <v>3</v>
      </c>
      <c r="M45" s="8">
        <v>3</v>
      </c>
      <c r="N45" s="8"/>
      <c r="P45" s="8"/>
      <c r="Q45" s="8"/>
      <c r="R45" s="8">
        <v>3</v>
      </c>
      <c r="S45" s="8">
        <v>0</v>
      </c>
      <c r="T45" s="8"/>
      <c r="V45" s="8">
        <v>29</v>
      </c>
      <c r="W45" s="8">
        <f>INDEX(节奏总纲!R:R,MATCH(V45,节奏总纲!O:O,0))</f>
        <v>4.6510378992858623</v>
      </c>
      <c r="X45" s="8">
        <f t="shared" ref="X45:X54" si="23">W45-W44</f>
        <v>2.8819723534412716</v>
      </c>
      <c r="Z45" s="8">
        <f t="shared" si="17"/>
        <v>0</v>
      </c>
      <c r="AA45" s="8">
        <f t="shared" si="18"/>
        <v>0</v>
      </c>
      <c r="AB45" s="8">
        <f t="shared" si="19"/>
        <v>15</v>
      </c>
      <c r="AC45" s="8">
        <f t="shared" si="20"/>
        <v>6</v>
      </c>
      <c r="AD45" s="8">
        <f t="shared" si="21"/>
        <v>0</v>
      </c>
      <c r="AE45" s="8">
        <f t="shared" si="22"/>
        <v>22500</v>
      </c>
      <c r="AG45" s="8">
        <v>39</v>
      </c>
      <c r="AH45" s="8">
        <f t="shared" si="7"/>
        <v>16875</v>
      </c>
      <c r="AI45" s="8">
        <f t="shared" si="8"/>
        <v>31875</v>
      </c>
      <c r="AJ45" s="8">
        <f t="shared" si="9"/>
        <v>28285.714285714286</v>
      </c>
      <c r="AK45" s="8">
        <f t="shared" si="10"/>
        <v>30000</v>
      </c>
      <c r="AL45" s="8">
        <f t="shared" si="11"/>
        <v>84750</v>
      </c>
    </row>
    <row r="46" spans="2:38">
      <c r="J46" s="8"/>
      <c r="K46" s="8"/>
      <c r="L46" s="8">
        <v>1</v>
      </c>
      <c r="M46" s="8">
        <v>5</v>
      </c>
      <c r="N46" s="8"/>
      <c r="P46" s="8"/>
      <c r="Q46" s="8"/>
      <c r="R46" s="8">
        <v>4</v>
      </c>
      <c r="S46" s="8">
        <v>0</v>
      </c>
      <c r="T46" s="8"/>
      <c r="V46" s="8">
        <v>38</v>
      </c>
      <c r="W46" s="8">
        <f>INDEX(节奏总纲!R:R,MATCH(V46,节奏总纲!O:O,0))</f>
        <v>9.3190855363815395</v>
      </c>
      <c r="X46" s="8">
        <f t="shared" si="23"/>
        <v>4.6680476370956772</v>
      </c>
      <c r="Z46" s="8">
        <f t="shared" si="17"/>
        <v>0</v>
      </c>
      <c r="AA46" s="8">
        <f t="shared" si="18"/>
        <v>0</v>
      </c>
      <c r="AB46" s="8">
        <f t="shared" si="19"/>
        <v>6</v>
      </c>
      <c r="AC46" s="8">
        <f t="shared" si="20"/>
        <v>10</v>
      </c>
      <c r="AD46" s="8">
        <f t="shared" si="21"/>
        <v>0</v>
      </c>
      <c r="AE46" s="8">
        <f t="shared" si="22"/>
        <v>28000</v>
      </c>
      <c r="AG46" s="8">
        <v>40</v>
      </c>
      <c r="AH46" s="8">
        <f t="shared" si="7"/>
        <v>18750</v>
      </c>
      <c r="AI46" s="8">
        <f t="shared" si="8"/>
        <v>33750</v>
      </c>
      <c r="AJ46" s="8">
        <f t="shared" si="9"/>
        <v>28571.428571428572</v>
      </c>
      <c r="AK46" s="8">
        <f t="shared" si="10"/>
        <v>34285.714285714283</v>
      </c>
      <c r="AL46" s="8">
        <f t="shared" si="11"/>
        <v>87500</v>
      </c>
    </row>
    <row r="47" spans="2:38">
      <c r="J47" s="8"/>
      <c r="K47" s="8"/>
      <c r="L47" s="8"/>
      <c r="M47" s="8">
        <v>6</v>
      </c>
      <c r="N47" s="8"/>
      <c r="P47" s="8"/>
      <c r="Q47" s="8"/>
      <c r="R47" s="8"/>
      <c r="S47" s="8">
        <v>0</v>
      </c>
      <c r="T47" s="8"/>
      <c r="V47" s="8">
        <v>45</v>
      </c>
      <c r="W47" s="8">
        <f>INDEX(节奏总纲!R:R,MATCH(V47,节奏总纲!O:O,0))</f>
        <v>15.604181364035009</v>
      </c>
      <c r="X47" s="8">
        <f t="shared" si="23"/>
        <v>6.2850958276534694</v>
      </c>
      <c r="Z47" s="8">
        <f t="shared" si="17"/>
        <v>0</v>
      </c>
      <c r="AA47" s="8">
        <f t="shared" si="18"/>
        <v>0</v>
      </c>
      <c r="AB47" s="8">
        <f t="shared" si="19"/>
        <v>0</v>
      </c>
      <c r="AC47" s="8">
        <f t="shared" si="20"/>
        <v>12</v>
      </c>
      <c r="AD47" s="8">
        <f t="shared" si="21"/>
        <v>0</v>
      </c>
      <c r="AE47" s="8">
        <f t="shared" si="22"/>
        <v>30000</v>
      </c>
      <c r="AG47" s="8">
        <v>41</v>
      </c>
      <c r="AH47" s="8">
        <f t="shared" si="7"/>
        <v>20625</v>
      </c>
      <c r="AI47" s="8">
        <f t="shared" si="8"/>
        <v>35625</v>
      </c>
      <c r="AJ47" s="8">
        <f t="shared" si="9"/>
        <v>28857.142857142859</v>
      </c>
      <c r="AK47" s="8">
        <f t="shared" si="10"/>
        <v>38571.428571428572</v>
      </c>
      <c r="AL47" s="8">
        <f t="shared" si="11"/>
        <v>91500</v>
      </c>
    </row>
    <row r="48" spans="2:38">
      <c r="G48" s="2"/>
      <c r="J48" s="8"/>
      <c r="K48" s="8"/>
      <c r="L48" s="8"/>
      <c r="M48" s="8">
        <v>6</v>
      </c>
      <c r="N48" s="8"/>
      <c r="P48" s="8"/>
      <c r="Q48" s="8"/>
      <c r="R48" s="8"/>
      <c r="S48" s="8">
        <v>1</v>
      </c>
      <c r="T48" s="8"/>
      <c r="V48" s="8">
        <v>52</v>
      </c>
      <c r="W48" s="8">
        <f>INDEX(节奏总纲!R:R,MATCH(V48,节奏总纲!O:O,0))</f>
        <v>25.606552544428059</v>
      </c>
      <c r="X48" s="8">
        <f t="shared" si="23"/>
        <v>10.00237118039305</v>
      </c>
      <c r="Z48" s="8">
        <f t="shared" si="17"/>
        <v>0</v>
      </c>
      <c r="AA48" s="8">
        <f t="shared" si="18"/>
        <v>0</v>
      </c>
      <c r="AB48" s="8">
        <f t="shared" si="19"/>
        <v>0</v>
      </c>
      <c r="AC48" s="8">
        <f t="shared" si="20"/>
        <v>18</v>
      </c>
      <c r="AD48" s="8">
        <f t="shared" si="21"/>
        <v>0</v>
      </c>
      <c r="AE48" s="8">
        <f t="shared" si="22"/>
        <v>45000</v>
      </c>
      <c r="AG48" s="8">
        <v>42</v>
      </c>
      <c r="AH48" s="8">
        <f t="shared" si="7"/>
        <v>22500</v>
      </c>
      <c r="AI48" s="8">
        <f t="shared" si="8"/>
        <v>37500</v>
      </c>
      <c r="AJ48" s="8">
        <f t="shared" si="9"/>
        <v>29142.857142857141</v>
      </c>
      <c r="AK48" s="8">
        <f t="shared" si="10"/>
        <v>42857.142857142855</v>
      </c>
      <c r="AL48" s="8">
        <f t="shared" si="11"/>
        <v>95500</v>
      </c>
    </row>
    <row r="49" spans="7:38">
      <c r="G49" s="2"/>
      <c r="J49" s="8"/>
      <c r="K49" s="8"/>
      <c r="L49" s="8"/>
      <c r="M49" s="8">
        <v>6</v>
      </c>
      <c r="N49" s="8"/>
      <c r="P49" s="8"/>
      <c r="Q49" s="8"/>
      <c r="R49" s="8"/>
      <c r="S49" s="8">
        <v>3</v>
      </c>
      <c r="T49" s="8"/>
      <c r="V49" s="8">
        <v>58</v>
      </c>
      <c r="W49" s="8">
        <f>INDEX(节奏总纲!R:R,MATCH(V49,节奏总纲!O:O,0))</f>
        <v>38.913475879437009</v>
      </c>
      <c r="X49" s="8">
        <f t="shared" si="23"/>
        <v>13.30692333500895</v>
      </c>
      <c r="Z49" s="8">
        <f t="shared" si="17"/>
        <v>0</v>
      </c>
      <c r="AA49" s="8">
        <f t="shared" si="18"/>
        <v>0</v>
      </c>
      <c r="AB49" s="8">
        <f t="shared" si="19"/>
        <v>0</v>
      </c>
      <c r="AC49" s="8">
        <f t="shared" si="20"/>
        <v>30</v>
      </c>
      <c r="AD49" s="8">
        <f t="shared" si="21"/>
        <v>0</v>
      </c>
      <c r="AE49" s="8">
        <f t="shared" si="22"/>
        <v>75000</v>
      </c>
      <c r="AG49" s="8">
        <v>43</v>
      </c>
      <c r="AH49" s="8">
        <f t="shared" si="7"/>
        <v>24375</v>
      </c>
      <c r="AI49" s="8">
        <f t="shared" si="8"/>
        <v>39375</v>
      </c>
      <c r="AJ49" s="8">
        <f t="shared" si="9"/>
        <v>29428.571428571428</v>
      </c>
      <c r="AK49" s="8">
        <f t="shared" si="10"/>
        <v>47142.857142857145</v>
      </c>
      <c r="AL49" s="8">
        <f t="shared" si="11"/>
        <v>99500</v>
      </c>
    </row>
    <row r="50" spans="7:38">
      <c r="G50" s="2"/>
      <c r="J50" s="8"/>
      <c r="K50" s="8"/>
      <c r="L50" s="8"/>
      <c r="M50" s="8">
        <v>5</v>
      </c>
      <c r="N50" s="8">
        <v>1</v>
      </c>
      <c r="P50" s="8"/>
      <c r="Q50" s="8"/>
      <c r="R50" s="8"/>
      <c r="S50" s="8">
        <v>3</v>
      </c>
      <c r="T50" s="8">
        <v>0</v>
      </c>
      <c r="V50" s="8">
        <v>63</v>
      </c>
      <c r="W50" s="8">
        <f>INDEX(节奏总纲!R:R,MATCH(V50,节奏总纲!O:O,0))</f>
        <v>55.27987808786542</v>
      </c>
      <c r="X50" s="8">
        <f t="shared" si="23"/>
        <v>16.366402208428411</v>
      </c>
      <c r="Z50" s="8">
        <f t="shared" si="17"/>
        <v>0</v>
      </c>
      <c r="AA50" s="8">
        <f t="shared" si="18"/>
        <v>0</v>
      </c>
      <c r="AB50" s="8">
        <f t="shared" si="19"/>
        <v>0</v>
      </c>
      <c r="AC50" s="8">
        <f t="shared" si="20"/>
        <v>25</v>
      </c>
      <c r="AD50" s="8">
        <f t="shared" si="21"/>
        <v>2</v>
      </c>
      <c r="AE50" s="8">
        <f t="shared" si="22"/>
        <v>112500</v>
      </c>
      <c r="AG50" s="8">
        <v>44</v>
      </c>
      <c r="AH50" s="8">
        <f t="shared" si="7"/>
        <v>26250</v>
      </c>
      <c r="AI50" s="8">
        <f t="shared" si="8"/>
        <v>41250</v>
      </c>
      <c r="AJ50" s="8">
        <f t="shared" si="9"/>
        <v>29714.285714285714</v>
      </c>
      <c r="AK50" s="8">
        <f t="shared" si="10"/>
        <v>51428.571428571428</v>
      </c>
      <c r="AL50" s="8">
        <f t="shared" si="11"/>
        <v>103500</v>
      </c>
    </row>
    <row r="51" spans="7:38">
      <c r="G51" s="2"/>
      <c r="J51" s="8"/>
      <c r="K51" s="8"/>
      <c r="L51" s="8"/>
      <c r="M51" s="8">
        <v>5</v>
      </c>
      <c r="N51" s="8">
        <v>3</v>
      </c>
      <c r="P51" s="8"/>
      <c r="Q51" s="8"/>
      <c r="R51" s="8"/>
      <c r="S51" s="8">
        <v>5</v>
      </c>
      <c r="T51" s="8">
        <v>0</v>
      </c>
      <c r="V51" s="8">
        <v>69</v>
      </c>
      <c r="W51" s="8">
        <f>INDEX(节奏总纲!R:R,MATCH(V51,节奏总纲!O:O,0))</f>
        <v>83.894553114198303</v>
      </c>
      <c r="X51" s="8">
        <f t="shared" si="23"/>
        <v>28.614675026332883</v>
      </c>
      <c r="Z51" s="8">
        <f t="shared" si="17"/>
        <v>0</v>
      </c>
      <c r="AA51" s="8">
        <f t="shared" si="18"/>
        <v>0</v>
      </c>
      <c r="AB51" s="8">
        <f t="shared" si="19"/>
        <v>0</v>
      </c>
      <c r="AC51" s="8">
        <f t="shared" si="20"/>
        <v>35</v>
      </c>
      <c r="AD51" s="8">
        <f t="shared" si="21"/>
        <v>6</v>
      </c>
      <c r="AE51" s="8">
        <f t="shared" si="22"/>
        <v>237500</v>
      </c>
      <c r="AG51" s="8">
        <v>45</v>
      </c>
      <c r="AH51" s="8">
        <f t="shared" si="7"/>
        <v>28125</v>
      </c>
      <c r="AI51" s="8">
        <f t="shared" si="8"/>
        <v>43125</v>
      </c>
      <c r="AJ51" s="8">
        <f t="shared" si="9"/>
        <v>30000</v>
      </c>
      <c r="AK51" s="8">
        <f t="shared" si="10"/>
        <v>55714.28571428571</v>
      </c>
      <c r="AL51" s="8">
        <f t="shared" si="11"/>
        <v>107500</v>
      </c>
    </row>
    <row r="52" spans="7:38">
      <c r="G52" s="2"/>
      <c r="J52" s="8"/>
      <c r="K52" s="8"/>
      <c r="L52" s="8"/>
      <c r="M52" s="8">
        <v>0</v>
      </c>
      <c r="N52" s="8">
        <v>6</v>
      </c>
      <c r="P52" s="8"/>
      <c r="Q52" s="8"/>
      <c r="R52" s="8"/>
      <c r="S52" s="8"/>
      <c r="T52" s="8">
        <v>0</v>
      </c>
      <c r="V52" s="8">
        <v>75</v>
      </c>
      <c r="W52" s="8">
        <f>INDEX(节奏总纲!R:R,MATCH(V52,节奏总纲!O:O,0))</f>
        <v>127.38168214210583</v>
      </c>
      <c r="X52" s="8">
        <f t="shared" si="23"/>
        <v>43.487129027907528</v>
      </c>
      <c r="Z52" s="8">
        <f t="shared" si="17"/>
        <v>0</v>
      </c>
      <c r="AA52" s="8">
        <f t="shared" si="18"/>
        <v>0</v>
      </c>
      <c r="AB52" s="8">
        <f t="shared" si="19"/>
        <v>0</v>
      </c>
      <c r="AC52" s="8">
        <f t="shared" si="20"/>
        <v>0</v>
      </c>
      <c r="AD52" s="8">
        <f t="shared" si="21"/>
        <v>12</v>
      </c>
      <c r="AE52" s="8">
        <f t="shared" si="22"/>
        <v>300000</v>
      </c>
      <c r="AG52" s="8">
        <v>46</v>
      </c>
      <c r="AH52" s="8">
        <f t="shared" si="7"/>
        <v>30000</v>
      </c>
      <c r="AI52" s="8">
        <f t="shared" si="8"/>
        <v>45000</v>
      </c>
      <c r="AJ52" s="8">
        <f t="shared" si="9"/>
        <v>32142.857142857141</v>
      </c>
      <c r="AK52" s="8">
        <f t="shared" si="10"/>
        <v>60000</v>
      </c>
      <c r="AL52" s="8">
        <f t="shared" si="11"/>
        <v>111500</v>
      </c>
    </row>
    <row r="53" spans="7:38">
      <c r="G53" s="2"/>
      <c r="J53" s="8"/>
      <c r="K53" s="8"/>
      <c r="L53" s="8"/>
      <c r="M53" s="8"/>
      <c r="N53" s="8">
        <v>6</v>
      </c>
      <c r="P53" s="8"/>
      <c r="Q53" s="8"/>
      <c r="R53" s="8"/>
      <c r="S53" s="8"/>
      <c r="T53" s="8">
        <v>1</v>
      </c>
      <c r="V53" s="8">
        <v>84</v>
      </c>
      <c r="W53" s="8">
        <f>INDEX(节奏总纲!R:R,MATCH(V53,节奏总纲!O:O,0))</f>
        <v>237.27139072371298</v>
      </c>
      <c r="X53" s="8">
        <f t="shared" si="23"/>
        <v>109.88970858160715</v>
      </c>
      <c r="Z53" s="8">
        <f t="shared" si="17"/>
        <v>0</v>
      </c>
      <c r="AA53" s="8">
        <f t="shared" si="18"/>
        <v>0</v>
      </c>
      <c r="AB53" s="8">
        <f t="shared" si="19"/>
        <v>0</v>
      </c>
      <c r="AC53" s="8">
        <f t="shared" si="20"/>
        <v>0</v>
      </c>
      <c r="AD53" s="8">
        <f t="shared" si="21"/>
        <v>18</v>
      </c>
      <c r="AE53" s="8">
        <f t="shared" si="22"/>
        <v>450000</v>
      </c>
      <c r="AG53" s="8">
        <v>47</v>
      </c>
      <c r="AH53" s="8">
        <f t="shared" si="7"/>
        <v>32500</v>
      </c>
      <c r="AI53" s="8">
        <f t="shared" si="8"/>
        <v>47500</v>
      </c>
      <c r="AJ53" s="8">
        <f t="shared" si="9"/>
        <v>34285.714285714283</v>
      </c>
      <c r="AK53" s="8">
        <f t="shared" si="10"/>
        <v>65500</v>
      </c>
      <c r="AL53" s="8">
        <f t="shared" si="11"/>
        <v>115500</v>
      </c>
    </row>
    <row r="54" spans="7:38">
      <c r="G54" s="2"/>
      <c r="J54" s="8"/>
      <c r="K54" s="8"/>
      <c r="L54" s="8"/>
      <c r="M54" s="8"/>
      <c r="N54" s="8">
        <v>6</v>
      </c>
      <c r="P54" s="8"/>
      <c r="Q54" s="8"/>
      <c r="R54" s="8"/>
      <c r="S54" s="8"/>
      <c r="T54" s="8">
        <v>3</v>
      </c>
      <c r="V54" s="8">
        <v>91</v>
      </c>
      <c r="W54" s="8">
        <f>INDEX(节奏总纲!R:R,MATCH(V54,节奏总纲!O:O,0))</f>
        <v>378.43910205635837</v>
      </c>
      <c r="X54" s="8">
        <f t="shared" si="23"/>
        <v>141.16771133264538</v>
      </c>
      <c r="Z54" s="8">
        <f t="shared" si="17"/>
        <v>0</v>
      </c>
      <c r="AA54" s="8">
        <f t="shared" si="18"/>
        <v>0</v>
      </c>
      <c r="AB54" s="8">
        <f t="shared" si="19"/>
        <v>0</v>
      </c>
      <c r="AC54" s="8">
        <f t="shared" si="20"/>
        <v>0</v>
      </c>
      <c r="AD54" s="8">
        <f t="shared" si="21"/>
        <v>30</v>
      </c>
      <c r="AE54" s="8">
        <f t="shared" si="22"/>
        <v>750000</v>
      </c>
      <c r="AG54" s="8">
        <v>48</v>
      </c>
      <c r="AH54" s="8">
        <f t="shared" si="7"/>
        <v>35000</v>
      </c>
      <c r="AI54" s="8">
        <f t="shared" si="8"/>
        <v>50000</v>
      </c>
      <c r="AJ54" s="8">
        <f t="shared" si="9"/>
        <v>36428.571428571428</v>
      </c>
      <c r="AK54" s="8">
        <f t="shared" si="10"/>
        <v>71000</v>
      </c>
      <c r="AL54" s="8">
        <f t="shared" si="11"/>
        <v>119500</v>
      </c>
    </row>
    <row r="55" spans="7:38">
      <c r="AG55" s="8">
        <v>49</v>
      </c>
      <c r="AH55" s="8">
        <f t="shared" si="7"/>
        <v>37500</v>
      </c>
      <c r="AI55" s="8">
        <f t="shared" si="8"/>
        <v>52500</v>
      </c>
      <c r="AJ55" s="8">
        <f t="shared" si="9"/>
        <v>38571.428571428572</v>
      </c>
      <c r="AK55" s="8">
        <f t="shared" si="10"/>
        <v>76500</v>
      </c>
      <c r="AL55" s="8">
        <f t="shared" si="11"/>
        <v>123500</v>
      </c>
    </row>
    <row r="56" spans="7:38">
      <c r="J56" s="200" t="s">
        <v>88</v>
      </c>
      <c r="K56" s="200"/>
      <c r="L56" s="200"/>
      <c r="M56" s="200"/>
      <c r="N56" s="200"/>
      <c r="P56" s="200" t="s">
        <v>89</v>
      </c>
      <c r="Q56" s="200"/>
      <c r="R56" s="200"/>
      <c r="S56" s="200"/>
      <c r="T56" s="200"/>
      <c r="Z56" s="200" t="s">
        <v>100</v>
      </c>
      <c r="AA56" s="200"/>
      <c r="AB56" s="200"/>
      <c r="AC56" s="200"/>
      <c r="AD56" s="200"/>
      <c r="AE56" s="10"/>
      <c r="AG56" s="8">
        <v>50</v>
      </c>
      <c r="AH56" s="8">
        <f t="shared" si="7"/>
        <v>40000</v>
      </c>
      <c r="AI56" s="8">
        <f t="shared" si="8"/>
        <v>55000</v>
      </c>
      <c r="AJ56" s="8">
        <f t="shared" si="9"/>
        <v>40714.28571428571</v>
      </c>
      <c r="AK56" s="8">
        <f t="shared" si="10"/>
        <v>82000</v>
      </c>
      <c r="AL56" s="8">
        <f t="shared" si="11"/>
        <v>127500</v>
      </c>
    </row>
    <row r="57" spans="7:38">
      <c r="I57" s="4" t="s">
        <v>98</v>
      </c>
      <c r="J57" s="8" t="s">
        <v>84</v>
      </c>
      <c r="K57" s="8" t="s">
        <v>85</v>
      </c>
      <c r="L57" s="8" t="s">
        <v>86</v>
      </c>
      <c r="M57" s="8" t="s">
        <v>0</v>
      </c>
      <c r="N57" s="8" t="s">
        <v>87</v>
      </c>
      <c r="P57" s="8" t="s">
        <v>84</v>
      </c>
      <c r="Q57" s="8" t="s">
        <v>85</v>
      </c>
      <c r="R57" s="8" t="s">
        <v>86</v>
      </c>
      <c r="S57" s="8" t="s">
        <v>0</v>
      </c>
      <c r="T57" s="8" t="s">
        <v>87</v>
      </c>
      <c r="V57" s="8" t="s">
        <v>101</v>
      </c>
      <c r="W57" s="8" t="s">
        <v>90</v>
      </c>
      <c r="X57" s="8" t="s">
        <v>12</v>
      </c>
      <c r="Z57" s="8" t="s">
        <v>84</v>
      </c>
      <c r="AA57" s="8" t="s">
        <v>85</v>
      </c>
      <c r="AB57" s="8" t="s">
        <v>86</v>
      </c>
      <c r="AC57" s="8" t="s">
        <v>0</v>
      </c>
      <c r="AD57" s="8" t="s">
        <v>87</v>
      </c>
      <c r="AE57" s="8" t="s">
        <v>93</v>
      </c>
      <c r="AG57" s="8">
        <v>51</v>
      </c>
      <c r="AH57" s="8">
        <f t="shared" si="7"/>
        <v>42500</v>
      </c>
      <c r="AI57" s="8">
        <f t="shared" si="8"/>
        <v>57500</v>
      </c>
      <c r="AJ57" s="8">
        <f t="shared" si="9"/>
        <v>42857.142857142855</v>
      </c>
      <c r="AK57" s="8">
        <f t="shared" si="10"/>
        <v>87500</v>
      </c>
      <c r="AL57" s="8">
        <f t="shared" si="11"/>
        <v>130312.5</v>
      </c>
    </row>
    <row r="58" spans="7:38">
      <c r="J58" s="8"/>
      <c r="K58" s="8"/>
      <c r="L58" s="8">
        <v>5</v>
      </c>
      <c r="M58" s="8">
        <v>1</v>
      </c>
      <c r="N58" s="8"/>
      <c r="P58" s="8"/>
      <c r="Q58" s="8"/>
      <c r="R58" s="8">
        <v>0</v>
      </c>
      <c r="S58" s="8">
        <v>0</v>
      </c>
      <c r="T58" s="8"/>
      <c r="V58" s="8">
        <v>10</v>
      </c>
      <c r="W58" s="8">
        <f>INDEX(节奏总纲!S:S,MATCH(V58,节奏总纲!O:O,0))</f>
        <v>0.49980000000000002</v>
      </c>
      <c r="X58" s="8">
        <f>W58</f>
        <v>0.49980000000000002</v>
      </c>
      <c r="Z58" s="8">
        <f t="shared" ref="Z58:Z68" si="24">J58*INDEX($D$19:$D$26,P58+1,1)</f>
        <v>0</v>
      </c>
      <c r="AA58" s="8">
        <f t="shared" ref="AA58:AA68" si="25">K58*INDEX($D$19:$D$26,Q58+1,1)</f>
        <v>0</v>
      </c>
      <c r="AB58" s="8">
        <f t="shared" ref="AB58:AB68" si="26">L58*INDEX($D$19:$D$26,R58+1,1)</f>
        <v>5</v>
      </c>
      <c r="AC58" s="8">
        <f t="shared" ref="AC58:AC68" si="27">M58*INDEX($D$19:$D$26,S58+1,1)</f>
        <v>1</v>
      </c>
      <c r="AD58" s="8">
        <f t="shared" ref="AD58:AD68" si="28">N58*INDEX($D$19:$D$26,T58+1,1)</f>
        <v>0</v>
      </c>
      <c r="AE58" s="8">
        <f t="shared" ref="AE58:AE68" si="29">SUMPRODUCT(Z58:AD58,$C$35:$G$35)</f>
        <v>5000</v>
      </c>
      <c r="AG58" s="8">
        <v>52</v>
      </c>
      <c r="AH58" s="8">
        <f t="shared" si="7"/>
        <v>45000</v>
      </c>
      <c r="AI58" s="8">
        <f t="shared" si="8"/>
        <v>60000</v>
      </c>
      <c r="AJ58" s="8">
        <f t="shared" si="9"/>
        <v>45000</v>
      </c>
      <c r="AK58" s="8">
        <f t="shared" si="10"/>
        <v>93214.28571428571</v>
      </c>
      <c r="AL58" s="8">
        <f t="shared" si="11"/>
        <v>133125</v>
      </c>
    </row>
    <row r="59" spans="7:38">
      <c r="J59" s="8"/>
      <c r="K59" s="8"/>
      <c r="L59" s="8">
        <v>3</v>
      </c>
      <c r="M59" s="8">
        <v>3</v>
      </c>
      <c r="N59" s="8"/>
      <c r="P59" s="8"/>
      <c r="Q59" s="8"/>
      <c r="R59" s="8">
        <v>0</v>
      </c>
      <c r="S59" s="8">
        <v>0</v>
      </c>
      <c r="T59" s="8"/>
      <c r="V59" s="8">
        <v>23</v>
      </c>
      <c r="W59" s="8">
        <f>INDEX(节奏总纲!T:T,MATCH(V59,节奏总纲!O:O,0))</f>
        <v>1.1608900698697047</v>
      </c>
      <c r="X59" s="8">
        <f>W59-W58</f>
        <v>0.66109006986970464</v>
      </c>
      <c r="Z59" s="8">
        <f t="shared" si="24"/>
        <v>0</v>
      </c>
      <c r="AA59" s="8">
        <f t="shared" si="25"/>
        <v>0</v>
      </c>
      <c r="AB59" s="8">
        <f t="shared" si="26"/>
        <v>3</v>
      </c>
      <c r="AC59" s="8">
        <f t="shared" si="27"/>
        <v>3</v>
      </c>
      <c r="AD59" s="8">
        <f t="shared" si="28"/>
        <v>0</v>
      </c>
      <c r="AE59" s="8">
        <f t="shared" si="29"/>
        <v>9000</v>
      </c>
      <c r="AG59" s="8">
        <v>53</v>
      </c>
      <c r="AH59" s="8">
        <f t="shared" si="7"/>
        <v>47500</v>
      </c>
      <c r="AI59" s="8">
        <f t="shared" si="8"/>
        <v>62500</v>
      </c>
      <c r="AJ59" s="8">
        <f t="shared" si="9"/>
        <v>50000</v>
      </c>
      <c r="AK59" s="8">
        <f t="shared" si="10"/>
        <v>98928.571428571435</v>
      </c>
      <c r="AL59" s="8">
        <f t="shared" si="11"/>
        <v>135937.5</v>
      </c>
    </row>
    <row r="60" spans="7:38">
      <c r="J60" s="8"/>
      <c r="K60" s="8"/>
      <c r="L60" s="8"/>
      <c r="M60" s="8">
        <v>6</v>
      </c>
      <c r="N60" s="8"/>
      <c r="P60" s="8"/>
      <c r="Q60" s="8"/>
      <c r="R60" s="8"/>
      <c r="S60" s="8">
        <v>0</v>
      </c>
      <c r="T60" s="8"/>
      <c r="V60" s="8">
        <v>32</v>
      </c>
      <c r="W60" s="8">
        <f>INDEX(节奏总纲!T:T,MATCH(V60,节奏总纲!O:O,0))</f>
        <v>2.46506563883286</v>
      </c>
      <c r="X60" s="8">
        <f t="shared" ref="X60:X68" si="30">W60-W59</f>
        <v>1.3041755689631553</v>
      </c>
      <c r="Z60" s="8">
        <f t="shared" si="24"/>
        <v>0</v>
      </c>
      <c r="AA60" s="8">
        <f t="shared" si="25"/>
        <v>0</v>
      </c>
      <c r="AB60" s="8">
        <f t="shared" si="26"/>
        <v>0</v>
      </c>
      <c r="AC60" s="8">
        <f t="shared" si="27"/>
        <v>6</v>
      </c>
      <c r="AD60" s="8">
        <f t="shared" si="28"/>
        <v>0</v>
      </c>
      <c r="AE60" s="8">
        <f t="shared" si="29"/>
        <v>15000</v>
      </c>
      <c r="AG60" s="8">
        <v>54</v>
      </c>
      <c r="AH60" s="8">
        <f t="shared" si="7"/>
        <v>50000</v>
      </c>
      <c r="AI60" s="8">
        <f t="shared" si="8"/>
        <v>65000</v>
      </c>
      <c r="AJ60" s="8">
        <f t="shared" si="9"/>
        <v>55000</v>
      </c>
      <c r="AK60" s="8">
        <f t="shared" si="10"/>
        <v>104642.85714285714</v>
      </c>
      <c r="AL60" s="8">
        <f t="shared" si="11"/>
        <v>138750</v>
      </c>
    </row>
    <row r="61" spans="7:38">
      <c r="J61" s="8"/>
      <c r="K61" s="8"/>
      <c r="L61" s="8"/>
      <c r="M61" s="8">
        <v>6</v>
      </c>
      <c r="N61" s="8"/>
      <c r="P61" s="8"/>
      <c r="Q61" s="8"/>
      <c r="R61" s="8"/>
      <c r="S61" s="8">
        <v>1</v>
      </c>
      <c r="T61" s="8"/>
      <c r="V61" s="8">
        <v>39</v>
      </c>
      <c r="W61" s="8">
        <f>INDEX(节奏总纲!T:T,MATCH(V61,节奏总纲!O:O,0))</f>
        <v>4.1702012426579218</v>
      </c>
      <c r="X61" s="8">
        <f t="shared" si="30"/>
        <v>1.7051356038250618</v>
      </c>
      <c r="Z61" s="8">
        <f t="shared" si="24"/>
        <v>0</v>
      </c>
      <c r="AA61" s="8">
        <f t="shared" si="25"/>
        <v>0</v>
      </c>
      <c r="AB61" s="8">
        <f t="shared" si="26"/>
        <v>0</v>
      </c>
      <c r="AC61" s="8">
        <f t="shared" si="27"/>
        <v>12</v>
      </c>
      <c r="AD61" s="8">
        <f t="shared" si="28"/>
        <v>0</v>
      </c>
      <c r="AE61" s="8">
        <f t="shared" si="29"/>
        <v>30000</v>
      </c>
      <c r="AG61" s="8">
        <v>55</v>
      </c>
      <c r="AH61" s="8">
        <f t="shared" si="7"/>
        <v>52500</v>
      </c>
      <c r="AI61" s="8">
        <f t="shared" si="8"/>
        <v>67500</v>
      </c>
      <c r="AJ61" s="8">
        <f t="shared" si="9"/>
        <v>60000</v>
      </c>
      <c r="AK61" s="8">
        <f t="shared" si="10"/>
        <v>110357.14285714286</v>
      </c>
      <c r="AL61" s="8">
        <f t="shared" si="11"/>
        <v>141562.5</v>
      </c>
    </row>
    <row r="62" spans="7:38">
      <c r="J62" s="8"/>
      <c r="K62" s="8"/>
      <c r="L62" s="8"/>
      <c r="M62" s="8">
        <v>6</v>
      </c>
      <c r="N62" s="8"/>
      <c r="P62" s="8"/>
      <c r="Q62" s="8"/>
      <c r="R62" s="8"/>
      <c r="S62" s="8">
        <v>3</v>
      </c>
      <c r="T62" s="8"/>
      <c r="V62" s="8">
        <v>46</v>
      </c>
      <c r="W62" s="8">
        <f>INDEX(节奏总纲!T:T,MATCH(V62,节奏总纲!O:O,0))</f>
        <v>6.9545132006921566</v>
      </c>
      <c r="X62" s="8">
        <f t="shared" si="30"/>
        <v>2.7843119580342348</v>
      </c>
      <c r="Z62" s="8">
        <f t="shared" si="24"/>
        <v>0</v>
      </c>
      <c r="AA62" s="8">
        <f t="shared" si="25"/>
        <v>0</v>
      </c>
      <c r="AB62" s="8">
        <f t="shared" si="26"/>
        <v>0</v>
      </c>
      <c r="AC62" s="8">
        <f t="shared" si="27"/>
        <v>24</v>
      </c>
      <c r="AD62" s="8">
        <f t="shared" si="28"/>
        <v>0</v>
      </c>
      <c r="AE62" s="8">
        <f t="shared" si="29"/>
        <v>60000</v>
      </c>
      <c r="AG62" s="8">
        <v>56</v>
      </c>
      <c r="AH62" s="8">
        <f t="shared" si="7"/>
        <v>55000</v>
      </c>
      <c r="AI62" s="8">
        <f t="shared" si="8"/>
        <v>70000</v>
      </c>
      <c r="AJ62" s="8">
        <f t="shared" si="9"/>
        <v>65000</v>
      </c>
      <c r="AK62" s="8">
        <f t="shared" si="10"/>
        <v>116071.42857142858</v>
      </c>
      <c r="AL62" s="8">
        <f t="shared" si="11"/>
        <v>144375</v>
      </c>
    </row>
    <row r="63" spans="7:38">
      <c r="J63" s="8"/>
      <c r="K63" s="8"/>
      <c r="L63" s="8"/>
      <c r="M63" s="8">
        <v>5</v>
      </c>
      <c r="N63" s="8">
        <v>1</v>
      </c>
      <c r="P63" s="8"/>
      <c r="Q63" s="8"/>
      <c r="R63" s="8"/>
      <c r="S63" s="8">
        <v>4</v>
      </c>
      <c r="T63" s="8">
        <v>0</v>
      </c>
      <c r="V63" s="8">
        <v>51</v>
      </c>
      <c r="W63" s="8">
        <f>INDEX(节奏总纲!T:T,MATCH(V63,节奏总纲!O:O,0))</f>
        <v>9.8458492119034169</v>
      </c>
      <c r="X63" s="8">
        <f t="shared" si="30"/>
        <v>2.8913360112112603</v>
      </c>
      <c r="Z63" s="8">
        <f t="shared" si="24"/>
        <v>0</v>
      </c>
      <c r="AA63" s="8">
        <f t="shared" si="25"/>
        <v>0</v>
      </c>
      <c r="AB63" s="8">
        <f t="shared" si="26"/>
        <v>0</v>
      </c>
      <c r="AC63" s="8">
        <f t="shared" si="27"/>
        <v>25</v>
      </c>
      <c r="AD63" s="8">
        <f t="shared" si="28"/>
        <v>1</v>
      </c>
      <c r="AE63" s="8">
        <f t="shared" si="29"/>
        <v>87500</v>
      </c>
      <c r="AG63" s="8">
        <v>57</v>
      </c>
      <c r="AH63" s="8">
        <f t="shared" si="7"/>
        <v>57500</v>
      </c>
      <c r="AI63" s="8">
        <f t="shared" si="8"/>
        <v>72500</v>
      </c>
      <c r="AJ63" s="8">
        <f t="shared" si="9"/>
        <v>70000</v>
      </c>
      <c r="AK63" s="8">
        <f t="shared" si="10"/>
        <v>121785.71428571429</v>
      </c>
      <c r="AL63" s="8">
        <f t="shared" si="11"/>
        <v>147187.5</v>
      </c>
    </row>
    <row r="64" spans="7:38">
      <c r="J64" s="8"/>
      <c r="K64" s="8"/>
      <c r="L64" s="8"/>
      <c r="M64" s="8">
        <v>3</v>
      </c>
      <c r="N64" s="8">
        <v>3</v>
      </c>
      <c r="P64" s="8"/>
      <c r="Q64" s="8"/>
      <c r="R64" s="8"/>
      <c r="S64" s="8">
        <v>6</v>
      </c>
      <c r="T64" s="8">
        <v>0</v>
      </c>
      <c r="V64" s="8">
        <v>58</v>
      </c>
      <c r="W64" s="8">
        <f>INDEX(节奏总纲!T:T,MATCH(V64,节奏总纲!O:O,0))</f>
        <v>15.856475407565867</v>
      </c>
      <c r="X64" s="8">
        <f t="shared" si="30"/>
        <v>6.01062619566245</v>
      </c>
      <c r="Z64" s="8">
        <f t="shared" si="24"/>
        <v>0</v>
      </c>
      <c r="AA64" s="8">
        <f t="shared" si="25"/>
        <v>0</v>
      </c>
      <c r="AB64" s="8">
        <f t="shared" si="26"/>
        <v>0</v>
      </c>
      <c r="AC64" s="8">
        <f t="shared" si="27"/>
        <v>21</v>
      </c>
      <c r="AD64" s="8">
        <f t="shared" si="28"/>
        <v>3</v>
      </c>
      <c r="AE64" s="8">
        <f t="shared" si="29"/>
        <v>127500</v>
      </c>
      <c r="AG64" s="8">
        <v>58</v>
      </c>
      <c r="AH64" s="8">
        <f t="shared" si="7"/>
        <v>60000</v>
      </c>
      <c r="AI64" s="8">
        <f t="shared" si="8"/>
        <v>75000</v>
      </c>
      <c r="AJ64" s="8">
        <f t="shared" si="9"/>
        <v>75000</v>
      </c>
      <c r="AK64" s="8">
        <f t="shared" si="10"/>
        <v>127500</v>
      </c>
      <c r="AL64" s="8">
        <f t="shared" si="11"/>
        <v>150000</v>
      </c>
    </row>
    <row r="65" spans="9:38">
      <c r="J65" s="8"/>
      <c r="K65" s="8"/>
      <c r="L65" s="8"/>
      <c r="M65" s="8">
        <v>0</v>
      </c>
      <c r="N65" s="8">
        <v>6</v>
      </c>
      <c r="P65" s="8"/>
      <c r="Q65" s="8"/>
      <c r="R65" s="8"/>
      <c r="S65" s="8"/>
      <c r="T65" s="8">
        <v>0</v>
      </c>
      <c r="V65" s="8">
        <v>64</v>
      </c>
      <c r="W65" s="8">
        <f>INDEX(节奏总纲!T:T,MATCH(V65,节奏总纲!O:O,0))</f>
        <v>24.341929284637001</v>
      </c>
      <c r="X65" s="8">
        <f t="shared" si="30"/>
        <v>8.4854538770711336</v>
      </c>
      <c r="Z65" s="8">
        <f t="shared" si="24"/>
        <v>0</v>
      </c>
      <c r="AA65" s="8">
        <f t="shared" si="25"/>
        <v>0</v>
      </c>
      <c r="AB65" s="8">
        <f t="shared" si="26"/>
        <v>0</v>
      </c>
      <c r="AC65" s="8">
        <f t="shared" si="27"/>
        <v>0</v>
      </c>
      <c r="AD65" s="8">
        <f t="shared" si="28"/>
        <v>6</v>
      </c>
      <c r="AE65" s="8">
        <f t="shared" si="29"/>
        <v>150000</v>
      </c>
      <c r="AG65" s="8">
        <v>59</v>
      </c>
      <c r="AH65" s="8">
        <f t="shared" si="7"/>
        <v>65000</v>
      </c>
      <c r="AI65" s="8">
        <f t="shared" si="8"/>
        <v>75555.555555555562</v>
      </c>
      <c r="AJ65" s="8">
        <f t="shared" si="9"/>
        <v>82500</v>
      </c>
      <c r="AK65" s="8">
        <f t="shared" si="10"/>
        <v>131250</v>
      </c>
      <c r="AL65" s="8">
        <f t="shared" si="11"/>
        <v>168750</v>
      </c>
    </row>
    <row r="66" spans="9:38">
      <c r="J66" s="8"/>
      <c r="K66" s="8"/>
      <c r="L66" s="8"/>
      <c r="M66" s="8"/>
      <c r="N66" s="8">
        <v>6</v>
      </c>
      <c r="P66" s="8"/>
      <c r="Q66" s="8"/>
      <c r="R66" s="8"/>
      <c r="S66" s="8"/>
      <c r="T66" s="8">
        <v>1</v>
      </c>
      <c r="V66" s="8">
        <v>70</v>
      </c>
      <c r="W66" s="8">
        <f>INDEX(节奏总纲!T:T,MATCH(V66,节奏总纲!O:O,0))</f>
        <v>36.4998</v>
      </c>
      <c r="X66" s="8">
        <f t="shared" si="30"/>
        <v>12.157870715363</v>
      </c>
      <c r="Z66" s="8">
        <f t="shared" si="24"/>
        <v>0</v>
      </c>
      <c r="AA66" s="8">
        <f t="shared" si="25"/>
        <v>0</v>
      </c>
      <c r="AB66" s="8">
        <f t="shared" si="26"/>
        <v>0</v>
      </c>
      <c r="AC66" s="8">
        <f t="shared" si="27"/>
        <v>0</v>
      </c>
      <c r="AD66" s="8">
        <f t="shared" si="28"/>
        <v>12</v>
      </c>
      <c r="AE66" s="8">
        <f t="shared" si="29"/>
        <v>300000</v>
      </c>
      <c r="AG66" s="8">
        <v>60</v>
      </c>
      <c r="AH66" s="8">
        <f t="shared" si="7"/>
        <v>70000</v>
      </c>
      <c r="AI66" s="8">
        <f t="shared" si="8"/>
        <v>76111.111111111109</v>
      </c>
      <c r="AJ66" s="8">
        <f t="shared" si="9"/>
        <v>90000</v>
      </c>
      <c r="AK66" s="8">
        <f t="shared" si="10"/>
        <v>135000</v>
      </c>
      <c r="AL66" s="8">
        <f t="shared" si="11"/>
        <v>187500</v>
      </c>
    </row>
    <row r="67" spans="9:38">
      <c r="J67" s="8"/>
      <c r="K67" s="8"/>
      <c r="L67" s="8"/>
      <c r="M67" s="8"/>
      <c r="N67" s="8">
        <v>6</v>
      </c>
      <c r="P67" s="8"/>
      <c r="Q67" s="8"/>
      <c r="R67" s="8"/>
      <c r="S67" s="8"/>
      <c r="T67" s="8">
        <v>3</v>
      </c>
      <c r="V67" s="8">
        <v>75</v>
      </c>
      <c r="W67" s="8">
        <f>INDEX(节奏总纲!T:T,MATCH(V67,节奏总纲!O:O,0))</f>
        <v>51.755559095329879</v>
      </c>
      <c r="X67" s="8">
        <f t="shared" si="30"/>
        <v>15.255759095329879</v>
      </c>
      <c r="Z67" s="8">
        <f t="shared" si="24"/>
        <v>0</v>
      </c>
      <c r="AA67" s="8">
        <f t="shared" si="25"/>
        <v>0</v>
      </c>
      <c r="AB67" s="8">
        <f t="shared" si="26"/>
        <v>0</v>
      </c>
      <c r="AC67" s="8">
        <f t="shared" si="27"/>
        <v>0</v>
      </c>
      <c r="AD67" s="8">
        <f t="shared" si="28"/>
        <v>24</v>
      </c>
      <c r="AE67" s="8">
        <f t="shared" si="29"/>
        <v>600000</v>
      </c>
      <c r="AG67" s="8">
        <v>61</v>
      </c>
      <c r="AH67" s="8">
        <f t="shared" si="7"/>
        <v>75000</v>
      </c>
      <c r="AI67" s="8">
        <f t="shared" si="8"/>
        <v>76666.666666666672</v>
      </c>
      <c r="AJ67" s="8">
        <f t="shared" si="9"/>
        <v>97500</v>
      </c>
      <c r="AK67" s="8">
        <f t="shared" si="10"/>
        <v>138750</v>
      </c>
      <c r="AL67" s="8">
        <f t="shared" si="11"/>
        <v>206250</v>
      </c>
    </row>
    <row r="68" spans="9:38">
      <c r="J68" s="8"/>
      <c r="K68" s="8"/>
      <c r="L68" s="8"/>
      <c r="M68" s="8"/>
      <c r="N68" s="8">
        <v>6</v>
      </c>
      <c r="P68" s="8"/>
      <c r="Q68" s="8"/>
      <c r="R68" s="8"/>
      <c r="S68" s="8"/>
      <c r="T68" s="8">
        <v>7</v>
      </c>
      <c r="V68" s="8">
        <v>82</v>
      </c>
      <c r="W68" s="8">
        <f>INDEX(节奏总纲!T:T,MATCH(V68,节奏总纲!O:O,0))</f>
        <v>83.230965201704336</v>
      </c>
      <c r="X68" s="8">
        <f t="shared" si="30"/>
        <v>31.475406106374457</v>
      </c>
      <c r="Z68" s="8">
        <f t="shared" si="24"/>
        <v>0</v>
      </c>
      <c r="AA68" s="8">
        <f t="shared" si="25"/>
        <v>0</v>
      </c>
      <c r="AB68" s="8">
        <f t="shared" si="26"/>
        <v>0</v>
      </c>
      <c r="AC68" s="8">
        <f t="shared" si="27"/>
        <v>0</v>
      </c>
      <c r="AD68" s="8">
        <f t="shared" si="28"/>
        <v>48</v>
      </c>
      <c r="AE68" s="8">
        <f t="shared" si="29"/>
        <v>1200000</v>
      </c>
      <c r="AG68" s="8">
        <v>62</v>
      </c>
      <c r="AH68" s="8">
        <f t="shared" si="7"/>
        <v>80000</v>
      </c>
      <c r="AI68" s="8">
        <f t="shared" si="8"/>
        <v>77222.222222222219</v>
      </c>
      <c r="AJ68" s="8">
        <f t="shared" si="9"/>
        <v>105000</v>
      </c>
      <c r="AK68" s="8">
        <f t="shared" si="10"/>
        <v>142500</v>
      </c>
      <c r="AL68" s="8">
        <f t="shared" si="11"/>
        <v>225000</v>
      </c>
    </row>
    <row r="69" spans="9:38">
      <c r="AG69" s="8">
        <v>63</v>
      </c>
      <c r="AH69" s="8">
        <f t="shared" si="7"/>
        <v>85000</v>
      </c>
      <c r="AI69" s="8">
        <f t="shared" si="8"/>
        <v>77777.777777777781</v>
      </c>
      <c r="AJ69" s="8">
        <f t="shared" si="9"/>
        <v>112500</v>
      </c>
      <c r="AK69" s="8">
        <f t="shared" si="10"/>
        <v>146250</v>
      </c>
      <c r="AL69" s="8">
        <f t="shared" si="11"/>
        <v>243750</v>
      </c>
    </row>
    <row r="70" spans="9:38">
      <c r="J70" s="200" t="s">
        <v>88</v>
      </c>
      <c r="K70" s="200"/>
      <c r="L70" s="200"/>
      <c r="M70" s="200"/>
      <c r="N70" s="200"/>
      <c r="P70" s="200" t="s">
        <v>89</v>
      </c>
      <c r="Q70" s="200"/>
      <c r="R70" s="200"/>
      <c r="S70" s="200"/>
      <c r="T70" s="200"/>
      <c r="Z70" s="200" t="s">
        <v>100</v>
      </c>
      <c r="AA70" s="200"/>
      <c r="AB70" s="200"/>
      <c r="AC70" s="200"/>
      <c r="AD70" s="200"/>
      <c r="AE70" s="10"/>
      <c r="AG70" s="8">
        <v>64</v>
      </c>
      <c r="AH70" s="8">
        <f t="shared" si="7"/>
        <v>90000</v>
      </c>
      <c r="AI70" s="8">
        <f t="shared" si="8"/>
        <v>78333.333333333328</v>
      </c>
      <c r="AJ70" s="8">
        <f t="shared" si="9"/>
        <v>133333.33333333334</v>
      </c>
      <c r="AK70" s="8">
        <f t="shared" si="10"/>
        <v>150000</v>
      </c>
      <c r="AL70" s="8">
        <f t="shared" si="11"/>
        <v>262500</v>
      </c>
    </row>
    <row r="71" spans="9:38">
      <c r="I71" s="4" t="s">
        <v>107</v>
      </c>
      <c r="J71" s="8" t="s">
        <v>84</v>
      </c>
      <c r="K71" s="8" t="s">
        <v>85</v>
      </c>
      <c r="L71" s="8" t="s">
        <v>86</v>
      </c>
      <c r="M71" s="8" t="s">
        <v>0</v>
      </c>
      <c r="N71" s="8" t="s">
        <v>87</v>
      </c>
      <c r="P71" s="8" t="s">
        <v>84</v>
      </c>
      <c r="Q71" s="8" t="s">
        <v>85</v>
      </c>
      <c r="R71" s="8" t="s">
        <v>86</v>
      </c>
      <c r="S71" s="8" t="s">
        <v>0</v>
      </c>
      <c r="T71" s="8" t="s">
        <v>87</v>
      </c>
      <c r="V71" s="8" t="s">
        <v>101</v>
      </c>
      <c r="W71" s="8" t="s">
        <v>90</v>
      </c>
      <c r="X71" s="8" t="s">
        <v>94</v>
      </c>
      <c r="Z71" s="8" t="s">
        <v>84</v>
      </c>
      <c r="AA71" s="8" t="s">
        <v>85</v>
      </c>
      <c r="AB71" s="8" t="s">
        <v>86</v>
      </c>
      <c r="AC71" s="8" t="s">
        <v>0</v>
      </c>
      <c r="AD71" s="8" t="s">
        <v>87</v>
      </c>
      <c r="AE71" s="8" t="s">
        <v>93</v>
      </c>
      <c r="AG71" s="8">
        <v>65</v>
      </c>
      <c r="AH71" s="8">
        <f t="shared" si="7"/>
        <v>95000</v>
      </c>
      <c r="AI71" s="8">
        <f t="shared" si="8"/>
        <v>78888.888888888891</v>
      </c>
      <c r="AJ71" s="8">
        <f t="shared" si="9"/>
        <v>154166.66666666666</v>
      </c>
      <c r="AK71" s="8">
        <f t="shared" si="10"/>
        <v>175000</v>
      </c>
      <c r="AL71" s="8">
        <f t="shared" si="11"/>
        <v>281250</v>
      </c>
    </row>
    <row r="72" spans="9:38">
      <c r="J72" s="8"/>
      <c r="K72" s="8"/>
      <c r="L72" s="8">
        <v>0</v>
      </c>
      <c r="M72" s="8">
        <v>6</v>
      </c>
      <c r="N72" s="8"/>
      <c r="P72" s="8"/>
      <c r="Q72" s="8"/>
      <c r="R72" s="8"/>
      <c r="S72" s="8">
        <v>0</v>
      </c>
      <c r="T72" s="8"/>
      <c r="V72" s="8">
        <v>10</v>
      </c>
      <c r="W72" s="8">
        <f>INDEX(节奏总纲!T:T,MATCH(V72,节奏总纲!O:O,0))</f>
        <v>0.2732</v>
      </c>
      <c r="X72" s="8">
        <f>W72</f>
        <v>0.2732</v>
      </c>
      <c r="Z72" s="8">
        <f t="shared" ref="Z72:Z80" si="31">J72*INDEX($D$19:$D$26,P72+1,1)</f>
        <v>0</v>
      </c>
      <c r="AA72" s="8">
        <f t="shared" ref="AA72:AA80" si="32">K72*INDEX($D$19:$D$26,Q72+1,1)</f>
        <v>0</v>
      </c>
      <c r="AB72" s="8">
        <f t="shared" ref="AB72:AB80" si="33">L72*INDEX($D$19:$D$26,R72+1,1)</f>
        <v>0</v>
      </c>
      <c r="AC72" s="8">
        <f t="shared" ref="AC72:AC80" si="34">M72*INDEX($D$19:$D$26,S72+1,1)</f>
        <v>6</v>
      </c>
      <c r="AD72" s="8">
        <f t="shared" ref="AD72:AD80" si="35">N72*INDEX($D$19:$D$26,T72+1,1)</f>
        <v>0</v>
      </c>
      <c r="AE72" s="8">
        <f t="shared" ref="AE72:AE80" si="36">SUMPRODUCT(Z72:AD72,$C$35:$G$35)</f>
        <v>15000</v>
      </c>
      <c r="AG72" s="8">
        <v>66</v>
      </c>
      <c r="AH72" s="8">
        <f t="shared" ref="AH72:AH106" si="37">求节点($V$7:$V$20,$AE$7:$AE$20,AG72)</f>
        <v>100000</v>
      </c>
      <c r="AI72" s="8">
        <f t="shared" ref="AI72:AI106" si="38">求节点($V$27:$V$39,$AE$27:$AE$39,AG72)</f>
        <v>79444.444444444438</v>
      </c>
      <c r="AJ72" s="8">
        <f t="shared" ref="AJ72:AJ106" si="39">求节点($V$43:$V$54,$AE$43:$AE$54,AG72)</f>
        <v>175000</v>
      </c>
      <c r="AK72" s="8">
        <f t="shared" ref="AK72:AK106" si="40">求节点($V$58:$V$68,$AE$58:$AE$68,AG72)</f>
        <v>200000</v>
      </c>
      <c r="AL72" s="8">
        <f t="shared" ref="AL72:AL106" si="41">求节点($V$72:$V$80,$AE$72:$AE$80,AG72)</f>
        <v>300000</v>
      </c>
    </row>
    <row r="73" spans="9:38">
      <c r="J73" s="8"/>
      <c r="K73" s="8"/>
      <c r="L73" s="8"/>
      <c r="M73" s="8">
        <v>6</v>
      </c>
      <c r="N73" s="8"/>
      <c r="P73" s="8"/>
      <c r="Q73" s="8"/>
      <c r="R73" s="8"/>
      <c r="S73" s="8">
        <v>1</v>
      </c>
      <c r="T73" s="8"/>
      <c r="V73" s="8">
        <v>20</v>
      </c>
      <c r="W73" s="8">
        <f>INDEX(节奏总纲!T:T,MATCH(V73,节奏总纲!O:O,0))</f>
        <v>0.87990000000000002</v>
      </c>
      <c r="X73" s="8">
        <f>W73-W72</f>
        <v>0.60670000000000002</v>
      </c>
      <c r="Z73" s="8">
        <f t="shared" si="31"/>
        <v>0</v>
      </c>
      <c r="AA73" s="8">
        <f t="shared" si="32"/>
        <v>0</v>
      </c>
      <c r="AB73" s="8">
        <f t="shared" si="33"/>
        <v>0</v>
      </c>
      <c r="AC73" s="8">
        <f t="shared" si="34"/>
        <v>12</v>
      </c>
      <c r="AD73" s="8">
        <f t="shared" si="35"/>
        <v>0</v>
      </c>
      <c r="AE73" s="8">
        <f t="shared" si="36"/>
        <v>30000</v>
      </c>
      <c r="AG73" s="8">
        <v>67</v>
      </c>
      <c r="AH73" s="8">
        <f t="shared" si="37"/>
        <v>105000</v>
      </c>
      <c r="AI73" s="8">
        <f t="shared" si="38"/>
        <v>80000</v>
      </c>
      <c r="AJ73" s="8">
        <f t="shared" si="39"/>
        <v>195833.33333333331</v>
      </c>
      <c r="AK73" s="8">
        <f t="shared" si="40"/>
        <v>225000</v>
      </c>
      <c r="AL73" s="8">
        <f t="shared" si="41"/>
        <v>350000</v>
      </c>
    </row>
    <row r="74" spans="9:38">
      <c r="J74" s="8"/>
      <c r="K74" s="8"/>
      <c r="L74" s="8"/>
      <c r="M74" s="8">
        <v>6</v>
      </c>
      <c r="N74" s="8"/>
      <c r="P74" s="8"/>
      <c r="Q74" s="8"/>
      <c r="R74" s="8"/>
      <c r="S74" s="8">
        <v>3</v>
      </c>
      <c r="T74" s="8"/>
      <c r="V74" s="8">
        <v>30</v>
      </c>
      <c r="W74" s="8">
        <f>INDEX(节奏总纲!T:T,MATCH(V74,节奏总纲!O:O,0))</f>
        <v>2.1006999999999998</v>
      </c>
      <c r="X74" s="8">
        <f t="shared" ref="X74:X80" si="42">W74-W73</f>
        <v>1.2207999999999997</v>
      </c>
      <c r="Z74" s="8">
        <f t="shared" si="31"/>
        <v>0</v>
      </c>
      <c r="AA74" s="8">
        <f t="shared" si="32"/>
        <v>0</v>
      </c>
      <c r="AB74" s="8">
        <f t="shared" si="33"/>
        <v>0</v>
      </c>
      <c r="AC74" s="8">
        <f t="shared" si="34"/>
        <v>24</v>
      </c>
      <c r="AD74" s="8">
        <f t="shared" si="35"/>
        <v>0</v>
      </c>
      <c r="AE74" s="8">
        <f t="shared" si="36"/>
        <v>60000</v>
      </c>
      <c r="AG74" s="8">
        <v>68</v>
      </c>
      <c r="AH74" s="8">
        <f t="shared" si="37"/>
        <v>25000</v>
      </c>
      <c r="AI74" s="8">
        <f t="shared" si="38"/>
        <v>150000</v>
      </c>
      <c r="AJ74" s="8">
        <f t="shared" si="39"/>
        <v>216666.66666666666</v>
      </c>
      <c r="AK74" s="8">
        <f t="shared" si="40"/>
        <v>250000</v>
      </c>
      <c r="AL74" s="8">
        <f t="shared" si="41"/>
        <v>400000</v>
      </c>
    </row>
    <row r="75" spans="9:38">
      <c r="J75" s="8"/>
      <c r="K75" s="8"/>
      <c r="L75" s="8"/>
      <c r="M75" s="8">
        <v>5</v>
      </c>
      <c r="N75" s="8">
        <v>1</v>
      </c>
      <c r="P75" s="8"/>
      <c r="Q75" s="8"/>
      <c r="R75" s="8"/>
      <c r="S75" s="8">
        <v>4</v>
      </c>
      <c r="T75" s="8">
        <v>0</v>
      </c>
      <c r="V75" s="8">
        <v>40</v>
      </c>
      <c r="W75" s="8">
        <f>INDEX(节奏总纲!T:T,MATCH(V75,节奏总纲!O:O,0))</f>
        <v>4.5</v>
      </c>
      <c r="X75" s="8">
        <f t="shared" si="42"/>
        <v>2.3993000000000002</v>
      </c>
      <c r="Z75" s="8">
        <f t="shared" si="31"/>
        <v>0</v>
      </c>
      <c r="AA75" s="8">
        <f t="shared" si="32"/>
        <v>0</v>
      </c>
      <c r="AB75" s="8">
        <f t="shared" si="33"/>
        <v>0</v>
      </c>
      <c r="AC75" s="8">
        <f t="shared" si="34"/>
        <v>25</v>
      </c>
      <c r="AD75" s="8">
        <f t="shared" si="35"/>
        <v>1</v>
      </c>
      <c r="AE75" s="8">
        <f t="shared" si="36"/>
        <v>87500</v>
      </c>
      <c r="AG75" s="8">
        <v>69</v>
      </c>
      <c r="AH75" s="8">
        <f t="shared" si="37"/>
        <v>28571.428571428572</v>
      </c>
      <c r="AI75" s="8">
        <f t="shared" si="38"/>
        <v>135714.28571428571</v>
      </c>
      <c r="AJ75" s="8">
        <f t="shared" si="39"/>
        <v>237500</v>
      </c>
      <c r="AK75" s="8">
        <f t="shared" si="40"/>
        <v>275000</v>
      </c>
      <c r="AL75" s="8">
        <f t="shared" si="41"/>
        <v>450000</v>
      </c>
    </row>
    <row r="76" spans="9:38">
      <c r="J76" s="8"/>
      <c r="K76" s="8"/>
      <c r="L76" s="8"/>
      <c r="M76" s="8">
        <v>3</v>
      </c>
      <c r="N76" s="8">
        <v>3</v>
      </c>
      <c r="P76" s="8"/>
      <c r="Q76" s="8"/>
      <c r="R76" s="8"/>
      <c r="S76" s="8">
        <v>6</v>
      </c>
      <c r="T76" s="8">
        <v>0</v>
      </c>
      <c r="V76" s="8">
        <v>50</v>
      </c>
      <c r="W76" s="8">
        <f>INDEX(节奏总纲!T:T,MATCH(V76,节奏总纲!O:O,0))</f>
        <v>9.1883999999999997</v>
      </c>
      <c r="X76" s="8">
        <f t="shared" si="42"/>
        <v>4.6883999999999997</v>
      </c>
      <c r="Z76" s="8">
        <f t="shared" si="31"/>
        <v>0</v>
      </c>
      <c r="AA76" s="8">
        <f t="shared" si="32"/>
        <v>0</v>
      </c>
      <c r="AB76" s="8">
        <f t="shared" si="33"/>
        <v>0</v>
      </c>
      <c r="AC76" s="8">
        <f t="shared" si="34"/>
        <v>21</v>
      </c>
      <c r="AD76" s="8">
        <f t="shared" si="35"/>
        <v>3</v>
      </c>
      <c r="AE76" s="8">
        <f t="shared" si="36"/>
        <v>127500</v>
      </c>
      <c r="AG76" s="8">
        <v>70</v>
      </c>
      <c r="AH76" s="8">
        <f t="shared" si="37"/>
        <v>32142.857142857145</v>
      </c>
      <c r="AI76" s="8">
        <f t="shared" si="38"/>
        <v>121428.57142857142</v>
      </c>
      <c r="AJ76" s="8">
        <f t="shared" si="39"/>
        <v>247916.66666666666</v>
      </c>
      <c r="AK76" s="8">
        <f t="shared" si="40"/>
        <v>300000</v>
      </c>
      <c r="AL76" s="8">
        <f t="shared" si="41"/>
        <v>500000</v>
      </c>
    </row>
    <row r="77" spans="9:38">
      <c r="J77" s="8"/>
      <c r="K77" s="8"/>
      <c r="L77" s="8"/>
      <c r="M77" s="8"/>
      <c r="N77" s="8">
        <v>6</v>
      </c>
      <c r="P77" s="8"/>
      <c r="Q77" s="8"/>
      <c r="R77" s="8"/>
      <c r="S77" s="8"/>
      <c r="T77" s="8">
        <v>0</v>
      </c>
      <c r="V77" s="8">
        <v>58</v>
      </c>
      <c r="W77" s="8">
        <f>INDEX(节奏总纲!T:T,MATCH(V77,节奏总纲!O:O,0))</f>
        <v>15.856475407565867</v>
      </c>
      <c r="X77" s="8">
        <f t="shared" si="42"/>
        <v>6.6680754075658673</v>
      </c>
      <c r="Z77" s="8">
        <f t="shared" si="31"/>
        <v>0</v>
      </c>
      <c r="AA77" s="8">
        <f t="shared" si="32"/>
        <v>0</v>
      </c>
      <c r="AB77" s="8">
        <f t="shared" si="33"/>
        <v>0</v>
      </c>
      <c r="AC77" s="8">
        <f t="shared" si="34"/>
        <v>0</v>
      </c>
      <c r="AD77" s="8">
        <f t="shared" si="35"/>
        <v>6</v>
      </c>
      <c r="AE77" s="8">
        <f t="shared" si="36"/>
        <v>150000</v>
      </c>
      <c r="AG77" s="8">
        <v>71</v>
      </c>
      <c r="AH77" s="8">
        <f t="shared" si="37"/>
        <v>35714.28571428571</v>
      </c>
      <c r="AI77" s="8">
        <f t="shared" si="38"/>
        <v>107142.85714285714</v>
      </c>
      <c r="AJ77" s="8">
        <f t="shared" si="39"/>
        <v>258333.33333333334</v>
      </c>
      <c r="AK77" s="8">
        <f t="shared" si="40"/>
        <v>360000</v>
      </c>
      <c r="AL77" s="8">
        <f t="shared" si="41"/>
        <v>550000</v>
      </c>
    </row>
    <row r="78" spans="9:38">
      <c r="J78" s="8"/>
      <c r="K78" s="8"/>
      <c r="L78" s="8"/>
      <c r="M78" s="8"/>
      <c r="N78" s="8">
        <v>6</v>
      </c>
      <c r="P78" s="8"/>
      <c r="Q78" s="8"/>
      <c r="R78" s="8"/>
      <c r="S78" s="8"/>
      <c r="T78" s="8">
        <v>1</v>
      </c>
      <c r="V78" s="8">
        <v>66</v>
      </c>
      <c r="W78" s="8">
        <f>INDEX(节奏总纲!T:T,MATCH(V78,节奏总纲!O:O,0))</f>
        <v>27.851300060458648</v>
      </c>
      <c r="X78" s="8">
        <f t="shared" si="42"/>
        <v>11.994824652892781</v>
      </c>
      <c r="Z78" s="8">
        <f t="shared" si="31"/>
        <v>0</v>
      </c>
      <c r="AA78" s="8">
        <f t="shared" si="32"/>
        <v>0</v>
      </c>
      <c r="AB78" s="8">
        <f t="shared" si="33"/>
        <v>0</v>
      </c>
      <c r="AC78" s="8">
        <f t="shared" si="34"/>
        <v>0</v>
      </c>
      <c r="AD78" s="8">
        <f t="shared" si="35"/>
        <v>12</v>
      </c>
      <c r="AE78" s="8">
        <f t="shared" si="36"/>
        <v>300000</v>
      </c>
      <c r="AG78" s="8">
        <v>72</v>
      </c>
      <c r="AH78" s="8">
        <f t="shared" si="37"/>
        <v>39285.71428571429</v>
      </c>
      <c r="AI78" s="8">
        <f t="shared" si="38"/>
        <v>92857.142857142855</v>
      </c>
      <c r="AJ78" s="8">
        <f t="shared" si="39"/>
        <v>268750</v>
      </c>
      <c r="AK78" s="8">
        <f t="shared" si="40"/>
        <v>420000</v>
      </c>
      <c r="AL78" s="8">
        <f t="shared" si="41"/>
        <v>600000</v>
      </c>
    </row>
    <row r="79" spans="9:38">
      <c r="J79" s="8"/>
      <c r="K79" s="8"/>
      <c r="L79" s="8"/>
      <c r="M79" s="8"/>
      <c r="N79" s="8">
        <v>6</v>
      </c>
      <c r="P79" s="8"/>
      <c r="Q79" s="8"/>
      <c r="R79" s="8"/>
      <c r="S79" s="8"/>
      <c r="T79" s="8">
        <v>3</v>
      </c>
      <c r="V79" s="8">
        <v>72</v>
      </c>
      <c r="W79" s="8">
        <f>INDEX(节奏总纲!T:T,MATCH(V79,节奏总纲!O:O,0))</f>
        <v>41.896979430227098</v>
      </c>
      <c r="X79" s="8">
        <f t="shared" si="42"/>
        <v>14.04567936976845</v>
      </c>
      <c r="Z79" s="8">
        <f t="shared" si="31"/>
        <v>0</v>
      </c>
      <c r="AA79" s="8">
        <f t="shared" si="32"/>
        <v>0</v>
      </c>
      <c r="AB79" s="8">
        <f t="shared" si="33"/>
        <v>0</v>
      </c>
      <c r="AC79" s="8">
        <f t="shared" si="34"/>
        <v>0</v>
      </c>
      <c r="AD79" s="8">
        <f t="shared" si="35"/>
        <v>24</v>
      </c>
      <c r="AE79" s="8">
        <f t="shared" si="36"/>
        <v>600000</v>
      </c>
      <c r="AG79" s="8">
        <v>73</v>
      </c>
      <c r="AH79" s="8">
        <f t="shared" si="37"/>
        <v>42857.142857142855</v>
      </c>
      <c r="AI79" s="8">
        <f t="shared" si="38"/>
        <v>78571.428571428565</v>
      </c>
      <c r="AJ79" s="8">
        <f t="shared" si="39"/>
        <v>279166.66666666669</v>
      </c>
      <c r="AK79" s="8">
        <f t="shared" si="40"/>
        <v>480000</v>
      </c>
      <c r="AL79" s="8">
        <f t="shared" si="41"/>
        <v>720000</v>
      </c>
    </row>
    <row r="80" spans="9:38">
      <c r="J80" s="8"/>
      <c r="K80" s="8"/>
      <c r="L80" s="8"/>
      <c r="M80" s="8"/>
      <c r="N80" s="8">
        <v>6</v>
      </c>
      <c r="P80" s="8"/>
      <c r="Q80" s="8"/>
      <c r="R80" s="8"/>
      <c r="S80" s="8"/>
      <c r="T80" s="8">
        <v>7</v>
      </c>
      <c r="V80" s="8">
        <v>77</v>
      </c>
      <c r="W80" s="8">
        <f>INDEX(节奏总纲!T:T,MATCH(V80,节奏总纲!O:O,0))</f>
        <v>59.535663694512365</v>
      </c>
      <c r="X80" s="8">
        <f t="shared" si="42"/>
        <v>17.638684264285267</v>
      </c>
      <c r="Z80" s="8">
        <f t="shared" si="31"/>
        <v>0</v>
      </c>
      <c r="AA80" s="8">
        <f t="shared" si="32"/>
        <v>0</v>
      </c>
      <c r="AB80" s="8">
        <f t="shared" si="33"/>
        <v>0</v>
      </c>
      <c r="AC80" s="8">
        <f t="shared" si="34"/>
        <v>0</v>
      </c>
      <c r="AD80" s="8">
        <f t="shared" si="35"/>
        <v>48</v>
      </c>
      <c r="AE80" s="8">
        <f t="shared" si="36"/>
        <v>1200000</v>
      </c>
      <c r="AG80" s="8">
        <v>74</v>
      </c>
      <c r="AH80" s="8">
        <f t="shared" si="37"/>
        <v>46428.571428571428</v>
      </c>
      <c r="AI80" s="8">
        <f t="shared" si="38"/>
        <v>64285.71428571429</v>
      </c>
      <c r="AJ80" s="8">
        <f t="shared" si="39"/>
        <v>289583.33333333331</v>
      </c>
      <c r="AK80" s="8">
        <f t="shared" si="40"/>
        <v>540000</v>
      </c>
      <c r="AL80" s="8">
        <f t="shared" si="41"/>
        <v>840000</v>
      </c>
    </row>
    <row r="81" spans="9:38">
      <c r="AG81" s="8">
        <v>75</v>
      </c>
      <c r="AH81" s="8">
        <f t="shared" si="37"/>
        <v>50000</v>
      </c>
      <c r="AI81" s="8">
        <f t="shared" si="38"/>
        <v>50000</v>
      </c>
      <c r="AJ81" s="8">
        <f t="shared" si="39"/>
        <v>300000</v>
      </c>
      <c r="AK81" s="8">
        <f t="shared" si="40"/>
        <v>600000</v>
      </c>
      <c r="AL81" s="8">
        <f t="shared" si="41"/>
        <v>960000</v>
      </c>
    </row>
    <row r="82" spans="9:38">
      <c r="AG82" s="8">
        <v>76</v>
      </c>
      <c r="AH82" s="8">
        <f t="shared" si="37"/>
        <v>55000</v>
      </c>
      <c r="AI82" s="8">
        <f t="shared" si="38"/>
        <v>55000</v>
      </c>
      <c r="AJ82" s="8">
        <f t="shared" si="39"/>
        <v>316666.66666666669</v>
      </c>
      <c r="AK82" s="8">
        <f t="shared" si="40"/>
        <v>685714.28571428568</v>
      </c>
      <c r="AL82" s="8">
        <f t="shared" si="41"/>
        <v>1080000</v>
      </c>
    </row>
    <row r="83" spans="9:38">
      <c r="AG83" s="8">
        <v>77</v>
      </c>
      <c r="AH83" s="8">
        <f t="shared" si="37"/>
        <v>60000</v>
      </c>
      <c r="AI83" s="8">
        <f t="shared" si="38"/>
        <v>60000</v>
      </c>
      <c r="AJ83" s="8">
        <f t="shared" si="39"/>
        <v>333333.33333333331</v>
      </c>
      <c r="AK83" s="8">
        <f t="shared" si="40"/>
        <v>771428.57142857136</v>
      </c>
      <c r="AL83" s="8">
        <f t="shared" si="41"/>
        <v>1200000</v>
      </c>
    </row>
    <row r="84" spans="9:38">
      <c r="AG84" s="8">
        <v>78</v>
      </c>
      <c r="AH84" s="8">
        <f t="shared" si="37"/>
        <v>65000</v>
      </c>
      <c r="AI84" s="8">
        <f t="shared" si="38"/>
        <v>65000</v>
      </c>
      <c r="AJ84" s="8">
        <f t="shared" si="39"/>
        <v>350000</v>
      </c>
      <c r="AK84" s="8">
        <f t="shared" si="40"/>
        <v>857142.85714285716</v>
      </c>
      <c r="AL84" s="8">
        <f t="shared" si="41"/>
        <v>1200000</v>
      </c>
    </row>
    <row r="85" spans="9:38">
      <c r="AG85" s="8">
        <v>79</v>
      </c>
      <c r="AH85" s="8">
        <f t="shared" si="37"/>
        <v>70000</v>
      </c>
      <c r="AI85" s="8">
        <f t="shared" si="38"/>
        <v>70000</v>
      </c>
      <c r="AJ85" s="8">
        <f t="shared" si="39"/>
        <v>366666.66666666669</v>
      </c>
      <c r="AK85" s="8">
        <f t="shared" si="40"/>
        <v>942857.14285714284</v>
      </c>
      <c r="AL85" s="8">
        <f t="shared" si="41"/>
        <v>1200000</v>
      </c>
    </row>
    <row r="86" spans="9:38">
      <c r="AG86" s="8">
        <v>80</v>
      </c>
      <c r="AH86" s="8">
        <f t="shared" si="37"/>
        <v>75000</v>
      </c>
      <c r="AI86" s="8">
        <f t="shared" si="38"/>
        <v>75000</v>
      </c>
      <c r="AJ86" s="8">
        <f t="shared" si="39"/>
        <v>383333.33333333337</v>
      </c>
      <c r="AK86" s="8">
        <f t="shared" si="40"/>
        <v>1028571.4285714285</v>
      </c>
      <c r="AL86" s="8">
        <f t="shared" si="41"/>
        <v>1200000</v>
      </c>
    </row>
    <row r="87" spans="9:38">
      <c r="AG87" s="8">
        <v>81</v>
      </c>
      <c r="AH87" s="8">
        <f t="shared" si="37"/>
        <v>81250</v>
      </c>
      <c r="AI87" s="8">
        <f t="shared" si="38"/>
        <v>81250</v>
      </c>
      <c r="AJ87" s="8">
        <f t="shared" si="39"/>
        <v>400000</v>
      </c>
      <c r="AK87" s="8">
        <f t="shared" si="40"/>
        <v>1114285.7142857143</v>
      </c>
      <c r="AL87" s="8">
        <f t="shared" si="41"/>
        <v>1200000</v>
      </c>
    </row>
    <row r="88" spans="9:38">
      <c r="AG88" s="8">
        <v>82</v>
      </c>
      <c r="AH88" s="8">
        <f t="shared" si="37"/>
        <v>87500</v>
      </c>
      <c r="AI88" s="8">
        <f t="shared" si="38"/>
        <v>87500</v>
      </c>
      <c r="AJ88" s="8">
        <f t="shared" si="39"/>
        <v>416666.66666666669</v>
      </c>
      <c r="AK88" s="8">
        <f t="shared" si="40"/>
        <v>1200000</v>
      </c>
      <c r="AL88" s="8">
        <f t="shared" si="41"/>
        <v>1200000</v>
      </c>
    </row>
    <row r="89" spans="9:38">
      <c r="AG89" s="8">
        <v>83</v>
      </c>
      <c r="AH89" s="8">
        <f t="shared" si="37"/>
        <v>93750</v>
      </c>
      <c r="AI89" s="8">
        <f t="shared" si="38"/>
        <v>93750</v>
      </c>
      <c r="AJ89" s="8">
        <f t="shared" si="39"/>
        <v>433333.33333333337</v>
      </c>
      <c r="AK89" s="8">
        <f t="shared" si="40"/>
        <v>1200000</v>
      </c>
      <c r="AL89" s="8">
        <f t="shared" si="41"/>
        <v>1200000</v>
      </c>
    </row>
    <row r="90" spans="9:38">
      <c r="AG90" s="8">
        <v>84</v>
      </c>
      <c r="AH90" s="8">
        <f t="shared" si="37"/>
        <v>100000</v>
      </c>
      <c r="AI90" s="8">
        <f t="shared" si="38"/>
        <v>100000</v>
      </c>
      <c r="AJ90" s="8">
        <f t="shared" si="39"/>
        <v>450000</v>
      </c>
      <c r="AK90" s="8">
        <f t="shared" si="40"/>
        <v>1200000</v>
      </c>
      <c r="AL90" s="8">
        <f t="shared" si="41"/>
        <v>1200000</v>
      </c>
    </row>
    <row r="91" spans="9:38">
      <c r="I91" s="4">
        <v>6</v>
      </c>
      <c r="AG91" s="8">
        <v>85</v>
      </c>
      <c r="AH91" s="8">
        <f t="shared" si="37"/>
        <v>106250</v>
      </c>
      <c r="AI91" s="8">
        <f t="shared" si="38"/>
        <v>106250</v>
      </c>
      <c r="AJ91" s="8">
        <f t="shared" si="39"/>
        <v>492857.14285714284</v>
      </c>
      <c r="AK91" s="8">
        <f t="shared" si="40"/>
        <v>1200000</v>
      </c>
      <c r="AL91" s="8">
        <f t="shared" si="41"/>
        <v>1200000</v>
      </c>
    </row>
    <row r="92" spans="9:38">
      <c r="AG92" s="8">
        <v>86</v>
      </c>
      <c r="AH92" s="8">
        <f t="shared" si="37"/>
        <v>112500</v>
      </c>
      <c r="AI92" s="8">
        <f t="shared" si="38"/>
        <v>112500</v>
      </c>
      <c r="AJ92" s="8">
        <f t="shared" si="39"/>
        <v>535714.28571428568</v>
      </c>
      <c r="AK92" s="8">
        <f t="shared" si="40"/>
        <v>1200000</v>
      </c>
      <c r="AL92" s="8">
        <f t="shared" si="41"/>
        <v>1200000</v>
      </c>
    </row>
    <row r="93" spans="9:38">
      <c r="AG93" s="8">
        <v>87</v>
      </c>
      <c r="AH93" s="8">
        <f t="shared" si="37"/>
        <v>118750</v>
      </c>
      <c r="AI93" s="8">
        <f t="shared" si="38"/>
        <v>118750</v>
      </c>
      <c r="AJ93" s="8">
        <f t="shared" si="39"/>
        <v>578571.42857142852</v>
      </c>
      <c r="AK93" s="8">
        <f t="shared" si="40"/>
        <v>1200000</v>
      </c>
      <c r="AL93" s="8">
        <f t="shared" si="41"/>
        <v>1200000</v>
      </c>
    </row>
    <row r="94" spans="9:38">
      <c r="AG94" s="8">
        <v>88</v>
      </c>
      <c r="AH94" s="8">
        <f t="shared" si="37"/>
        <v>125000</v>
      </c>
      <c r="AI94" s="8">
        <f t="shared" si="38"/>
        <v>125000</v>
      </c>
      <c r="AJ94" s="8">
        <f t="shared" si="39"/>
        <v>621428.57142857136</v>
      </c>
      <c r="AK94" s="8">
        <f t="shared" si="40"/>
        <v>1200000</v>
      </c>
      <c r="AL94" s="8">
        <f t="shared" si="41"/>
        <v>1200000</v>
      </c>
    </row>
    <row r="95" spans="9:38">
      <c r="AG95" s="8">
        <v>89</v>
      </c>
      <c r="AH95" s="8">
        <f t="shared" si="37"/>
        <v>133333.33333333334</v>
      </c>
      <c r="AI95" s="8">
        <f t="shared" si="38"/>
        <v>133333.33333333334</v>
      </c>
      <c r="AJ95" s="8">
        <f t="shared" si="39"/>
        <v>664285.71428571432</v>
      </c>
      <c r="AK95" s="8">
        <f t="shared" si="40"/>
        <v>1200000</v>
      </c>
      <c r="AL95" s="8">
        <f t="shared" si="41"/>
        <v>1200000</v>
      </c>
    </row>
    <row r="96" spans="9:38">
      <c r="AG96" s="8">
        <v>90</v>
      </c>
      <c r="AH96" s="8">
        <f t="shared" si="37"/>
        <v>141666.66666666666</v>
      </c>
      <c r="AI96" s="8">
        <f t="shared" si="38"/>
        <v>141666.66666666666</v>
      </c>
      <c r="AJ96" s="8">
        <f t="shared" si="39"/>
        <v>707142.85714285716</v>
      </c>
      <c r="AK96" s="8">
        <f t="shared" si="40"/>
        <v>1200000</v>
      </c>
      <c r="AL96" s="8">
        <f t="shared" si="41"/>
        <v>1200000</v>
      </c>
    </row>
    <row r="97" spans="33:38">
      <c r="AG97" s="8">
        <v>91</v>
      </c>
      <c r="AH97" s="8">
        <f t="shared" si="37"/>
        <v>150000</v>
      </c>
      <c r="AI97" s="8">
        <f t="shared" si="38"/>
        <v>150000</v>
      </c>
      <c r="AJ97" s="8">
        <f t="shared" si="39"/>
        <v>750000</v>
      </c>
      <c r="AK97" s="8">
        <f t="shared" si="40"/>
        <v>1200000</v>
      </c>
      <c r="AL97" s="8">
        <f t="shared" si="41"/>
        <v>1200000</v>
      </c>
    </row>
    <row r="98" spans="33:38">
      <c r="AG98" s="8">
        <v>92</v>
      </c>
      <c r="AH98" s="8">
        <f t="shared" si="37"/>
        <v>150000</v>
      </c>
      <c r="AI98" s="8">
        <f t="shared" si="38"/>
        <v>150000</v>
      </c>
      <c r="AJ98" s="8">
        <f t="shared" si="39"/>
        <v>750000</v>
      </c>
      <c r="AK98" s="8">
        <f t="shared" si="40"/>
        <v>1200000</v>
      </c>
      <c r="AL98" s="8">
        <f t="shared" si="41"/>
        <v>1200000</v>
      </c>
    </row>
    <row r="99" spans="33:38">
      <c r="AG99" s="8">
        <v>93</v>
      </c>
      <c r="AH99" s="8">
        <f t="shared" si="37"/>
        <v>150000</v>
      </c>
      <c r="AI99" s="8">
        <f t="shared" si="38"/>
        <v>150000</v>
      </c>
      <c r="AJ99" s="8">
        <f t="shared" si="39"/>
        <v>750000</v>
      </c>
      <c r="AK99" s="8">
        <f t="shared" si="40"/>
        <v>1200000</v>
      </c>
      <c r="AL99" s="8">
        <f t="shared" si="41"/>
        <v>1200000</v>
      </c>
    </row>
    <row r="100" spans="33:38">
      <c r="AG100" s="8">
        <v>94</v>
      </c>
      <c r="AH100" s="8">
        <f t="shared" si="37"/>
        <v>150000</v>
      </c>
      <c r="AI100" s="8">
        <f t="shared" si="38"/>
        <v>150000</v>
      </c>
      <c r="AJ100" s="8">
        <f t="shared" si="39"/>
        <v>750000</v>
      </c>
      <c r="AK100" s="8">
        <f t="shared" si="40"/>
        <v>1200000</v>
      </c>
      <c r="AL100" s="8">
        <f t="shared" si="41"/>
        <v>1200000</v>
      </c>
    </row>
    <row r="101" spans="33:38">
      <c r="AG101" s="8">
        <v>95</v>
      </c>
      <c r="AH101" s="8">
        <f t="shared" si="37"/>
        <v>150000</v>
      </c>
      <c r="AI101" s="8">
        <f t="shared" si="38"/>
        <v>150000</v>
      </c>
      <c r="AJ101" s="8">
        <f t="shared" si="39"/>
        <v>750000</v>
      </c>
      <c r="AK101" s="8">
        <f t="shared" si="40"/>
        <v>1200000</v>
      </c>
      <c r="AL101" s="8">
        <f t="shared" si="41"/>
        <v>1200000</v>
      </c>
    </row>
    <row r="102" spans="33:38">
      <c r="AG102" s="8">
        <v>96</v>
      </c>
      <c r="AH102" s="8">
        <f t="shared" si="37"/>
        <v>150000</v>
      </c>
      <c r="AI102" s="8">
        <f t="shared" si="38"/>
        <v>150000</v>
      </c>
      <c r="AJ102" s="8">
        <f t="shared" si="39"/>
        <v>750000</v>
      </c>
      <c r="AK102" s="8">
        <f t="shared" si="40"/>
        <v>1200000</v>
      </c>
      <c r="AL102" s="8">
        <f t="shared" si="41"/>
        <v>1200000</v>
      </c>
    </row>
    <row r="103" spans="33:38">
      <c r="AG103" s="8">
        <v>97</v>
      </c>
      <c r="AH103" s="8">
        <f t="shared" si="37"/>
        <v>150000</v>
      </c>
      <c r="AI103" s="8">
        <f t="shared" si="38"/>
        <v>150000</v>
      </c>
      <c r="AJ103" s="8">
        <f t="shared" si="39"/>
        <v>750000</v>
      </c>
      <c r="AK103" s="8">
        <f t="shared" si="40"/>
        <v>1200000</v>
      </c>
      <c r="AL103" s="8">
        <f t="shared" si="41"/>
        <v>1200000</v>
      </c>
    </row>
    <row r="104" spans="33:38">
      <c r="AG104" s="8">
        <v>98</v>
      </c>
      <c r="AH104" s="8">
        <f t="shared" si="37"/>
        <v>150000</v>
      </c>
      <c r="AI104" s="8">
        <f t="shared" si="38"/>
        <v>150000</v>
      </c>
      <c r="AJ104" s="8">
        <f t="shared" si="39"/>
        <v>750000</v>
      </c>
      <c r="AK104" s="8">
        <f t="shared" si="40"/>
        <v>1200000</v>
      </c>
      <c r="AL104" s="8">
        <f t="shared" si="41"/>
        <v>1200000</v>
      </c>
    </row>
    <row r="105" spans="33:38">
      <c r="AG105" s="8">
        <v>99</v>
      </c>
      <c r="AH105" s="8">
        <f t="shared" si="37"/>
        <v>150000</v>
      </c>
      <c r="AI105" s="8">
        <f t="shared" si="38"/>
        <v>150000</v>
      </c>
      <c r="AJ105" s="8">
        <f t="shared" si="39"/>
        <v>750000</v>
      </c>
      <c r="AK105" s="8">
        <f t="shared" si="40"/>
        <v>1200000</v>
      </c>
      <c r="AL105" s="8">
        <f t="shared" si="41"/>
        <v>1200000</v>
      </c>
    </row>
    <row r="106" spans="33:38">
      <c r="AG106" s="8">
        <v>100</v>
      </c>
      <c r="AH106" s="8">
        <f t="shared" si="37"/>
        <v>150000</v>
      </c>
      <c r="AI106" s="8">
        <f t="shared" si="38"/>
        <v>150000</v>
      </c>
      <c r="AJ106" s="8">
        <f t="shared" si="39"/>
        <v>750000</v>
      </c>
      <c r="AK106" s="8">
        <f t="shared" si="40"/>
        <v>1200000</v>
      </c>
      <c r="AL106" s="8">
        <f t="shared" si="41"/>
        <v>1200000</v>
      </c>
    </row>
  </sheetData>
  <mergeCells count="16">
    <mergeCell ref="AH5:AL5"/>
    <mergeCell ref="J5:N5"/>
    <mergeCell ref="P5:T5"/>
    <mergeCell ref="Z5:AD5"/>
    <mergeCell ref="J25:N25"/>
    <mergeCell ref="P25:T25"/>
    <mergeCell ref="Z25:AD25"/>
    <mergeCell ref="J70:N70"/>
    <mergeCell ref="P70:T70"/>
    <mergeCell ref="Z70:AD70"/>
    <mergeCell ref="J41:N41"/>
    <mergeCell ref="P41:T41"/>
    <mergeCell ref="Z41:AD41"/>
    <mergeCell ref="J56:N56"/>
    <mergeCell ref="P56:T56"/>
    <mergeCell ref="Z56:AD56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K20:U39"/>
  <sheetViews>
    <sheetView topLeftCell="A10" workbookViewId="0">
      <selection activeCell="J19" sqref="J19"/>
    </sheetView>
  </sheetViews>
  <sheetFormatPr defaultRowHeight="13.5"/>
  <sheetData>
    <row r="20" spans="11:21">
      <c r="K20" s="2" t="s">
        <v>7</v>
      </c>
      <c r="L20" s="2">
        <v>8</v>
      </c>
      <c r="M20" s="3" t="s">
        <v>33</v>
      </c>
      <c r="N20" s="3">
        <v>1</v>
      </c>
      <c r="O20" s="3" t="s">
        <v>32</v>
      </c>
      <c r="P20" s="3">
        <v>5</v>
      </c>
      <c r="Q20" s="3"/>
      <c r="R20" s="3"/>
      <c r="S20" s="3"/>
      <c r="T20" s="2" t="s">
        <v>7</v>
      </c>
      <c r="U20" s="2">
        <v>8</v>
      </c>
    </row>
    <row r="21" spans="11:21">
      <c r="K21" s="2" t="s">
        <v>8</v>
      </c>
      <c r="L21" s="2">
        <v>12</v>
      </c>
      <c r="M21" s="3" t="s">
        <v>33</v>
      </c>
      <c r="N21" s="3">
        <v>3</v>
      </c>
      <c r="O21" s="3" t="s">
        <v>32</v>
      </c>
      <c r="P21" s="3">
        <v>3</v>
      </c>
      <c r="Q21" s="3"/>
      <c r="R21" s="3"/>
      <c r="S21" s="3"/>
      <c r="T21" s="3" t="s">
        <v>55</v>
      </c>
      <c r="U21" s="3">
        <v>10</v>
      </c>
    </row>
    <row r="22" spans="11:21">
      <c r="K22" s="2" t="s">
        <v>9</v>
      </c>
      <c r="L22" s="2">
        <v>16</v>
      </c>
      <c r="M22" s="3" t="s">
        <v>33</v>
      </c>
      <c r="N22" s="3">
        <v>5</v>
      </c>
      <c r="O22" s="3" t="s">
        <v>32</v>
      </c>
      <c r="P22" s="3">
        <v>1</v>
      </c>
      <c r="Q22" s="3"/>
      <c r="R22" s="3"/>
      <c r="S22" s="3"/>
      <c r="T22" s="2" t="s">
        <v>8</v>
      </c>
      <c r="U22" s="2">
        <v>12</v>
      </c>
    </row>
    <row r="23" spans="11:21">
      <c r="K23" s="2" t="s">
        <v>10</v>
      </c>
      <c r="L23" s="2">
        <v>20</v>
      </c>
      <c r="M23" s="3" t="s">
        <v>28</v>
      </c>
      <c r="N23" s="3">
        <v>1</v>
      </c>
      <c r="O23" s="3" t="s">
        <v>33</v>
      </c>
      <c r="P23" s="3">
        <v>5</v>
      </c>
      <c r="Q23" s="3"/>
      <c r="R23" s="3"/>
      <c r="S23" s="3"/>
      <c r="T23" s="2" t="s">
        <v>9</v>
      </c>
      <c r="U23" s="2">
        <v>16</v>
      </c>
    </row>
    <row r="24" spans="11:21">
      <c r="K24" s="2" t="s">
        <v>20</v>
      </c>
      <c r="L24" s="2">
        <v>30</v>
      </c>
      <c r="M24" s="3" t="s">
        <v>28</v>
      </c>
      <c r="N24" s="3">
        <v>4</v>
      </c>
      <c r="O24" s="3" t="s">
        <v>33</v>
      </c>
      <c r="P24" s="3">
        <v>2</v>
      </c>
      <c r="Q24" s="3"/>
      <c r="R24" s="3"/>
      <c r="S24" s="3"/>
      <c r="T24" s="3" t="s">
        <v>56</v>
      </c>
      <c r="U24" s="3">
        <v>20</v>
      </c>
    </row>
    <row r="25" spans="11:21">
      <c r="K25" s="2" t="s">
        <v>21</v>
      </c>
      <c r="L25" s="2">
        <v>32</v>
      </c>
      <c r="M25" s="3" t="s">
        <v>28</v>
      </c>
      <c r="N25" s="3">
        <v>4</v>
      </c>
      <c r="O25" s="3" t="s">
        <v>33</v>
      </c>
      <c r="P25" s="3">
        <v>1</v>
      </c>
      <c r="Q25" s="3" t="s">
        <v>47</v>
      </c>
      <c r="R25" s="3">
        <v>1</v>
      </c>
      <c r="S25" s="3"/>
      <c r="T25" s="3" t="s">
        <v>57</v>
      </c>
      <c r="U25" s="3">
        <v>30</v>
      </c>
    </row>
    <row r="26" spans="11:21">
      <c r="K26" s="2" t="s">
        <v>11</v>
      </c>
      <c r="L26" s="2">
        <v>35</v>
      </c>
      <c r="M26" s="3" t="s">
        <v>28</v>
      </c>
      <c r="N26" s="3">
        <v>6</v>
      </c>
      <c r="O26" s="3"/>
      <c r="P26" s="3"/>
      <c r="Q26" s="3"/>
      <c r="R26" s="3"/>
      <c r="S26" s="3"/>
      <c r="T26" s="2" t="s">
        <v>21</v>
      </c>
      <c r="U26" s="2">
        <v>32</v>
      </c>
    </row>
    <row r="27" spans="11:21">
      <c r="K27" s="2" t="s">
        <v>22</v>
      </c>
      <c r="L27" s="2">
        <v>36</v>
      </c>
      <c r="M27" s="3" t="s">
        <v>48</v>
      </c>
      <c r="N27" s="3">
        <v>1</v>
      </c>
      <c r="O27" s="3" t="s">
        <v>28</v>
      </c>
      <c r="P27" s="3">
        <v>5</v>
      </c>
      <c r="Q27" s="3"/>
      <c r="R27" s="3"/>
      <c r="S27" s="3"/>
      <c r="T27" s="2" t="s">
        <v>11</v>
      </c>
      <c r="U27" s="2">
        <v>35</v>
      </c>
    </row>
    <row r="28" spans="11:21">
      <c r="K28" s="2" t="s">
        <v>16</v>
      </c>
      <c r="L28" s="2">
        <v>44</v>
      </c>
      <c r="M28" s="3" t="s">
        <v>49</v>
      </c>
      <c r="N28" s="3">
        <v>1</v>
      </c>
      <c r="O28" s="3" t="s">
        <v>28</v>
      </c>
      <c r="P28" s="3">
        <v>5</v>
      </c>
      <c r="Q28" s="3"/>
      <c r="R28" s="3"/>
      <c r="S28" s="3"/>
      <c r="T28" s="2" t="s">
        <v>22</v>
      </c>
      <c r="U28" s="2">
        <v>36</v>
      </c>
    </row>
    <row r="29" spans="11:21">
      <c r="K29" s="2" t="s">
        <v>23</v>
      </c>
      <c r="L29" s="2">
        <v>46</v>
      </c>
      <c r="M29" s="3" t="s">
        <v>50</v>
      </c>
      <c r="N29" s="3">
        <v>1</v>
      </c>
      <c r="O29" s="3" t="s">
        <v>48</v>
      </c>
      <c r="P29" s="3">
        <v>5</v>
      </c>
      <c r="Q29" s="3"/>
      <c r="R29" s="3"/>
      <c r="S29" s="3"/>
      <c r="T29" s="3" t="s">
        <v>58</v>
      </c>
      <c r="U29" s="3">
        <v>40</v>
      </c>
    </row>
    <row r="30" spans="11:21">
      <c r="K30" s="2" t="s">
        <v>17</v>
      </c>
      <c r="L30" s="2">
        <v>48</v>
      </c>
      <c r="M30" s="3" t="s">
        <v>51</v>
      </c>
      <c r="N30" s="3">
        <v>6</v>
      </c>
      <c r="O30" s="3"/>
      <c r="P30" s="3"/>
      <c r="Q30" s="3"/>
      <c r="R30" s="3"/>
      <c r="S30" s="3"/>
      <c r="T30" s="2" t="s">
        <v>16</v>
      </c>
      <c r="U30" s="2">
        <v>44</v>
      </c>
    </row>
    <row r="31" spans="11:21">
      <c r="K31" s="2" t="s">
        <v>18</v>
      </c>
      <c r="L31" s="2">
        <v>58</v>
      </c>
      <c r="M31" s="3" t="s">
        <v>52</v>
      </c>
      <c r="N31" s="3">
        <v>6</v>
      </c>
      <c r="O31" s="3"/>
      <c r="P31" s="3"/>
      <c r="Q31" s="3"/>
      <c r="R31" s="3"/>
      <c r="S31" s="3"/>
      <c r="T31" s="2" t="s">
        <v>23</v>
      </c>
      <c r="U31" s="2">
        <v>46</v>
      </c>
    </row>
    <row r="32" spans="11:21">
      <c r="K32" s="2" t="s">
        <v>19</v>
      </c>
      <c r="L32" s="2">
        <v>66</v>
      </c>
      <c r="M32" s="3" t="s">
        <v>53</v>
      </c>
      <c r="N32" s="3">
        <v>6</v>
      </c>
      <c r="O32" s="3"/>
      <c r="P32" s="3"/>
      <c r="Q32" s="3"/>
      <c r="R32" s="3"/>
      <c r="S32" s="3"/>
      <c r="T32" s="2" t="s">
        <v>17</v>
      </c>
      <c r="U32" s="2">
        <v>48</v>
      </c>
    </row>
    <row r="33" spans="11:21">
      <c r="K33" s="3"/>
      <c r="L33" s="3"/>
      <c r="M33" s="3"/>
      <c r="N33" s="3"/>
      <c r="O33" s="3"/>
      <c r="P33" s="3"/>
      <c r="Q33" s="3"/>
      <c r="R33" s="3"/>
      <c r="S33" s="3"/>
      <c r="T33" s="3" t="s">
        <v>59</v>
      </c>
      <c r="U33" s="3">
        <v>50</v>
      </c>
    </row>
    <row r="34" spans="11:21">
      <c r="K34" s="2"/>
      <c r="L34" s="2"/>
      <c r="M34" s="3"/>
      <c r="N34" s="3"/>
      <c r="O34" s="3"/>
      <c r="P34" s="3"/>
      <c r="Q34" s="3"/>
      <c r="R34" s="3"/>
      <c r="S34" s="3"/>
      <c r="T34" s="3" t="s">
        <v>60</v>
      </c>
      <c r="U34" s="3">
        <v>60</v>
      </c>
    </row>
    <row r="35" spans="11:21">
      <c r="K35" s="3"/>
      <c r="L35" s="3"/>
      <c r="M35" s="3"/>
      <c r="N35" s="3"/>
      <c r="O35" s="3"/>
      <c r="P35" s="3"/>
      <c r="Q35" s="3"/>
      <c r="R35" s="3"/>
      <c r="S35" s="3"/>
      <c r="T35" s="2" t="s">
        <v>18</v>
      </c>
      <c r="U35" s="2">
        <v>58</v>
      </c>
    </row>
    <row r="36" spans="11:21">
      <c r="K36" s="3"/>
      <c r="L36" s="3"/>
      <c r="M36" s="3"/>
      <c r="N36" s="3"/>
      <c r="O36" s="3"/>
      <c r="P36" s="3"/>
      <c r="Q36" s="3"/>
      <c r="R36" s="3"/>
      <c r="S36" s="3"/>
      <c r="T36" s="3" t="s">
        <v>61</v>
      </c>
      <c r="U36" s="3">
        <v>70</v>
      </c>
    </row>
    <row r="37" spans="11:21">
      <c r="K37" s="3"/>
      <c r="L37" s="3"/>
      <c r="M37" s="3"/>
      <c r="N37" s="3"/>
      <c r="O37" s="3"/>
      <c r="P37" s="3"/>
      <c r="Q37" s="3"/>
      <c r="R37" s="3"/>
      <c r="S37" s="3"/>
      <c r="T37" s="3" t="s">
        <v>61</v>
      </c>
      <c r="U37" s="3">
        <v>80</v>
      </c>
    </row>
    <row r="38" spans="11:21">
      <c r="K38" s="3"/>
      <c r="L38" s="3"/>
      <c r="M38" s="3"/>
      <c r="N38" s="3"/>
      <c r="O38" s="3"/>
      <c r="P38" s="3"/>
      <c r="Q38" s="3"/>
      <c r="R38" s="3"/>
      <c r="S38" s="3"/>
      <c r="T38" s="3" t="s">
        <v>61</v>
      </c>
      <c r="U38" s="3">
        <v>90</v>
      </c>
    </row>
    <row r="39" spans="11:21">
      <c r="K39" s="3"/>
      <c r="L39" s="3"/>
      <c r="M39" s="3"/>
      <c r="N39" s="3"/>
      <c r="O39" s="3"/>
      <c r="P39" s="3"/>
      <c r="Q39" s="3"/>
      <c r="R39" s="3"/>
      <c r="S39" s="3"/>
      <c r="T39" s="3" t="s">
        <v>61</v>
      </c>
      <c r="U39" s="3">
        <v>100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3:AF104"/>
  <sheetViews>
    <sheetView topLeftCell="G1" workbookViewId="0">
      <selection activeCell="S38" sqref="S38"/>
    </sheetView>
  </sheetViews>
  <sheetFormatPr defaultColWidth="9" defaultRowHeight="11.25"/>
  <cols>
    <col min="1" max="16384" width="9" style="4"/>
  </cols>
  <sheetData>
    <row r="3" spans="2:32">
      <c r="AB3" s="161" t="s">
        <v>136</v>
      </c>
      <c r="AC3" s="161"/>
      <c r="AD3" s="161"/>
      <c r="AE3" s="161"/>
      <c r="AF3" s="161"/>
    </row>
    <row r="4" spans="2:32">
      <c r="AA4" s="4" t="s">
        <v>119</v>
      </c>
      <c r="AB4" s="4" t="s">
        <v>115</v>
      </c>
      <c r="AC4" s="4" t="s">
        <v>116</v>
      </c>
      <c r="AD4" s="4" t="s">
        <v>110</v>
      </c>
      <c r="AE4" s="4" t="s">
        <v>118</v>
      </c>
      <c r="AF4" s="4" t="s">
        <v>111</v>
      </c>
    </row>
    <row r="5" spans="2:32">
      <c r="AA5" s="4">
        <v>1</v>
      </c>
      <c r="AB5" s="4">
        <f>求节点($Q$8:$Q$14,S$8:S$14,$AA5)</f>
        <v>0.12000000000000011</v>
      </c>
      <c r="AC5" s="4">
        <f>求节点($Q$8:$Q$14,T$8:T$14,$AA5)</f>
        <v>4.0000000000000036E-2</v>
      </c>
      <c r="AD5" s="4">
        <f>求节点($Q$8:$Q$14,U$8:U$14,$AA5)</f>
        <v>0</v>
      </c>
      <c r="AE5" s="4">
        <f>求节点($Q$8:$Q$14,V$8:V$14,$AA5)</f>
        <v>0</v>
      </c>
      <c r="AF5" s="4">
        <f>求节点($Q$8:$Q$14,W$8:W$14,$AA5)</f>
        <v>0</v>
      </c>
    </row>
    <row r="6" spans="2:32">
      <c r="C6" s="4" t="s">
        <v>108</v>
      </c>
      <c r="J6" s="8"/>
      <c r="K6" s="8"/>
      <c r="L6" s="200" t="s">
        <v>145</v>
      </c>
      <c r="M6" s="200"/>
      <c r="N6" s="8"/>
      <c r="O6" s="200" t="s">
        <v>146</v>
      </c>
      <c r="P6" s="200"/>
      <c r="Q6" s="8" t="s">
        <v>149</v>
      </c>
      <c r="R6" s="8"/>
      <c r="S6" s="200" t="s">
        <v>147</v>
      </c>
      <c r="T6" s="200"/>
      <c r="U6" s="200"/>
      <c r="V6" s="200"/>
      <c r="W6" s="200"/>
      <c r="X6" s="200" t="s">
        <v>148</v>
      </c>
      <c r="Y6" s="200"/>
      <c r="AA6" s="4">
        <v>2</v>
      </c>
      <c r="AB6" s="4">
        <f t="shared" ref="AB6:AB69" si="0">求节点($Q$8:$Q$14,S$8:S$14,$AA6)</f>
        <v>0.24000000000000021</v>
      </c>
      <c r="AC6" s="4">
        <f t="shared" ref="AC6:AC69" si="1">求节点($Q$8:$Q$14,T$8:T$14,$AA6)</f>
        <v>7.999999999999996E-2</v>
      </c>
      <c r="AD6" s="4">
        <f t="shared" ref="AD6:AD69" si="2">求节点($Q$8:$Q$14,U$8:U$14,$AA6)</f>
        <v>0</v>
      </c>
      <c r="AE6" s="4">
        <f t="shared" ref="AE6:AE69" si="3">求节点($Q$8:$Q$14,V$8:V$14,$AA6)</f>
        <v>0</v>
      </c>
      <c r="AF6" s="4">
        <f t="shared" ref="AF6:AF69" si="4">求节点($Q$8:$Q$14,W$8:W$14,$AA6)</f>
        <v>0</v>
      </c>
    </row>
    <row r="7" spans="2:32">
      <c r="J7" s="8" t="s">
        <v>130</v>
      </c>
      <c r="K7" s="8" t="s">
        <v>129</v>
      </c>
      <c r="L7" s="8" t="s">
        <v>127</v>
      </c>
      <c r="M7" s="8" t="s">
        <v>128</v>
      </c>
      <c r="N7" s="8" t="s">
        <v>129</v>
      </c>
      <c r="O7" s="8" t="s">
        <v>127</v>
      </c>
      <c r="P7" s="8" t="s">
        <v>128</v>
      </c>
      <c r="Q7" s="8" t="s">
        <v>122</v>
      </c>
      <c r="R7" s="8" t="s">
        <v>121</v>
      </c>
      <c r="S7" s="8" t="s">
        <v>115</v>
      </c>
      <c r="T7" s="8" t="s">
        <v>116</v>
      </c>
      <c r="U7" s="8" t="s">
        <v>110</v>
      </c>
      <c r="V7" s="8" t="s">
        <v>118</v>
      </c>
      <c r="W7" s="8" t="s">
        <v>111</v>
      </c>
      <c r="X7" s="8" t="s">
        <v>134</v>
      </c>
      <c r="Y7" s="8" t="s">
        <v>135</v>
      </c>
      <c r="AA7" s="4">
        <v>3</v>
      </c>
      <c r="AB7" s="4">
        <f t="shared" si="0"/>
        <v>0.36000000000000032</v>
      </c>
      <c r="AC7" s="4">
        <f t="shared" si="1"/>
        <v>0.12</v>
      </c>
      <c r="AD7" s="4">
        <f t="shared" si="2"/>
        <v>0</v>
      </c>
      <c r="AE7" s="4">
        <f t="shared" si="3"/>
        <v>0</v>
      </c>
      <c r="AF7" s="4">
        <f t="shared" si="4"/>
        <v>0</v>
      </c>
    </row>
    <row r="8" spans="2:32">
      <c r="J8" s="8" t="s">
        <v>124</v>
      </c>
      <c r="K8" s="8" t="s">
        <v>110</v>
      </c>
      <c r="L8" s="8">
        <v>1</v>
      </c>
      <c r="M8" s="8">
        <v>0</v>
      </c>
      <c r="N8" s="8" t="s">
        <v>111</v>
      </c>
      <c r="O8" s="8">
        <v>0</v>
      </c>
      <c r="P8" s="8">
        <v>0</v>
      </c>
      <c r="Q8" s="8">
        <v>25</v>
      </c>
      <c r="R8" s="8">
        <f>INDEX(节奏总纲!$P:$P,MATCH(Q8,节奏总纲!$O:$O,0))</f>
        <v>4.6568542494923806</v>
      </c>
      <c r="S8" s="8">
        <f t="shared" ref="S8:S14" si="5">L8*C$32</f>
        <v>3</v>
      </c>
      <c r="T8" s="8">
        <f t="shared" ref="T8:T14" si="6">L8*D$32+M8*D$33</f>
        <v>1</v>
      </c>
      <c r="U8" s="8">
        <f t="shared" ref="U8:U14" si="7">M8*E$33+O8*E$34</f>
        <v>0</v>
      </c>
      <c r="V8" s="8">
        <f t="shared" ref="V8:V14" si="8">O8*$F$34+P8*$F$35</f>
        <v>0</v>
      </c>
      <c r="W8" s="8">
        <f t="shared" ref="W8:W14" si="9">P8*$G$35</f>
        <v>0</v>
      </c>
      <c r="X8" s="8">
        <f t="shared" ref="X8:X14" si="10">M8*$H$33</f>
        <v>0</v>
      </c>
      <c r="Y8" s="8">
        <f t="shared" ref="Y8:Y14" si="11">P8*$I$35</f>
        <v>0</v>
      </c>
      <c r="AA8" s="4">
        <v>4</v>
      </c>
      <c r="AB8" s="4">
        <f t="shared" si="0"/>
        <v>0.48</v>
      </c>
      <c r="AC8" s="4">
        <f t="shared" si="1"/>
        <v>0.16000000000000003</v>
      </c>
      <c r="AD8" s="4">
        <f t="shared" si="2"/>
        <v>0</v>
      </c>
      <c r="AE8" s="4">
        <f t="shared" si="3"/>
        <v>0</v>
      </c>
      <c r="AF8" s="4">
        <f t="shared" si="4"/>
        <v>0</v>
      </c>
    </row>
    <row r="9" spans="2:32">
      <c r="D9" s="4" t="s">
        <v>109</v>
      </c>
      <c r="E9" s="4" t="s">
        <v>112</v>
      </c>
      <c r="J9" s="8" t="s">
        <v>123</v>
      </c>
      <c r="K9" s="8" t="s">
        <v>110</v>
      </c>
      <c r="L9" s="8">
        <v>3</v>
      </c>
      <c r="M9" s="8">
        <v>0</v>
      </c>
      <c r="N9" s="8" t="s">
        <v>111</v>
      </c>
      <c r="O9" s="8">
        <v>0</v>
      </c>
      <c r="P9" s="8">
        <v>0</v>
      </c>
      <c r="Q9" s="8">
        <v>34</v>
      </c>
      <c r="R9" s="8">
        <f>INDEX(节奏总纲!$P:$P,MATCH(Q9,节奏总纲!$O:$O,0))</f>
        <v>9.5560632861831518</v>
      </c>
      <c r="S9" s="8">
        <f t="shared" si="5"/>
        <v>9</v>
      </c>
      <c r="T9" s="8">
        <f t="shared" si="6"/>
        <v>3</v>
      </c>
      <c r="U9" s="8">
        <f t="shared" si="7"/>
        <v>0</v>
      </c>
      <c r="V9" s="8">
        <f t="shared" si="8"/>
        <v>0</v>
      </c>
      <c r="W9" s="8">
        <f t="shared" si="9"/>
        <v>0</v>
      </c>
      <c r="X9" s="8">
        <f t="shared" si="10"/>
        <v>0</v>
      </c>
      <c r="Y9" s="8">
        <f t="shared" si="11"/>
        <v>0</v>
      </c>
      <c r="AA9" s="4">
        <v>5</v>
      </c>
      <c r="AB9" s="4">
        <f t="shared" si="0"/>
        <v>0.60000000000000009</v>
      </c>
      <c r="AC9" s="4">
        <f t="shared" si="1"/>
        <v>0.19999999999999996</v>
      </c>
      <c r="AD9" s="4">
        <f t="shared" si="2"/>
        <v>0</v>
      </c>
      <c r="AE9" s="4">
        <f t="shared" si="3"/>
        <v>0</v>
      </c>
      <c r="AF9" s="4">
        <f t="shared" si="4"/>
        <v>0</v>
      </c>
    </row>
    <row r="10" spans="2:32">
      <c r="J10" s="8" t="s">
        <v>125</v>
      </c>
      <c r="K10" s="8" t="s">
        <v>110</v>
      </c>
      <c r="L10" s="8">
        <v>5</v>
      </c>
      <c r="M10" s="8">
        <v>1</v>
      </c>
      <c r="N10" s="8" t="s">
        <v>111</v>
      </c>
      <c r="O10" s="8">
        <v>0</v>
      </c>
      <c r="P10" s="8">
        <v>0</v>
      </c>
      <c r="Q10" s="8">
        <v>40</v>
      </c>
      <c r="R10" s="8">
        <f>INDEX(节奏总纲!$P:$P,MATCH(Q10,节奏总纲!$O:$O,0))</f>
        <v>15</v>
      </c>
      <c r="S10" s="8">
        <f t="shared" si="5"/>
        <v>15</v>
      </c>
      <c r="T10" s="8">
        <f t="shared" si="6"/>
        <v>10</v>
      </c>
      <c r="U10" s="8">
        <f t="shared" si="7"/>
        <v>3</v>
      </c>
      <c r="V10" s="8">
        <f t="shared" si="8"/>
        <v>0</v>
      </c>
      <c r="W10" s="8">
        <f t="shared" si="9"/>
        <v>0</v>
      </c>
      <c r="X10" s="8">
        <f t="shared" si="10"/>
        <v>4</v>
      </c>
      <c r="Y10" s="8">
        <f t="shared" si="11"/>
        <v>0</v>
      </c>
      <c r="AA10" s="4">
        <v>6</v>
      </c>
      <c r="AB10" s="4">
        <f t="shared" si="0"/>
        <v>0.7200000000000002</v>
      </c>
      <c r="AC10" s="4">
        <f t="shared" si="1"/>
        <v>0.24</v>
      </c>
      <c r="AD10" s="4">
        <f t="shared" si="2"/>
        <v>0</v>
      </c>
      <c r="AE10" s="4">
        <f t="shared" si="3"/>
        <v>0</v>
      </c>
      <c r="AF10" s="4">
        <f t="shared" si="4"/>
        <v>0</v>
      </c>
    </row>
    <row r="11" spans="2:32">
      <c r="J11" s="8" t="s">
        <v>126</v>
      </c>
      <c r="K11" s="8" t="s">
        <v>110</v>
      </c>
      <c r="L11" s="8">
        <v>6</v>
      </c>
      <c r="M11" s="8">
        <v>3</v>
      </c>
      <c r="N11" s="8" t="s">
        <v>111</v>
      </c>
      <c r="O11" s="8">
        <v>0</v>
      </c>
      <c r="P11" s="8">
        <v>0</v>
      </c>
      <c r="Q11" s="8">
        <v>48</v>
      </c>
      <c r="R11" s="8">
        <f>INDEX(节奏总纲!$P:$P,MATCH(Q11,节奏总纲!$O:$O,0))</f>
        <v>26.857618025475972</v>
      </c>
      <c r="S11" s="8">
        <f t="shared" si="5"/>
        <v>18</v>
      </c>
      <c r="T11" s="8">
        <f t="shared" si="6"/>
        <v>21</v>
      </c>
      <c r="U11" s="8">
        <f t="shared" si="7"/>
        <v>9</v>
      </c>
      <c r="V11" s="8">
        <f t="shared" si="8"/>
        <v>0</v>
      </c>
      <c r="W11" s="8">
        <f t="shared" si="9"/>
        <v>0</v>
      </c>
      <c r="X11" s="8">
        <f t="shared" si="10"/>
        <v>12</v>
      </c>
      <c r="Y11" s="8">
        <f t="shared" si="11"/>
        <v>0</v>
      </c>
      <c r="AA11" s="4">
        <v>7</v>
      </c>
      <c r="AB11" s="4">
        <f t="shared" si="0"/>
        <v>0.83999999999999986</v>
      </c>
      <c r="AC11" s="4">
        <f t="shared" si="1"/>
        <v>0.28000000000000003</v>
      </c>
      <c r="AD11" s="4">
        <f t="shared" si="2"/>
        <v>0</v>
      </c>
      <c r="AE11" s="4">
        <f t="shared" si="3"/>
        <v>0</v>
      </c>
      <c r="AF11" s="4">
        <f t="shared" si="4"/>
        <v>0</v>
      </c>
    </row>
    <row r="12" spans="2:32">
      <c r="B12" s="4" t="s">
        <v>113</v>
      </c>
      <c r="C12" s="4" t="s">
        <v>110</v>
      </c>
      <c r="J12" s="8" t="s">
        <v>133</v>
      </c>
      <c r="K12" s="8" t="s">
        <v>110</v>
      </c>
      <c r="L12" s="8">
        <v>5</v>
      </c>
      <c r="M12" s="8">
        <v>5</v>
      </c>
      <c r="N12" s="8" t="s">
        <v>111</v>
      </c>
      <c r="O12" s="8">
        <v>0</v>
      </c>
      <c r="P12" s="8">
        <v>0</v>
      </c>
      <c r="Q12" s="8">
        <v>53</v>
      </c>
      <c r="R12" s="8">
        <f>INDEX(节奏总纲!$P:$P,MATCH(Q12,节奏总纲!$O:$O,0))</f>
        <v>38.396621227037308</v>
      </c>
      <c r="S12" s="8">
        <f t="shared" si="5"/>
        <v>15</v>
      </c>
      <c r="T12" s="8">
        <f t="shared" si="6"/>
        <v>30</v>
      </c>
      <c r="U12" s="8">
        <f t="shared" si="7"/>
        <v>15</v>
      </c>
      <c r="V12" s="8">
        <f t="shared" si="8"/>
        <v>0</v>
      </c>
      <c r="W12" s="8">
        <f t="shared" si="9"/>
        <v>0</v>
      </c>
      <c r="X12" s="8">
        <f t="shared" si="10"/>
        <v>20</v>
      </c>
      <c r="Y12" s="8">
        <f t="shared" si="11"/>
        <v>0</v>
      </c>
      <c r="AA12" s="4">
        <v>8</v>
      </c>
      <c r="AB12" s="4">
        <f t="shared" si="0"/>
        <v>0.96</v>
      </c>
      <c r="AC12" s="4">
        <f t="shared" si="1"/>
        <v>0.31999999999999995</v>
      </c>
      <c r="AD12" s="4">
        <f t="shared" si="2"/>
        <v>0</v>
      </c>
      <c r="AE12" s="4">
        <f t="shared" si="3"/>
        <v>0</v>
      </c>
      <c r="AF12" s="4">
        <f t="shared" si="4"/>
        <v>0</v>
      </c>
    </row>
    <row r="13" spans="2:32">
      <c r="C13" s="4" t="s">
        <v>111</v>
      </c>
      <c r="J13" s="8" t="s">
        <v>137</v>
      </c>
      <c r="K13" s="8" t="s">
        <v>110</v>
      </c>
      <c r="L13" s="8">
        <v>6</v>
      </c>
      <c r="M13" s="8">
        <v>6</v>
      </c>
      <c r="N13" s="8" t="s">
        <v>111</v>
      </c>
      <c r="O13" s="8">
        <v>1</v>
      </c>
      <c r="P13" s="8">
        <v>0</v>
      </c>
      <c r="Q13" s="8">
        <v>68</v>
      </c>
      <c r="R13" s="8">
        <f>INDEX(节奏总纲!$P:$P,MATCH(Q13,节奏总纲!$O:$O,0))</f>
        <v>110.43047210190386</v>
      </c>
      <c r="S13" s="8">
        <f t="shared" si="5"/>
        <v>18</v>
      </c>
      <c r="T13" s="8">
        <f t="shared" si="6"/>
        <v>36</v>
      </c>
      <c r="U13" s="8">
        <f t="shared" si="7"/>
        <v>28</v>
      </c>
      <c r="V13" s="8">
        <f t="shared" si="8"/>
        <v>5</v>
      </c>
      <c r="W13" s="8">
        <f t="shared" si="9"/>
        <v>0</v>
      </c>
      <c r="X13" s="8">
        <f t="shared" si="10"/>
        <v>24</v>
      </c>
      <c r="Y13" s="8">
        <f t="shared" si="11"/>
        <v>0</v>
      </c>
      <c r="AA13" s="4">
        <v>9</v>
      </c>
      <c r="AB13" s="4">
        <f t="shared" si="0"/>
        <v>1.08</v>
      </c>
      <c r="AC13" s="4">
        <f t="shared" si="1"/>
        <v>0.36</v>
      </c>
      <c r="AD13" s="4">
        <f t="shared" si="2"/>
        <v>0</v>
      </c>
      <c r="AE13" s="4">
        <f t="shared" si="3"/>
        <v>0</v>
      </c>
      <c r="AF13" s="4">
        <f t="shared" si="4"/>
        <v>0</v>
      </c>
    </row>
    <row r="14" spans="2:32">
      <c r="J14" s="8" t="s">
        <v>138</v>
      </c>
      <c r="K14" s="8" t="s">
        <v>110</v>
      </c>
      <c r="L14" s="8">
        <v>11</v>
      </c>
      <c r="M14" s="8">
        <v>11</v>
      </c>
      <c r="N14" s="8" t="s">
        <v>111</v>
      </c>
      <c r="O14" s="8">
        <v>1</v>
      </c>
      <c r="P14" s="8">
        <v>1</v>
      </c>
      <c r="Q14" s="8">
        <v>84</v>
      </c>
      <c r="R14" s="8">
        <f>INDEX(节奏总纲!$P:$P,MATCH(Q14,节奏总纲!$O:$O,0))</f>
        <v>336.79402515786086</v>
      </c>
      <c r="S14" s="8">
        <f t="shared" si="5"/>
        <v>33</v>
      </c>
      <c r="T14" s="8">
        <f t="shared" si="6"/>
        <v>66</v>
      </c>
      <c r="U14" s="8">
        <f t="shared" si="7"/>
        <v>43</v>
      </c>
      <c r="V14" s="8">
        <f t="shared" si="8"/>
        <v>25</v>
      </c>
      <c r="W14" s="8">
        <f t="shared" si="9"/>
        <v>7</v>
      </c>
      <c r="X14" s="8">
        <f t="shared" si="10"/>
        <v>44</v>
      </c>
      <c r="Y14" s="8">
        <f t="shared" si="11"/>
        <v>4</v>
      </c>
      <c r="AA14" s="4">
        <v>10</v>
      </c>
      <c r="AB14" s="4">
        <f t="shared" si="0"/>
        <v>1.2000000000000002</v>
      </c>
      <c r="AC14" s="4">
        <f t="shared" si="1"/>
        <v>0.4</v>
      </c>
      <c r="AD14" s="4">
        <f t="shared" si="2"/>
        <v>0</v>
      </c>
      <c r="AE14" s="4">
        <f t="shared" si="3"/>
        <v>0</v>
      </c>
      <c r="AF14" s="4">
        <f t="shared" si="4"/>
        <v>0</v>
      </c>
    </row>
    <row r="15" spans="2:32">
      <c r="B15" s="4" t="s">
        <v>120</v>
      </c>
      <c r="C15" s="4">
        <v>6</v>
      </c>
      <c r="AA15" s="4">
        <v>11</v>
      </c>
      <c r="AB15" s="4">
        <f t="shared" si="0"/>
        <v>1.32</v>
      </c>
      <c r="AC15" s="4">
        <f t="shared" si="1"/>
        <v>0.43999999999999995</v>
      </c>
      <c r="AD15" s="4">
        <f t="shared" si="2"/>
        <v>0</v>
      </c>
      <c r="AE15" s="4">
        <f t="shared" si="3"/>
        <v>0</v>
      </c>
      <c r="AF15" s="4">
        <f t="shared" si="4"/>
        <v>0</v>
      </c>
    </row>
    <row r="16" spans="2:32">
      <c r="AA16" s="4">
        <v>12</v>
      </c>
      <c r="AB16" s="4">
        <f t="shared" si="0"/>
        <v>1.44</v>
      </c>
      <c r="AC16" s="4">
        <f t="shared" si="1"/>
        <v>0.48</v>
      </c>
      <c r="AD16" s="4">
        <f t="shared" si="2"/>
        <v>0</v>
      </c>
      <c r="AE16" s="4">
        <f t="shared" si="3"/>
        <v>0</v>
      </c>
      <c r="AF16" s="4">
        <f t="shared" si="4"/>
        <v>0</v>
      </c>
    </row>
    <row r="17" spans="1:32">
      <c r="AA17" s="4">
        <v>13</v>
      </c>
      <c r="AB17" s="4">
        <f t="shared" si="0"/>
        <v>1.56</v>
      </c>
      <c r="AC17" s="4">
        <f t="shared" si="1"/>
        <v>0.52</v>
      </c>
      <c r="AD17" s="4">
        <f t="shared" si="2"/>
        <v>0</v>
      </c>
      <c r="AE17" s="4">
        <f t="shared" si="3"/>
        <v>0</v>
      </c>
      <c r="AF17" s="4">
        <f t="shared" si="4"/>
        <v>0</v>
      </c>
    </row>
    <row r="18" spans="1:32">
      <c r="AA18" s="4">
        <v>14</v>
      </c>
      <c r="AB18" s="4">
        <f t="shared" si="0"/>
        <v>1.6800000000000002</v>
      </c>
      <c r="AC18" s="4">
        <f t="shared" si="1"/>
        <v>0.56000000000000005</v>
      </c>
      <c r="AD18" s="4">
        <f t="shared" si="2"/>
        <v>0</v>
      </c>
      <c r="AE18" s="4">
        <f t="shared" si="3"/>
        <v>0</v>
      </c>
      <c r="AF18" s="4">
        <f t="shared" si="4"/>
        <v>0</v>
      </c>
    </row>
    <row r="19" spans="1:32">
      <c r="AA19" s="4">
        <v>15</v>
      </c>
      <c r="AB19" s="4">
        <f t="shared" si="0"/>
        <v>1.8</v>
      </c>
      <c r="AC19" s="4">
        <f t="shared" si="1"/>
        <v>0.6</v>
      </c>
      <c r="AD19" s="4">
        <f t="shared" si="2"/>
        <v>0</v>
      </c>
      <c r="AE19" s="4">
        <f t="shared" si="3"/>
        <v>0</v>
      </c>
      <c r="AF19" s="4">
        <f t="shared" si="4"/>
        <v>0</v>
      </c>
    </row>
    <row r="20" spans="1:32">
      <c r="AA20" s="4">
        <v>16</v>
      </c>
      <c r="AB20" s="4">
        <f t="shared" si="0"/>
        <v>1.92</v>
      </c>
      <c r="AC20" s="4">
        <f t="shared" si="1"/>
        <v>0.64</v>
      </c>
      <c r="AD20" s="4">
        <f t="shared" si="2"/>
        <v>0</v>
      </c>
      <c r="AE20" s="4">
        <f t="shared" si="3"/>
        <v>0</v>
      </c>
      <c r="AF20" s="4">
        <f t="shared" si="4"/>
        <v>0</v>
      </c>
    </row>
    <row r="21" spans="1:32">
      <c r="AA21" s="4">
        <v>17</v>
      </c>
      <c r="AB21" s="4">
        <f t="shared" si="0"/>
        <v>2.04</v>
      </c>
      <c r="AC21" s="4">
        <f t="shared" si="1"/>
        <v>0.67999999999999994</v>
      </c>
      <c r="AD21" s="4">
        <f t="shared" si="2"/>
        <v>0</v>
      </c>
      <c r="AE21" s="4">
        <f t="shared" si="3"/>
        <v>0</v>
      </c>
      <c r="AF21" s="4">
        <f t="shared" si="4"/>
        <v>0</v>
      </c>
    </row>
    <row r="22" spans="1:32">
      <c r="AA22" s="4">
        <v>18</v>
      </c>
      <c r="AB22" s="4">
        <f t="shared" si="0"/>
        <v>2.16</v>
      </c>
      <c r="AC22" s="4">
        <f t="shared" si="1"/>
        <v>0.72</v>
      </c>
      <c r="AD22" s="4">
        <f t="shared" si="2"/>
        <v>0</v>
      </c>
      <c r="AE22" s="4">
        <f t="shared" si="3"/>
        <v>0</v>
      </c>
      <c r="AF22" s="4">
        <f t="shared" si="4"/>
        <v>0</v>
      </c>
    </row>
    <row r="23" spans="1:32">
      <c r="AA23" s="4">
        <v>19</v>
      </c>
      <c r="AB23" s="4">
        <f t="shared" si="0"/>
        <v>2.2800000000000002</v>
      </c>
      <c r="AC23" s="4">
        <f t="shared" si="1"/>
        <v>0.76</v>
      </c>
      <c r="AD23" s="4">
        <f t="shared" si="2"/>
        <v>0</v>
      </c>
      <c r="AE23" s="4">
        <f t="shared" si="3"/>
        <v>0</v>
      </c>
      <c r="AF23" s="4">
        <f t="shared" si="4"/>
        <v>0</v>
      </c>
    </row>
    <row r="24" spans="1:32">
      <c r="AA24" s="4">
        <v>20</v>
      </c>
      <c r="AB24" s="4">
        <f t="shared" si="0"/>
        <v>2.4</v>
      </c>
      <c r="AC24" s="4">
        <f t="shared" si="1"/>
        <v>0.8</v>
      </c>
      <c r="AD24" s="4">
        <f t="shared" si="2"/>
        <v>0</v>
      </c>
      <c r="AE24" s="4">
        <f t="shared" si="3"/>
        <v>0</v>
      </c>
      <c r="AF24" s="4">
        <f t="shared" si="4"/>
        <v>0</v>
      </c>
    </row>
    <row r="25" spans="1:32">
      <c r="B25" s="8" t="s">
        <v>143</v>
      </c>
      <c r="C25" s="200" t="s">
        <v>144</v>
      </c>
      <c r="D25" s="200"/>
      <c r="E25" s="8" t="s">
        <v>119</v>
      </c>
      <c r="F25" s="200" t="s">
        <v>142</v>
      </c>
      <c r="G25" s="200"/>
      <c r="AA25" s="4">
        <v>21</v>
      </c>
      <c r="AB25" s="4">
        <f t="shared" si="0"/>
        <v>2.52</v>
      </c>
      <c r="AC25" s="4">
        <f t="shared" si="1"/>
        <v>0.84</v>
      </c>
      <c r="AD25" s="4">
        <f t="shared" si="2"/>
        <v>0</v>
      </c>
      <c r="AE25" s="4">
        <f t="shared" si="3"/>
        <v>0</v>
      </c>
      <c r="AF25" s="4">
        <f t="shared" si="4"/>
        <v>0</v>
      </c>
    </row>
    <row r="26" spans="1:32">
      <c r="B26" s="8" t="s">
        <v>114</v>
      </c>
      <c r="C26" s="8" t="s">
        <v>115</v>
      </c>
      <c r="D26" s="8" t="s">
        <v>116</v>
      </c>
      <c r="E26" s="8">
        <v>25</v>
      </c>
      <c r="F26" s="8">
        <v>3</v>
      </c>
      <c r="G26" s="8">
        <v>1</v>
      </c>
      <c r="AA26" s="4">
        <v>22</v>
      </c>
      <c r="AB26" s="4">
        <f t="shared" si="0"/>
        <v>2.64</v>
      </c>
      <c r="AC26" s="4">
        <f t="shared" si="1"/>
        <v>0.88</v>
      </c>
      <c r="AD26" s="4">
        <f t="shared" si="2"/>
        <v>0</v>
      </c>
      <c r="AE26" s="4">
        <f t="shared" si="3"/>
        <v>0</v>
      </c>
      <c r="AF26" s="4">
        <f t="shared" si="4"/>
        <v>0</v>
      </c>
    </row>
    <row r="27" spans="1:32">
      <c r="B27" s="8"/>
      <c r="C27" s="8" t="s">
        <v>116</v>
      </c>
      <c r="D27" s="8" t="s">
        <v>110</v>
      </c>
      <c r="E27" s="8">
        <v>40</v>
      </c>
      <c r="F27" s="8">
        <v>5</v>
      </c>
      <c r="G27" s="8">
        <v>3</v>
      </c>
      <c r="AA27" s="4">
        <v>23</v>
      </c>
      <c r="AB27" s="4">
        <f t="shared" si="0"/>
        <v>2.76</v>
      </c>
      <c r="AC27" s="4">
        <f t="shared" si="1"/>
        <v>0.92</v>
      </c>
      <c r="AD27" s="4">
        <f t="shared" si="2"/>
        <v>0</v>
      </c>
      <c r="AE27" s="4">
        <f t="shared" si="3"/>
        <v>0</v>
      </c>
      <c r="AF27" s="4">
        <f t="shared" si="4"/>
        <v>0</v>
      </c>
    </row>
    <row r="28" spans="1:32">
      <c r="B28" s="8" t="s">
        <v>117</v>
      </c>
      <c r="C28" s="8" t="s">
        <v>110</v>
      </c>
      <c r="D28" s="8" t="s">
        <v>118</v>
      </c>
      <c r="E28" s="8">
        <v>60</v>
      </c>
      <c r="F28" s="8">
        <v>10</v>
      </c>
      <c r="G28" s="8">
        <v>5</v>
      </c>
      <c r="AA28" s="4">
        <v>24</v>
      </c>
      <c r="AB28" s="4">
        <f t="shared" si="0"/>
        <v>2.88</v>
      </c>
      <c r="AC28" s="4">
        <f t="shared" si="1"/>
        <v>0.96</v>
      </c>
      <c r="AD28" s="4">
        <f t="shared" si="2"/>
        <v>0</v>
      </c>
      <c r="AE28" s="4">
        <f t="shared" si="3"/>
        <v>0</v>
      </c>
      <c r="AF28" s="4">
        <f t="shared" si="4"/>
        <v>0</v>
      </c>
    </row>
    <row r="29" spans="1:32">
      <c r="B29" s="8"/>
      <c r="C29" s="8" t="s">
        <v>118</v>
      </c>
      <c r="D29" s="8" t="s">
        <v>111</v>
      </c>
      <c r="E29" s="8">
        <v>75</v>
      </c>
      <c r="F29" s="8">
        <v>20</v>
      </c>
      <c r="G29" s="8">
        <v>7</v>
      </c>
      <c r="AA29" s="4">
        <v>25</v>
      </c>
      <c r="AB29" s="4">
        <f t="shared" si="0"/>
        <v>3</v>
      </c>
      <c r="AC29" s="4">
        <f t="shared" si="1"/>
        <v>1</v>
      </c>
      <c r="AD29" s="4">
        <f t="shared" si="2"/>
        <v>0</v>
      </c>
      <c r="AE29" s="4">
        <f t="shared" si="3"/>
        <v>0</v>
      </c>
      <c r="AF29" s="4">
        <f t="shared" si="4"/>
        <v>0</v>
      </c>
    </row>
    <row r="30" spans="1:32">
      <c r="AA30" s="4">
        <v>26</v>
      </c>
      <c r="AB30" s="4">
        <f t="shared" si="0"/>
        <v>3.6666666666666665</v>
      </c>
      <c r="AC30" s="4">
        <f t="shared" si="1"/>
        <v>1.2222222222222223</v>
      </c>
      <c r="AD30" s="4">
        <f t="shared" si="2"/>
        <v>0</v>
      </c>
      <c r="AE30" s="4">
        <f t="shared" si="3"/>
        <v>0</v>
      </c>
      <c r="AF30" s="4">
        <f t="shared" si="4"/>
        <v>0</v>
      </c>
    </row>
    <row r="31" spans="1:32">
      <c r="A31" s="8" t="s">
        <v>132</v>
      </c>
      <c r="B31" s="8" t="s">
        <v>131</v>
      </c>
      <c r="C31" s="8" t="s">
        <v>115</v>
      </c>
      <c r="D31" s="8" t="s">
        <v>116</v>
      </c>
      <c r="E31" s="8" t="s">
        <v>110</v>
      </c>
      <c r="F31" s="8" t="s">
        <v>118</v>
      </c>
      <c r="G31" s="8" t="s">
        <v>111</v>
      </c>
      <c r="H31" s="8" t="s">
        <v>134</v>
      </c>
      <c r="I31" s="8" t="s">
        <v>135</v>
      </c>
      <c r="AA31" s="4">
        <v>27</v>
      </c>
      <c r="AB31" s="4">
        <f t="shared" si="0"/>
        <v>4.333333333333333</v>
      </c>
      <c r="AC31" s="4">
        <f t="shared" si="1"/>
        <v>1.4444444444444444</v>
      </c>
      <c r="AD31" s="4">
        <f t="shared" si="2"/>
        <v>0</v>
      </c>
      <c r="AE31" s="4">
        <f t="shared" si="3"/>
        <v>0</v>
      </c>
      <c r="AF31" s="4">
        <f t="shared" si="4"/>
        <v>0</v>
      </c>
    </row>
    <row r="32" spans="1:32">
      <c r="A32" s="8" t="s">
        <v>110</v>
      </c>
      <c r="B32" s="8" t="s">
        <v>127</v>
      </c>
      <c r="C32" s="8">
        <v>3</v>
      </c>
      <c r="D32" s="8">
        <v>1</v>
      </c>
      <c r="E32" s="8"/>
      <c r="F32" s="8"/>
      <c r="G32" s="8"/>
      <c r="H32" s="8"/>
      <c r="I32" s="8"/>
      <c r="AA32" s="4">
        <v>28</v>
      </c>
      <c r="AB32" s="4">
        <f t="shared" si="0"/>
        <v>5</v>
      </c>
      <c r="AC32" s="4">
        <f t="shared" si="1"/>
        <v>1.6666666666666665</v>
      </c>
      <c r="AD32" s="4">
        <f t="shared" si="2"/>
        <v>0</v>
      </c>
      <c r="AE32" s="4">
        <f t="shared" si="3"/>
        <v>0</v>
      </c>
      <c r="AF32" s="4">
        <f t="shared" si="4"/>
        <v>0</v>
      </c>
    </row>
    <row r="33" spans="1:32">
      <c r="A33" s="8" t="s">
        <v>110</v>
      </c>
      <c r="B33" s="8" t="s">
        <v>128</v>
      </c>
      <c r="C33" s="8"/>
      <c r="D33" s="8">
        <v>5</v>
      </c>
      <c r="E33" s="8">
        <v>3</v>
      </c>
      <c r="F33" s="8"/>
      <c r="G33" s="8"/>
      <c r="H33" s="8">
        <v>4</v>
      </c>
      <c r="I33" s="8"/>
      <c r="AA33" s="4">
        <v>29</v>
      </c>
      <c r="AB33" s="4">
        <f t="shared" si="0"/>
        <v>5.6666666666666661</v>
      </c>
      <c r="AC33" s="4">
        <f t="shared" si="1"/>
        <v>1.8888888888888888</v>
      </c>
      <c r="AD33" s="4">
        <f t="shared" si="2"/>
        <v>0</v>
      </c>
      <c r="AE33" s="4">
        <f t="shared" si="3"/>
        <v>0</v>
      </c>
      <c r="AF33" s="4">
        <f t="shared" si="4"/>
        <v>0</v>
      </c>
    </row>
    <row r="34" spans="1:32">
      <c r="A34" s="8" t="s">
        <v>111</v>
      </c>
      <c r="B34" s="8" t="s">
        <v>127</v>
      </c>
      <c r="C34" s="8"/>
      <c r="D34" s="8"/>
      <c r="E34" s="8">
        <v>10</v>
      </c>
      <c r="F34" s="8">
        <v>5</v>
      </c>
      <c r="G34" s="8"/>
      <c r="H34" s="8"/>
      <c r="I34" s="8"/>
      <c r="AA34" s="4">
        <v>30</v>
      </c>
      <c r="AB34" s="4">
        <f t="shared" si="0"/>
        <v>6.333333333333333</v>
      </c>
      <c r="AC34" s="4">
        <f t="shared" si="1"/>
        <v>2.1111111111111112</v>
      </c>
      <c r="AD34" s="4">
        <f t="shared" si="2"/>
        <v>0</v>
      </c>
      <c r="AE34" s="4">
        <f t="shared" si="3"/>
        <v>0</v>
      </c>
      <c r="AF34" s="4">
        <f t="shared" si="4"/>
        <v>0</v>
      </c>
    </row>
    <row r="35" spans="1:32">
      <c r="A35" s="8" t="s">
        <v>111</v>
      </c>
      <c r="B35" s="8" t="s">
        <v>128</v>
      </c>
      <c r="C35" s="8"/>
      <c r="D35" s="8"/>
      <c r="E35" s="8"/>
      <c r="F35" s="8">
        <v>20</v>
      </c>
      <c r="G35" s="8">
        <v>7</v>
      </c>
      <c r="H35" s="8"/>
      <c r="I35" s="8">
        <v>4</v>
      </c>
      <c r="AA35" s="4">
        <v>31</v>
      </c>
      <c r="AB35" s="4">
        <f t="shared" si="0"/>
        <v>7</v>
      </c>
      <c r="AC35" s="4">
        <f t="shared" si="1"/>
        <v>2.333333333333333</v>
      </c>
      <c r="AD35" s="4">
        <f t="shared" si="2"/>
        <v>0</v>
      </c>
      <c r="AE35" s="4">
        <f t="shared" si="3"/>
        <v>0</v>
      </c>
      <c r="AF35" s="4">
        <f t="shared" si="4"/>
        <v>0</v>
      </c>
    </row>
    <row r="36" spans="1:32">
      <c r="AA36" s="4">
        <v>32</v>
      </c>
      <c r="AB36" s="4">
        <f t="shared" si="0"/>
        <v>7.6666666666666661</v>
      </c>
      <c r="AC36" s="4">
        <f t="shared" si="1"/>
        <v>2.5555555555555554</v>
      </c>
      <c r="AD36" s="4">
        <f t="shared" si="2"/>
        <v>0</v>
      </c>
      <c r="AE36" s="4">
        <f t="shared" si="3"/>
        <v>0</v>
      </c>
      <c r="AF36" s="4">
        <f t="shared" si="4"/>
        <v>0</v>
      </c>
    </row>
    <row r="37" spans="1:32">
      <c r="AA37" s="4">
        <v>33</v>
      </c>
      <c r="AB37" s="4">
        <f t="shared" si="0"/>
        <v>8.3333333333333321</v>
      </c>
      <c r="AC37" s="4">
        <f t="shared" si="1"/>
        <v>2.7777777777777777</v>
      </c>
      <c r="AD37" s="4">
        <f t="shared" si="2"/>
        <v>0</v>
      </c>
      <c r="AE37" s="4">
        <f t="shared" si="3"/>
        <v>0</v>
      </c>
      <c r="AF37" s="4">
        <f t="shared" si="4"/>
        <v>0</v>
      </c>
    </row>
    <row r="38" spans="1:32">
      <c r="AA38" s="4">
        <v>34</v>
      </c>
      <c r="AB38" s="4">
        <f t="shared" si="0"/>
        <v>9</v>
      </c>
      <c r="AC38" s="4">
        <f t="shared" si="1"/>
        <v>3</v>
      </c>
      <c r="AD38" s="4">
        <f t="shared" si="2"/>
        <v>0</v>
      </c>
      <c r="AE38" s="4">
        <f t="shared" si="3"/>
        <v>0</v>
      </c>
      <c r="AF38" s="4">
        <f t="shared" si="4"/>
        <v>0</v>
      </c>
    </row>
    <row r="39" spans="1:32">
      <c r="AA39" s="4">
        <v>35</v>
      </c>
      <c r="AB39" s="4">
        <f t="shared" si="0"/>
        <v>10</v>
      </c>
      <c r="AC39" s="4">
        <f t="shared" si="1"/>
        <v>4.166666666666667</v>
      </c>
      <c r="AD39" s="4">
        <f t="shared" si="2"/>
        <v>0.5</v>
      </c>
      <c r="AE39" s="4">
        <f t="shared" si="3"/>
        <v>0</v>
      </c>
      <c r="AF39" s="4">
        <f t="shared" si="4"/>
        <v>0</v>
      </c>
    </row>
    <row r="40" spans="1:32">
      <c r="AA40" s="4">
        <v>36</v>
      </c>
      <c r="AB40" s="4">
        <f t="shared" si="0"/>
        <v>11</v>
      </c>
      <c r="AC40" s="4">
        <f t="shared" si="1"/>
        <v>5.3333333333333339</v>
      </c>
      <c r="AD40" s="4">
        <f t="shared" si="2"/>
        <v>1</v>
      </c>
      <c r="AE40" s="4">
        <f t="shared" si="3"/>
        <v>0</v>
      </c>
      <c r="AF40" s="4">
        <f t="shared" si="4"/>
        <v>0</v>
      </c>
    </row>
    <row r="41" spans="1:32">
      <c r="AA41" s="4">
        <v>37</v>
      </c>
      <c r="AB41" s="4">
        <f t="shared" si="0"/>
        <v>12</v>
      </c>
      <c r="AC41" s="4">
        <f t="shared" si="1"/>
        <v>6.5</v>
      </c>
      <c r="AD41" s="4">
        <f t="shared" si="2"/>
        <v>1.5</v>
      </c>
      <c r="AE41" s="4">
        <f t="shared" si="3"/>
        <v>0</v>
      </c>
      <c r="AF41" s="4">
        <f t="shared" si="4"/>
        <v>0</v>
      </c>
    </row>
    <row r="42" spans="1:32">
      <c r="AA42" s="4">
        <v>38</v>
      </c>
      <c r="AB42" s="4">
        <f t="shared" si="0"/>
        <v>13</v>
      </c>
      <c r="AC42" s="4">
        <f t="shared" si="1"/>
        <v>7.666666666666667</v>
      </c>
      <c r="AD42" s="4">
        <f t="shared" si="2"/>
        <v>2</v>
      </c>
      <c r="AE42" s="4">
        <f t="shared" si="3"/>
        <v>0</v>
      </c>
      <c r="AF42" s="4">
        <f t="shared" si="4"/>
        <v>0</v>
      </c>
    </row>
    <row r="43" spans="1:32">
      <c r="AA43" s="4">
        <v>39</v>
      </c>
      <c r="AB43" s="4">
        <f t="shared" si="0"/>
        <v>14</v>
      </c>
      <c r="AC43" s="4">
        <f t="shared" si="1"/>
        <v>8.8333333333333339</v>
      </c>
      <c r="AD43" s="4">
        <f t="shared" si="2"/>
        <v>2.5</v>
      </c>
      <c r="AE43" s="4">
        <f t="shared" si="3"/>
        <v>0</v>
      </c>
      <c r="AF43" s="4">
        <f t="shared" si="4"/>
        <v>0</v>
      </c>
    </row>
    <row r="44" spans="1:32">
      <c r="AA44" s="4">
        <v>40</v>
      </c>
      <c r="AB44" s="4">
        <f t="shared" si="0"/>
        <v>15</v>
      </c>
      <c r="AC44" s="4">
        <f t="shared" si="1"/>
        <v>10</v>
      </c>
      <c r="AD44" s="4">
        <f t="shared" si="2"/>
        <v>3</v>
      </c>
      <c r="AE44" s="4">
        <f t="shared" si="3"/>
        <v>0</v>
      </c>
      <c r="AF44" s="4">
        <f t="shared" si="4"/>
        <v>0</v>
      </c>
    </row>
    <row r="45" spans="1:32">
      <c r="AA45" s="4">
        <v>41</v>
      </c>
      <c r="AB45" s="4">
        <f t="shared" si="0"/>
        <v>15.375</v>
      </c>
      <c r="AC45" s="4">
        <f t="shared" si="1"/>
        <v>11.375</v>
      </c>
      <c r="AD45" s="4">
        <f t="shared" si="2"/>
        <v>3.75</v>
      </c>
      <c r="AE45" s="4">
        <f t="shared" si="3"/>
        <v>0</v>
      </c>
      <c r="AF45" s="4">
        <f t="shared" si="4"/>
        <v>0</v>
      </c>
    </row>
    <row r="46" spans="1:32">
      <c r="AA46" s="4">
        <v>42</v>
      </c>
      <c r="AB46" s="4">
        <f t="shared" si="0"/>
        <v>15.75</v>
      </c>
      <c r="AC46" s="4">
        <f t="shared" si="1"/>
        <v>12.75</v>
      </c>
      <c r="AD46" s="4">
        <f t="shared" si="2"/>
        <v>4.5</v>
      </c>
      <c r="AE46" s="4">
        <f t="shared" si="3"/>
        <v>0</v>
      </c>
      <c r="AF46" s="4">
        <f t="shared" si="4"/>
        <v>0</v>
      </c>
    </row>
    <row r="47" spans="1:32">
      <c r="AA47" s="4">
        <v>43</v>
      </c>
      <c r="AB47" s="4">
        <f t="shared" si="0"/>
        <v>16.125</v>
      </c>
      <c r="AC47" s="4">
        <f t="shared" si="1"/>
        <v>14.125</v>
      </c>
      <c r="AD47" s="4">
        <f t="shared" si="2"/>
        <v>5.25</v>
      </c>
      <c r="AE47" s="4">
        <f t="shared" si="3"/>
        <v>0</v>
      </c>
      <c r="AF47" s="4">
        <f t="shared" si="4"/>
        <v>0</v>
      </c>
    </row>
    <row r="48" spans="1:32">
      <c r="AA48" s="4">
        <v>44</v>
      </c>
      <c r="AB48" s="4">
        <f t="shared" si="0"/>
        <v>16.5</v>
      </c>
      <c r="AC48" s="4">
        <f t="shared" si="1"/>
        <v>15.5</v>
      </c>
      <c r="AD48" s="4">
        <f t="shared" si="2"/>
        <v>6</v>
      </c>
      <c r="AE48" s="4">
        <f t="shared" si="3"/>
        <v>0</v>
      </c>
      <c r="AF48" s="4">
        <f t="shared" si="4"/>
        <v>0</v>
      </c>
    </row>
    <row r="49" spans="27:32">
      <c r="AA49" s="4">
        <v>45</v>
      </c>
      <c r="AB49" s="4">
        <f t="shared" si="0"/>
        <v>16.875</v>
      </c>
      <c r="AC49" s="4">
        <f t="shared" si="1"/>
        <v>16.875</v>
      </c>
      <c r="AD49" s="4">
        <f t="shared" si="2"/>
        <v>6.75</v>
      </c>
      <c r="AE49" s="4">
        <f t="shared" si="3"/>
        <v>0</v>
      </c>
      <c r="AF49" s="4">
        <f t="shared" si="4"/>
        <v>0</v>
      </c>
    </row>
    <row r="50" spans="27:32">
      <c r="AA50" s="4">
        <v>46</v>
      </c>
      <c r="AB50" s="4">
        <f t="shared" si="0"/>
        <v>17.25</v>
      </c>
      <c r="AC50" s="4">
        <f t="shared" si="1"/>
        <v>18.25</v>
      </c>
      <c r="AD50" s="4">
        <f t="shared" si="2"/>
        <v>7.5</v>
      </c>
      <c r="AE50" s="4">
        <f t="shared" si="3"/>
        <v>0</v>
      </c>
      <c r="AF50" s="4">
        <f t="shared" si="4"/>
        <v>0</v>
      </c>
    </row>
    <row r="51" spans="27:32">
      <c r="AA51" s="4">
        <v>47</v>
      </c>
      <c r="AB51" s="4">
        <f t="shared" si="0"/>
        <v>17.625</v>
      </c>
      <c r="AC51" s="4">
        <f t="shared" si="1"/>
        <v>19.625</v>
      </c>
      <c r="AD51" s="4">
        <f t="shared" si="2"/>
        <v>8.25</v>
      </c>
      <c r="AE51" s="4">
        <f t="shared" si="3"/>
        <v>0</v>
      </c>
      <c r="AF51" s="4">
        <f t="shared" si="4"/>
        <v>0</v>
      </c>
    </row>
    <row r="52" spans="27:32">
      <c r="AA52" s="4">
        <v>48</v>
      </c>
      <c r="AB52" s="4">
        <f t="shared" si="0"/>
        <v>18</v>
      </c>
      <c r="AC52" s="4">
        <f t="shared" si="1"/>
        <v>21</v>
      </c>
      <c r="AD52" s="4">
        <f t="shared" si="2"/>
        <v>9</v>
      </c>
      <c r="AE52" s="4">
        <f t="shared" si="3"/>
        <v>0</v>
      </c>
      <c r="AF52" s="4">
        <f t="shared" si="4"/>
        <v>0</v>
      </c>
    </row>
    <row r="53" spans="27:32">
      <c r="AA53" s="4">
        <v>49</v>
      </c>
      <c r="AB53" s="4">
        <f t="shared" si="0"/>
        <v>17.399999999999999</v>
      </c>
      <c r="AC53" s="4">
        <f t="shared" si="1"/>
        <v>22.8</v>
      </c>
      <c r="AD53" s="4">
        <f t="shared" si="2"/>
        <v>10.199999999999999</v>
      </c>
      <c r="AE53" s="4">
        <f t="shared" si="3"/>
        <v>0</v>
      </c>
      <c r="AF53" s="4">
        <f t="shared" si="4"/>
        <v>0</v>
      </c>
    </row>
    <row r="54" spans="27:32">
      <c r="AA54" s="4">
        <v>50</v>
      </c>
      <c r="AB54" s="4">
        <f t="shared" si="0"/>
        <v>16.8</v>
      </c>
      <c r="AC54" s="4">
        <f t="shared" si="1"/>
        <v>24.6</v>
      </c>
      <c r="AD54" s="4">
        <f t="shared" si="2"/>
        <v>11.4</v>
      </c>
      <c r="AE54" s="4">
        <f t="shared" si="3"/>
        <v>0</v>
      </c>
      <c r="AF54" s="4">
        <f t="shared" si="4"/>
        <v>0</v>
      </c>
    </row>
    <row r="55" spans="27:32">
      <c r="AA55" s="4">
        <v>51</v>
      </c>
      <c r="AB55" s="4">
        <f t="shared" si="0"/>
        <v>16.2</v>
      </c>
      <c r="AC55" s="4">
        <f t="shared" si="1"/>
        <v>26.4</v>
      </c>
      <c r="AD55" s="4">
        <f t="shared" si="2"/>
        <v>12.6</v>
      </c>
      <c r="AE55" s="4">
        <f t="shared" si="3"/>
        <v>0</v>
      </c>
      <c r="AF55" s="4">
        <f t="shared" si="4"/>
        <v>0</v>
      </c>
    </row>
    <row r="56" spans="27:32">
      <c r="AA56" s="4">
        <v>52</v>
      </c>
      <c r="AB56" s="4">
        <f t="shared" si="0"/>
        <v>15.6</v>
      </c>
      <c r="AC56" s="4">
        <f t="shared" si="1"/>
        <v>28.2</v>
      </c>
      <c r="AD56" s="4">
        <f t="shared" si="2"/>
        <v>13.8</v>
      </c>
      <c r="AE56" s="4">
        <f t="shared" si="3"/>
        <v>0</v>
      </c>
      <c r="AF56" s="4">
        <f t="shared" si="4"/>
        <v>0</v>
      </c>
    </row>
    <row r="57" spans="27:32">
      <c r="AA57" s="4">
        <v>53</v>
      </c>
      <c r="AB57" s="4">
        <f t="shared" si="0"/>
        <v>15</v>
      </c>
      <c r="AC57" s="4">
        <f t="shared" si="1"/>
        <v>30</v>
      </c>
      <c r="AD57" s="4">
        <f t="shared" si="2"/>
        <v>15</v>
      </c>
      <c r="AE57" s="4">
        <f t="shared" si="3"/>
        <v>0</v>
      </c>
      <c r="AF57" s="4">
        <f t="shared" si="4"/>
        <v>0</v>
      </c>
    </row>
    <row r="58" spans="27:32">
      <c r="AA58" s="4">
        <v>54</v>
      </c>
      <c r="AB58" s="4">
        <f t="shared" si="0"/>
        <v>15.2</v>
      </c>
      <c r="AC58" s="4">
        <f t="shared" si="1"/>
        <v>30.4</v>
      </c>
      <c r="AD58" s="4">
        <f t="shared" si="2"/>
        <v>15.866666666666667</v>
      </c>
      <c r="AE58" s="4">
        <f t="shared" si="3"/>
        <v>0.33333333333333331</v>
      </c>
      <c r="AF58" s="4">
        <f t="shared" si="4"/>
        <v>0</v>
      </c>
    </row>
    <row r="59" spans="27:32">
      <c r="AA59" s="4">
        <v>55</v>
      </c>
      <c r="AB59" s="4">
        <f t="shared" si="0"/>
        <v>15.4</v>
      </c>
      <c r="AC59" s="4">
        <f t="shared" si="1"/>
        <v>30.8</v>
      </c>
      <c r="AD59" s="4">
        <f t="shared" si="2"/>
        <v>16.733333333333334</v>
      </c>
      <c r="AE59" s="4">
        <f t="shared" si="3"/>
        <v>0.66666666666666663</v>
      </c>
      <c r="AF59" s="4">
        <f t="shared" si="4"/>
        <v>0</v>
      </c>
    </row>
    <row r="60" spans="27:32">
      <c r="AA60" s="4">
        <v>56</v>
      </c>
      <c r="AB60" s="4">
        <f t="shared" si="0"/>
        <v>15.6</v>
      </c>
      <c r="AC60" s="4">
        <f t="shared" si="1"/>
        <v>31.2</v>
      </c>
      <c r="AD60" s="4">
        <f t="shared" si="2"/>
        <v>17.600000000000001</v>
      </c>
      <c r="AE60" s="4">
        <f t="shared" si="3"/>
        <v>1</v>
      </c>
      <c r="AF60" s="4">
        <f t="shared" si="4"/>
        <v>0</v>
      </c>
    </row>
    <row r="61" spans="27:32">
      <c r="AA61" s="4">
        <v>57</v>
      </c>
      <c r="AB61" s="4">
        <f t="shared" si="0"/>
        <v>15.8</v>
      </c>
      <c r="AC61" s="4">
        <f t="shared" si="1"/>
        <v>31.6</v>
      </c>
      <c r="AD61" s="4">
        <f t="shared" si="2"/>
        <v>18.466666666666669</v>
      </c>
      <c r="AE61" s="4">
        <f t="shared" si="3"/>
        <v>1.3333333333333333</v>
      </c>
      <c r="AF61" s="4">
        <f t="shared" si="4"/>
        <v>0</v>
      </c>
    </row>
    <row r="62" spans="27:32">
      <c r="AA62" s="4">
        <v>58</v>
      </c>
      <c r="AB62" s="4">
        <f t="shared" si="0"/>
        <v>16</v>
      </c>
      <c r="AC62" s="4">
        <f t="shared" si="1"/>
        <v>32</v>
      </c>
      <c r="AD62" s="4">
        <f t="shared" si="2"/>
        <v>19.333333333333336</v>
      </c>
      <c r="AE62" s="4">
        <f t="shared" si="3"/>
        <v>1.6666666666666665</v>
      </c>
      <c r="AF62" s="4">
        <f t="shared" si="4"/>
        <v>0</v>
      </c>
    </row>
    <row r="63" spans="27:32">
      <c r="AA63" s="4">
        <v>59</v>
      </c>
      <c r="AB63" s="4">
        <f t="shared" si="0"/>
        <v>16.2</v>
      </c>
      <c r="AC63" s="4">
        <f t="shared" si="1"/>
        <v>32.4</v>
      </c>
      <c r="AD63" s="4">
        <f t="shared" si="2"/>
        <v>20.2</v>
      </c>
      <c r="AE63" s="4">
        <f t="shared" si="3"/>
        <v>2</v>
      </c>
      <c r="AF63" s="4">
        <f t="shared" si="4"/>
        <v>0</v>
      </c>
    </row>
    <row r="64" spans="27:32">
      <c r="AA64" s="4">
        <v>60</v>
      </c>
      <c r="AB64" s="4">
        <f t="shared" si="0"/>
        <v>16.399999999999999</v>
      </c>
      <c r="AC64" s="4">
        <f t="shared" si="1"/>
        <v>32.799999999999997</v>
      </c>
      <c r="AD64" s="4">
        <f t="shared" si="2"/>
        <v>21.066666666666666</v>
      </c>
      <c r="AE64" s="4">
        <f t="shared" si="3"/>
        <v>2.333333333333333</v>
      </c>
      <c r="AF64" s="4">
        <f t="shared" si="4"/>
        <v>0</v>
      </c>
    </row>
    <row r="65" spans="27:32">
      <c r="AA65" s="4">
        <v>61</v>
      </c>
      <c r="AB65" s="4">
        <f t="shared" si="0"/>
        <v>16.600000000000001</v>
      </c>
      <c r="AC65" s="4">
        <f t="shared" si="1"/>
        <v>33.200000000000003</v>
      </c>
      <c r="AD65" s="4">
        <f t="shared" si="2"/>
        <v>21.933333333333334</v>
      </c>
      <c r="AE65" s="4">
        <f t="shared" si="3"/>
        <v>2.6666666666666665</v>
      </c>
      <c r="AF65" s="4">
        <f t="shared" si="4"/>
        <v>0</v>
      </c>
    </row>
    <row r="66" spans="27:32">
      <c r="AA66" s="4">
        <v>62</v>
      </c>
      <c r="AB66" s="4">
        <f t="shared" si="0"/>
        <v>16.8</v>
      </c>
      <c r="AC66" s="4">
        <f t="shared" si="1"/>
        <v>33.6</v>
      </c>
      <c r="AD66" s="4">
        <f t="shared" si="2"/>
        <v>22.8</v>
      </c>
      <c r="AE66" s="4">
        <f t="shared" si="3"/>
        <v>3</v>
      </c>
      <c r="AF66" s="4">
        <f t="shared" si="4"/>
        <v>0</v>
      </c>
    </row>
    <row r="67" spans="27:32">
      <c r="AA67" s="4">
        <v>63</v>
      </c>
      <c r="AB67" s="4">
        <f t="shared" si="0"/>
        <v>17</v>
      </c>
      <c r="AC67" s="4">
        <f t="shared" si="1"/>
        <v>34</v>
      </c>
      <c r="AD67" s="4">
        <f t="shared" si="2"/>
        <v>23.666666666666668</v>
      </c>
      <c r="AE67" s="4">
        <f t="shared" si="3"/>
        <v>3.333333333333333</v>
      </c>
      <c r="AF67" s="4">
        <f t="shared" si="4"/>
        <v>0</v>
      </c>
    </row>
    <row r="68" spans="27:32">
      <c r="AA68" s="4">
        <v>64</v>
      </c>
      <c r="AB68" s="4">
        <f t="shared" si="0"/>
        <v>17.2</v>
      </c>
      <c r="AC68" s="4">
        <f t="shared" si="1"/>
        <v>34.4</v>
      </c>
      <c r="AD68" s="4">
        <f t="shared" si="2"/>
        <v>24.533333333333331</v>
      </c>
      <c r="AE68" s="4">
        <f t="shared" si="3"/>
        <v>3.6666666666666665</v>
      </c>
      <c r="AF68" s="4">
        <f t="shared" si="4"/>
        <v>0</v>
      </c>
    </row>
    <row r="69" spans="27:32">
      <c r="AA69" s="4">
        <v>65</v>
      </c>
      <c r="AB69" s="4">
        <f t="shared" si="0"/>
        <v>17.399999999999999</v>
      </c>
      <c r="AC69" s="4">
        <f t="shared" si="1"/>
        <v>34.799999999999997</v>
      </c>
      <c r="AD69" s="4">
        <f t="shared" si="2"/>
        <v>25.4</v>
      </c>
      <c r="AE69" s="4">
        <f t="shared" si="3"/>
        <v>4</v>
      </c>
      <c r="AF69" s="4">
        <f t="shared" si="4"/>
        <v>0</v>
      </c>
    </row>
    <row r="70" spans="27:32">
      <c r="AA70" s="4">
        <v>66</v>
      </c>
      <c r="AB70" s="4">
        <f t="shared" ref="AB70:AB104" si="12">求节点($Q$8:$Q$14,S$8:S$14,$AA70)</f>
        <v>17.600000000000001</v>
      </c>
      <c r="AC70" s="4">
        <f t="shared" ref="AC70:AC104" si="13">求节点($Q$8:$Q$14,T$8:T$14,$AA70)</f>
        <v>35.200000000000003</v>
      </c>
      <c r="AD70" s="4">
        <f t="shared" ref="AD70:AD104" si="14">求节点($Q$8:$Q$14,U$8:U$14,$AA70)</f>
        <v>26.266666666666666</v>
      </c>
      <c r="AE70" s="4">
        <f t="shared" ref="AE70:AE104" si="15">求节点($Q$8:$Q$14,V$8:V$14,$AA70)</f>
        <v>4.333333333333333</v>
      </c>
      <c r="AF70" s="4">
        <f t="shared" ref="AF70:AF104" si="16">求节点($Q$8:$Q$14,W$8:W$14,$AA70)</f>
        <v>0</v>
      </c>
    </row>
    <row r="71" spans="27:32">
      <c r="AA71" s="4">
        <v>67</v>
      </c>
      <c r="AB71" s="4">
        <f t="shared" si="12"/>
        <v>17.8</v>
      </c>
      <c r="AC71" s="4">
        <f t="shared" si="13"/>
        <v>35.6</v>
      </c>
      <c r="AD71" s="4">
        <f t="shared" si="14"/>
        <v>27.133333333333333</v>
      </c>
      <c r="AE71" s="4">
        <f t="shared" si="15"/>
        <v>4.6666666666666661</v>
      </c>
      <c r="AF71" s="4">
        <f t="shared" si="16"/>
        <v>0</v>
      </c>
    </row>
    <row r="72" spans="27:32">
      <c r="AA72" s="4">
        <v>68</v>
      </c>
      <c r="AB72" s="4">
        <f t="shared" si="12"/>
        <v>18</v>
      </c>
      <c r="AC72" s="4">
        <f t="shared" si="13"/>
        <v>36</v>
      </c>
      <c r="AD72" s="4">
        <f t="shared" si="14"/>
        <v>28</v>
      </c>
      <c r="AE72" s="4">
        <f t="shared" si="15"/>
        <v>5</v>
      </c>
      <c r="AF72" s="4">
        <f t="shared" si="16"/>
        <v>0</v>
      </c>
    </row>
    <row r="73" spans="27:32">
      <c r="AA73" s="4">
        <v>69</v>
      </c>
      <c r="AB73" s="4">
        <f t="shared" si="12"/>
        <v>18.9375</v>
      </c>
      <c r="AC73" s="4">
        <f t="shared" si="13"/>
        <v>37.875</v>
      </c>
      <c r="AD73" s="4">
        <f t="shared" si="14"/>
        <v>28.9375</v>
      </c>
      <c r="AE73" s="4">
        <f t="shared" si="15"/>
        <v>6.25</v>
      </c>
      <c r="AF73" s="4">
        <f t="shared" si="16"/>
        <v>0.4375</v>
      </c>
    </row>
    <row r="74" spans="27:32">
      <c r="AA74" s="4">
        <v>70</v>
      </c>
      <c r="AB74" s="4">
        <f t="shared" si="12"/>
        <v>19.875</v>
      </c>
      <c r="AC74" s="4">
        <f t="shared" si="13"/>
        <v>39.75</v>
      </c>
      <c r="AD74" s="4">
        <f t="shared" si="14"/>
        <v>29.875</v>
      </c>
      <c r="AE74" s="4">
        <f t="shared" si="15"/>
        <v>7.5</v>
      </c>
      <c r="AF74" s="4">
        <f t="shared" si="16"/>
        <v>0.875</v>
      </c>
    </row>
    <row r="75" spans="27:32">
      <c r="AA75" s="4">
        <v>71</v>
      </c>
      <c r="AB75" s="4">
        <f t="shared" si="12"/>
        <v>20.8125</v>
      </c>
      <c r="AC75" s="4">
        <f t="shared" si="13"/>
        <v>41.625</v>
      </c>
      <c r="AD75" s="4">
        <f t="shared" si="14"/>
        <v>30.8125</v>
      </c>
      <c r="AE75" s="4">
        <f t="shared" si="15"/>
        <v>8.75</v>
      </c>
      <c r="AF75" s="4">
        <f t="shared" si="16"/>
        <v>1.3125</v>
      </c>
    </row>
    <row r="76" spans="27:32">
      <c r="AA76" s="4">
        <v>72</v>
      </c>
      <c r="AB76" s="4">
        <f t="shared" si="12"/>
        <v>21.75</v>
      </c>
      <c r="AC76" s="4">
        <f t="shared" si="13"/>
        <v>43.5</v>
      </c>
      <c r="AD76" s="4">
        <f t="shared" si="14"/>
        <v>31.75</v>
      </c>
      <c r="AE76" s="4">
        <f t="shared" si="15"/>
        <v>10</v>
      </c>
      <c r="AF76" s="4">
        <f t="shared" si="16"/>
        <v>1.75</v>
      </c>
    </row>
    <row r="77" spans="27:32">
      <c r="AA77" s="4">
        <v>73</v>
      </c>
      <c r="AB77" s="4">
        <f t="shared" si="12"/>
        <v>22.6875</v>
      </c>
      <c r="AC77" s="4">
        <f t="shared" si="13"/>
        <v>45.375</v>
      </c>
      <c r="AD77" s="4">
        <f t="shared" si="14"/>
        <v>32.6875</v>
      </c>
      <c r="AE77" s="4">
        <f t="shared" si="15"/>
        <v>11.25</v>
      </c>
      <c r="AF77" s="4">
        <f t="shared" si="16"/>
        <v>2.1875</v>
      </c>
    </row>
    <row r="78" spans="27:32">
      <c r="AA78" s="4">
        <v>74</v>
      </c>
      <c r="AB78" s="4">
        <f t="shared" si="12"/>
        <v>23.625</v>
      </c>
      <c r="AC78" s="4">
        <f t="shared" si="13"/>
        <v>47.25</v>
      </c>
      <c r="AD78" s="4">
        <f t="shared" si="14"/>
        <v>33.625</v>
      </c>
      <c r="AE78" s="4">
        <f t="shared" si="15"/>
        <v>12.5</v>
      </c>
      <c r="AF78" s="4">
        <f t="shared" si="16"/>
        <v>2.625</v>
      </c>
    </row>
    <row r="79" spans="27:32">
      <c r="AA79" s="4">
        <v>75</v>
      </c>
      <c r="AB79" s="4">
        <f t="shared" si="12"/>
        <v>24.5625</v>
      </c>
      <c r="AC79" s="4">
        <f t="shared" si="13"/>
        <v>49.125</v>
      </c>
      <c r="AD79" s="4">
        <f t="shared" si="14"/>
        <v>34.5625</v>
      </c>
      <c r="AE79" s="4">
        <f t="shared" si="15"/>
        <v>13.75</v>
      </c>
      <c r="AF79" s="4">
        <f t="shared" si="16"/>
        <v>3.0625</v>
      </c>
    </row>
    <row r="80" spans="27:32">
      <c r="AA80" s="4">
        <v>76</v>
      </c>
      <c r="AB80" s="4">
        <f t="shared" si="12"/>
        <v>25.5</v>
      </c>
      <c r="AC80" s="4">
        <f t="shared" si="13"/>
        <v>51</v>
      </c>
      <c r="AD80" s="4">
        <f t="shared" si="14"/>
        <v>35.5</v>
      </c>
      <c r="AE80" s="4">
        <f t="shared" si="15"/>
        <v>15</v>
      </c>
      <c r="AF80" s="4">
        <f t="shared" si="16"/>
        <v>3.5</v>
      </c>
    </row>
    <row r="81" spans="27:32">
      <c r="AA81" s="4">
        <v>77</v>
      </c>
      <c r="AB81" s="4">
        <f t="shared" si="12"/>
        <v>26.4375</v>
      </c>
      <c r="AC81" s="4">
        <f t="shared" si="13"/>
        <v>52.875</v>
      </c>
      <c r="AD81" s="4">
        <f t="shared" si="14"/>
        <v>36.4375</v>
      </c>
      <c r="AE81" s="4">
        <f t="shared" si="15"/>
        <v>16.25</v>
      </c>
      <c r="AF81" s="4">
        <f t="shared" si="16"/>
        <v>3.9375</v>
      </c>
    </row>
    <row r="82" spans="27:32">
      <c r="AA82" s="4">
        <v>78</v>
      </c>
      <c r="AB82" s="4">
        <f t="shared" si="12"/>
        <v>27.375</v>
      </c>
      <c r="AC82" s="4">
        <f t="shared" si="13"/>
        <v>54.75</v>
      </c>
      <c r="AD82" s="4">
        <f t="shared" si="14"/>
        <v>37.375</v>
      </c>
      <c r="AE82" s="4">
        <f t="shared" si="15"/>
        <v>17.5</v>
      </c>
      <c r="AF82" s="4">
        <f t="shared" si="16"/>
        <v>4.375</v>
      </c>
    </row>
    <row r="83" spans="27:32">
      <c r="AA83" s="4">
        <v>79</v>
      </c>
      <c r="AB83" s="4">
        <f t="shared" si="12"/>
        <v>28.3125</v>
      </c>
      <c r="AC83" s="4">
        <f t="shared" si="13"/>
        <v>56.625</v>
      </c>
      <c r="AD83" s="4">
        <f t="shared" si="14"/>
        <v>38.3125</v>
      </c>
      <c r="AE83" s="4">
        <f t="shared" si="15"/>
        <v>18.75</v>
      </c>
      <c r="AF83" s="4">
        <f t="shared" si="16"/>
        <v>4.8125</v>
      </c>
    </row>
    <row r="84" spans="27:32">
      <c r="AA84" s="4">
        <v>80</v>
      </c>
      <c r="AB84" s="4">
        <f t="shared" si="12"/>
        <v>29.25</v>
      </c>
      <c r="AC84" s="4">
        <f t="shared" si="13"/>
        <v>58.5</v>
      </c>
      <c r="AD84" s="4">
        <f t="shared" si="14"/>
        <v>39.25</v>
      </c>
      <c r="AE84" s="4">
        <f t="shared" si="15"/>
        <v>20</v>
      </c>
      <c r="AF84" s="4">
        <f t="shared" si="16"/>
        <v>5.25</v>
      </c>
    </row>
    <row r="85" spans="27:32">
      <c r="AA85" s="4">
        <v>81</v>
      </c>
      <c r="AB85" s="4">
        <f t="shared" si="12"/>
        <v>30.1875</v>
      </c>
      <c r="AC85" s="4">
        <f t="shared" si="13"/>
        <v>60.375</v>
      </c>
      <c r="AD85" s="4">
        <f t="shared" si="14"/>
        <v>40.1875</v>
      </c>
      <c r="AE85" s="4">
        <f t="shared" si="15"/>
        <v>21.25</v>
      </c>
      <c r="AF85" s="4">
        <f t="shared" si="16"/>
        <v>5.6875</v>
      </c>
    </row>
    <row r="86" spans="27:32">
      <c r="AA86" s="4">
        <v>82</v>
      </c>
      <c r="AB86" s="4">
        <f t="shared" si="12"/>
        <v>31.125</v>
      </c>
      <c r="AC86" s="4">
        <f t="shared" si="13"/>
        <v>62.25</v>
      </c>
      <c r="AD86" s="4">
        <f t="shared" si="14"/>
        <v>41.125</v>
      </c>
      <c r="AE86" s="4">
        <f t="shared" si="15"/>
        <v>22.5</v>
      </c>
      <c r="AF86" s="4">
        <f t="shared" si="16"/>
        <v>6.125</v>
      </c>
    </row>
    <row r="87" spans="27:32">
      <c r="AA87" s="4">
        <v>83</v>
      </c>
      <c r="AB87" s="4">
        <f t="shared" si="12"/>
        <v>32.0625</v>
      </c>
      <c r="AC87" s="4">
        <f t="shared" si="13"/>
        <v>64.125</v>
      </c>
      <c r="AD87" s="4">
        <f t="shared" si="14"/>
        <v>42.0625</v>
      </c>
      <c r="AE87" s="4">
        <f t="shared" si="15"/>
        <v>23.75</v>
      </c>
      <c r="AF87" s="4">
        <f t="shared" si="16"/>
        <v>6.5625</v>
      </c>
    </row>
    <row r="88" spans="27:32">
      <c r="AA88" s="4">
        <v>84</v>
      </c>
      <c r="AB88" s="4">
        <f t="shared" si="12"/>
        <v>33</v>
      </c>
      <c r="AC88" s="4">
        <f t="shared" si="13"/>
        <v>66</v>
      </c>
      <c r="AD88" s="4">
        <f t="shared" si="14"/>
        <v>43</v>
      </c>
      <c r="AE88" s="4">
        <f t="shared" si="15"/>
        <v>25</v>
      </c>
      <c r="AF88" s="4">
        <f t="shared" si="16"/>
        <v>7</v>
      </c>
    </row>
    <row r="89" spans="27:32">
      <c r="AA89" s="4">
        <v>85</v>
      </c>
      <c r="AB89" s="4">
        <f t="shared" si="12"/>
        <v>33</v>
      </c>
      <c r="AC89" s="4">
        <f t="shared" si="13"/>
        <v>66</v>
      </c>
      <c r="AD89" s="4">
        <f t="shared" si="14"/>
        <v>43</v>
      </c>
      <c r="AE89" s="4">
        <f t="shared" si="15"/>
        <v>25</v>
      </c>
      <c r="AF89" s="4">
        <f t="shared" si="16"/>
        <v>7</v>
      </c>
    </row>
    <row r="90" spans="27:32">
      <c r="AA90" s="4">
        <v>86</v>
      </c>
      <c r="AB90" s="4">
        <f t="shared" si="12"/>
        <v>33</v>
      </c>
      <c r="AC90" s="4">
        <f t="shared" si="13"/>
        <v>66</v>
      </c>
      <c r="AD90" s="4">
        <f t="shared" si="14"/>
        <v>43</v>
      </c>
      <c r="AE90" s="4">
        <f t="shared" si="15"/>
        <v>25</v>
      </c>
      <c r="AF90" s="4">
        <f t="shared" si="16"/>
        <v>7</v>
      </c>
    </row>
    <row r="91" spans="27:32">
      <c r="AA91" s="4">
        <v>87</v>
      </c>
      <c r="AB91" s="4">
        <f t="shared" si="12"/>
        <v>33</v>
      </c>
      <c r="AC91" s="4">
        <f t="shared" si="13"/>
        <v>66</v>
      </c>
      <c r="AD91" s="4">
        <f t="shared" si="14"/>
        <v>43</v>
      </c>
      <c r="AE91" s="4">
        <f t="shared" si="15"/>
        <v>25</v>
      </c>
      <c r="AF91" s="4">
        <f t="shared" si="16"/>
        <v>7</v>
      </c>
    </row>
    <row r="92" spans="27:32">
      <c r="AA92" s="4">
        <v>88</v>
      </c>
      <c r="AB92" s="4">
        <f t="shared" si="12"/>
        <v>33</v>
      </c>
      <c r="AC92" s="4">
        <f t="shared" si="13"/>
        <v>66</v>
      </c>
      <c r="AD92" s="4">
        <f t="shared" si="14"/>
        <v>43</v>
      </c>
      <c r="AE92" s="4">
        <f t="shared" si="15"/>
        <v>25</v>
      </c>
      <c r="AF92" s="4">
        <f t="shared" si="16"/>
        <v>7</v>
      </c>
    </row>
    <row r="93" spans="27:32">
      <c r="AA93" s="4">
        <v>89</v>
      </c>
      <c r="AB93" s="4">
        <f t="shared" si="12"/>
        <v>33</v>
      </c>
      <c r="AC93" s="4">
        <f t="shared" si="13"/>
        <v>66</v>
      </c>
      <c r="AD93" s="4">
        <f t="shared" si="14"/>
        <v>43</v>
      </c>
      <c r="AE93" s="4">
        <f t="shared" si="15"/>
        <v>25</v>
      </c>
      <c r="AF93" s="4">
        <f t="shared" si="16"/>
        <v>7</v>
      </c>
    </row>
    <row r="94" spans="27:32">
      <c r="AA94" s="4">
        <v>90</v>
      </c>
      <c r="AB94" s="4">
        <f t="shared" si="12"/>
        <v>33</v>
      </c>
      <c r="AC94" s="4">
        <f t="shared" si="13"/>
        <v>66</v>
      </c>
      <c r="AD94" s="4">
        <f t="shared" si="14"/>
        <v>43</v>
      </c>
      <c r="AE94" s="4">
        <f t="shared" si="15"/>
        <v>25</v>
      </c>
      <c r="AF94" s="4">
        <f t="shared" si="16"/>
        <v>7</v>
      </c>
    </row>
    <row r="95" spans="27:32">
      <c r="AA95" s="4">
        <v>91</v>
      </c>
      <c r="AB95" s="4">
        <f t="shared" si="12"/>
        <v>33</v>
      </c>
      <c r="AC95" s="4">
        <f t="shared" si="13"/>
        <v>66</v>
      </c>
      <c r="AD95" s="4">
        <f t="shared" si="14"/>
        <v>43</v>
      </c>
      <c r="AE95" s="4">
        <f t="shared" si="15"/>
        <v>25</v>
      </c>
      <c r="AF95" s="4">
        <f t="shared" si="16"/>
        <v>7</v>
      </c>
    </row>
    <row r="96" spans="27:32">
      <c r="AA96" s="4">
        <v>92</v>
      </c>
      <c r="AB96" s="4">
        <f t="shared" si="12"/>
        <v>33</v>
      </c>
      <c r="AC96" s="4">
        <f t="shared" si="13"/>
        <v>66</v>
      </c>
      <c r="AD96" s="4">
        <f t="shared" si="14"/>
        <v>43</v>
      </c>
      <c r="AE96" s="4">
        <f t="shared" si="15"/>
        <v>25</v>
      </c>
      <c r="AF96" s="4">
        <f t="shared" si="16"/>
        <v>7</v>
      </c>
    </row>
    <row r="97" spans="27:32">
      <c r="AA97" s="4">
        <v>93</v>
      </c>
      <c r="AB97" s="4">
        <f t="shared" si="12"/>
        <v>33</v>
      </c>
      <c r="AC97" s="4">
        <f t="shared" si="13"/>
        <v>66</v>
      </c>
      <c r="AD97" s="4">
        <f t="shared" si="14"/>
        <v>43</v>
      </c>
      <c r="AE97" s="4">
        <f t="shared" si="15"/>
        <v>25</v>
      </c>
      <c r="AF97" s="4">
        <f t="shared" si="16"/>
        <v>7</v>
      </c>
    </row>
    <row r="98" spans="27:32">
      <c r="AA98" s="4">
        <v>94</v>
      </c>
      <c r="AB98" s="4">
        <f t="shared" si="12"/>
        <v>33</v>
      </c>
      <c r="AC98" s="4">
        <f t="shared" si="13"/>
        <v>66</v>
      </c>
      <c r="AD98" s="4">
        <f t="shared" si="14"/>
        <v>43</v>
      </c>
      <c r="AE98" s="4">
        <f t="shared" si="15"/>
        <v>25</v>
      </c>
      <c r="AF98" s="4">
        <f t="shared" si="16"/>
        <v>7</v>
      </c>
    </row>
    <row r="99" spans="27:32">
      <c r="AA99" s="4">
        <v>95</v>
      </c>
      <c r="AB99" s="4">
        <f t="shared" si="12"/>
        <v>33</v>
      </c>
      <c r="AC99" s="4">
        <f t="shared" si="13"/>
        <v>66</v>
      </c>
      <c r="AD99" s="4">
        <f t="shared" si="14"/>
        <v>43</v>
      </c>
      <c r="AE99" s="4">
        <f t="shared" si="15"/>
        <v>25</v>
      </c>
      <c r="AF99" s="4">
        <f t="shared" si="16"/>
        <v>7</v>
      </c>
    </row>
    <row r="100" spans="27:32">
      <c r="AA100" s="4">
        <v>96</v>
      </c>
      <c r="AB100" s="4">
        <f t="shared" si="12"/>
        <v>33</v>
      </c>
      <c r="AC100" s="4">
        <f t="shared" si="13"/>
        <v>66</v>
      </c>
      <c r="AD100" s="4">
        <f t="shared" si="14"/>
        <v>43</v>
      </c>
      <c r="AE100" s="4">
        <f t="shared" si="15"/>
        <v>25</v>
      </c>
      <c r="AF100" s="4">
        <f t="shared" si="16"/>
        <v>7</v>
      </c>
    </row>
    <row r="101" spans="27:32">
      <c r="AA101" s="4">
        <v>97</v>
      </c>
      <c r="AB101" s="4">
        <f t="shared" si="12"/>
        <v>33</v>
      </c>
      <c r="AC101" s="4">
        <f t="shared" si="13"/>
        <v>66</v>
      </c>
      <c r="AD101" s="4">
        <f t="shared" si="14"/>
        <v>43</v>
      </c>
      <c r="AE101" s="4">
        <f t="shared" si="15"/>
        <v>25</v>
      </c>
      <c r="AF101" s="4">
        <f t="shared" si="16"/>
        <v>7</v>
      </c>
    </row>
    <row r="102" spans="27:32">
      <c r="AA102" s="4">
        <v>98</v>
      </c>
      <c r="AB102" s="4">
        <f t="shared" si="12"/>
        <v>33</v>
      </c>
      <c r="AC102" s="4">
        <f t="shared" si="13"/>
        <v>66</v>
      </c>
      <c r="AD102" s="4">
        <f t="shared" si="14"/>
        <v>43</v>
      </c>
      <c r="AE102" s="4">
        <f t="shared" si="15"/>
        <v>25</v>
      </c>
      <c r="AF102" s="4">
        <f t="shared" si="16"/>
        <v>7</v>
      </c>
    </row>
    <row r="103" spans="27:32">
      <c r="AA103" s="4">
        <v>99</v>
      </c>
      <c r="AB103" s="4">
        <f t="shared" si="12"/>
        <v>33</v>
      </c>
      <c r="AC103" s="4">
        <f t="shared" si="13"/>
        <v>66</v>
      </c>
      <c r="AD103" s="4">
        <f t="shared" si="14"/>
        <v>43</v>
      </c>
      <c r="AE103" s="4">
        <f t="shared" si="15"/>
        <v>25</v>
      </c>
      <c r="AF103" s="4">
        <f t="shared" si="16"/>
        <v>7</v>
      </c>
    </row>
    <row r="104" spans="27:32">
      <c r="AA104" s="4">
        <v>100</v>
      </c>
      <c r="AB104" s="4">
        <f t="shared" si="12"/>
        <v>33</v>
      </c>
      <c r="AC104" s="4">
        <f t="shared" si="13"/>
        <v>66</v>
      </c>
      <c r="AD104" s="4">
        <f t="shared" si="14"/>
        <v>43</v>
      </c>
      <c r="AE104" s="4">
        <f t="shared" si="15"/>
        <v>25</v>
      </c>
      <c r="AF104" s="4">
        <f t="shared" si="16"/>
        <v>7</v>
      </c>
    </row>
  </sheetData>
  <mergeCells count="7">
    <mergeCell ref="S6:W6"/>
    <mergeCell ref="F25:G25"/>
    <mergeCell ref="AB3:AF3"/>
    <mergeCell ref="C25:D25"/>
    <mergeCell ref="L6:M6"/>
    <mergeCell ref="O6:P6"/>
    <mergeCell ref="X6:Y6"/>
  </mergeCells>
  <phoneticPr fontId="1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"/>
  <dimension ref="B2:AM185"/>
  <sheetViews>
    <sheetView workbookViewId="0">
      <selection activeCell="E10" sqref="E10"/>
    </sheetView>
  </sheetViews>
  <sheetFormatPr defaultColWidth="9" defaultRowHeight="11.25"/>
  <cols>
    <col min="1" max="23" width="9" style="1"/>
    <col min="24" max="25" width="9" style="7"/>
    <col min="26" max="16384" width="9" style="1"/>
  </cols>
  <sheetData>
    <row r="2" spans="2:39">
      <c r="J2" s="1" t="s">
        <v>41</v>
      </c>
      <c r="X2" s="1"/>
      <c r="Y2" s="1"/>
    </row>
    <row r="3" spans="2:39">
      <c r="P3" s="1" t="s">
        <v>43</v>
      </c>
      <c r="Q3" s="1" t="s">
        <v>31</v>
      </c>
      <c r="R3" s="1" t="s">
        <v>32</v>
      </c>
      <c r="S3" s="1" t="s">
        <v>33</v>
      </c>
      <c r="T3" s="1" t="s">
        <v>42</v>
      </c>
      <c r="U3" s="1" t="s">
        <v>34</v>
      </c>
      <c r="X3" s="1"/>
      <c r="Y3" s="1"/>
      <c r="AB3" s="1" t="s">
        <v>44</v>
      </c>
      <c r="AC3" s="1" t="s">
        <v>45</v>
      </c>
      <c r="AD3" s="163" t="s">
        <v>46</v>
      </c>
      <c r="AE3" s="163"/>
      <c r="AF3" s="163"/>
      <c r="AG3" s="163"/>
      <c r="AH3" s="1" t="s">
        <v>54</v>
      </c>
      <c r="AJ3" s="1" t="s">
        <v>24</v>
      </c>
      <c r="AK3" s="1" t="s">
        <v>62</v>
      </c>
      <c r="AL3" s="1" t="s">
        <v>72</v>
      </c>
      <c r="AM3" s="1" t="s">
        <v>73</v>
      </c>
    </row>
    <row r="4" spans="2:39">
      <c r="I4" s="1" t="s">
        <v>24</v>
      </c>
      <c r="J4" s="1" t="s">
        <v>25</v>
      </c>
      <c r="K4" s="1" t="s">
        <v>26</v>
      </c>
      <c r="L4" s="1" t="s">
        <v>27</v>
      </c>
      <c r="M4" s="1" t="s">
        <v>28</v>
      </c>
      <c r="N4" s="1" t="s">
        <v>29</v>
      </c>
      <c r="P4" s="1">
        <v>1</v>
      </c>
      <c r="Q4" s="1">
        <f t="shared" ref="Q4:U7" si="0">$P4*C$12</f>
        <v>0</v>
      </c>
      <c r="R4" s="1">
        <f t="shared" si="0"/>
        <v>0</v>
      </c>
      <c r="S4" s="1">
        <f t="shared" si="0"/>
        <v>0</v>
      </c>
      <c r="T4" s="1">
        <f t="shared" si="0"/>
        <v>0</v>
      </c>
      <c r="U4" s="1">
        <f t="shared" si="0"/>
        <v>0</v>
      </c>
      <c r="X4" s="1"/>
      <c r="Y4" s="1"/>
      <c r="AB4" s="1">
        <v>0</v>
      </c>
      <c r="AC4" s="1">
        <v>0</v>
      </c>
      <c r="AH4" s="1">
        <v>0</v>
      </c>
      <c r="AJ4" s="1">
        <v>1</v>
      </c>
      <c r="AK4" s="1">
        <f>求节点($AC$4:$AC$17,$AH$4:$AH$17,AJ4)</f>
        <v>81.25</v>
      </c>
      <c r="AL4" s="1">
        <f>IF(AJ4&lt;=$AC$26,求节点($AC$21:$AC$26,$AH$21:$AH$26,AJ4),$AH$26)</f>
        <v>0.3125</v>
      </c>
      <c r="AM4" s="1">
        <f>AK4+AL4</f>
        <v>81.5625</v>
      </c>
    </row>
    <row r="5" spans="2:39">
      <c r="C5" s="6"/>
      <c r="D5" s="6"/>
      <c r="E5" s="6"/>
      <c r="F5" s="6"/>
      <c r="I5" s="1">
        <v>1</v>
      </c>
      <c r="J5" s="1">
        <f t="shared" ref="J5:J24" si="1">C$7+C$8*$I5</f>
        <v>15</v>
      </c>
      <c r="K5" s="1">
        <f t="shared" ref="K5:K24" si="2">D$7+D$8*$I5</f>
        <v>30</v>
      </c>
      <c r="L5" s="1">
        <f t="shared" ref="L5:L24" si="3">E$7+E$8*$I5</f>
        <v>45</v>
      </c>
      <c r="M5" s="1">
        <f t="shared" ref="M5:M24" si="4">F$7+F$8*$I5</f>
        <v>60</v>
      </c>
      <c r="N5" s="1">
        <f t="shared" ref="N5:N24" si="5">G$7+G$8*$I5</f>
        <v>75</v>
      </c>
      <c r="P5" s="1">
        <v>2</v>
      </c>
      <c r="Q5" s="1">
        <f t="shared" si="0"/>
        <v>0</v>
      </c>
      <c r="R5" s="1">
        <f t="shared" si="0"/>
        <v>0</v>
      </c>
      <c r="S5" s="1">
        <f t="shared" si="0"/>
        <v>0</v>
      </c>
      <c r="T5" s="1">
        <f t="shared" si="0"/>
        <v>0</v>
      </c>
      <c r="U5" s="1">
        <f t="shared" si="0"/>
        <v>0</v>
      </c>
      <c r="X5" s="1"/>
      <c r="Y5" s="1"/>
      <c r="AB5" s="1" t="s">
        <v>7</v>
      </c>
      <c r="AC5" s="1">
        <v>8</v>
      </c>
      <c r="AD5" s="1" t="s">
        <v>33</v>
      </c>
      <c r="AE5" s="1">
        <v>1</v>
      </c>
      <c r="AF5" s="1" t="s">
        <v>32</v>
      </c>
      <c r="AG5" s="1">
        <v>5</v>
      </c>
      <c r="AH5" s="1">
        <f>IFERROR(INDEX($J:$N,MATCH(AC5,$I:$I,0),MATCH(AD5,$J$4:$N$4,0))*AE5+INDEX($J:$N,MATCH(AC5,$I:$I,0),MATCH(AF5,$J$4:$N$4,0))*AG5,INDEX($J:$N,MATCH(AC5,$I:$I,0),MATCH(AD5,$J$4:$N$4,0))*AE5)</f>
        <v>650</v>
      </c>
      <c r="AJ5" s="1">
        <v>2</v>
      </c>
      <c r="AK5" s="1">
        <f t="shared" ref="AK5:AK68" si="6">求节点($AC$4:$AC$17,$AH$4:$AH$17,AJ5)</f>
        <v>162.5</v>
      </c>
      <c r="AL5" s="1">
        <f t="shared" ref="AL5:AL68" si="7">IF(AJ5&lt;=$AC$26,求节点($AC$21:$AC$26,$AH$21:$AH$26,AJ5),$AH$26)</f>
        <v>0.625</v>
      </c>
      <c r="AM5" s="1">
        <f t="shared" ref="AM5:AM68" si="8">AK5+AL5</f>
        <v>163.125</v>
      </c>
    </row>
    <row r="6" spans="2:39">
      <c r="B6" s="1" t="s">
        <v>30</v>
      </c>
      <c r="C6" s="1" t="s">
        <v>31</v>
      </c>
      <c r="D6" s="1" t="s">
        <v>32</v>
      </c>
      <c r="E6" s="1" t="s">
        <v>33</v>
      </c>
      <c r="F6" s="1" t="s">
        <v>28</v>
      </c>
      <c r="G6" s="1" t="s">
        <v>34</v>
      </c>
      <c r="I6" s="1">
        <v>2</v>
      </c>
      <c r="J6" s="1">
        <f t="shared" si="1"/>
        <v>20</v>
      </c>
      <c r="K6" s="1">
        <f t="shared" si="2"/>
        <v>40</v>
      </c>
      <c r="L6" s="1">
        <f t="shared" si="3"/>
        <v>60</v>
      </c>
      <c r="M6" s="1">
        <f t="shared" si="4"/>
        <v>80</v>
      </c>
      <c r="N6" s="1">
        <f t="shared" si="5"/>
        <v>100</v>
      </c>
      <c r="P6" s="1">
        <v>3</v>
      </c>
      <c r="Q6" s="1">
        <f t="shared" si="0"/>
        <v>0</v>
      </c>
      <c r="R6" s="1">
        <f t="shared" si="0"/>
        <v>0</v>
      </c>
      <c r="S6" s="1">
        <f t="shared" si="0"/>
        <v>0</v>
      </c>
      <c r="T6" s="1">
        <f t="shared" si="0"/>
        <v>0</v>
      </c>
      <c r="U6" s="1">
        <f t="shared" si="0"/>
        <v>0</v>
      </c>
      <c r="X6" s="1"/>
      <c r="Y6" s="1"/>
      <c r="AB6" s="1" t="s">
        <v>8</v>
      </c>
      <c r="AC6" s="1">
        <v>12</v>
      </c>
      <c r="AD6" s="1" t="s">
        <v>33</v>
      </c>
      <c r="AE6" s="1">
        <v>3</v>
      </c>
      <c r="AF6" s="1" t="s">
        <v>32</v>
      </c>
      <c r="AG6" s="1">
        <v>3</v>
      </c>
      <c r="AH6" s="1">
        <f t="shared" ref="AH6:AH17" si="9">IFERROR(INDEX($J:$N,MATCH(AC6,$I:$I,0),MATCH(AD6,$J$4:$N$4,0))*AE6+INDEX($J:$N,MATCH(AC6,$I:$I,0),MATCH(AF6,$J$4:$N$4,0))*AG6,INDEX($J:$N,MATCH(AC6,$I:$I,0),MATCH(AD6,$J$4:$N$4,0))*AE6)</f>
        <v>1050</v>
      </c>
      <c r="AJ6" s="1">
        <v>3</v>
      </c>
      <c r="AK6" s="1">
        <f t="shared" si="6"/>
        <v>243.75</v>
      </c>
      <c r="AL6" s="1">
        <f t="shared" si="7"/>
        <v>0.9375</v>
      </c>
      <c r="AM6" s="1">
        <f t="shared" si="8"/>
        <v>244.6875</v>
      </c>
    </row>
    <row r="7" spans="2:39">
      <c r="B7" s="1" t="s">
        <v>35</v>
      </c>
      <c r="C7" s="1">
        <v>10</v>
      </c>
      <c r="D7" s="1">
        <v>20</v>
      </c>
      <c r="E7" s="1">
        <v>30</v>
      </c>
      <c r="F7" s="1">
        <v>40</v>
      </c>
      <c r="G7" s="1">
        <v>50</v>
      </c>
      <c r="I7" s="1">
        <v>3</v>
      </c>
      <c r="J7" s="1">
        <f t="shared" si="1"/>
        <v>25</v>
      </c>
      <c r="K7" s="1">
        <f t="shared" si="2"/>
        <v>50</v>
      </c>
      <c r="L7" s="1">
        <f t="shared" si="3"/>
        <v>75</v>
      </c>
      <c r="M7" s="1">
        <f t="shared" si="4"/>
        <v>100</v>
      </c>
      <c r="N7" s="1">
        <f t="shared" si="5"/>
        <v>125</v>
      </c>
      <c r="P7" s="1">
        <v>4</v>
      </c>
      <c r="Q7" s="1">
        <f t="shared" si="0"/>
        <v>0</v>
      </c>
      <c r="R7" s="1">
        <f t="shared" si="0"/>
        <v>0</v>
      </c>
      <c r="S7" s="1">
        <f t="shared" si="0"/>
        <v>0</v>
      </c>
      <c r="T7" s="1">
        <f t="shared" si="0"/>
        <v>0</v>
      </c>
      <c r="U7" s="1">
        <f t="shared" si="0"/>
        <v>0</v>
      </c>
      <c r="X7" s="1"/>
      <c r="Y7" s="1"/>
      <c r="AB7" s="1" t="s">
        <v>9</v>
      </c>
      <c r="AC7" s="1">
        <v>16</v>
      </c>
      <c r="AD7" s="1" t="s">
        <v>33</v>
      </c>
      <c r="AE7" s="1">
        <v>5</v>
      </c>
      <c r="AF7" s="1" t="s">
        <v>32</v>
      </c>
      <c r="AG7" s="1">
        <v>1</v>
      </c>
      <c r="AH7" s="1">
        <f t="shared" si="9"/>
        <v>1530</v>
      </c>
      <c r="AJ7" s="1">
        <v>4</v>
      </c>
      <c r="AK7" s="1">
        <f t="shared" si="6"/>
        <v>325</v>
      </c>
      <c r="AL7" s="1">
        <f t="shared" si="7"/>
        <v>1.25</v>
      </c>
      <c r="AM7" s="1">
        <f t="shared" si="8"/>
        <v>326.25</v>
      </c>
    </row>
    <row r="8" spans="2:39">
      <c r="B8" s="1" t="s">
        <v>36</v>
      </c>
      <c r="C8" s="1">
        <v>5</v>
      </c>
      <c r="D8" s="1">
        <v>10</v>
      </c>
      <c r="E8" s="1">
        <v>15</v>
      </c>
      <c r="F8" s="1">
        <v>20</v>
      </c>
      <c r="G8" s="1">
        <v>25</v>
      </c>
      <c r="I8" s="1">
        <v>4</v>
      </c>
      <c r="J8" s="1">
        <f t="shared" si="1"/>
        <v>30</v>
      </c>
      <c r="K8" s="1">
        <f t="shared" si="2"/>
        <v>60</v>
      </c>
      <c r="L8" s="1">
        <f t="shared" si="3"/>
        <v>90</v>
      </c>
      <c r="M8" s="1">
        <f t="shared" si="4"/>
        <v>120</v>
      </c>
      <c r="N8" s="1">
        <f t="shared" si="5"/>
        <v>150</v>
      </c>
      <c r="P8" s="1">
        <v>5</v>
      </c>
      <c r="Q8" s="1">
        <f t="shared" ref="Q8:R10" si="10">$P8*C$12</f>
        <v>0</v>
      </c>
      <c r="R8" s="1">
        <f t="shared" si="10"/>
        <v>0</v>
      </c>
      <c r="S8" s="1">
        <v>40</v>
      </c>
      <c r="T8" s="1">
        <f t="shared" ref="T8:U10" si="11">$P8*F$12</f>
        <v>0</v>
      </c>
      <c r="U8" s="1">
        <f t="shared" si="11"/>
        <v>0</v>
      </c>
      <c r="X8" s="1"/>
      <c r="Y8" s="1"/>
      <c r="AB8" s="1" t="s">
        <v>10</v>
      </c>
      <c r="AC8" s="1">
        <v>20</v>
      </c>
      <c r="AD8" s="1" t="s">
        <v>28</v>
      </c>
      <c r="AE8" s="1">
        <v>1</v>
      </c>
      <c r="AF8" s="1" t="s">
        <v>33</v>
      </c>
      <c r="AG8" s="1">
        <v>5</v>
      </c>
      <c r="AH8" s="1">
        <f t="shared" si="9"/>
        <v>2090</v>
      </c>
      <c r="AJ8" s="1">
        <v>5</v>
      </c>
      <c r="AK8" s="1">
        <f t="shared" si="6"/>
        <v>406.25</v>
      </c>
      <c r="AL8" s="1">
        <f t="shared" si="7"/>
        <v>1.5625</v>
      </c>
      <c r="AM8" s="1">
        <f t="shared" si="8"/>
        <v>407.8125</v>
      </c>
    </row>
    <row r="9" spans="2:39">
      <c r="B9" s="1" t="s">
        <v>37</v>
      </c>
      <c r="C9" s="1">
        <v>0</v>
      </c>
      <c r="D9" s="1">
        <v>8</v>
      </c>
      <c r="E9" s="1">
        <v>8</v>
      </c>
      <c r="F9" s="1">
        <v>8</v>
      </c>
      <c r="G9" s="1">
        <v>8</v>
      </c>
      <c r="I9" s="1">
        <v>5</v>
      </c>
      <c r="J9" s="1">
        <f t="shared" si="1"/>
        <v>35</v>
      </c>
      <c r="K9" s="1">
        <f t="shared" si="2"/>
        <v>70</v>
      </c>
      <c r="L9" s="1">
        <f t="shared" si="3"/>
        <v>105</v>
      </c>
      <c r="M9" s="1">
        <f t="shared" si="4"/>
        <v>140</v>
      </c>
      <c r="N9" s="1">
        <f t="shared" si="5"/>
        <v>175</v>
      </c>
      <c r="P9" s="1">
        <v>6</v>
      </c>
      <c r="Q9" s="1">
        <f t="shared" si="10"/>
        <v>0</v>
      </c>
      <c r="R9" s="1">
        <f t="shared" si="10"/>
        <v>0</v>
      </c>
      <c r="S9" s="1">
        <v>40</v>
      </c>
      <c r="T9" s="1">
        <f t="shared" si="11"/>
        <v>0</v>
      </c>
      <c r="U9" s="1">
        <f t="shared" si="11"/>
        <v>0</v>
      </c>
      <c r="X9" s="1"/>
      <c r="Y9" s="1"/>
      <c r="AB9" s="1" t="s">
        <v>20</v>
      </c>
      <c r="AC9" s="1">
        <v>30</v>
      </c>
      <c r="AD9" s="1" t="s">
        <v>28</v>
      </c>
      <c r="AE9" s="1">
        <v>4</v>
      </c>
      <c r="AF9" s="1" t="s">
        <v>33</v>
      </c>
      <c r="AG9" s="1">
        <v>2</v>
      </c>
      <c r="AH9" s="1">
        <f t="shared" si="9"/>
        <v>3520</v>
      </c>
      <c r="AJ9" s="1">
        <v>6</v>
      </c>
      <c r="AK9" s="1">
        <f t="shared" si="6"/>
        <v>487.5</v>
      </c>
      <c r="AL9" s="1">
        <f t="shared" si="7"/>
        <v>1.875</v>
      </c>
      <c r="AM9" s="1">
        <f t="shared" si="8"/>
        <v>489.375</v>
      </c>
    </row>
    <row r="10" spans="2:39">
      <c r="B10" s="1" t="s">
        <v>38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I10" s="1">
        <v>6</v>
      </c>
      <c r="J10" s="1">
        <f t="shared" si="1"/>
        <v>40</v>
      </c>
      <c r="K10" s="1">
        <f t="shared" si="2"/>
        <v>80</v>
      </c>
      <c r="L10" s="1">
        <f t="shared" si="3"/>
        <v>120</v>
      </c>
      <c r="M10" s="1">
        <f t="shared" si="4"/>
        <v>160</v>
      </c>
      <c r="N10" s="1">
        <f t="shared" si="5"/>
        <v>200</v>
      </c>
      <c r="P10" s="1">
        <v>7</v>
      </c>
      <c r="Q10" s="1">
        <f t="shared" si="10"/>
        <v>0</v>
      </c>
      <c r="R10" s="1">
        <f t="shared" si="10"/>
        <v>0</v>
      </c>
      <c r="S10" s="1">
        <v>40</v>
      </c>
      <c r="T10" s="1">
        <f t="shared" si="11"/>
        <v>0</v>
      </c>
      <c r="U10" s="1">
        <f t="shared" si="11"/>
        <v>0</v>
      </c>
      <c r="X10" s="1"/>
      <c r="Y10" s="1"/>
      <c r="AB10" s="1" t="s">
        <v>11</v>
      </c>
      <c r="AC10" s="1">
        <v>35</v>
      </c>
      <c r="AD10" s="1" t="s">
        <v>28</v>
      </c>
      <c r="AE10" s="1">
        <v>6</v>
      </c>
      <c r="AH10" s="1">
        <f t="shared" si="9"/>
        <v>4440</v>
      </c>
      <c r="AJ10" s="1">
        <v>7</v>
      </c>
      <c r="AK10" s="1">
        <f t="shared" si="6"/>
        <v>568.75</v>
      </c>
      <c r="AL10" s="1">
        <f t="shared" si="7"/>
        <v>2.1875</v>
      </c>
      <c r="AM10" s="1">
        <f t="shared" si="8"/>
        <v>570.9375</v>
      </c>
    </row>
    <row r="11" spans="2:39">
      <c r="B11" s="1" t="s">
        <v>39</v>
      </c>
      <c r="C11" s="1">
        <v>2</v>
      </c>
      <c r="D11" s="1">
        <v>3</v>
      </c>
      <c r="E11" s="1">
        <v>4</v>
      </c>
      <c r="F11" s="1">
        <v>5</v>
      </c>
      <c r="G11" s="1">
        <v>7</v>
      </c>
      <c r="I11" s="1">
        <v>7</v>
      </c>
      <c r="J11" s="1">
        <f t="shared" si="1"/>
        <v>45</v>
      </c>
      <c r="K11" s="1">
        <f t="shared" si="2"/>
        <v>90</v>
      </c>
      <c r="L11" s="1">
        <f t="shared" si="3"/>
        <v>135</v>
      </c>
      <c r="M11" s="1">
        <f t="shared" si="4"/>
        <v>180</v>
      </c>
      <c r="N11" s="1">
        <f t="shared" si="5"/>
        <v>225</v>
      </c>
      <c r="X11" s="1"/>
      <c r="Y11" s="1"/>
      <c r="AB11" s="1" t="s">
        <v>58</v>
      </c>
      <c r="AC11" s="1">
        <v>40</v>
      </c>
      <c r="AD11" s="1" t="s">
        <v>28</v>
      </c>
      <c r="AE11" s="1">
        <v>6</v>
      </c>
      <c r="AH11" s="1">
        <f t="shared" si="9"/>
        <v>5040</v>
      </c>
      <c r="AJ11" s="1">
        <v>8</v>
      </c>
      <c r="AK11" s="1">
        <f t="shared" si="6"/>
        <v>650</v>
      </c>
      <c r="AL11" s="1">
        <f t="shared" si="7"/>
        <v>2.5</v>
      </c>
      <c r="AM11" s="1">
        <f t="shared" si="8"/>
        <v>652.5</v>
      </c>
    </row>
    <row r="12" spans="2:39">
      <c r="B12" s="1" t="s">
        <v>40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I12" s="1">
        <v>8</v>
      </c>
      <c r="J12" s="1">
        <f t="shared" si="1"/>
        <v>50</v>
      </c>
      <c r="K12" s="1">
        <f t="shared" si="2"/>
        <v>100</v>
      </c>
      <c r="L12" s="1">
        <f t="shared" si="3"/>
        <v>150</v>
      </c>
      <c r="M12" s="1">
        <f t="shared" si="4"/>
        <v>200</v>
      </c>
      <c r="N12" s="1">
        <f t="shared" si="5"/>
        <v>250</v>
      </c>
      <c r="X12" s="1"/>
      <c r="Y12" s="1"/>
      <c r="AB12" s="1" t="s">
        <v>58</v>
      </c>
      <c r="AC12" s="1">
        <v>50</v>
      </c>
      <c r="AD12" s="1" t="s">
        <v>28</v>
      </c>
      <c r="AE12" s="1">
        <v>6</v>
      </c>
      <c r="AH12" s="1">
        <f t="shared" si="9"/>
        <v>6240</v>
      </c>
      <c r="AJ12" s="1">
        <v>9</v>
      </c>
      <c r="AK12" s="1">
        <f t="shared" si="6"/>
        <v>750</v>
      </c>
      <c r="AL12" s="1">
        <f t="shared" si="7"/>
        <v>2.8125</v>
      </c>
      <c r="AM12" s="1">
        <f t="shared" si="8"/>
        <v>752.8125</v>
      </c>
    </row>
    <row r="13" spans="2:39">
      <c r="I13" s="1">
        <v>9</v>
      </c>
      <c r="J13" s="1">
        <f t="shared" si="1"/>
        <v>55</v>
      </c>
      <c r="K13" s="1">
        <f t="shared" si="2"/>
        <v>110</v>
      </c>
      <c r="L13" s="1">
        <f t="shared" si="3"/>
        <v>165</v>
      </c>
      <c r="M13" s="1">
        <f t="shared" si="4"/>
        <v>220</v>
      </c>
      <c r="N13" s="1">
        <f t="shared" si="5"/>
        <v>275</v>
      </c>
      <c r="X13" s="1"/>
      <c r="Y13" s="1"/>
      <c r="AB13" s="1" t="s">
        <v>58</v>
      </c>
      <c r="AC13" s="1">
        <v>60</v>
      </c>
      <c r="AD13" s="1" t="s">
        <v>28</v>
      </c>
      <c r="AE13" s="1">
        <v>6</v>
      </c>
      <c r="AH13" s="1">
        <f t="shared" si="9"/>
        <v>7440</v>
      </c>
      <c r="AJ13" s="1">
        <v>10</v>
      </c>
      <c r="AK13" s="1">
        <f t="shared" si="6"/>
        <v>850</v>
      </c>
      <c r="AL13" s="1">
        <f t="shared" si="7"/>
        <v>3.125</v>
      </c>
      <c r="AM13" s="1">
        <f t="shared" si="8"/>
        <v>853.125</v>
      </c>
    </row>
    <row r="14" spans="2:39">
      <c r="I14" s="1">
        <v>10</v>
      </c>
      <c r="J14" s="1">
        <f t="shared" si="1"/>
        <v>60</v>
      </c>
      <c r="K14" s="1">
        <f t="shared" si="2"/>
        <v>120</v>
      </c>
      <c r="L14" s="1">
        <f t="shared" si="3"/>
        <v>180</v>
      </c>
      <c r="M14" s="1">
        <f t="shared" si="4"/>
        <v>240</v>
      </c>
      <c r="N14" s="1">
        <f t="shared" si="5"/>
        <v>300</v>
      </c>
      <c r="X14" s="1"/>
      <c r="Y14" s="1"/>
      <c r="AB14" s="1" t="s">
        <v>58</v>
      </c>
      <c r="AC14" s="1">
        <v>70</v>
      </c>
      <c r="AD14" s="1" t="s">
        <v>28</v>
      </c>
      <c r="AE14" s="1">
        <v>6</v>
      </c>
      <c r="AH14" s="1">
        <f t="shared" si="9"/>
        <v>8640</v>
      </c>
      <c r="AJ14" s="1">
        <v>11</v>
      </c>
      <c r="AK14" s="1">
        <f t="shared" si="6"/>
        <v>950</v>
      </c>
      <c r="AL14" s="1">
        <f t="shared" si="7"/>
        <v>3.4375</v>
      </c>
      <c r="AM14" s="1">
        <f t="shared" si="8"/>
        <v>953.4375</v>
      </c>
    </row>
    <row r="15" spans="2:39">
      <c r="I15" s="1">
        <v>11</v>
      </c>
      <c r="J15" s="1">
        <f t="shared" si="1"/>
        <v>65</v>
      </c>
      <c r="K15" s="1">
        <f t="shared" si="2"/>
        <v>130</v>
      </c>
      <c r="L15" s="1">
        <f t="shared" si="3"/>
        <v>195</v>
      </c>
      <c r="M15" s="1">
        <f t="shared" si="4"/>
        <v>260</v>
      </c>
      <c r="N15" s="1">
        <f t="shared" si="5"/>
        <v>325</v>
      </c>
      <c r="X15" s="1"/>
      <c r="Y15" s="1"/>
      <c r="AB15" s="1" t="s">
        <v>58</v>
      </c>
      <c r="AC15" s="1">
        <v>80</v>
      </c>
      <c r="AD15" s="1" t="s">
        <v>28</v>
      </c>
      <c r="AE15" s="1">
        <v>6</v>
      </c>
      <c r="AH15" s="1">
        <f t="shared" si="9"/>
        <v>9840</v>
      </c>
      <c r="AJ15" s="1">
        <v>12</v>
      </c>
      <c r="AK15" s="1">
        <f t="shared" si="6"/>
        <v>1050</v>
      </c>
      <c r="AL15" s="1">
        <f t="shared" si="7"/>
        <v>3.75</v>
      </c>
      <c r="AM15" s="1">
        <f t="shared" si="8"/>
        <v>1053.75</v>
      </c>
    </row>
    <row r="16" spans="2:39">
      <c r="I16" s="1">
        <v>12</v>
      </c>
      <c r="J16" s="1">
        <f t="shared" si="1"/>
        <v>70</v>
      </c>
      <c r="K16" s="1">
        <f t="shared" si="2"/>
        <v>140</v>
      </c>
      <c r="L16" s="1">
        <f t="shared" si="3"/>
        <v>210</v>
      </c>
      <c r="M16" s="1">
        <f t="shared" si="4"/>
        <v>280</v>
      </c>
      <c r="N16" s="1">
        <f t="shared" si="5"/>
        <v>350</v>
      </c>
      <c r="X16" s="1"/>
      <c r="Y16" s="1"/>
      <c r="AB16" s="1" t="s">
        <v>58</v>
      </c>
      <c r="AC16" s="1">
        <v>90</v>
      </c>
      <c r="AD16" s="1" t="s">
        <v>28</v>
      </c>
      <c r="AE16" s="1">
        <v>6</v>
      </c>
      <c r="AH16" s="1">
        <f t="shared" si="9"/>
        <v>11040</v>
      </c>
      <c r="AJ16" s="1">
        <v>13</v>
      </c>
      <c r="AK16" s="1">
        <f t="shared" si="6"/>
        <v>1170</v>
      </c>
      <c r="AL16" s="1">
        <f t="shared" si="7"/>
        <v>4.0625</v>
      </c>
      <c r="AM16" s="1">
        <f t="shared" si="8"/>
        <v>1174.0625</v>
      </c>
    </row>
    <row r="17" spans="9:39">
      <c r="I17" s="1">
        <v>13</v>
      </c>
      <c r="J17" s="1">
        <f t="shared" si="1"/>
        <v>75</v>
      </c>
      <c r="K17" s="1">
        <f t="shared" si="2"/>
        <v>150</v>
      </c>
      <c r="L17" s="1">
        <f t="shared" si="3"/>
        <v>225</v>
      </c>
      <c r="M17" s="1">
        <f t="shared" si="4"/>
        <v>300</v>
      </c>
      <c r="N17" s="1">
        <f t="shared" si="5"/>
        <v>375</v>
      </c>
      <c r="X17" s="1"/>
      <c r="Y17" s="1"/>
      <c r="AB17" s="1" t="s">
        <v>58</v>
      </c>
      <c r="AC17" s="1">
        <v>100</v>
      </c>
      <c r="AD17" s="1" t="s">
        <v>28</v>
      </c>
      <c r="AE17" s="1">
        <v>6</v>
      </c>
      <c r="AH17" s="1">
        <f t="shared" si="9"/>
        <v>12240</v>
      </c>
      <c r="AJ17" s="1">
        <v>14</v>
      </c>
      <c r="AK17" s="1">
        <f t="shared" si="6"/>
        <v>1290</v>
      </c>
      <c r="AL17" s="1">
        <f t="shared" si="7"/>
        <v>4.375</v>
      </c>
      <c r="AM17" s="1">
        <f t="shared" si="8"/>
        <v>1294.375</v>
      </c>
    </row>
    <row r="18" spans="9:39">
      <c r="I18" s="1">
        <v>14</v>
      </c>
      <c r="J18" s="1">
        <f t="shared" si="1"/>
        <v>80</v>
      </c>
      <c r="K18" s="1">
        <f t="shared" si="2"/>
        <v>160</v>
      </c>
      <c r="L18" s="1">
        <f t="shared" si="3"/>
        <v>240</v>
      </c>
      <c r="M18" s="1">
        <f t="shared" si="4"/>
        <v>320</v>
      </c>
      <c r="N18" s="1">
        <f t="shared" si="5"/>
        <v>400</v>
      </c>
      <c r="X18" s="1"/>
      <c r="Y18" s="1"/>
      <c r="AJ18" s="1">
        <v>15</v>
      </c>
      <c r="AK18" s="1">
        <f t="shared" si="6"/>
        <v>1410</v>
      </c>
      <c r="AL18" s="1">
        <f t="shared" si="7"/>
        <v>4.6875</v>
      </c>
      <c r="AM18" s="1">
        <f t="shared" si="8"/>
        <v>1414.6875</v>
      </c>
    </row>
    <row r="19" spans="9:39">
      <c r="I19" s="1">
        <v>15</v>
      </c>
      <c r="J19" s="1">
        <f t="shared" si="1"/>
        <v>85</v>
      </c>
      <c r="K19" s="1">
        <f t="shared" si="2"/>
        <v>170</v>
      </c>
      <c r="L19" s="1">
        <f t="shared" si="3"/>
        <v>255</v>
      </c>
      <c r="M19" s="1">
        <f t="shared" si="4"/>
        <v>340</v>
      </c>
      <c r="N19" s="1">
        <f t="shared" si="5"/>
        <v>425</v>
      </c>
      <c r="X19" s="1"/>
      <c r="Y19" s="1"/>
      <c r="AJ19" s="1">
        <v>16</v>
      </c>
      <c r="AK19" s="1">
        <f t="shared" si="6"/>
        <v>1530</v>
      </c>
      <c r="AL19" s="1">
        <f t="shared" si="7"/>
        <v>5</v>
      </c>
      <c r="AM19" s="1">
        <f t="shared" si="8"/>
        <v>1535</v>
      </c>
    </row>
    <row r="20" spans="9:39">
      <c r="I20" s="1">
        <v>16</v>
      </c>
      <c r="J20" s="1">
        <f t="shared" si="1"/>
        <v>90</v>
      </c>
      <c r="K20" s="1">
        <f t="shared" si="2"/>
        <v>180</v>
      </c>
      <c r="L20" s="1">
        <f t="shared" si="3"/>
        <v>270</v>
      </c>
      <c r="M20" s="1">
        <f t="shared" si="4"/>
        <v>360</v>
      </c>
      <c r="N20" s="1">
        <f t="shared" si="5"/>
        <v>450</v>
      </c>
      <c r="X20" s="1"/>
      <c r="Y20" s="1"/>
      <c r="AB20" s="1" t="s">
        <v>71</v>
      </c>
      <c r="AC20" s="1" t="s">
        <v>45</v>
      </c>
      <c r="AD20" s="163" t="s">
        <v>46</v>
      </c>
      <c r="AE20" s="163"/>
      <c r="AF20" s="163"/>
      <c r="AG20" s="163"/>
      <c r="AH20" s="1" t="s">
        <v>54</v>
      </c>
      <c r="AJ20" s="1">
        <v>17</v>
      </c>
      <c r="AK20" s="1">
        <f t="shared" si="6"/>
        <v>1670</v>
      </c>
      <c r="AL20" s="1">
        <f t="shared" si="7"/>
        <v>5.3125</v>
      </c>
      <c r="AM20" s="1">
        <f t="shared" si="8"/>
        <v>1675.3125</v>
      </c>
    </row>
    <row r="21" spans="9:39">
      <c r="I21" s="1">
        <v>17</v>
      </c>
      <c r="J21" s="1">
        <f t="shared" si="1"/>
        <v>95</v>
      </c>
      <c r="K21" s="1">
        <f t="shared" si="2"/>
        <v>190</v>
      </c>
      <c r="L21" s="1">
        <f t="shared" si="3"/>
        <v>285</v>
      </c>
      <c r="M21" s="1">
        <f t="shared" si="4"/>
        <v>380</v>
      </c>
      <c r="N21" s="1">
        <f t="shared" si="5"/>
        <v>475</v>
      </c>
      <c r="X21" s="1"/>
      <c r="Y21" s="1"/>
      <c r="AB21" s="1">
        <v>0</v>
      </c>
      <c r="AC21" s="1">
        <v>0</v>
      </c>
      <c r="AD21" s="1">
        <v>0</v>
      </c>
      <c r="AE21" s="1">
        <v>0</v>
      </c>
      <c r="AH21" s="1">
        <v>0</v>
      </c>
      <c r="AJ21" s="1">
        <v>18</v>
      </c>
      <c r="AK21" s="1">
        <f t="shared" si="6"/>
        <v>1810</v>
      </c>
      <c r="AL21" s="1">
        <f t="shared" si="7"/>
        <v>5.625</v>
      </c>
      <c r="AM21" s="1">
        <f t="shared" si="8"/>
        <v>1815.625</v>
      </c>
    </row>
    <row r="22" spans="9:39">
      <c r="I22" s="1">
        <v>18</v>
      </c>
      <c r="J22" s="1">
        <f t="shared" si="1"/>
        <v>100</v>
      </c>
      <c r="K22" s="1">
        <f t="shared" si="2"/>
        <v>200</v>
      </c>
      <c r="L22" s="1">
        <f t="shared" si="3"/>
        <v>300</v>
      </c>
      <c r="M22" s="1">
        <f t="shared" si="4"/>
        <v>400</v>
      </c>
      <c r="N22" s="1">
        <f t="shared" si="5"/>
        <v>500</v>
      </c>
      <c r="X22" s="1"/>
      <c r="Y22" s="1"/>
      <c r="AB22" s="1" t="s">
        <v>63</v>
      </c>
      <c r="AC22" s="1">
        <v>32</v>
      </c>
      <c r="AD22" s="1" t="s">
        <v>47</v>
      </c>
      <c r="AE22" s="1">
        <v>1</v>
      </c>
      <c r="AH22" s="1">
        <v>10</v>
      </c>
      <c r="AJ22" s="1">
        <v>19</v>
      </c>
      <c r="AK22" s="1">
        <f t="shared" si="6"/>
        <v>1950</v>
      </c>
      <c r="AL22" s="1">
        <f t="shared" si="7"/>
        <v>5.9375</v>
      </c>
      <c r="AM22" s="1">
        <f t="shared" si="8"/>
        <v>1955.9375</v>
      </c>
    </row>
    <row r="23" spans="9:39">
      <c r="I23" s="1">
        <v>19</v>
      </c>
      <c r="J23" s="1">
        <f t="shared" si="1"/>
        <v>105</v>
      </c>
      <c r="K23" s="1">
        <f t="shared" si="2"/>
        <v>210</v>
      </c>
      <c r="L23" s="1">
        <f t="shared" si="3"/>
        <v>315</v>
      </c>
      <c r="M23" s="1">
        <f t="shared" si="4"/>
        <v>420</v>
      </c>
      <c r="N23" s="1">
        <f t="shared" si="5"/>
        <v>525</v>
      </c>
      <c r="X23" s="1"/>
      <c r="Y23" s="1"/>
      <c r="AB23" s="1" t="s">
        <v>64</v>
      </c>
      <c r="AC23" s="1">
        <v>44</v>
      </c>
      <c r="AD23" s="1" t="s">
        <v>68</v>
      </c>
      <c r="AE23" s="1">
        <v>1</v>
      </c>
      <c r="AH23" s="1">
        <v>20</v>
      </c>
      <c r="AJ23" s="1">
        <v>20</v>
      </c>
      <c r="AK23" s="1">
        <f t="shared" si="6"/>
        <v>2090</v>
      </c>
      <c r="AL23" s="1">
        <f t="shared" si="7"/>
        <v>6.25</v>
      </c>
      <c r="AM23" s="1">
        <f t="shared" si="8"/>
        <v>2096.25</v>
      </c>
    </row>
    <row r="24" spans="9:39">
      <c r="I24" s="1">
        <v>20</v>
      </c>
      <c r="J24" s="1">
        <f t="shared" si="1"/>
        <v>110</v>
      </c>
      <c r="K24" s="1">
        <f t="shared" si="2"/>
        <v>220</v>
      </c>
      <c r="L24" s="1">
        <f t="shared" si="3"/>
        <v>330</v>
      </c>
      <c r="M24" s="1">
        <f t="shared" si="4"/>
        <v>440</v>
      </c>
      <c r="N24" s="1">
        <f t="shared" si="5"/>
        <v>550</v>
      </c>
      <c r="X24" s="1"/>
      <c r="Y24" s="1"/>
      <c r="AB24" s="1" t="s">
        <v>65</v>
      </c>
      <c r="AC24" s="1">
        <v>48</v>
      </c>
      <c r="AD24" s="1" t="s">
        <v>68</v>
      </c>
      <c r="AE24" s="1">
        <v>6</v>
      </c>
      <c r="AH24" s="1">
        <v>120</v>
      </c>
      <c r="AJ24" s="1">
        <v>21</v>
      </c>
      <c r="AK24" s="1">
        <f t="shared" si="6"/>
        <v>2233</v>
      </c>
      <c r="AL24" s="1">
        <f t="shared" si="7"/>
        <v>6.5625</v>
      </c>
      <c r="AM24" s="1">
        <f t="shared" si="8"/>
        <v>2239.5625</v>
      </c>
    </row>
    <row r="25" spans="9:39">
      <c r="I25" s="1">
        <v>21</v>
      </c>
      <c r="K25" s="1">
        <f t="shared" ref="K25:K56" si="12">D$7+D$8*$I25</f>
        <v>230</v>
      </c>
      <c r="L25" s="1">
        <f t="shared" ref="L25:L56" si="13">E$7+E$8*$I25</f>
        <v>345</v>
      </c>
      <c r="M25" s="1">
        <f t="shared" ref="M25:M56" si="14">F$7+F$8*$I25</f>
        <v>460</v>
      </c>
      <c r="N25" s="1">
        <f t="shared" ref="N25:N56" si="15">G$7+G$8*$I25</f>
        <v>575</v>
      </c>
      <c r="X25" s="1"/>
      <c r="Y25" s="1"/>
      <c r="AB25" s="1" t="s">
        <v>66</v>
      </c>
      <c r="AC25" s="1">
        <v>58</v>
      </c>
      <c r="AD25" s="1" t="s">
        <v>69</v>
      </c>
      <c r="AE25" s="1">
        <v>6</v>
      </c>
      <c r="AH25" s="1">
        <v>360</v>
      </c>
      <c r="AJ25" s="1">
        <v>22</v>
      </c>
      <c r="AK25" s="1">
        <f t="shared" si="6"/>
        <v>2376</v>
      </c>
      <c r="AL25" s="1">
        <f t="shared" si="7"/>
        <v>6.875</v>
      </c>
      <c r="AM25" s="1">
        <f t="shared" si="8"/>
        <v>2382.875</v>
      </c>
    </row>
    <row r="26" spans="9:39">
      <c r="I26" s="1">
        <v>22</v>
      </c>
      <c r="K26" s="1">
        <f t="shared" si="12"/>
        <v>240</v>
      </c>
      <c r="L26" s="1">
        <f t="shared" si="13"/>
        <v>360</v>
      </c>
      <c r="M26" s="1">
        <f t="shared" si="14"/>
        <v>480</v>
      </c>
      <c r="N26" s="1">
        <f t="shared" si="15"/>
        <v>600</v>
      </c>
      <c r="X26" s="1"/>
      <c r="Y26" s="1"/>
      <c r="AB26" s="1" t="s">
        <v>67</v>
      </c>
      <c r="AC26" s="1">
        <v>66</v>
      </c>
      <c r="AD26" s="1" t="s">
        <v>70</v>
      </c>
      <c r="AE26" s="1">
        <v>6</v>
      </c>
      <c r="AH26" s="1">
        <v>840</v>
      </c>
      <c r="AJ26" s="1">
        <v>23</v>
      </c>
      <c r="AK26" s="1">
        <f t="shared" si="6"/>
        <v>2519</v>
      </c>
      <c r="AL26" s="1">
        <f t="shared" si="7"/>
        <v>7.1875</v>
      </c>
      <c r="AM26" s="1">
        <f t="shared" si="8"/>
        <v>2526.1875</v>
      </c>
    </row>
    <row r="27" spans="9:39">
      <c r="I27" s="1">
        <v>23</v>
      </c>
      <c r="K27" s="1">
        <f t="shared" si="12"/>
        <v>250</v>
      </c>
      <c r="L27" s="1">
        <f t="shared" si="13"/>
        <v>375</v>
      </c>
      <c r="M27" s="1">
        <f t="shared" si="14"/>
        <v>500</v>
      </c>
      <c r="N27" s="1">
        <f t="shared" si="15"/>
        <v>625</v>
      </c>
      <c r="X27" s="1"/>
      <c r="Y27" s="1"/>
      <c r="AJ27" s="1">
        <v>24</v>
      </c>
      <c r="AK27" s="1">
        <f t="shared" si="6"/>
        <v>2662</v>
      </c>
      <c r="AL27" s="1">
        <f t="shared" si="7"/>
        <v>7.5</v>
      </c>
      <c r="AM27" s="1">
        <f t="shared" si="8"/>
        <v>2669.5</v>
      </c>
    </row>
    <row r="28" spans="9:39">
      <c r="I28" s="1">
        <v>24</v>
      </c>
      <c r="K28" s="1">
        <f t="shared" si="12"/>
        <v>260</v>
      </c>
      <c r="L28" s="1">
        <f t="shared" si="13"/>
        <v>390</v>
      </c>
      <c r="M28" s="1">
        <f t="shared" si="14"/>
        <v>520</v>
      </c>
      <c r="N28" s="1">
        <f t="shared" si="15"/>
        <v>650</v>
      </c>
      <c r="X28" s="1"/>
      <c r="Y28" s="1"/>
      <c r="AJ28" s="1">
        <v>25</v>
      </c>
      <c r="AK28" s="1">
        <f t="shared" si="6"/>
        <v>2805</v>
      </c>
      <c r="AL28" s="1">
        <f t="shared" si="7"/>
        <v>7.8125</v>
      </c>
      <c r="AM28" s="1">
        <f t="shared" si="8"/>
        <v>2812.8125</v>
      </c>
    </row>
    <row r="29" spans="9:39">
      <c r="I29" s="1">
        <v>25</v>
      </c>
      <c r="K29" s="1">
        <f t="shared" si="12"/>
        <v>270</v>
      </c>
      <c r="L29" s="1">
        <f t="shared" si="13"/>
        <v>405</v>
      </c>
      <c r="M29" s="1">
        <f t="shared" si="14"/>
        <v>540</v>
      </c>
      <c r="N29" s="1">
        <f t="shared" si="15"/>
        <v>675</v>
      </c>
      <c r="X29" s="1"/>
      <c r="Y29" s="1"/>
      <c r="AJ29" s="1">
        <v>26</v>
      </c>
      <c r="AK29" s="1">
        <f t="shared" si="6"/>
        <v>2948</v>
      </c>
      <c r="AL29" s="1">
        <f t="shared" si="7"/>
        <v>8.125</v>
      </c>
      <c r="AM29" s="1">
        <f t="shared" si="8"/>
        <v>2956.125</v>
      </c>
    </row>
    <row r="30" spans="9:39">
      <c r="I30" s="1">
        <v>26</v>
      </c>
      <c r="K30" s="1">
        <f t="shared" si="12"/>
        <v>280</v>
      </c>
      <c r="L30" s="1">
        <f t="shared" si="13"/>
        <v>420</v>
      </c>
      <c r="M30" s="1">
        <f t="shared" si="14"/>
        <v>560</v>
      </c>
      <c r="N30" s="1">
        <f t="shared" si="15"/>
        <v>700</v>
      </c>
      <c r="X30" s="1"/>
      <c r="Y30" s="1"/>
      <c r="AJ30" s="1">
        <v>27</v>
      </c>
      <c r="AK30" s="1">
        <f t="shared" si="6"/>
        <v>3091</v>
      </c>
      <c r="AL30" s="1">
        <f t="shared" si="7"/>
        <v>8.4375</v>
      </c>
      <c r="AM30" s="1">
        <f t="shared" si="8"/>
        <v>3099.4375</v>
      </c>
    </row>
    <row r="31" spans="9:39">
      <c r="I31" s="1">
        <v>27</v>
      </c>
      <c r="K31" s="1">
        <f t="shared" si="12"/>
        <v>290</v>
      </c>
      <c r="L31" s="1">
        <f t="shared" si="13"/>
        <v>435</v>
      </c>
      <c r="M31" s="1">
        <f t="shared" si="14"/>
        <v>580</v>
      </c>
      <c r="N31" s="1">
        <f t="shared" si="15"/>
        <v>725</v>
      </c>
      <c r="X31" s="1"/>
      <c r="Y31" s="1"/>
      <c r="AJ31" s="1">
        <v>28</v>
      </c>
      <c r="AK31" s="1">
        <f t="shared" si="6"/>
        <v>3234</v>
      </c>
      <c r="AL31" s="1">
        <f t="shared" si="7"/>
        <v>8.75</v>
      </c>
      <c r="AM31" s="1">
        <f t="shared" si="8"/>
        <v>3242.75</v>
      </c>
    </row>
    <row r="32" spans="9:39">
      <c r="I32" s="1">
        <v>28</v>
      </c>
      <c r="K32" s="1">
        <f t="shared" si="12"/>
        <v>300</v>
      </c>
      <c r="L32" s="1">
        <f t="shared" si="13"/>
        <v>450</v>
      </c>
      <c r="M32" s="1">
        <f t="shared" si="14"/>
        <v>600</v>
      </c>
      <c r="N32" s="1">
        <f t="shared" si="15"/>
        <v>750</v>
      </c>
      <c r="X32" s="1"/>
      <c r="Y32" s="1"/>
      <c r="AJ32" s="1">
        <v>29</v>
      </c>
      <c r="AK32" s="1">
        <f t="shared" si="6"/>
        <v>3377</v>
      </c>
      <c r="AL32" s="1">
        <f t="shared" si="7"/>
        <v>9.0625</v>
      </c>
      <c r="AM32" s="1">
        <f t="shared" si="8"/>
        <v>3386.0625</v>
      </c>
    </row>
    <row r="33" spans="9:39">
      <c r="I33" s="1">
        <v>29</v>
      </c>
      <c r="K33" s="1">
        <f t="shared" si="12"/>
        <v>310</v>
      </c>
      <c r="L33" s="1">
        <f t="shared" si="13"/>
        <v>465</v>
      </c>
      <c r="M33" s="1">
        <f t="shared" si="14"/>
        <v>620</v>
      </c>
      <c r="N33" s="1">
        <f t="shared" si="15"/>
        <v>775</v>
      </c>
      <c r="X33" s="1"/>
      <c r="Y33" s="1"/>
      <c r="AJ33" s="1">
        <v>30</v>
      </c>
      <c r="AK33" s="1">
        <f t="shared" si="6"/>
        <v>3520</v>
      </c>
      <c r="AL33" s="1">
        <f t="shared" si="7"/>
        <v>9.375</v>
      </c>
      <c r="AM33" s="1">
        <f t="shared" si="8"/>
        <v>3529.375</v>
      </c>
    </row>
    <row r="34" spans="9:39">
      <c r="I34" s="1">
        <v>30</v>
      </c>
      <c r="K34" s="1">
        <f t="shared" si="12"/>
        <v>320</v>
      </c>
      <c r="L34" s="1">
        <f t="shared" si="13"/>
        <v>480</v>
      </c>
      <c r="M34" s="1">
        <f t="shared" si="14"/>
        <v>640</v>
      </c>
      <c r="N34" s="1">
        <f t="shared" si="15"/>
        <v>800</v>
      </c>
      <c r="X34" s="1"/>
      <c r="Y34" s="1"/>
      <c r="AJ34" s="1">
        <v>31</v>
      </c>
      <c r="AK34" s="1">
        <f t="shared" si="6"/>
        <v>3704</v>
      </c>
      <c r="AL34" s="1">
        <f t="shared" si="7"/>
        <v>9.6875</v>
      </c>
      <c r="AM34" s="1">
        <f t="shared" si="8"/>
        <v>3713.6875</v>
      </c>
    </row>
    <row r="35" spans="9:39">
      <c r="I35" s="1">
        <v>31</v>
      </c>
      <c r="K35" s="1">
        <f t="shared" si="12"/>
        <v>330</v>
      </c>
      <c r="L35" s="1">
        <f t="shared" si="13"/>
        <v>495</v>
      </c>
      <c r="M35" s="1">
        <f t="shared" si="14"/>
        <v>660</v>
      </c>
      <c r="N35" s="1">
        <f t="shared" si="15"/>
        <v>825</v>
      </c>
      <c r="X35" s="1"/>
      <c r="Y35" s="1"/>
      <c r="AJ35" s="1">
        <v>32</v>
      </c>
      <c r="AK35" s="1">
        <f t="shared" si="6"/>
        <v>3888</v>
      </c>
      <c r="AL35" s="1">
        <f t="shared" si="7"/>
        <v>10</v>
      </c>
      <c r="AM35" s="1">
        <f t="shared" si="8"/>
        <v>3898</v>
      </c>
    </row>
    <row r="36" spans="9:39">
      <c r="I36" s="1">
        <v>32</v>
      </c>
      <c r="K36" s="1">
        <f t="shared" si="12"/>
        <v>340</v>
      </c>
      <c r="L36" s="1">
        <f t="shared" si="13"/>
        <v>510</v>
      </c>
      <c r="M36" s="1">
        <f t="shared" si="14"/>
        <v>680</v>
      </c>
      <c r="N36" s="1">
        <f t="shared" si="15"/>
        <v>850</v>
      </c>
      <c r="X36" s="1"/>
      <c r="Y36" s="1"/>
      <c r="AJ36" s="1">
        <v>33</v>
      </c>
      <c r="AK36" s="1">
        <f t="shared" si="6"/>
        <v>4072</v>
      </c>
      <c r="AL36" s="1">
        <f t="shared" si="7"/>
        <v>10.833333333333334</v>
      </c>
      <c r="AM36" s="1">
        <f t="shared" si="8"/>
        <v>4082.8333333333335</v>
      </c>
    </row>
    <row r="37" spans="9:39">
      <c r="I37" s="1">
        <v>33</v>
      </c>
      <c r="K37" s="1">
        <f t="shared" si="12"/>
        <v>350</v>
      </c>
      <c r="L37" s="1">
        <f t="shared" si="13"/>
        <v>525</v>
      </c>
      <c r="M37" s="1">
        <f t="shared" si="14"/>
        <v>700</v>
      </c>
      <c r="N37" s="1">
        <f t="shared" si="15"/>
        <v>875</v>
      </c>
      <c r="X37" s="1"/>
      <c r="Y37" s="1"/>
      <c r="AJ37" s="1">
        <v>34</v>
      </c>
      <c r="AK37" s="1">
        <f t="shared" si="6"/>
        <v>4256</v>
      </c>
      <c r="AL37" s="1">
        <f t="shared" si="7"/>
        <v>11.666666666666666</v>
      </c>
      <c r="AM37" s="1">
        <f t="shared" si="8"/>
        <v>4267.666666666667</v>
      </c>
    </row>
    <row r="38" spans="9:39">
      <c r="I38" s="1">
        <v>34</v>
      </c>
      <c r="K38" s="1">
        <f t="shared" si="12"/>
        <v>360</v>
      </c>
      <c r="L38" s="1">
        <f t="shared" si="13"/>
        <v>540</v>
      </c>
      <c r="M38" s="1">
        <f t="shared" si="14"/>
        <v>720</v>
      </c>
      <c r="N38" s="1">
        <f t="shared" si="15"/>
        <v>900</v>
      </c>
      <c r="X38" s="1"/>
      <c r="Y38" s="1"/>
      <c r="AJ38" s="1">
        <v>35</v>
      </c>
      <c r="AK38" s="1">
        <f t="shared" si="6"/>
        <v>4440</v>
      </c>
      <c r="AL38" s="1">
        <f t="shared" si="7"/>
        <v>12.5</v>
      </c>
      <c r="AM38" s="1">
        <f t="shared" si="8"/>
        <v>4452.5</v>
      </c>
    </row>
    <row r="39" spans="9:39">
      <c r="I39" s="1">
        <v>35</v>
      </c>
      <c r="K39" s="1">
        <f t="shared" si="12"/>
        <v>370</v>
      </c>
      <c r="L39" s="1">
        <f t="shared" si="13"/>
        <v>555</v>
      </c>
      <c r="M39" s="1">
        <f t="shared" si="14"/>
        <v>740</v>
      </c>
      <c r="N39" s="1">
        <f t="shared" si="15"/>
        <v>925</v>
      </c>
      <c r="X39" s="1"/>
      <c r="Y39" s="1"/>
      <c r="AJ39" s="1">
        <v>36</v>
      </c>
      <c r="AK39" s="1">
        <f t="shared" si="6"/>
        <v>4560</v>
      </c>
      <c r="AL39" s="1">
        <f t="shared" si="7"/>
        <v>13.333333333333334</v>
      </c>
      <c r="AM39" s="1">
        <f t="shared" si="8"/>
        <v>4573.333333333333</v>
      </c>
    </row>
    <row r="40" spans="9:39">
      <c r="I40" s="1">
        <v>36</v>
      </c>
      <c r="K40" s="1">
        <f t="shared" si="12"/>
        <v>380</v>
      </c>
      <c r="L40" s="1">
        <f t="shared" si="13"/>
        <v>570</v>
      </c>
      <c r="M40" s="1">
        <f t="shared" si="14"/>
        <v>760</v>
      </c>
      <c r="N40" s="1">
        <f t="shared" si="15"/>
        <v>950</v>
      </c>
      <c r="X40" s="1"/>
      <c r="Y40" s="1"/>
      <c r="AJ40" s="1">
        <v>37</v>
      </c>
      <c r="AK40" s="1">
        <f t="shared" si="6"/>
        <v>4680</v>
      </c>
      <c r="AL40" s="1">
        <f t="shared" si="7"/>
        <v>14.166666666666668</v>
      </c>
      <c r="AM40" s="1">
        <f t="shared" si="8"/>
        <v>4694.166666666667</v>
      </c>
    </row>
    <row r="41" spans="9:39">
      <c r="I41" s="1">
        <v>37</v>
      </c>
      <c r="K41" s="1">
        <f t="shared" si="12"/>
        <v>390</v>
      </c>
      <c r="L41" s="1">
        <f t="shared" si="13"/>
        <v>585</v>
      </c>
      <c r="M41" s="1">
        <f t="shared" si="14"/>
        <v>780</v>
      </c>
      <c r="N41" s="1">
        <f t="shared" si="15"/>
        <v>975</v>
      </c>
      <c r="X41" s="1"/>
      <c r="Y41" s="1"/>
      <c r="AJ41" s="1">
        <v>38</v>
      </c>
      <c r="AK41" s="1">
        <f t="shared" si="6"/>
        <v>4800</v>
      </c>
      <c r="AL41" s="1">
        <f t="shared" si="7"/>
        <v>15</v>
      </c>
      <c r="AM41" s="1">
        <f t="shared" si="8"/>
        <v>4815</v>
      </c>
    </row>
    <row r="42" spans="9:39">
      <c r="I42" s="1">
        <v>38</v>
      </c>
      <c r="K42" s="1">
        <f t="shared" si="12"/>
        <v>400</v>
      </c>
      <c r="L42" s="1">
        <f t="shared" si="13"/>
        <v>600</v>
      </c>
      <c r="M42" s="1">
        <f t="shared" si="14"/>
        <v>800</v>
      </c>
      <c r="N42" s="1">
        <f t="shared" si="15"/>
        <v>1000</v>
      </c>
      <c r="X42" s="1"/>
      <c r="Y42" s="1"/>
      <c r="AJ42" s="1">
        <v>39</v>
      </c>
      <c r="AK42" s="1">
        <f t="shared" si="6"/>
        <v>4920</v>
      </c>
      <c r="AL42" s="1">
        <f t="shared" si="7"/>
        <v>15.833333333333334</v>
      </c>
      <c r="AM42" s="1">
        <f t="shared" si="8"/>
        <v>4935.833333333333</v>
      </c>
    </row>
    <row r="43" spans="9:39">
      <c r="I43" s="1">
        <v>39</v>
      </c>
      <c r="K43" s="1">
        <f t="shared" si="12"/>
        <v>410</v>
      </c>
      <c r="L43" s="1">
        <f t="shared" si="13"/>
        <v>615</v>
      </c>
      <c r="M43" s="1">
        <f t="shared" si="14"/>
        <v>820</v>
      </c>
      <c r="N43" s="1">
        <f t="shared" si="15"/>
        <v>1025</v>
      </c>
      <c r="X43" s="1"/>
      <c r="Y43" s="1"/>
      <c r="AJ43" s="1">
        <v>40</v>
      </c>
      <c r="AK43" s="1">
        <f t="shared" si="6"/>
        <v>5040</v>
      </c>
      <c r="AL43" s="1">
        <f t="shared" si="7"/>
        <v>16.666666666666668</v>
      </c>
      <c r="AM43" s="1">
        <f t="shared" si="8"/>
        <v>5056.666666666667</v>
      </c>
    </row>
    <row r="44" spans="9:39">
      <c r="I44" s="1">
        <v>40</v>
      </c>
      <c r="K44" s="1">
        <f t="shared" si="12"/>
        <v>420</v>
      </c>
      <c r="L44" s="1">
        <f t="shared" si="13"/>
        <v>630</v>
      </c>
      <c r="M44" s="1">
        <f t="shared" si="14"/>
        <v>840</v>
      </c>
      <c r="N44" s="1">
        <f t="shared" si="15"/>
        <v>1050</v>
      </c>
      <c r="X44" s="1"/>
      <c r="Y44" s="1"/>
      <c r="AJ44" s="1">
        <v>41</v>
      </c>
      <c r="AK44" s="1">
        <f t="shared" si="6"/>
        <v>5160</v>
      </c>
      <c r="AL44" s="1">
        <f t="shared" si="7"/>
        <v>17.5</v>
      </c>
      <c r="AM44" s="1">
        <f t="shared" si="8"/>
        <v>5177.5</v>
      </c>
    </row>
    <row r="45" spans="9:39">
      <c r="I45" s="1">
        <v>41</v>
      </c>
      <c r="K45" s="1">
        <f t="shared" si="12"/>
        <v>430</v>
      </c>
      <c r="L45" s="1">
        <f t="shared" si="13"/>
        <v>645</v>
      </c>
      <c r="M45" s="1">
        <f t="shared" si="14"/>
        <v>860</v>
      </c>
      <c r="N45" s="1">
        <f t="shared" si="15"/>
        <v>1075</v>
      </c>
      <c r="X45" s="1"/>
      <c r="Y45" s="1"/>
      <c r="AJ45" s="1">
        <v>42</v>
      </c>
      <c r="AK45" s="1">
        <f t="shared" si="6"/>
        <v>5280</v>
      </c>
      <c r="AL45" s="1">
        <f t="shared" si="7"/>
        <v>18.333333333333336</v>
      </c>
      <c r="AM45" s="1">
        <f t="shared" si="8"/>
        <v>5298.333333333333</v>
      </c>
    </row>
    <row r="46" spans="9:39">
      <c r="I46" s="1">
        <v>42</v>
      </c>
      <c r="K46" s="1">
        <f t="shared" si="12"/>
        <v>440</v>
      </c>
      <c r="L46" s="1">
        <f t="shared" si="13"/>
        <v>660</v>
      </c>
      <c r="M46" s="1">
        <f t="shared" si="14"/>
        <v>880</v>
      </c>
      <c r="N46" s="1">
        <f t="shared" si="15"/>
        <v>1100</v>
      </c>
      <c r="X46" s="1"/>
      <c r="Y46" s="1"/>
      <c r="AJ46" s="1">
        <v>43</v>
      </c>
      <c r="AK46" s="1">
        <f t="shared" si="6"/>
        <v>5400</v>
      </c>
      <c r="AL46" s="1">
        <f t="shared" si="7"/>
        <v>19.166666666666668</v>
      </c>
      <c r="AM46" s="1">
        <f t="shared" si="8"/>
        <v>5419.166666666667</v>
      </c>
    </row>
    <row r="47" spans="9:39">
      <c r="I47" s="1">
        <v>43</v>
      </c>
      <c r="K47" s="1">
        <f t="shared" si="12"/>
        <v>450</v>
      </c>
      <c r="L47" s="1">
        <f t="shared" si="13"/>
        <v>675</v>
      </c>
      <c r="M47" s="1">
        <f t="shared" si="14"/>
        <v>900</v>
      </c>
      <c r="N47" s="1">
        <f t="shared" si="15"/>
        <v>1125</v>
      </c>
      <c r="X47" s="1"/>
      <c r="Y47" s="1"/>
      <c r="AJ47" s="1">
        <v>44</v>
      </c>
      <c r="AK47" s="1">
        <f t="shared" si="6"/>
        <v>5520</v>
      </c>
      <c r="AL47" s="1">
        <f t="shared" si="7"/>
        <v>20</v>
      </c>
      <c r="AM47" s="1">
        <f t="shared" si="8"/>
        <v>5540</v>
      </c>
    </row>
    <row r="48" spans="9:39">
      <c r="I48" s="1">
        <v>44</v>
      </c>
      <c r="K48" s="1">
        <f t="shared" si="12"/>
        <v>460</v>
      </c>
      <c r="L48" s="1">
        <f t="shared" si="13"/>
        <v>690</v>
      </c>
      <c r="M48" s="1">
        <f t="shared" si="14"/>
        <v>920</v>
      </c>
      <c r="N48" s="1">
        <f t="shared" si="15"/>
        <v>1150</v>
      </c>
      <c r="X48" s="1"/>
      <c r="Y48" s="1"/>
      <c r="AJ48" s="1">
        <v>45</v>
      </c>
      <c r="AK48" s="1">
        <f t="shared" si="6"/>
        <v>5640</v>
      </c>
      <c r="AL48" s="1">
        <f t="shared" si="7"/>
        <v>45</v>
      </c>
      <c r="AM48" s="1">
        <f t="shared" si="8"/>
        <v>5685</v>
      </c>
    </row>
    <row r="49" spans="9:39">
      <c r="I49" s="1">
        <v>45</v>
      </c>
      <c r="K49" s="1">
        <f t="shared" si="12"/>
        <v>470</v>
      </c>
      <c r="L49" s="1">
        <f t="shared" si="13"/>
        <v>705</v>
      </c>
      <c r="M49" s="1">
        <f t="shared" si="14"/>
        <v>940</v>
      </c>
      <c r="N49" s="1">
        <f t="shared" si="15"/>
        <v>1175</v>
      </c>
      <c r="X49" s="1"/>
      <c r="Y49" s="1"/>
      <c r="AJ49" s="1">
        <v>46</v>
      </c>
      <c r="AK49" s="1">
        <f t="shared" si="6"/>
        <v>5760</v>
      </c>
      <c r="AL49" s="1">
        <f t="shared" si="7"/>
        <v>70</v>
      </c>
      <c r="AM49" s="1">
        <f t="shared" si="8"/>
        <v>5830</v>
      </c>
    </row>
    <row r="50" spans="9:39">
      <c r="I50" s="1">
        <v>46</v>
      </c>
      <c r="K50" s="1">
        <f t="shared" si="12"/>
        <v>480</v>
      </c>
      <c r="L50" s="1">
        <f t="shared" si="13"/>
        <v>720</v>
      </c>
      <c r="M50" s="1">
        <f t="shared" si="14"/>
        <v>960</v>
      </c>
      <c r="N50" s="1">
        <f t="shared" si="15"/>
        <v>1200</v>
      </c>
      <c r="X50" s="1"/>
      <c r="Y50" s="1"/>
      <c r="AJ50" s="1">
        <v>47</v>
      </c>
      <c r="AK50" s="1">
        <f t="shared" si="6"/>
        <v>5880</v>
      </c>
      <c r="AL50" s="1">
        <f t="shared" si="7"/>
        <v>95</v>
      </c>
      <c r="AM50" s="1">
        <f t="shared" si="8"/>
        <v>5975</v>
      </c>
    </row>
    <row r="51" spans="9:39">
      <c r="I51" s="1">
        <v>47</v>
      </c>
      <c r="K51" s="1">
        <f t="shared" si="12"/>
        <v>490</v>
      </c>
      <c r="L51" s="1">
        <f t="shared" si="13"/>
        <v>735</v>
      </c>
      <c r="M51" s="1">
        <f t="shared" si="14"/>
        <v>980</v>
      </c>
      <c r="N51" s="1">
        <f t="shared" si="15"/>
        <v>1225</v>
      </c>
      <c r="X51" s="1"/>
      <c r="Y51" s="1"/>
      <c r="AJ51" s="1">
        <v>48</v>
      </c>
      <c r="AK51" s="1">
        <f t="shared" si="6"/>
        <v>6000</v>
      </c>
      <c r="AL51" s="1">
        <f t="shared" si="7"/>
        <v>120</v>
      </c>
      <c r="AM51" s="1">
        <f t="shared" si="8"/>
        <v>6120</v>
      </c>
    </row>
    <row r="52" spans="9:39">
      <c r="I52" s="1">
        <v>48</v>
      </c>
      <c r="K52" s="1">
        <f t="shared" si="12"/>
        <v>500</v>
      </c>
      <c r="L52" s="1">
        <f t="shared" si="13"/>
        <v>750</v>
      </c>
      <c r="M52" s="1">
        <f t="shared" si="14"/>
        <v>1000</v>
      </c>
      <c r="N52" s="1">
        <f t="shared" si="15"/>
        <v>1250</v>
      </c>
      <c r="X52" s="1"/>
      <c r="Y52" s="1"/>
      <c r="AJ52" s="1">
        <v>49</v>
      </c>
      <c r="AK52" s="1">
        <f t="shared" si="6"/>
        <v>6120</v>
      </c>
      <c r="AL52" s="1">
        <f t="shared" si="7"/>
        <v>144</v>
      </c>
      <c r="AM52" s="1">
        <f t="shared" si="8"/>
        <v>6264</v>
      </c>
    </row>
    <row r="53" spans="9:39">
      <c r="I53" s="1">
        <v>49</v>
      </c>
      <c r="K53" s="1">
        <f t="shared" si="12"/>
        <v>510</v>
      </c>
      <c r="L53" s="1">
        <f t="shared" si="13"/>
        <v>765</v>
      </c>
      <c r="M53" s="1">
        <f t="shared" si="14"/>
        <v>1020</v>
      </c>
      <c r="N53" s="1">
        <f t="shared" si="15"/>
        <v>1275</v>
      </c>
      <c r="X53" s="1"/>
      <c r="Y53" s="1"/>
      <c r="AJ53" s="1">
        <v>50</v>
      </c>
      <c r="AK53" s="1">
        <f t="shared" si="6"/>
        <v>6240</v>
      </c>
      <c r="AL53" s="1">
        <f t="shared" si="7"/>
        <v>168</v>
      </c>
      <c r="AM53" s="1">
        <f t="shared" si="8"/>
        <v>6408</v>
      </c>
    </row>
    <row r="54" spans="9:39">
      <c r="I54" s="1">
        <v>50</v>
      </c>
      <c r="K54" s="1">
        <f t="shared" si="12"/>
        <v>520</v>
      </c>
      <c r="L54" s="1">
        <f t="shared" si="13"/>
        <v>780</v>
      </c>
      <c r="M54" s="1">
        <f t="shared" si="14"/>
        <v>1040</v>
      </c>
      <c r="N54" s="1">
        <f t="shared" si="15"/>
        <v>1300</v>
      </c>
      <c r="X54" s="1"/>
      <c r="Y54" s="1"/>
      <c r="AJ54" s="1">
        <v>51</v>
      </c>
      <c r="AK54" s="1">
        <f t="shared" si="6"/>
        <v>6360</v>
      </c>
      <c r="AL54" s="1">
        <f t="shared" si="7"/>
        <v>192</v>
      </c>
      <c r="AM54" s="1">
        <f t="shared" si="8"/>
        <v>6552</v>
      </c>
    </row>
    <row r="55" spans="9:39">
      <c r="I55" s="1">
        <v>51</v>
      </c>
      <c r="K55" s="1">
        <f t="shared" si="12"/>
        <v>530</v>
      </c>
      <c r="L55" s="1">
        <f t="shared" si="13"/>
        <v>795</v>
      </c>
      <c r="M55" s="1">
        <f t="shared" si="14"/>
        <v>1060</v>
      </c>
      <c r="N55" s="1">
        <f t="shared" si="15"/>
        <v>1325</v>
      </c>
      <c r="X55" s="1"/>
      <c r="Y55" s="1"/>
      <c r="AJ55" s="1">
        <v>52</v>
      </c>
      <c r="AK55" s="1">
        <f t="shared" si="6"/>
        <v>6480</v>
      </c>
      <c r="AL55" s="1">
        <f t="shared" si="7"/>
        <v>216</v>
      </c>
      <c r="AM55" s="1">
        <f t="shared" si="8"/>
        <v>6696</v>
      </c>
    </row>
    <row r="56" spans="9:39">
      <c r="I56" s="1">
        <v>52</v>
      </c>
      <c r="K56" s="1">
        <f t="shared" si="12"/>
        <v>540</v>
      </c>
      <c r="L56" s="1">
        <f t="shared" si="13"/>
        <v>810</v>
      </c>
      <c r="M56" s="1">
        <f t="shared" si="14"/>
        <v>1080</v>
      </c>
      <c r="N56" s="1">
        <f t="shared" si="15"/>
        <v>1350</v>
      </c>
      <c r="X56" s="1"/>
      <c r="Y56" s="1"/>
      <c r="AJ56" s="1">
        <v>53</v>
      </c>
      <c r="AK56" s="1">
        <f t="shared" si="6"/>
        <v>6600</v>
      </c>
      <c r="AL56" s="1">
        <f t="shared" si="7"/>
        <v>240</v>
      </c>
      <c r="AM56" s="1">
        <f t="shared" si="8"/>
        <v>6840</v>
      </c>
    </row>
    <row r="57" spans="9:39">
      <c r="I57" s="1">
        <v>53</v>
      </c>
      <c r="K57" s="1">
        <f t="shared" ref="K57:K88" si="16">D$7+D$8*$I57</f>
        <v>550</v>
      </c>
      <c r="L57" s="1">
        <f t="shared" ref="L57:L88" si="17">E$7+E$8*$I57</f>
        <v>825</v>
      </c>
      <c r="M57" s="1">
        <f t="shared" ref="M57:M88" si="18">F$7+F$8*$I57</f>
        <v>1100</v>
      </c>
      <c r="N57" s="1">
        <f t="shared" ref="N57:N88" si="19">G$7+G$8*$I57</f>
        <v>1375</v>
      </c>
      <c r="X57" s="1"/>
      <c r="Y57" s="1"/>
      <c r="AJ57" s="1">
        <v>54</v>
      </c>
      <c r="AK57" s="1">
        <f t="shared" si="6"/>
        <v>6720</v>
      </c>
      <c r="AL57" s="1">
        <f t="shared" si="7"/>
        <v>264</v>
      </c>
      <c r="AM57" s="1">
        <f t="shared" si="8"/>
        <v>6984</v>
      </c>
    </row>
    <row r="58" spans="9:39">
      <c r="I58" s="1">
        <v>54</v>
      </c>
      <c r="K58" s="1">
        <f t="shared" si="16"/>
        <v>560</v>
      </c>
      <c r="L58" s="1">
        <f t="shared" si="17"/>
        <v>840</v>
      </c>
      <c r="M58" s="1">
        <f t="shared" si="18"/>
        <v>1120</v>
      </c>
      <c r="N58" s="1">
        <f t="shared" si="19"/>
        <v>1400</v>
      </c>
      <c r="X58" s="1"/>
      <c r="Y58" s="1"/>
      <c r="AJ58" s="1">
        <v>55</v>
      </c>
      <c r="AK58" s="1">
        <f t="shared" si="6"/>
        <v>6840</v>
      </c>
      <c r="AL58" s="1">
        <f t="shared" si="7"/>
        <v>288</v>
      </c>
      <c r="AM58" s="1">
        <f t="shared" si="8"/>
        <v>7128</v>
      </c>
    </row>
    <row r="59" spans="9:39">
      <c r="I59" s="1">
        <v>55</v>
      </c>
      <c r="K59" s="1">
        <f t="shared" si="16"/>
        <v>570</v>
      </c>
      <c r="L59" s="1">
        <f t="shared" si="17"/>
        <v>855</v>
      </c>
      <c r="M59" s="1">
        <f t="shared" si="18"/>
        <v>1140</v>
      </c>
      <c r="N59" s="1">
        <f t="shared" si="19"/>
        <v>1425</v>
      </c>
      <c r="X59" s="1"/>
      <c r="Y59" s="1"/>
      <c r="AJ59" s="1">
        <v>56</v>
      </c>
      <c r="AK59" s="1">
        <f t="shared" si="6"/>
        <v>6960</v>
      </c>
      <c r="AL59" s="1">
        <f t="shared" si="7"/>
        <v>312</v>
      </c>
      <c r="AM59" s="1">
        <f t="shared" si="8"/>
        <v>7272</v>
      </c>
    </row>
    <row r="60" spans="9:39">
      <c r="I60" s="1">
        <v>56</v>
      </c>
      <c r="K60" s="1">
        <f t="shared" si="16"/>
        <v>580</v>
      </c>
      <c r="L60" s="1">
        <f t="shared" si="17"/>
        <v>870</v>
      </c>
      <c r="M60" s="1">
        <f t="shared" si="18"/>
        <v>1160</v>
      </c>
      <c r="N60" s="1">
        <f t="shared" si="19"/>
        <v>1450</v>
      </c>
      <c r="X60" s="1"/>
      <c r="Y60" s="1"/>
      <c r="AJ60" s="1">
        <v>57</v>
      </c>
      <c r="AK60" s="1">
        <f t="shared" si="6"/>
        <v>7080</v>
      </c>
      <c r="AL60" s="1">
        <f t="shared" si="7"/>
        <v>336</v>
      </c>
      <c r="AM60" s="1">
        <f t="shared" si="8"/>
        <v>7416</v>
      </c>
    </row>
    <row r="61" spans="9:39">
      <c r="I61" s="1">
        <v>57</v>
      </c>
      <c r="K61" s="1">
        <f t="shared" si="16"/>
        <v>590</v>
      </c>
      <c r="L61" s="1">
        <f t="shared" si="17"/>
        <v>885</v>
      </c>
      <c r="M61" s="1">
        <f t="shared" si="18"/>
        <v>1180</v>
      </c>
      <c r="N61" s="1">
        <f t="shared" si="19"/>
        <v>1475</v>
      </c>
      <c r="X61" s="1"/>
      <c r="Y61" s="1"/>
      <c r="AJ61" s="1">
        <v>58</v>
      </c>
      <c r="AK61" s="1">
        <f t="shared" si="6"/>
        <v>7200</v>
      </c>
      <c r="AL61" s="1">
        <f t="shared" si="7"/>
        <v>360</v>
      </c>
      <c r="AM61" s="1">
        <f t="shared" si="8"/>
        <v>7560</v>
      </c>
    </row>
    <row r="62" spans="9:39">
      <c r="I62" s="1">
        <v>58</v>
      </c>
      <c r="K62" s="1">
        <f t="shared" si="16"/>
        <v>600</v>
      </c>
      <c r="L62" s="1">
        <f t="shared" si="17"/>
        <v>900</v>
      </c>
      <c r="M62" s="1">
        <f t="shared" si="18"/>
        <v>1200</v>
      </c>
      <c r="N62" s="1">
        <f t="shared" si="19"/>
        <v>1500</v>
      </c>
      <c r="X62" s="1"/>
      <c r="Y62" s="1"/>
      <c r="AJ62" s="1">
        <v>59</v>
      </c>
      <c r="AK62" s="1">
        <f t="shared" si="6"/>
        <v>7320</v>
      </c>
      <c r="AL62" s="1">
        <f t="shared" si="7"/>
        <v>420</v>
      </c>
      <c r="AM62" s="1">
        <f t="shared" si="8"/>
        <v>7740</v>
      </c>
    </row>
    <row r="63" spans="9:39">
      <c r="I63" s="1">
        <v>59</v>
      </c>
      <c r="K63" s="1">
        <f t="shared" si="16"/>
        <v>610</v>
      </c>
      <c r="L63" s="1">
        <f t="shared" si="17"/>
        <v>915</v>
      </c>
      <c r="M63" s="1">
        <f t="shared" si="18"/>
        <v>1220</v>
      </c>
      <c r="N63" s="1">
        <f t="shared" si="19"/>
        <v>1525</v>
      </c>
      <c r="X63" s="1"/>
      <c r="Y63" s="1"/>
      <c r="AJ63" s="1">
        <v>60</v>
      </c>
      <c r="AK63" s="1">
        <f t="shared" si="6"/>
        <v>7440</v>
      </c>
      <c r="AL63" s="1">
        <f t="shared" si="7"/>
        <v>480</v>
      </c>
      <c r="AM63" s="1">
        <f t="shared" si="8"/>
        <v>7920</v>
      </c>
    </row>
    <row r="64" spans="9:39">
      <c r="I64" s="1">
        <v>60</v>
      </c>
      <c r="K64" s="1">
        <f t="shared" si="16"/>
        <v>620</v>
      </c>
      <c r="L64" s="1">
        <f t="shared" si="17"/>
        <v>930</v>
      </c>
      <c r="M64" s="1">
        <f t="shared" si="18"/>
        <v>1240</v>
      </c>
      <c r="N64" s="1">
        <f t="shared" si="19"/>
        <v>1550</v>
      </c>
      <c r="X64" s="1"/>
      <c r="Y64" s="1"/>
      <c r="AJ64" s="1">
        <v>61</v>
      </c>
      <c r="AK64" s="1">
        <f t="shared" si="6"/>
        <v>7560</v>
      </c>
      <c r="AL64" s="1">
        <f t="shared" si="7"/>
        <v>540</v>
      </c>
      <c r="AM64" s="1">
        <f t="shared" si="8"/>
        <v>8100</v>
      </c>
    </row>
    <row r="65" spans="9:39">
      <c r="I65" s="1">
        <v>61</v>
      </c>
      <c r="K65" s="1">
        <f t="shared" si="16"/>
        <v>630</v>
      </c>
      <c r="L65" s="1">
        <f t="shared" si="17"/>
        <v>945</v>
      </c>
      <c r="M65" s="1">
        <f t="shared" si="18"/>
        <v>1260</v>
      </c>
      <c r="N65" s="1">
        <f t="shared" si="19"/>
        <v>1575</v>
      </c>
      <c r="X65" s="1"/>
      <c r="Y65" s="1"/>
      <c r="AJ65" s="1">
        <v>62</v>
      </c>
      <c r="AK65" s="1">
        <f t="shared" si="6"/>
        <v>7680</v>
      </c>
      <c r="AL65" s="1">
        <f t="shared" si="7"/>
        <v>600</v>
      </c>
      <c r="AM65" s="1">
        <f t="shared" si="8"/>
        <v>8280</v>
      </c>
    </row>
    <row r="66" spans="9:39">
      <c r="I66" s="1">
        <v>62</v>
      </c>
      <c r="K66" s="1">
        <f t="shared" si="16"/>
        <v>640</v>
      </c>
      <c r="L66" s="1">
        <f t="shared" si="17"/>
        <v>960</v>
      </c>
      <c r="M66" s="1">
        <f t="shared" si="18"/>
        <v>1280</v>
      </c>
      <c r="N66" s="1">
        <f t="shared" si="19"/>
        <v>1600</v>
      </c>
      <c r="X66" s="1"/>
      <c r="Y66" s="1"/>
      <c r="AJ66" s="1">
        <v>63</v>
      </c>
      <c r="AK66" s="1">
        <f t="shared" si="6"/>
        <v>7800</v>
      </c>
      <c r="AL66" s="1">
        <f t="shared" si="7"/>
        <v>660</v>
      </c>
      <c r="AM66" s="1">
        <f t="shared" si="8"/>
        <v>8460</v>
      </c>
    </row>
    <row r="67" spans="9:39">
      <c r="I67" s="1">
        <v>63</v>
      </c>
      <c r="K67" s="1">
        <f t="shared" si="16"/>
        <v>650</v>
      </c>
      <c r="L67" s="1">
        <f t="shared" si="17"/>
        <v>975</v>
      </c>
      <c r="M67" s="1">
        <f t="shared" si="18"/>
        <v>1300</v>
      </c>
      <c r="N67" s="1">
        <f t="shared" si="19"/>
        <v>1625</v>
      </c>
      <c r="X67" s="1"/>
      <c r="Y67" s="1"/>
      <c r="AJ67" s="1">
        <v>64</v>
      </c>
      <c r="AK67" s="1">
        <f t="shared" si="6"/>
        <v>7920</v>
      </c>
      <c r="AL67" s="1">
        <f t="shared" si="7"/>
        <v>720</v>
      </c>
      <c r="AM67" s="1">
        <f t="shared" si="8"/>
        <v>8640</v>
      </c>
    </row>
    <row r="68" spans="9:39">
      <c r="I68" s="1">
        <v>64</v>
      </c>
      <c r="K68" s="1">
        <f t="shared" si="16"/>
        <v>660</v>
      </c>
      <c r="L68" s="1">
        <f t="shared" si="17"/>
        <v>990</v>
      </c>
      <c r="M68" s="1">
        <f t="shared" si="18"/>
        <v>1320</v>
      </c>
      <c r="N68" s="1">
        <f t="shared" si="19"/>
        <v>1650</v>
      </c>
      <c r="X68" s="1"/>
      <c r="Y68" s="1"/>
      <c r="AJ68" s="1">
        <v>65</v>
      </c>
      <c r="AK68" s="1">
        <f t="shared" si="6"/>
        <v>8040</v>
      </c>
      <c r="AL68" s="1">
        <f t="shared" si="7"/>
        <v>780</v>
      </c>
      <c r="AM68" s="1">
        <f t="shared" si="8"/>
        <v>8820</v>
      </c>
    </row>
    <row r="69" spans="9:39">
      <c r="I69" s="1">
        <v>65</v>
      </c>
      <c r="K69" s="1">
        <f t="shared" si="16"/>
        <v>670</v>
      </c>
      <c r="L69" s="1">
        <f t="shared" si="17"/>
        <v>1005</v>
      </c>
      <c r="M69" s="1">
        <f t="shared" si="18"/>
        <v>1340</v>
      </c>
      <c r="N69" s="1">
        <f t="shared" si="19"/>
        <v>1675</v>
      </c>
      <c r="X69" s="1"/>
      <c r="Y69" s="1"/>
      <c r="AJ69" s="1">
        <v>66</v>
      </c>
      <c r="AK69" s="1">
        <f t="shared" ref="AK69:AK103" si="20">求节点($AC$4:$AC$17,$AH$4:$AH$17,AJ69)</f>
        <v>8160</v>
      </c>
      <c r="AL69" s="1">
        <f t="shared" ref="AL69:AL103" si="21">IF(AJ69&lt;=$AC$26,求节点($AC$21:$AC$26,$AH$21:$AH$26,AJ69),$AH$26)</f>
        <v>840</v>
      </c>
      <c r="AM69" s="1">
        <f t="shared" ref="AM69:AM103" si="22">AK69+AL69</f>
        <v>9000</v>
      </c>
    </row>
    <row r="70" spans="9:39">
      <c r="I70" s="1">
        <v>66</v>
      </c>
      <c r="K70" s="1">
        <f t="shared" si="16"/>
        <v>680</v>
      </c>
      <c r="L70" s="1">
        <f t="shared" si="17"/>
        <v>1020</v>
      </c>
      <c r="M70" s="1">
        <f t="shared" si="18"/>
        <v>1360</v>
      </c>
      <c r="N70" s="1">
        <f t="shared" si="19"/>
        <v>1700</v>
      </c>
      <c r="X70" s="1"/>
      <c r="Y70" s="1"/>
      <c r="AJ70" s="1">
        <v>67</v>
      </c>
      <c r="AK70" s="1">
        <f t="shared" si="20"/>
        <v>8280</v>
      </c>
      <c r="AL70" s="1">
        <f t="shared" si="21"/>
        <v>840</v>
      </c>
      <c r="AM70" s="1">
        <f t="shared" si="22"/>
        <v>9120</v>
      </c>
    </row>
    <row r="71" spans="9:39">
      <c r="I71" s="1">
        <v>67</v>
      </c>
      <c r="K71" s="1">
        <f t="shared" si="16"/>
        <v>690</v>
      </c>
      <c r="L71" s="1">
        <f t="shared" si="17"/>
        <v>1035</v>
      </c>
      <c r="M71" s="1">
        <f t="shared" si="18"/>
        <v>1380</v>
      </c>
      <c r="N71" s="1">
        <f t="shared" si="19"/>
        <v>1725</v>
      </c>
      <c r="X71" s="1"/>
      <c r="Y71" s="1"/>
      <c r="AJ71" s="1">
        <v>68</v>
      </c>
      <c r="AK71" s="1">
        <f t="shared" si="20"/>
        <v>8400</v>
      </c>
      <c r="AL71" s="1">
        <f t="shared" si="21"/>
        <v>840</v>
      </c>
      <c r="AM71" s="1">
        <f t="shared" si="22"/>
        <v>9240</v>
      </c>
    </row>
    <row r="72" spans="9:39">
      <c r="I72" s="1">
        <v>68</v>
      </c>
      <c r="K72" s="1">
        <f t="shared" si="16"/>
        <v>700</v>
      </c>
      <c r="L72" s="1">
        <f t="shared" si="17"/>
        <v>1050</v>
      </c>
      <c r="M72" s="1">
        <f t="shared" si="18"/>
        <v>1400</v>
      </c>
      <c r="N72" s="1">
        <f t="shared" si="19"/>
        <v>1750</v>
      </c>
      <c r="X72" s="1"/>
      <c r="Y72" s="1"/>
      <c r="AJ72" s="1">
        <v>69</v>
      </c>
      <c r="AK72" s="1">
        <f t="shared" si="20"/>
        <v>8520</v>
      </c>
      <c r="AL72" s="1">
        <f t="shared" si="21"/>
        <v>840</v>
      </c>
      <c r="AM72" s="1">
        <f t="shared" si="22"/>
        <v>9360</v>
      </c>
    </row>
    <row r="73" spans="9:39">
      <c r="I73" s="1">
        <v>69</v>
      </c>
      <c r="K73" s="1">
        <f t="shared" si="16"/>
        <v>710</v>
      </c>
      <c r="L73" s="1">
        <f t="shared" si="17"/>
        <v>1065</v>
      </c>
      <c r="M73" s="1">
        <f t="shared" si="18"/>
        <v>1420</v>
      </c>
      <c r="N73" s="1">
        <f t="shared" si="19"/>
        <v>1775</v>
      </c>
      <c r="X73" s="1"/>
      <c r="Y73" s="1"/>
      <c r="AJ73" s="1">
        <v>70</v>
      </c>
      <c r="AK73" s="1">
        <f t="shared" si="20"/>
        <v>8640</v>
      </c>
      <c r="AL73" s="1">
        <f t="shared" si="21"/>
        <v>840</v>
      </c>
      <c r="AM73" s="1">
        <f t="shared" si="22"/>
        <v>9480</v>
      </c>
    </row>
    <row r="74" spans="9:39">
      <c r="I74" s="1">
        <v>70</v>
      </c>
      <c r="K74" s="1">
        <f t="shared" si="16"/>
        <v>720</v>
      </c>
      <c r="L74" s="1">
        <f t="shared" si="17"/>
        <v>1080</v>
      </c>
      <c r="M74" s="1">
        <f t="shared" si="18"/>
        <v>1440</v>
      </c>
      <c r="N74" s="1">
        <f t="shared" si="19"/>
        <v>1800</v>
      </c>
      <c r="X74" s="1"/>
      <c r="Y74" s="1"/>
      <c r="AJ74" s="1">
        <v>71</v>
      </c>
      <c r="AK74" s="1">
        <f t="shared" si="20"/>
        <v>8760</v>
      </c>
      <c r="AL74" s="1">
        <f t="shared" si="21"/>
        <v>840</v>
      </c>
      <c r="AM74" s="1">
        <f t="shared" si="22"/>
        <v>9600</v>
      </c>
    </row>
    <row r="75" spans="9:39">
      <c r="I75" s="1">
        <v>71</v>
      </c>
      <c r="K75" s="1">
        <f t="shared" si="16"/>
        <v>730</v>
      </c>
      <c r="L75" s="1">
        <f t="shared" si="17"/>
        <v>1095</v>
      </c>
      <c r="M75" s="1">
        <f t="shared" si="18"/>
        <v>1460</v>
      </c>
      <c r="N75" s="1">
        <f t="shared" si="19"/>
        <v>1825</v>
      </c>
      <c r="X75" s="1"/>
      <c r="Y75" s="1"/>
      <c r="AJ75" s="1">
        <v>72</v>
      </c>
      <c r="AK75" s="1">
        <f t="shared" si="20"/>
        <v>8880</v>
      </c>
      <c r="AL75" s="1">
        <f t="shared" si="21"/>
        <v>840</v>
      </c>
      <c r="AM75" s="1">
        <f t="shared" si="22"/>
        <v>9720</v>
      </c>
    </row>
    <row r="76" spans="9:39">
      <c r="I76" s="1">
        <v>72</v>
      </c>
      <c r="K76" s="1">
        <f t="shared" si="16"/>
        <v>740</v>
      </c>
      <c r="L76" s="1">
        <f t="shared" si="17"/>
        <v>1110</v>
      </c>
      <c r="M76" s="1">
        <f t="shared" si="18"/>
        <v>1480</v>
      </c>
      <c r="N76" s="1">
        <f t="shared" si="19"/>
        <v>1850</v>
      </c>
      <c r="X76" s="1"/>
      <c r="Y76" s="1"/>
      <c r="AJ76" s="1">
        <v>73</v>
      </c>
      <c r="AK76" s="1">
        <f t="shared" si="20"/>
        <v>9000</v>
      </c>
      <c r="AL76" s="1">
        <f t="shared" si="21"/>
        <v>840</v>
      </c>
      <c r="AM76" s="1">
        <f t="shared" si="22"/>
        <v>9840</v>
      </c>
    </row>
    <row r="77" spans="9:39">
      <c r="I77" s="1">
        <v>73</v>
      </c>
      <c r="K77" s="1">
        <f t="shared" si="16"/>
        <v>750</v>
      </c>
      <c r="L77" s="1">
        <f t="shared" si="17"/>
        <v>1125</v>
      </c>
      <c r="M77" s="1">
        <f t="shared" si="18"/>
        <v>1500</v>
      </c>
      <c r="N77" s="1">
        <f t="shared" si="19"/>
        <v>1875</v>
      </c>
      <c r="X77" s="1"/>
      <c r="Y77" s="1"/>
      <c r="AJ77" s="1">
        <v>74</v>
      </c>
      <c r="AK77" s="1">
        <f t="shared" si="20"/>
        <v>9120</v>
      </c>
      <c r="AL77" s="1">
        <f t="shared" si="21"/>
        <v>840</v>
      </c>
      <c r="AM77" s="1">
        <f t="shared" si="22"/>
        <v>9960</v>
      </c>
    </row>
    <row r="78" spans="9:39">
      <c r="I78" s="1">
        <v>74</v>
      </c>
      <c r="K78" s="1">
        <f t="shared" si="16"/>
        <v>760</v>
      </c>
      <c r="L78" s="1">
        <f t="shared" si="17"/>
        <v>1140</v>
      </c>
      <c r="M78" s="1">
        <f t="shared" si="18"/>
        <v>1520</v>
      </c>
      <c r="N78" s="1">
        <f t="shared" si="19"/>
        <v>1900</v>
      </c>
      <c r="X78" s="1"/>
      <c r="Y78" s="1"/>
      <c r="AJ78" s="1">
        <v>75</v>
      </c>
      <c r="AK78" s="1">
        <f t="shared" si="20"/>
        <v>9240</v>
      </c>
      <c r="AL78" s="1">
        <f t="shared" si="21"/>
        <v>840</v>
      </c>
      <c r="AM78" s="1">
        <f t="shared" si="22"/>
        <v>10080</v>
      </c>
    </row>
    <row r="79" spans="9:39">
      <c r="I79" s="1">
        <v>75</v>
      </c>
      <c r="K79" s="1">
        <f t="shared" si="16"/>
        <v>770</v>
      </c>
      <c r="L79" s="1">
        <f t="shared" si="17"/>
        <v>1155</v>
      </c>
      <c r="M79" s="1">
        <f t="shared" si="18"/>
        <v>1540</v>
      </c>
      <c r="N79" s="1">
        <f t="shared" si="19"/>
        <v>1925</v>
      </c>
      <c r="X79" s="1"/>
      <c r="Y79" s="1"/>
      <c r="AJ79" s="1">
        <v>76</v>
      </c>
      <c r="AK79" s="1">
        <f t="shared" si="20"/>
        <v>9360</v>
      </c>
      <c r="AL79" s="1">
        <f t="shared" si="21"/>
        <v>840</v>
      </c>
      <c r="AM79" s="1">
        <f t="shared" si="22"/>
        <v>10200</v>
      </c>
    </row>
    <row r="80" spans="9:39">
      <c r="I80" s="1">
        <v>76</v>
      </c>
      <c r="K80" s="1">
        <f t="shared" si="16"/>
        <v>780</v>
      </c>
      <c r="L80" s="1">
        <f t="shared" si="17"/>
        <v>1170</v>
      </c>
      <c r="M80" s="1">
        <f t="shared" si="18"/>
        <v>1560</v>
      </c>
      <c r="N80" s="1">
        <f t="shared" si="19"/>
        <v>1950</v>
      </c>
      <c r="X80" s="1"/>
      <c r="Y80" s="1"/>
      <c r="AJ80" s="1">
        <v>77</v>
      </c>
      <c r="AK80" s="1">
        <f t="shared" si="20"/>
        <v>9480</v>
      </c>
      <c r="AL80" s="1">
        <f t="shared" si="21"/>
        <v>840</v>
      </c>
      <c r="AM80" s="1">
        <f t="shared" si="22"/>
        <v>10320</v>
      </c>
    </row>
    <row r="81" spans="9:39">
      <c r="I81" s="1">
        <v>77</v>
      </c>
      <c r="K81" s="1">
        <f t="shared" si="16"/>
        <v>790</v>
      </c>
      <c r="L81" s="1">
        <f t="shared" si="17"/>
        <v>1185</v>
      </c>
      <c r="M81" s="1">
        <f t="shared" si="18"/>
        <v>1580</v>
      </c>
      <c r="N81" s="1">
        <f t="shared" si="19"/>
        <v>1975</v>
      </c>
      <c r="X81" s="1"/>
      <c r="Y81" s="1"/>
      <c r="AJ81" s="1">
        <v>78</v>
      </c>
      <c r="AK81" s="1">
        <f t="shared" si="20"/>
        <v>9600</v>
      </c>
      <c r="AL81" s="1">
        <f t="shared" si="21"/>
        <v>840</v>
      </c>
      <c r="AM81" s="1">
        <f t="shared" si="22"/>
        <v>10440</v>
      </c>
    </row>
    <row r="82" spans="9:39">
      <c r="I82" s="1">
        <v>78</v>
      </c>
      <c r="K82" s="1">
        <f t="shared" si="16"/>
        <v>800</v>
      </c>
      <c r="L82" s="1">
        <f t="shared" si="17"/>
        <v>1200</v>
      </c>
      <c r="M82" s="1">
        <f t="shared" si="18"/>
        <v>1600</v>
      </c>
      <c r="N82" s="1">
        <f t="shared" si="19"/>
        <v>2000</v>
      </c>
      <c r="X82" s="1"/>
      <c r="Y82" s="1"/>
      <c r="AJ82" s="1">
        <v>79</v>
      </c>
      <c r="AK82" s="1">
        <f t="shared" si="20"/>
        <v>9720</v>
      </c>
      <c r="AL82" s="1">
        <f t="shared" si="21"/>
        <v>840</v>
      </c>
      <c r="AM82" s="1">
        <f t="shared" si="22"/>
        <v>10560</v>
      </c>
    </row>
    <row r="83" spans="9:39">
      <c r="I83" s="1">
        <v>79</v>
      </c>
      <c r="K83" s="1">
        <f t="shared" si="16"/>
        <v>810</v>
      </c>
      <c r="L83" s="1">
        <f t="shared" si="17"/>
        <v>1215</v>
      </c>
      <c r="M83" s="1">
        <f t="shared" si="18"/>
        <v>1620</v>
      </c>
      <c r="N83" s="1">
        <f t="shared" si="19"/>
        <v>2025</v>
      </c>
      <c r="X83" s="1"/>
      <c r="Y83" s="1"/>
      <c r="AJ83" s="1">
        <v>80</v>
      </c>
      <c r="AK83" s="1">
        <f t="shared" si="20"/>
        <v>9840</v>
      </c>
      <c r="AL83" s="1">
        <f t="shared" si="21"/>
        <v>840</v>
      </c>
      <c r="AM83" s="1">
        <f t="shared" si="22"/>
        <v>10680</v>
      </c>
    </row>
    <row r="84" spans="9:39">
      <c r="I84" s="1">
        <v>80</v>
      </c>
      <c r="K84" s="1">
        <f t="shared" si="16"/>
        <v>820</v>
      </c>
      <c r="L84" s="1">
        <f t="shared" si="17"/>
        <v>1230</v>
      </c>
      <c r="M84" s="1">
        <f t="shared" si="18"/>
        <v>1640</v>
      </c>
      <c r="N84" s="1">
        <f t="shared" si="19"/>
        <v>2050</v>
      </c>
      <c r="X84" s="1"/>
      <c r="Y84" s="1"/>
      <c r="AJ84" s="1">
        <v>81</v>
      </c>
      <c r="AK84" s="1">
        <f t="shared" si="20"/>
        <v>9960</v>
      </c>
      <c r="AL84" s="1">
        <f t="shared" si="21"/>
        <v>840</v>
      </c>
      <c r="AM84" s="1">
        <f t="shared" si="22"/>
        <v>10800</v>
      </c>
    </row>
    <row r="85" spans="9:39">
      <c r="I85" s="1">
        <v>81</v>
      </c>
      <c r="K85" s="1">
        <f t="shared" si="16"/>
        <v>830</v>
      </c>
      <c r="L85" s="1">
        <f t="shared" si="17"/>
        <v>1245</v>
      </c>
      <c r="M85" s="1">
        <f t="shared" si="18"/>
        <v>1660</v>
      </c>
      <c r="N85" s="1">
        <f t="shared" si="19"/>
        <v>2075</v>
      </c>
      <c r="X85" s="1"/>
      <c r="Y85" s="1"/>
      <c r="AJ85" s="1">
        <v>82</v>
      </c>
      <c r="AK85" s="1">
        <f t="shared" si="20"/>
        <v>10080</v>
      </c>
      <c r="AL85" s="1">
        <f t="shared" si="21"/>
        <v>840</v>
      </c>
      <c r="AM85" s="1">
        <f t="shared" si="22"/>
        <v>10920</v>
      </c>
    </row>
    <row r="86" spans="9:39">
      <c r="I86" s="1">
        <v>82</v>
      </c>
      <c r="K86" s="1">
        <f t="shared" si="16"/>
        <v>840</v>
      </c>
      <c r="L86" s="1">
        <f t="shared" si="17"/>
        <v>1260</v>
      </c>
      <c r="M86" s="1">
        <f t="shared" si="18"/>
        <v>1680</v>
      </c>
      <c r="N86" s="1">
        <f t="shared" si="19"/>
        <v>2100</v>
      </c>
      <c r="X86" s="1"/>
      <c r="Y86" s="1"/>
      <c r="AJ86" s="1">
        <v>83</v>
      </c>
      <c r="AK86" s="1">
        <f t="shared" si="20"/>
        <v>10200</v>
      </c>
      <c r="AL86" s="1">
        <f t="shared" si="21"/>
        <v>840</v>
      </c>
      <c r="AM86" s="1">
        <f t="shared" si="22"/>
        <v>11040</v>
      </c>
    </row>
    <row r="87" spans="9:39">
      <c r="I87" s="1">
        <v>83</v>
      </c>
      <c r="K87" s="1">
        <f t="shared" si="16"/>
        <v>850</v>
      </c>
      <c r="L87" s="1">
        <f t="shared" si="17"/>
        <v>1275</v>
      </c>
      <c r="M87" s="1">
        <f t="shared" si="18"/>
        <v>1700</v>
      </c>
      <c r="N87" s="1">
        <f t="shared" si="19"/>
        <v>2125</v>
      </c>
      <c r="X87" s="1"/>
      <c r="Y87" s="1"/>
      <c r="AJ87" s="1">
        <v>84</v>
      </c>
      <c r="AK87" s="1">
        <f t="shared" si="20"/>
        <v>10320</v>
      </c>
      <c r="AL87" s="1">
        <f t="shared" si="21"/>
        <v>840</v>
      </c>
      <c r="AM87" s="1">
        <f t="shared" si="22"/>
        <v>11160</v>
      </c>
    </row>
    <row r="88" spans="9:39">
      <c r="I88" s="1">
        <v>84</v>
      </c>
      <c r="K88" s="1">
        <f t="shared" si="16"/>
        <v>860</v>
      </c>
      <c r="L88" s="1">
        <f t="shared" si="17"/>
        <v>1290</v>
      </c>
      <c r="M88" s="1">
        <f t="shared" si="18"/>
        <v>1720</v>
      </c>
      <c r="N88" s="1">
        <f t="shared" si="19"/>
        <v>2150</v>
      </c>
      <c r="X88" s="1"/>
      <c r="Y88" s="1"/>
      <c r="AJ88" s="1">
        <v>85</v>
      </c>
      <c r="AK88" s="1">
        <f t="shared" si="20"/>
        <v>10440</v>
      </c>
      <c r="AL88" s="1">
        <f t="shared" si="21"/>
        <v>840</v>
      </c>
      <c r="AM88" s="1">
        <f t="shared" si="22"/>
        <v>11280</v>
      </c>
    </row>
    <row r="89" spans="9:39">
      <c r="I89" s="1">
        <v>85</v>
      </c>
      <c r="K89" s="1">
        <f t="shared" ref="K89:K104" si="23">D$7+D$8*$I89</f>
        <v>870</v>
      </c>
      <c r="L89" s="1">
        <f t="shared" ref="L89:L104" si="24">E$7+E$8*$I89</f>
        <v>1305</v>
      </c>
      <c r="M89" s="1">
        <f t="shared" ref="M89:M104" si="25">F$7+F$8*$I89</f>
        <v>1740</v>
      </c>
      <c r="N89" s="1">
        <f t="shared" ref="N89:N104" si="26">G$7+G$8*$I89</f>
        <v>2175</v>
      </c>
      <c r="X89" s="1"/>
      <c r="Y89" s="1"/>
      <c r="AJ89" s="1">
        <v>86</v>
      </c>
      <c r="AK89" s="1">
        <f t="shared" si="20"/>
        <v>10560</v>
      </c>
      <c r="AL89" s="1">
        <f t="shared" si="21"/>
        <v>840</v>
      </c>
      <c r="AM89" s="1">
        <f t="shared" si="22"/>
        <v>11400</v>
      </c>
    </row>
    <row r="90" spans="9:39">
      <c r="I90" s="1">
        <v>86</v>
      </c>
      <c r="K90" s="1">
        <f t="shared" si="23"/>
        <v>880</v>
      </c>
      <c r="L90" s="1">
        <f t="shared" si="24"/>
        <v>1320</v>
      </c>
      <c r="M90" s="1">
        <f t="shared" si="25"/>
        <v>1760</v>
      </c>
      <c r="N90" s="1">
        <f t="shared" si="26"/>
        <v>2200</v>
      </c>
      <c r="X90" s="1"/>
      <c r="Y90" s="1"/>
      <c r="AJ90" s="1">
        <v>87</v>
      </c>
      <c r="AK90" s="1">
        <f t="shared" si="20"/>
        <v>10680</v>
      </c>
      <c r="AL90" s="1">
        <f t="shared" si="21"/>
        <v>840</v>
      </c>
      <c r="AM90" s="1">
        <f t="shared" si="22"/>
        <v>11520</v>
      </c>
    </row>
    <row r="91" spans="9:39">
      <c r="I91" s="1">
        <v>87</v>
      </c>
      <c r="K91" s="1">
        <f t="shared" si="23"/>
        <v>890</v>
      </c>
      <c r="L91" s="1">
        <f t="shared" si="24"/>
        <v>1335</v>
      </c>
      <c r="M91" s="1">
        <f t="shared" si="25"/>
        <v>1780</v>
      </c>
      <c r="N91" s="1">
        <f t="shared" si="26"/>
        <v>2225</v>
      </c>
      <c r="X91" s="1"/>
      <c r="Y91" s="1"/>
      <c r="AJ91" s="1">
        <v>88</v>
      </c>
      <c r="AK91" s="1">
        <f t="shared" si="20"/>
        <v>10800</v>
      </c>
      <c r="AL91" s="1">
        <f t="shared" si="21"/>
        <v>840</v>
      </c>
      <c r="AM91" s="1">
        <f t="shared" si="22"/>
        <v>11640</v>
      </c>
    </row>
    <row r="92" spans="9:39">
      <c r="I92" s="1">
        <v>88</v>
      </c>
      <c r="K92" s="1">
        <f t="shared" si="23"/>
        <v>900</v>
      </c>
      <c r="L92" s="1">
        <f t="shared" si="24"/>
        <v>1350</v>
      </c>
      <c r="M92" s="1">
        <f t="shared" si="25"/>
        <v>1800</v>
      </c>
      <c r="N92" s="1">
        <f t="shared" si="26"/>
        <v>2250</v>
      </c>
      <c r="X92" s="1"/>
      <c r="Y92" s="1"/>
      <c r="AJ92" s="1">
        <v>89</v>
      </c>
      <c r="AK92" s="1">
        <f t="shared" si="20"/>
        <v>10920</v>
      </c>
      <c r="AL92" s="1">
        <f t="shared" si="21"/>
        <v>840</v>
      </c>
      <c r="AM92" s="1">
        <f t="shared" si="22"/>
        <v>11760</v>
      </c>
    </row>
    <row r="93" spans="9:39">
      <c r="I93" s="1">
        <v>89</v>
      </c>
      <c r="K93" s="1">
        <f t="shared" si="23"/>
        <v>910</v>
      </c>
      <c r="L93" s="1">
        <f t="shared" si="24"/>
        <v>1365</v>
      </c>
      <c r="M93" s="1">
        <f t="shared" si="25"/>
        <v>1820</v>
      </c>
      <c r="N93" s="1">
        <f t="shared" si="26"/>
        <v>2275</v>
      </c>
      <c r="X93" s="1"/>
      <c r="Y93" s="1"/>
      <c r="AJ93" s="1">
        <v>90</v>
      </c>
      <c r="AK93" s="1">
        <f t="shared" si="20"/>
        <v>11040</v>
      </c>
      <c r="AL93" s="1">
        <f t="shared" si="21"/>
        <v>840</v>
      </c>
      <c r="AM93" s="1">
        <f t="shared" si="22"/>
        <v>11880</v>
      </c>
    </row>
    <row r="94" spans="9:39">
      <c r="I94" s="1">
        <v>90</v>
      </c>
      <c r="K94" s="1">
        <f t="shared" si="23"/>
        <v>920</v>
      </c>
      <c r="L94" s="1">
        <f t="shared" si="24"/>
        <v>1380</v>
      </c>
      <c r="M94" s="1">
        <f t="shared" si="25"/>
        <v>1840</v>
      </c>
      <c r="N94" s="1">
        <f t="shared" si="26"/>
        <v>2300</v>
      </c>
      <c r="X94" s="1"/>
      <c r="Y94" s="1"/>
      <c r="AJ94" s="1">
        <v>91</v>
      </c>
      <c r="AK94" s="1">
        <f t="shared" si="20"/>
        <v>11160</v>
      </c>
      <c r="AL94" s="1">
        <f t="shared" si="21"/>
        <v>840</v>
      </c>
      <c r="AM94" s="1">
        <f t="shared" si="22"/>
        <v>12000</v>
      </c>
    </row>
    <row r="95" spans="9:39">
      <c r="I95" s="1">
        <v>91</v>
      </c>
      <c r="K95" s="1">
        <f t="shared" si="23"/>
        <v>930</v>
      </c>
      <c r="L95" s="1">
        <f t="shared" si="24"/>
        <v>1395</v>
      </c>
      <c r="M95" s="1">
        <f t="shared" si="25"/>
        <v>1860</v>
      </c>
      <c r="N95" s="1">
        <f t="shared" si="26"/>
        <v>2325</v>
      </c>
      <c r="X95" s="1"/>
      <c r="Y95" s="1"/>
      <c r="AJ95" s="1">
        <v>92</v>
      </c>
      <c r="AK95" s="1">
        <f t="shared" si="20"/>
        <v>11280</v>
      </c>
      <c r="AL95" s="1">
        <f t="shared" si="21"/>
        <v>840</v>
      </c>
      <c r="AM95" s="1">
        <f t="shared" si="22"/>
        <v>12120</v>
      </c>
    </row>
    <row r="96" spans="9:39">
      <c r="I96" s="1">
        <v>92</v>
      </c>
      <c r="K96" s="1">
        <f t="shared" si="23"/>
        <v>940</v>
      </c>
      <c r="L96" s="1">
        <f t="shared" si="24"/>
        <v>1410</v>
      </c>
      <c r="M96" s="1">
        <f t="shared" si="25"/>
        <v>1880</v>
      </c>
      <c r="N96" s="1">
        <f t="shared" si="26"/>
        <v>2350</v>
      </c>
      <c r="X96" s="1"/>
      <c r="Y96" s="1"/>
      <c r="AJ96" s="1">
        <v>93</v>
      </c>
      <c r="AK96" s="1">
        <f t="shared" si="20"/>
        <v>11400</v>
      </c>
      <c r="AL96" s="1">
        <f t="shared" si="21"/>
        <v>840</v>
      </c>
      <c r="AM96" s="1">
        <f t="shared" si="22"/>
        <v>12240</v>
      </c>
    </row>
    <row r="97" spans="9:39">
      <c r="I97" s="1">
        <v>93</v>
      </c>
      <c r="K97" s="1">
        <f t="shared" si="23"/>
        <v>950</v>
      </c>
      <c r="L97" s="1">
        <f t="shared" si="24"/>
        <v>1425</v>
      </c>
      <c r="M97" s="1">
        <f t="shared" si="25"/>
        <v>1900</v>
      </c>
      <c r="N97" s="1">
        <f t="shared" si="26"/>
        <v>2375</v>
      </c>
      <c r="X97" s="1"/>
      <c r="Y97" s="1"/>
      <c r="AJ97" s="1">
        <v>94</v>
      </c>
      <c r="AK97" s="1">
        <f t="shared" si="20"/>
        <v>11520</v>
      </c>
      <c r="AL97" s="1">
        <f t="shared" si="21"/>
        <v>840</v>
      </c>
      <c r="AM97" s="1">
        <f t="shared" si="22"/>
        <v>12360</v>
      </c>
    </row>
    <row r="98" spans="9:39">
      <c r="I98" s="1">
        <v>94</v>
      </c>
      <c r="K98" s="1">
        <f t="shared" si="23"/>
        <v>960</v>
      </c>
      <c r="L98" s="1">
        <f t="shared" si="24"/>
        <v>1440</v>
      </c>
      <c r="M98" s="1">
        <f t="shared" si="25"/>
        <v>1920</v>
      </c>
      <c r="N98" s="1">
        <f t="shared" si="26"/>
        <v>2400</v>
      </c>
      <c r="X98" s="1"/>
      <c r="Y98" s="1"/>
      <c r="AJ98" s="1">
        <v>95</v>
      </c>
      <c r="AK98" s="1">
        <f t="shared" si="20"/>
        <v>11640</v>
      </c>
      <c r="AL98" s="1">
        <f t="shared" si="21"/>
        <v>840</v>
      </c>
      <c r="AM98" s="1">
        <f t="shared" si="22"/>
        <v>12480</v>
      </c>
    </row>
    <row r="99" spans="9:39">
      <c r="I99" s="1">
        <v>95</v>
      </c>
      <c r="K99" s="1">
        <f t="shared" si="23"/>
        <v>970</v>
      </c>
      <c r="L99" s="1">
        <f t="shared" si="24"/>
        <v>1455</v>
      </c>
      <c r="M99" s="1">
        <f t="shared" si="25"/>
        <v>1940</v>
      </c>
      <c r="N99" s="1">
        <f t="shared" si="26"/>
        <v>2425</v>
      </c>
      <c r="X99" s="1"/>
      <c r="Y99" s="1"/>
      <c r="AJ99" s="1">
        <v>96</v>
      </c>
      <c r="AK99" s="1">
        <f t="shared" si="20"/>
        <v>11760</v>
      </c>
      <c r="AL99" s="1">
        <f t="shared" si="21"/>
        <v>840</v>
      </c>
      <c r="AM99" s="1">
        <f t="shared" si="22"/>
        <v>12600</v>
      </c>
    </row>
    <row r="100" spans="9:39">
      <c r="I100" s="1">
        <v>96</v>
      </c>
      <c r="K100" s="1">
        <f t="shared" si="23"/>
        <v>980</v>
      </c>
      <c r="L100" s="1">
        <f t="shared" si="24"/>
        <v>1470</v>
      </c>
      <c r="M100" s="1">
        <f t="shared" si="25"/>
        <v>1960</v>
      </c>
      <c r="N100" s="1">
        <f t="shared" si="26"/>
        <v>2450</v>
      </c>
      <c r="X100" s="1"/>
      <c r="Y100" s="1"/>
      <c r="AJ100" s="1">
        <v>97</v>
      </c>
      <c r="AK100" s="1">
        <f t="shared" si="20"/>
        <v>11880</v>
      </c>
      <c r="AL100" s="1">
        <f t="shared" si="21"/>
        <v>840</v>
      </c>
      <c r="AM100" s="1">
        <f t="shared" si="22"/>
        <v>12720</v>
      </c>
    </row>
    <row r="101" spans="9:39">
      <c r="I101" s="1">
        <v>97</v>
      </c>
      <c r="K101" s="1">
        <f t="shared" si="23"/>
        <v>990</v>
      </c>
      <c r="L101" s="1">
        <f t="shared" si="24"/>
        <v>1485</v>
      </c>
      <c r="M101" s="1">
        <f t="shared" si="25"/>
        <v>1980</v>
      </c>
      <c r="N101" s="1">
        <f t="shared" si="26"/>
        <v>2475</v>
      </c>
      <c r="X101" s="1"/>
      <c r="Y101" s="1"/>
      <c r="AJ101" s="1">
        <v>98</v>
      </c>
      <c r="AK101" s="1">
        <f t="shared" si="20"/>
        <v>12000</v>
      </c>
      <c r="AL101" s="1">
        <f t="shared" si="21"/>
        <v>840</v>
      </c>
      <c r="AM101" s="1">
        <f t="shared" si="22"/>
        <v>12840</v>
      </c>
    </row>
    <row r="102" spans="9:39">
      <c r="I102" s="1">
        <v>98</v>
      </c>
      <c r="K102" s="1">
        <f t="shared" si="23"/>
        <v>1000</v>
      </c>
      <c r="L102" s="1">
        <f t="shared" si="24"/>
        <v>1500</v>
      </c>
      <c r="M102" s="1">
        <f t="shared" si="25"/>
        <v>2000</v>
      </c>
      <c r="N102" s="1">
        <f t="shared" si="26"/>
        <v>2500</v>
      </c>
      <c r="X102" s="1"/>
      <c r="Y102" s="1"/>
      <c r="AJ102" s="1">
        <v>99</v>
      </c>
      <c r="AK102" s="1">
        <f t="shared" si="20"/>
        <v>12120</v>
      </c>
      <c r="AL102" s="1">
        <f t="shared" si="21"/>
        <v>840</v>
      </c>
      <c r="AM102" s="1">
        <f t="shared" si="22"/>
        <v>12960</v>
      </c>
    </row>
    <row r="103" spans="9:39">
      <c r="I103" s="1">
        <v>99</v>
      </c>
      <c r="K103" s="1">
        <f t="shared" si="23"/>
        <v>1010</v>
      </c>
      <c r="L103" s="1">
        <f t="shared" si="24"/>
        <v>1515</v>
      </c>
      <c r="M103" s="1">
        <f t="shared" si="25"/>
        <v>2020</v>
      </c>
      <c r="N103" s="1">
        <f t="shared" si="26"/>
        <v>2525</v>
      </c>
      <c r="X103" s="1"/>
      <c r="Y103" s="1"/>
      <c r="AJ103" s="1">
        <v>100</v>
      </c>
      <c r="AK103" s="1">
        <f t="shared" si="20"/>
        <v>12240</v>
      </c>
      <c r="AL103" s="1">
        <f t="shared" si="21"/>
        <v>840</v>
      </c>
      <c r="AM103" s="1">
        <f t="shared" si="22"/>
        <v>13080</v>
      </c>
    </row>
    <row r="104" spans="9:39">
      <c r="I104" s="1">
        <v>100</v>
      </c>
      <c r="K104" s="1">
        <f t="shared" si="23"/>
        <v>1020</v>
      </c>
      <c r="L104" s="1">
        <f t="shared" si="24"/>
        <v>1530</v>
      </c>
      <c r="M104" s="1">
        <f t="shared" si="25"/>
        <v>2040</v>
      </c>
      <c r="N104" s="1">
        <f t="shared" si="26"/>
        <v>2550</v>
      </c>
      <c r="X104" s="1"/>
      <c r="Y104" s="1"/>
    </row>
    <row r="105" spans="9:39">
      <c r="X105" s="1"/>
      <c r="Y105" s="1"/>
    </row>
    <row r="106" spans="9:39">
      <c r="X106" s="1"/>
      <c r="Y106" s="1"/>
    </row>
    <row r="107" spans="9:39">
      <c r="X107" s="1"/>
      <c r="Y107" s="1"/>
    </row>
    <row r="108" spans="9:39">
      <c r="X108" s="1"/>
      <c r="Y108" s="1"/>
    </row>
    <row r="109" spans="9:39">
      <c r="X109" s="1"/>
      <c r="Y109" s="1"/>
    </row>
    <row r="110" spans="9:39">
      <c r="X110" s="1"/>
      <c r="Y110" s="1"/>
    </row>
    <row r="111" spans="9:39">
      <c r="X111" s="1"/>
      <c r="Y111" s="1"/>
    </row>
    <row r="112" spans="9:39">
      <c r="X112" s="1"/>
      <c r="Y112" s="1"/>
    </row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</sheetData>
  <mergeCells count="2">
    <mergeCell ref="AD3:AG3"/>
    <mergeCell ref="AD20:AG2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节奏总纲</vt:lpstr>
      <vt:lpstr>其他调用</vt:lpstr>
      <vt:lpstr>设计思路</vt:lpstr>
      <vt:lpstr>基础状态预期</vt:lpstr>
      <vt:lpstr>宝物升星</vt:lpstr>
      <vt:lpstr>宝物共鸣</vt:lpstr>
      <vt:lpstr>宝物升星货币产销情况</vt:lpstr>
      <vt:lpstr>盗宝贼掉落</vt:lpstr>
      <vt:lpstr>匈奴铁骑掉落</vt:lpstr>
      <vt:lpstr>宝物鉴赏</vt:lpstr>
      <vt:lpstr>宝物温养</vt:lpstr>
      <vt:lpstr>宝石镶嵌</vt:lpstr>
      <vt:lpstr>万里长城</vt:lpstr>
      <vt:lpstr>宝物效用情况</vt:lpstr>
      <vt:lpstr>投放验证</vt:lpstr>
      <vt:lpstr>宝物实力</vt:lpstr>
      <vt:lpstr>宝物图鉴</vt:lpstr>
      <vt:lpstr>武将升星（废弃）</vt:lpstr>
      <vt:lpstr>Sheet2</vt:lpstr>
      <vt:lpstr>武将觉醒(废弃）</vt:lpstr>
      <vt:lpstr>属性分配（废弃）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2023-05-06T09:26:13Z</dcterms:modified>
</cp:coreProperties>
</file>